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49.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39.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46.xml" ContentType="application/vnd.openxmlformats-officedocument.spreadsheetml.worksheet+xml"/>
  <Override PartName="/xl/worksheets/sheet6.xml" ContentType="application/vnd.openxmlformats-officedocument.spreadsheetml.worksheet+xml"/>
  <Override PartName="/xl/worksheets/sheet50.xml" ContentType="application/vnd.openxmlformats-officedocument.spreadsheetml.worksheet+xml"/>
  <Override PartName="/xl/worksheets/sheet11.xml" ContentType="application/vnd.openxmlformats-officedocument.spreadsheetml.worksheet+xml"/>
  <Override PartName="/xl/worksheets/sheet48.xml" ContentType="application/vnd.openxmlformats-officedocument.spreadsheetml.worksheet+xml"/>
  <Override PartName="/xl/worksheets/sheet13.xml" ContentType="application/vnd.openxmlformats-officedocument.spreadsheetml.worksheet+xml"/>
  <Override PartName="/xl/worksheets/sheet34.xml" ContentType="application/vnd.openxmlformats-officedocument.spreadsheetml.worksheet+xml"/>
  <Override PartName="/xl/worksheets/sheet33.xml" ContentType="application/vnd.openxmlformats-officedocument.spreadsheetml.worksheet+xml"/>
  <Override PartName="/xl/worksheets/sheet32.xml" ContentType="application/vnd.openxmlformats-officedocument.spreadsheetml.worksheet+xml"/>
  <Override PartName="/xl/worksheets/sheet10.xml" ContentType="application/vnd.openxmlformats-officedocument.spreadsheetml.worksheet+xml"/>
  <Override PartName="/xl/worksheets/sheet47.xml" ContentType="application/vnd.openxmlformats-officedocument.spreadsheetml.worksheet+xml"/>
  <Override PartName="/xl/worksheets/sheet7.xml" ContentType="application/vnd.openxmlformats-officedocument.spreadsheetml.worksheet+xml"/>
  <Override PartName="/xl/worksheets/sheet31.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0_Portada" sheetId="1" state="visible" r:id="rId3"/>
    <sheet name="00c_Convencion_Visual" sheetId="2" state="visible" r:id="rId4"/>
    <sheet name="01_Supuestos" sheetId="3" state="visible" r:id="rId5"/>
    <sheet name="60_Resumen_30_anios" sheetId="4" state="visible" r:id="rId6"/>
    <sheet name="47_Compensacion_Pais" sheetId="5" state="visible" r:id="rId7"/>
    <sheet name="48_Conciliacion_Reserva" sheetId="6" state="visible" r:id="rId8"/>
    <sheet name="61_Invento_y_Respaldo" sheetId="7" state="visible" r:id="rId9"/>
    <sheet name="62_Banco_Central" sheetId="8" state="visible" r:id="rId10"/>
    <sheet name="63_Patrimonio" sheetId="9" state="visible" r:id="rId11"/>
    <sheet name="64_Inflacion" sheetId="10" state="visible" r:id="rId12"/>
    <sheet name="65_Pruebas" sheetId="11" state="visible" r:id="rId13"/>
    <sheet name="66_Novedades_v73" sheetId="12" state="visible" r:id="rId14"/>
    <sheet name="67_Pruebas_v75" sheetId="13" state="visible" r:id="rId15"/>
    <sheet name="68_Pruebas_v76" sheetId="14" state="visible" r:id="rId16"/>
    <sheet name="38_v69_E1" sheetId="15" state="visible" r:id="rId17"/>
    <sheet name="39_v69_E2" sheetId="16" state="visible" r:id="rId18"/>
    <sheet name="40_v69_E3" sheetId="17" state="visible" r:id="rId19"/>
    <sheet name="41_v69_E4" sheetId="18" state="visible" r:id="rId20"/>
    <sheet name="45_v69_E1_10" sheetId="19" state="visible" r:id="rId21"/>
    <sheet name="46_v69_E3_10" sheetId="20" state="visible" r:id="rId22"/>
    <sheet name="44_v69_E6" sheetId="21" state="visible" r:id="rId23"/>
    <sheet name="49_v69_E1_Ref" sheetId="22" state="visible" r:id="rId24"/>
    <sheet name="50_v69_E3_Ref" sheetId="23" state="visible" r:id="rId25"/>
    <sheet name="42_v69_Diablo" sheetId="24" state="visible" r:id="rId26"/>
    <sheet name="43_Diablo_Defensas" sheetId="25" state="visible" r:id="rId27"/>
    <sheet name="51_v69_E1_Freno" sheetId="26" state="visible" r:id="rId28"/>
    <sheet name="52_v69_E3_Freno" sheetId="27" state="visible" r:id="rId29"/>
    <sheet name="54_v69_E1_Tope" sheetId="28" state="visible" r:id="rId30"/>
    <sheet name="55_E1_Crec022" sheetId="29" state="visible" r:id="rId31"/>
    <sheet name="56_E1_Crec049" sheetId="30" state="visible" r:id="rId32"/>
    <sheet name="57_E1_AE25" sheetId="31" state="visible" r:id="rId33"/>
    <sheet name="58_E1_AE50" sheetId="32" state="visible" r:id="rId34"/>
    <sheet name="59_E1_Crec022_AE25" sheetId="33" state="visible" r:id="rId35"/>
    <sheet name="14_Fuentes_Oficiales" sheetId="34" state="visible" r:id="rId36"/>
    <sheet name="10_Motor" sheetId="35" state="visible" r:id="rId37"/>
    <sheet name="18_Motor_v662" sheetId="36" state="visible" r:id="rId38"/>
    <sheet name="22_v67_Prudente" sheetId="37" state="visible" r:id="rId39"/>
    <sheet name="23_v67_Intermedio" sheetId="38" state="visible" r:id="rId40"/>
    <sheet name="69_Pruebas_v711" sheetId="39" state="visible" r:id="rId41"/>
    <sheet name="70_Quien_paga_pensiones" sheetId="40" state="visible" r:id="rId42"/>
    <sheet name="71_Balance_socios" sheetId="41" state="visible" r:id="rId43"/>
    <sheet name="72_Dinero" sheetId="42" state="visible" r:id="rId44"/>
    <sheet name="73_Creditos_destino" sheetId="43" state="visible" r:id="rId45"/>
    <sheet name="74_Registro_pruebas" sheetId="44" state="visible" r:id="rId46"/>
    <sheet name="75_Bonos_AFJ" sheetId="45" state="visible" r:id="rId47"/>
    <sheet name="76_Circuito_B_a_A" sheetId="46" state="visible" r:id="rId48"/>
    <sheet name="42N_Diablo_circuito_nuevo" sheetId="47" state="visible" r:id="rId49"/>
    <sheet name="43N_Defensas_circuito_nuevo" sheetId="48" state="visible" r:id="rId50"/>
    <sheet name="78_Ejemplo_impago_seguro" sheetId="49" state="visible" r:id="rId51"/>
    <sheet name="77_Pruebas_circuito_nuevo" sheetId="50" state="visible" r:id="rId5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<sst xmlns="http://schemas.openxmlformats.org/spreadsheetml/2006/main" count="10389" uniqueCount="2004">
  <si>
    <t xml:space="preserve">MODELO RENTISTA</t>
  </si>
  <si>
    <t xml:space="preserve">Calculadora auditable — v7.28 · Horizonte del libro: 30 años · Versión para el libro</t>
  </si>
  <si>
    <t xml:space="preserve">Versión limpia: solo el modelo vigente (octubre 2026), proyectado a 30 años. Las versiones anteriores quedan en el archivo v6.9.4 como historial.</t>
  </si>
  <si>
    <t xml:space="preserve">Autor:</t>
  </si>
  <si>
    <t xml:space="preserve">Sergio Danilo Daneri Solano</t>
  </si>
  <si>
    <t xml:space="preserve">Fecha:</t>
  </si>
  <si>
    <t xml:space="preserve">Miércoles 28 de octubre de 2026 — v7.28 (candidata a definitiva, para el editor)</t>
  </si>
  <si>
    <t xml:space="preserve">POR QUÉ 30 AÑOS</t>
  </si>
  <si>
    <t xml:space="preserve">Más allá de 30 años los supuestos (tasas, crecimiento, mora, tecnología) pierden sentido. Treinta años es el plazo más corto que todavía muestra los años en que el modelo se aprieta, y alcanza para una generación de jubilados. Se propone recalcular cada 5 años con datos reales.</t>
  </si>
  <si>
    <t xml:space="preserve">HOJAS</t>
  </si>
  <si>
    <t xml:space="preserve">01</t>
  </si>
  <si>
    <t xml:space="preserve">Supuestos</t>
  </si>
  <si>
    <t xml:space="preserve">Datos y parámetros comunes.</t>
  </si>
  <si>
    <t xml:space="preserve">60</t>
  </si>
  <si>
    <t xml:space="preserve">Resumen a 30 años</t>
  </si>
  <si>
    <t xml:space="preserve">Todos los escenarios, la cuenta del Fisco, el saldo ampliado y la comparación con el Bono.</t>
  </si>
  <si>
    <t xml:space="preserve">47</t>
  </si>
  <si>
    <t xml:space="preserve">Compensación al país</t>
  </si>
  <si>
    <t xml:space="preserve">Qué entra y qué no en la cuenta del Fisco (30 años).</t>
  </si>
  <si>
    <t xml:space="preserve">48</t>
  </si>
  <si>
    <t xml:space="preserve">Conciliación de la reserva</t>
  </si>
  <si>
    <t xml:space="preserve">Años 1 a 10 y qué respalda las cuentas (años 10, 20 y 30).</t>
  </si>
  <si>
    <t xml:space="preserve">61</t>
  </si>
  <si>
    <t xml:space="preserve">Invento y respaldo</t>
  </si>
  <si>
    <t xml:space="preserve">Explicación para no economistas: plata inventada, Acciones Espejo tipo A y B, canje del Banco Central y para qué sirve el Bono.</t>
  </si>
  <si>
    <t xml:space="preserve">38–50, 42</t>
  </si>
  <si>
    <t xml:space="preserve">Motores de los escenarios</t>
  </si>
  <si>
    <t xml:space="preserve">1 costos del autor, 2 palancas, 3 prudente, 4 prudente + palancas, 1b/3b aporte fijo 10%, 6 colocación 5%, 1r/3r reforma 2025, Diablo.</t>
  </si>
  <si>
    <t xml:space="preserve">51, 52, 54</t>
  </si>
  <si>
    <t xml:space="preserve">Freno del crédito</t>
  </si>
  <si>
    <t xml:space="preserve">Freno de ritmo (4% → 3% del PIB) y tope duro del 25% del crédito del país.</t>
  </si>
  <si>
    <t xml:space="preserve">55–59</t>
  </si>
  <si>
    <t xml:space="preserve">Pruebas nuevas</t>
  </si>
  <si>
    <t xml:space="preserve">Crecimiento extra 0,22 y 0,49; devolución al Fisco de 25% o 50% de las Acciones Espejo desde el año 16.</t>
  </si>
  <si>
    <t xml:space="preserve">14</t>
  </si>
  <si>
    <t xml:space="preserve">Fuentes oficiales</t>
  </si>
  <si>
    <t xml:space="preserve">10, 18, 22, 23</t>
  </si>
  <si>
    <t xml:space="preserve">Base de cálculo</t>
  </si>
  <si>
    <t xml:space="preserve">Hojas de apoyo que alimentan los motores (complemento de nuevos jubilados). No editar.</t>
  </si>
  <si>
    <t xml:space="preserve">73</t>
  </si>
  <si>
    <t xml:space="preserve">Créditos por destino</t>
  </si>
  <si>
    <t xml:space="preserve">Personas, empresas y Estado año a año (nuevos, devueltos, deuda, intereses), límite de emisión de la Acción Espejo y controles de todos los escenarios.</t>
  </si>
  <si>
    <t xml:space="preserve">Amarillo con texto azul = supuesto editable. Negro = fórmula. Billones de pesos de 2026 (1 billón = 10¹² pesos).</t>
  </si>
  <si>
    <t xml:space="preserve">v7.1 (19-oct-2026): canje sin cobro ni devolución con el Bono, mora prudente 0,65% (CMF), reparto 45/30/25 (B1 hasta 45% del fondo), colocación 4% / 3% / 5% del PIB, hoja 61 y motores recortados a 30 años (se eliminaron las columnas de los años 31 a 70). Prueba de construcción: con el Bono en cero, los créditos del B1 del escenario 1 no bajan en ningún año.</t>
  </si>
  <si>
    <t xml:space="preserve">v7.2 (19-oct-2026): diseño B del autor (tipo A = créditos con plata creada; tipo B = plata real afuera), impuesto redirigido 15% con tope 30%, regla 45/30/25 en todas las hojas, hoja 48 conciliada con fórmulas, hojas 62 Banco Central, 63 Patrimonio, 64 Impulso e inflación y 65 Pruebas. Versión definitiva, la que usa el libro (v5_18).</t>
  </si>
  <si>
    <t xml:space="preserve">v7.3 (21-oct-2026): tipo A y tipo B dentro del B1 (solo lo importado usa el Bono), sin línea del Banco Central, inversión en Chile solo en Tesorería y empresas, IVA de las pensiones, espera de herencia (hoja 66 y bloque 13 de Supuestos).</t>
  </si>
  <si>
    <t xml:space="preserve">v7.4 (21-oct-2026): sin traspaso de ahorros del Fisco a la AFJ; universo verificado de civiles; tramos +400/350/300 mil; palancas = crecimiento extra y entrada gradual.</t>
  </si>
  <si>
    <t xml:space="preserve">v7.5 (21-oct-2026): corrige el uso de la línea del Banco Central con límite cero (observación de la revisora), espera de herencia por cohorte, control de fórmulas de la conciliación.</t>
  </si>
  <si>
    <t xml:space="preserve">v7.6 (21-oct-2026): regla del impuesto que sube y baja (banda 15%-25%), fondo de solidaridad de la espera de herencia, tramo promedio del complemento sobre el piso como parámetro.</t>
  </si>
  <si>
    <t xml:space="preserve">v7.7 (21-oct-2026): hoja 43 «Diablo con defensas» (seguro pagado por el deudor + inversión en Chile) y su columna en el resumen.</t>
  </si>
  <si>
    <t xml:space="preserve">v7.8 (21-oct-2026, tras la revisión técnica): el seguro de los créditos lo paga entero el deudor (la reserva ya no paga, fila 176 = 0); la fila 220 pasa a llamarse «ahorro de pagos durante la espera» y se presenta como indicador, no como fondo separado.</t>
  </si>
  <si>
    <t xml:space="preserve">v7.9 (21-oct-2026): opción de financiar lo importado del B1 con dólares del B2 (01_Supuestos C162, filas 225-228; 0 = igual a v7.8); fila 221 indica el costo de operación de cada escenario (0,1% o 0,2%).</t>
  </si>
  <si>
    <t xml:space="preserve">v7.10 (21-oct-2026): tope de inversión en Chile de la plata creada que no cabe en el B1 sube de 9% a 12% del PIB (cuenta B3-A, fila 168). El Diablo mantiene la inversión apagada.</t>
  </si>
  <si>
    <t xml:space="preserve">v7.11 (21-oct-2026, tras la revisión técnica de la v7.10): complementos sobre el piso con los montos del libro (+300/250/200, promedio $272.500 supuesto); etiquetas del Diablo con defensas al 12%; hoja 69 con pruebas reproducibles sobre la v7.11.</t>
  </si>
  <si>
    <t xml:space="preserve">v7.12 (21-oct-2026): bloque informativo de herencias en espera (filas 230 a 239 de cada escenario): capital en espera, rendimiento atribuible y reparto entre AFJ (0,5 puntos) y solidaridad, con la regla para años de rendimiento insuficiente. No cambia resultados.</t>
  </si>
  <si>
    <t xml:space="preserve">v7.13 (22-oct-2026): hoja 70 «Quién paga las pensiones»; herencias en espera con capital promedio y aclaración de primera generación; prueba de año con rendimiento real negativo conectada a la caja (01_Supuestos C163-C164, fila 229). Con la prueba en 0 los resultados son los de la v7.12.</t>
  </si>
  <si>
    <t xml:space="preserve">v7.14 (22-oct-2026): fondo de estabilización con la ganancia de las herencias en espera (filas 240 a 247), usado primero en años malos; opción de regalar el excedente a las cuentas de los más pobres, dentro de la AFJ (01_Supuestos C165-C166). Con «No» los resultados son los de la v7.13.</t>
  </si>
  <si>
    <t xml:space="preserve">v7.15 (22-oct-2026): el regalo del fondo de estabilización solo procede con el impuesto en su mínimo y la reserva sobre 20% del fondo, sin bajarla de ese nivel (01_Supuestos C167, fila 245). Con «No» los resultados son los de la v7.14.</t>
  </si>
  <si>
    <t xml:space="preserve">v7.16 (22-oct-2026, revisión técnica): fondo de estabilización conciliado con la reserva y con prioridad para el IPC de los herederos (filas 240 a 252); prueba de varios años malos seguidos (C168); regalo con tope después del regalo (apagado); quién paga la administración (filas 253 a 257); hoja 71 «Balance como socios».</t>
  </si>
  <si>
    <t xml:space="preserve">v7.17 (22-oct-2026, el autor y la revisora): colchón de liquidez para liquidar entre bancos (01_Supuestos C169; filas 259 a 267). Se toma del B3 en liquidez; lo que no cabe lo pone la reserva y cuesta la diferencia de rendimiento.</t>
  </si>
  <si>
    <t xml:space="preserve">v7.18 (22-oct-2026): hoja 72 «Dinero e inflación»; B3-A gradual (01_Supuestos C170, apagado = 1); prueba de interés sobre los saldos AFJ en los bancos (01_Supuestos C171, fila 268; 0 = propuesta del autor).</t>
  </si>
  <si>
    <t xml:space="preserve">v7.19 (22-oct-2026, revisión técnica): la reserva comprometida como garantía ya no se usa para otra cosa (reserva libre en filas 76, 92, 95, 103, 122, 245 y 248); prueba de conversión de saldos AFJ en reservas (filas 269 a 275; costo 0 para la AFJ por ley, costo informativo aparte); tope del crédito corregido: todo el B1 / (crédito bancario + B1); hoja 72 separa créditos y bonos y no calcula inflación.</t>
  </si>
  <si>
    <t xml:space="preserve">v7.20 (22-oct-2026, revisión técnica): (1) créditos separados por destino, personas, empresas y Estado, con préstamos nuevos, capital devuelto, deuda pendiente e intereses (filas 277 a 316 y hoja 73; reparto y plazos por decidir en 01_Supuestos C175 a C178); (2) la conversión de saldos AFJ en reservas se cubre con recursos propios, sin préstamo ni garantía del Banco Central (C174 = No), y lo que dejan de rendir los bonos y la reserva entregados se carga a la AFJ; (3) regla visible de la Acción Espejo: límite de emisión, cada $1 de derecho respalda hasta $1 de crédito.</t>
  </si>
  <si>
    <t xml:space="preserve">v7.21 (22-oct-2026, decisiones del autor, para revisión técnica): tope de la AFJ en el crédito del país de 30% en todos los escenarios (01_Supuestos C179; la hoja 54 sigue como prueba del 25%); B3-A gradual en 5 años (C170); la regla del impuesto sube 4 puntos por año en amarillo (C139; baja 2; con 3 el Prudente quedaba 5 años en rojo); freno de inflación como regla para la ley (C180; la calculadora no calcula inflación, se prueba con la hoja 52); complemento trienal solo si sobra, con su costo informativo (filas 318 a 323).</t>
  </si>
  <si>
    <t xml:space="preserve">v7.22 (23-oct-2026, revisión técnica de la v7.21): sin complemento trienal ni bianual (01_Supuestos fila 42 en 0; filas 318 a 323 retiradas); sin línea del Banco Central también en las hojas 42 y 43 (Diablo); etiquetas de la regla del impuesto (4 puntos de la fracción del IDPC, hasta 30 %); indicador de cobertura del resumen con todos los costos; ritmo inicial opcional (C181 y C182, apagado); hoja 74 con el registro de pruebas.</t>
  </si>
  <si>
    <t xml:space="preserve">v7.24 (prueba 7, 23-oct-2026, decisiones del autor y revisiones técnicas): (1) el Estado sigue pagando la PGU y la AFJ solo completa hasta el piso: sin ahorro ($539.000 − PGU) × 240; con $22 millones propios, ese monto menos $22 millones; (2) PGU evitada en 0 en el escenario base, mostrada aparte como quinta pata de futuro (hoja 47, fila 29); (3) Bono de Invierno y Bono por Hijo para todos los jubilados de la AFJ, sin topes, como capital al ingresar, calculado por grupo (hoja 75); el Estado se ahorra solo lo que hoy paga, desde el año en que cada grupo entra; (4) la AFJ paga todas las pensiones de CAPREDENA y DIPRECA ($2,84 bill./año): $321,6 millones por uniformado, a afinar en el piloto; (5) tramos sobre el piso +$400.000/+$350.000/+$300.000, alternativa en evaluación; (6) imputación primero a lo importado calculada año por año: la importación se paga completa al desembolsar y el respaldo B se libera solo cuando se cobra capital (filas 320 a 323 de cada motor; 01_Supuestos C184 y C185; hoja 76 con el ejemplo). Cambian las cifras: ver hoja 60.</t>
  </si>
  <si>
    <t xml:space="preserve">v7.24 prueba 8 (23-oct-2026, revisión técnica a la prueba 7): (1) las importaciones se calculan solo sobre los préstamos nuevos a empresas: 20 % de ellos (01_Supuestos C186); vivienda y Estado son tipo A; (2) eso equivale a que 2 de cada 3 pesos prestados a empresas son créditos mixtos con 30 % importado (C185, C187); (3) el respaldo B se libera con el capital que efectivamente cobran esos créditos, primero a lo importado, hasta cancelarlo; (4) controles nuevos: B liberado ≤ capital cobrado a los créditos mixtos y ≤ capital cobrado a todas las empresas (filas 324 y 325 de cada motor). El Diablo mantiene la regla proporcional antigua como prueba dura.</t>
  </si>
  <si>
    <t xml:space="preserve">Hojas nuevas: 75 Bonos que paga la AFJ · 76 Circuito B → A.</t>
  </si>
  <si>
    <t xml:space="preserve">v7.24 prueba 9 (24-oct-2026, revisión técnica a la prueba 8): (1) se conserva la corrección de importaciones y la devolución prioritaria de B; (2) un solo respaldo B ocupado (fila 326) para todo el motor: la plata que circula (fila 261), que calcula el colchón de liquidez y las conversiones, ahora es igual a la plata en los bancos (fila 72); (3) la capacidad de préstamo (filas 76 y 179) y el B2 que financia importaciones (fila 227) usan el mismo circuito; los límites de crédito acordados (ritmo y tope de 30 %) no cambian; (4) la liberación de B descuenta la mora (C8); (5) hojas nuevas 42N y 43N: Diablo y Diablo con defensas con el circuito nuevo; (6) hoja 77: pruebas de las defensas, mora y pago anticipado con el circuito nuevo.</t>
  </si>
  <si>
    <t xml:space="preserve">v7.24 prueba 10 (24-oct-2026, revisión técnica a la prueba 9): (1) la pérdida de cartera que retiene el respaldo B se calcula igual que el costo de la fila 108: tasa anual C8 sobre el saldo de cada año (antes, un descuento único); (2) prueba de pago anticipado de créditos ya existentes (01_Supuestos C189-C190): esas devoluciones liberan antes el respaldo B y se vuelven a prestar; (3) hoja 77 rehecha con 6 pruebas; la referencia principal de las defensas es el Diablo con el circuito nuevo (42N, 43N); el Diablo antiguo queda como comparación con otra regla de respaldo.</t>
  </si>
  <si>
    <t xml:space="preserve">v7.24 prueba 11 (24-oct-2026, el autor y la revisora): seguro de deudores separado de la mora. Impago bruto (lo que no paga el deudor) = C8 / (1 − C191); indemnización del seguro (35 %); pérdida definitiva de la AFJ = C8. La caja paga el impago y recibe la indemnización con la espera de 01_Supuestos C192 (fila 108); los intereses se calculan sobre lo que sí paga; la indemnización libera respaldo B (fila 318) sin contarse dos veces. Controles en las filas 334 y 336. El prepago de la prueba se aplica al saldo que queda después de la cuota del año.</t>
  </si>
  <si>
    <t xml:space="preserve">v7.24 prueba 12 (24-oct-2026, el autor y la revisora): (1) el impago bruto es dato de entrada y la pérdida definitiva se calcula (C8 = impago × (1 − cobertura)); (2) escenarios del autor: deudores VIP con impago 0,1 % y seguro que cubre todo el capital (01_Supuestos C193-C194), decisión del autor; prudentes y Diablo con defensas: impago 1 % y 35 % de seguro (prueba dura); Diablo: 1 % sin seguro; (3) capital castigado explícito (filas 341-343): sale de la cartera y lo repone crédito nuevo (filas 286 y 291), con control del neteo (fila 305); (4) hoja 78: ejemplo de un préstamo con impago y seguro.</t>
  </si>
  <si>
    <t xml:space="preserve">v7.24 prueba 13 (24-oct-2026, revisión técnica a la prueba 12): los motores no cambian (mismos resultados y pruebas de estrés que la prueba 12). (1) Hoja 78: el respaldo B se libera solo con capital cobrado e indemnización recibida, igual que el motor; la parte importada que el seguro no paga queda como respaldo B no recuperado; (2) supuestos rotulados: seguro total e impago 0,1 % = diseño del autor por respaldar; 35 % = prueba de protección reducida.</t>
  </si>
  <si>
    <t xml:space="preserve">v7.25 (24-oct-2026, el autor y la revisión técnica): se declara definitiva la v7.24 prueba 13, sin cambiar ninguna cifra. Autor: reserva $189,12 al año 30; Prudente: $180,61. Queda sujeta a que la revisora reproduzca dos pruebas de la hoja 77 (dos años con −20 % e importación doble). Supuestos declarados, que se ajustan con el piloto: deudores VIP con impago de 0,1 % y seguro que cubre todo el capital (01_Supuestos C193-C194; requisitos VIP en propuesta); 20 % de importación en los préstamos a empresas (C186); bonos que paga la AFJ (datos del IPS por confirmar); uniformados: gasto DIPRES 2025 $2,84 bill./año, número exacto de personas por confirmar. El libro no proyecta más allá de 30 años: se recalcula cada 5 años con datos reales.</t>
  </si>
  <si>
    <t xml:space="preserve">v7.26 (24-oct-2026, el autor y la revisión técnica): nuevos jubilados de cada año separados (01_Supuestos filas 196 a 203): de los 60.000, 7.000 profesores y 6.000 de pueblos originarios con su aporte de $400.000 (incluidos, no se suman); del resto, 27 % sobre el piso y 73 % bajo el piso (supuestos provisionales). Los nuevos jubilados sobre el piso reciben los tramos +$400.000/+$350.000/+$300.000 (decisión del autor, apoyada por la revisora), como préstamo que vuelve con IPC al fallecer (filas 345, 62 y 63 de cada motor), y traen su ahorro AFP propio (fila 348): al jubilar, todo el ahorro AFP pasa a la AFJ y la AFP queda solo para quienes aún no se jubilan. El jubilado que sigue trabajando puede cotizar voluntariamente, como en la ley vigente; esas cotizaciones van a la AFJ y la calculadora no las cuenta (supuesto conservador). Regla de la reserva funcionando en los 21 motores: si el año anterior la reserva disponible quedó bajo el 15 % del fondo, ese año no se dan tramos nuevos (filas 346-347); las pensiones ya otorgadas y su IPC no se tocan. El complemento de los grupos iniciales (fila 63) no cambia. Pruebas de la hoja 77 rehechas con la v7.26.</t>
  </si>
  <si>
    <t xml:space="preserve">v7.26, corrección de la revisora (24-oct-2026): los aportes fijos de profesores y pueblos originarios ($400.000 heredables, con sus bonos) y los bonos de los civiles sobre el piso ya no se reducen por herencia (01_Supuestos C204; 10_Motor fila 62). La reducción por herencia y por crecimiento del ahorro se aplica solo al complemento de los civiles bajo el piso (C203). Pruebas de la hoja 77 rehechas.</t>
  </si>
  <si>
    <t xml:space="preserve">v7.27 (28-oct-2026, decisión del autor, revisión técnica): el fortalecimiento ×1,34 ya adquirido pertenece siempre a la familia, también en los civiles sobre el piso que devuelven su préstamo. Al fallecer, la AFJ recupera solo el principal del préstamo reajustado por IPC (fila 63); antes, la fila 68 descontaba además el 34 % de ese principal del fortalecimiento. Cambio: fila 68 de los 21 motores, (I125 − 1) × (fila 66 − fila 63) → (I125 − 1) × fila 66. Los grupos que no devuelven (bajo el piso, profesores, pueblos originarios, uniformados) no cambian. Diferencia con la v7.26, reserva del año 30: Autor 178,19 → 177,80; Prudente 161,97 → 163,05; Diablo nuevo 147,41 → 148,42. Pruebas de la hoja 77 rehechas con la v7.27.</t>
  </si>
  <si>
    <t xml:space="preserve">v7.28 (28-oct-2026, decisión del autor): solo textos de la hoja 77, tras repetir las 8 pruebas como control. (1) La columna «Respaldo B ocupado año 30» de los dos Diablos con regla antigua dice ahora «no aplica (regla antigua)»: esas hojas no tienen la fila 326 y el 55,33 era un resto de versiones anteriores. (2) La instrucción de la prueba 8 precisa que C328 se cambia en las dos hojas del Diablo nuevo (42N y 43N). Ninguna fórmula ni cifra cambia: reservas del año 30 de 177,80 / 163,05 / 148,42, igual que la v7.27.</t>
  </si>
  <si>
    <t xml:space="preserve">Convención visual de trazabilidad</t>
  </si>
  <si>
    <t xml:space="preserve">Esta convención se aplica en todas las hojas que circulen fuera del equipo (01, 02, 04, 12B, 13, 14). Un economista que abra el archivo debe poder distinguir de un vistazo qué celda es dato verificable contra fuente pública, qué es supuesto elegido por arquitectura del modelo, qué es resultado del motor dependiente de supuestos, y qué es lectura editorial / advertencia.</t>
  </si>
  <si>
    <t xml:space="preserve">Categoría</t>
  </si>
  <si>
    <t xml:space="preserve">Badge</t>
  </si>
  <si>
    <t xml:space="preserve">Descripción</t>
  </si>
  <si>
    <t xml:space="preserve">Ejemplos en este archivo</t>
  </si>
  <si>
    <t xml:space="preserve">OFICIAL</t>
  </si>
  <si>
    <t xml:space="preserve">🏛️ Dato oficial</t>
  </si>
  <si>
    <t xml:space="preserve">Dato verificable contra fuente pública (institución + año + documento). No es discutible sin discutir la fuente.</t>
  </si>
  <si>
    <t xml:space="preserve">BCCh PIB ($325 bill. CLP de 2026), INE esperanza vida 65 años, SP universo jubilados AFP, DIPRES gasto CAPREDENA, marco legal (DL 3.500, Ley 21.419/21.735), GFSM 2014.</t>
  </si>
  <si>
    <t xml:space="preserve">SUPUESTO</t>
  </si>
  <si>
    <t xml:space="preserve">⚙️ Supuesto modelo</t>
  </si>
  <si>
    <t xml:space="preserve">Parámetro elegido por arquitectura del modelo o sensibilidad de escenario. Discutible sin necesidad de oficialidad.</t>
  </si>
  <si>
    <t xml:space="preserve">M4 retorno fondo AFJ 5% (tasa diseño), M6 reinversión, Bono Soberano $20,6 bill./año, R3-R5 composición B1/B2/B3 30/30/40, R6-R8 escalonado IPC, R13 capacidad prestable.</t>
  </si>
  <si>
    <t xml:space="preserve">SIMULADO</t>
  </si>
  <si>
    <t xml:space="preserve">📊 Resultado simulado</t>
  </si>
  <si>
    <t xml:space="preserve">Salida del motor de cálculo. Cambia si cambian los supuestos. Solo es defendible si los supuestos están explícitos.</t>
  </si>
  <si>
    <t xml:space="preserve">M5 (deriva de R8), todo el Motor año a año, balance operativo hoja 12, balance prudencial C y B hoja 12B, resumen de escenarios hoja 13, brechas RAAB hoja 04.</t>
  </si>
  <si>
    <t xml:space="preserve">LECTURA</t>
  </si>
  <si>
    <t xml:space="preserve">💡 Lectura/advertencia</t>
  </si>
  <si>
    <t xml:space="preserve">Interpretación editorial sobre los resultados. Riesgo, advertencia o decisión pendiente. No es número, es juicio.</t>
  </si>
  <si>
    <t xml:space="preserve">Notas metodológicas en pie de hojas 12B/13/14, lectura ejecutiva hoja 13, veredicto empírico, semáforo RAAB con nota interpretativa, advertencias hoja 08.</t>
  </si>
  <si>
    <t xml:space="preserve">APLICACIÓN POR HOJA</t>
  </si>
  <si>
    <t xml:space="preserve">01_Supuestos</t>
  </si>
  <si>
    <t xml:space="preserve">Columna J nueva — badge por fila según naturaleza de la variable. Mezcla OFICIAL + SUPUESTO según bloque.</t>
  </si>
  <si>
    <t xml:space="preserve">02_Matriz_BPE</t>
  </si>
  <si>
    <t xml:space="preserve">Header con badge "📊 SIMULADO" (compara escenarios; valores derivan de 01_Supuestos).</t>
  </si>
  <si>
    <t xml:space="preserve">04_Brecha_RAAB</t>
  </si>
  <si>
    <t xml:space="preserve">Header con badge "📊 SIMULADO" (salida del motor por hito).</t>
  </si>
  <si>
    <t xml:space="preserve">12B_Balance_Prudencial_M6</t>
  </si>
  <si>
    <t xml:space="preserve">Header con badge "📊 SIMULADO + 💡 LECTURA" (cálculos + tres doctrinas interpretativas).</t>
  </si>
  <si>
    <t xml:space="preserve">13_Resumen_3_Escenarios</t>
  </si>
  <si>
    <t xml:space="preserve">Header con badge "📊 SIMULADO + 💡 LECTURA". Nota visible sobre RAAB vs solvencia acumulada.</t>
  </si>
  <si>
    <t xml:space="preserve">14_Fuentes_Oficiales</t>
  </si>
  <si>
    <t xml:space="preserve">Header con badge "🏛️ OFICIAL". Celdas amarillas = URL/fecha pendiente de verificación.</t>
  </si>
  <si>
    <t xml:space="preserve">Modelo Rentista — Supuestos y Fuentes</t>
  </si>
  <si>
    <t xml:space="preserve">Criterio editorial: "Primero probamos la arquitectura; después escribimos la promesa."</t>
  </si>
  <si>
    <t xml:space="preserve">Escenario activo →</t>
  </si>
  <si>
    <t xml:space="preserve">Base</t>
  </si>
  <si>
    <t xml:space="preserve">Horizonte (años) →</t>
  </si>
  <si>
    <t xml:space="preserve">Modo →</t>
  </si>
  <si>
    <t xml:space="preserve">Modo único (base editorial)</t>
  </si>
  <si>
    <t xml:space="preserve">#</t>
  </si>
  <si>
    <t xml:space="preserve">Variable</t>
  </si>
  <si>
    <t xml:space="preserve">Prudente</t>
  </si>
  <si>
    <t xml:space="preserve">Estrés</t>
  </si>
  <si>
    <t xml:space="preserve">Optimista</t>
  </si>
  <si>
    <t xml:space="preserve">Fuente / nota metodológica</t>
  </si>
  <si>
    <t xml:space="preserve">Estado</t>
  </si>
  <si>
    <t xml:space="preserve">Valor activo</t>
  </si>
  <si>
    <t xml:space="preserve">Tipo (00c)</t>
  </si>
  <si>
    <t xml:space="preserve">BLOQUE 1 — MACROECONÓMICO</t>
  </si>
  <si>
    <t xml:space="preserve">M1</t>
  </si>
  <si>
    <t xml:space="preserve">Crecimiento PIB real anual</t>
  </si>
  <si>
    <t xml:space="preserve">(DIPRES IFP 4T 2025); estrés 1,5%; optimista 3,0%</t>
  </si>
  <si>
    <t xml:space="preserve">cerrado</t>
  </si>
  <si>
    <t xml:space="preserve">🏛️ OFICIAL</t>
  </si>
  <si>
    <t xml:space="preserve">M2</t>
  </si>
  <si>
    <t xml:space="preserve">IPC largo plazo</t>
  </si>
  <si>
    <t xml:space="preserve">BCCh meta inflación 3,0% + canónico v185 (cap. 17: "8,5% nominal = IPC 3,5% + 5% real"). Base 3,0%; conservador 3,5%.</t>
  </si>
  <si>
    <t xml:space="preserve">M3</t>
  </si>
  <si>
    <t xml:space="preserve">r-star (tasa real referencia)</t>
  </si>
  <si>
    <t xml:space="preserve">Solo como tasa de descuento o entorno financiero — NO como retorno del fondo AFJ.</t>
  </si>
  <si>
    <t xml:space="preserve">M4</t>
  </si>
  <si>
    <t xml:space="preserve">Retorno fondo AFJ (tasa diseño)</t>
  </si>
  <si>
    <t xml:space="preserve">Rotulada como "tasa de diseño del sistema" en el libro, no como promesa. Sensibilidad: 3/4/5/6%.</t>
  </si>
  <si>
    <t xml:space="preserve">⚙️ SUPUESTO</t>
  </si>
  <si>
    <t xml:space="preserve">M5</t>
  </si>
  <si>
    <t xml:space="preserve">Tasa efectiva retiro (derivada)</t>
  </si>
  <si>
    <t xml:space="preserve">Parámetro antiguo, derivado de la fila 42. Solo lo usa la hoja 10_Motor (cálculo antiguo, base de las hojas 22 y 23); los motores vigentes (hojas 38 a 59) no lo usan. Con el trienal eliminado queda en 3,82 %. Se comprobó que las hojas 22 y 23 y todos los motores vigentes dan las mismas cifras.</t>
  </si>
  <si>
    <t xml:space="preserve">📊 SIMULADO</t>
  </si>
  <si>
    <t xml:space="preserve">M6</t>
  </si>
  <si>
    <t xml:space="preserve">r_eff reinversión sobre stock</t>
  </si>
  <si>
    <t xml:space="preserve">Fracción del 5% bruto que se reinvierte tras pagar pensión y originar crédito. Conservador 1,8%; estresado 1,2%. v6.6: el 1,8% supera en 0,53 puntos lo que deja el retorno tras pagar la pensión (5% − 3,73% = 1,27%); esa diferencia se origina como crédito (hoja 10_Motor, fila 66) y se suma a la presión de la RAAB. Ya no se cuenta dos veces en la reserva B3.</t>
  </si>
  <si>
    <t xml:space="preserve">M7</t>
  </si>
  <si>
    <t xml:space="preserve">TC USD (solo anexos USA)</t>
  </si>
  <si>
    <t xml:space="preserve">No es eje de la solvencia chilena. Solo conversión para anexos internacionales.</t>
  </si>
  <si>
    <t xml:space="preserve">BLOQUE 2 — DEMOGRÁFICO</t>
  </si>
  <si>
    <t xml:space="preserve">D1</t>
  </si>
  <si>
    <t xml:space="preserve">Esperanza vida hombres a 65 (años)</t>
  </si>
  <si>
    <t xml:space="preserve">INE 2023. Estrés: +3 años de longevidad.</t>
  </si>
  <si>
    <t xml:space="preserve">D2</t>
  </si>
  <si>
    <t xml:space="preserve">Esperanza vida mujeres a 65 (años)</t>
  </si>
  <si>
    <t xml:space="preserve">D3</t>
  </si>
  <si>
    <t xml:space="preserve">Fecundidad (hijos por mujer)</t>
  </si>
  <si>
    <t xml:space="preserve">INE proyección 2017-2050: fecundidad ~1,5 hijos/mujer base. 1,3 como estrés demográfico. No afecta directamente al modelo (trabaja con cohortes ya jubiladas).</t>
  </si>
  <si>
    <t xml:space="preserve">D4</t>
  </si>
  <si>
    <t xml:space="preserve">Densidad cotización (%)</t>
  </si>
  <si>
    <t xml:space="preserve">Base 60%; optimista 65%; estrés 55%. Segmentar M/H cuando se tenga dato.</t>
  </si>
  <si>
    <t xml:space="preserve">D5</t>
  </si>
  <si>
    <t xml:space="preserve">Nuevos jubilados por año</t>
  </si>
  <si>
    <t xml:space="preserve">INE 2023 — flujo régimen anual de jubilaciones civiles.</t>
  </si>
  <si>
    <t xml:space="preserve">D6</t>
  </si>
  <si>
    <t xml:space="preserve">Años de retiro promedio</t>
  </si>
  <si>
    <t xml:space="preserve">INE tabla mortalidad 65+. Estrés: +3 años.</t>
  </si>
  <si>
    <t xml:space="preserve">D7</t>
  </si>
  <si>
    <t xml:space="preserve">Cohortes activas (multiplicador gen.)</t>
  </si>
  <si>
    <t xml:space="preserve">Para cálculo intergeneracional: fundador / hijo / nieto.</t>
  </si>
  <si>
    <t xml:space="preserve">BLOQUE 3 — FISCAL / TRIBUTARIO</t>
  </si>
  <si>
    <t xml:space="preserve">F1</t>
  </si>
  <si>
    <t xml:space="preserve">PIB Chile base 2026 ($ bill. CLP de 2026)</t>
  </si>
  <si>
    <t xml:space="preserve">Base 2026 en pesos de 2026: $325 billones (actualiza los $295 bill. de 2024 del BCCh a pesos y nivel 2026). Decisión del autor 28-sep-2026. Referencia sin efecto en el cálculo del motor.</t>
  </si>
  <si>
    <t xml:space="preserve">F2</t>
  </si>
  <si>
    <t xml:space="preserve">Flujo Acciones Espejo año 1 ($ bill.)</t>
  </si>
  <si>
    <t xml:space="preserve">Canónico v185 (párr. 1642, 1822): "$1,1 billones año inicial, escalando a $2,5 billones régimen". Confirmación formal SII operación renta al validar piloto, no antes.</t>
  </si>
  <si>
    <t xml:space="preserve">F3</t>
  </si>
  <si>
    <t xml:space="preserve">Flujo Acciones Espejo régimen ($ bill.)</t>
  </si>
  <si>
    <t xml:space="preserve">Régimen pleno año 20+. Crece con PIB con elasticidad 1.</t>
  </si>
  <si>
    <t xml:space="preserve">F4</t>
  </si>
  <si>
    <t xml:space="preserve">Bono Soberano de Capitalización ($ bill./año)</t>
  </si>
  <si>
    <t xml:space="preserve">GFSM 2014; emisión 10 años. Variante 15 años se prueba en sensibilidad.</t>
  </si>
  <si>
    <t xml:space="preserve">F5</t>
  </si>
  <si>
    <t xml:space="preserve">Años de emisión Bono Soberano</t>
  </si>
  <si>
    <t xml:space="preserve">Canónico v185: Bono Soberano de Capitalización 10 años cliff (GFSM 2014). Estrés mantiene 15 años como sensibilidad alternativa.</t>
  </si>
  <si>
    <t xml:space="preserve">F6</t>
  </si>
  <si>
    <t xml:space="preserve">PGU mensual ($ CLP)</t>
  </si>
  <si>
    <t xml:space="preserve">Ley 21.419 (PGU) + Ley 21.735 (Reforma 2025). Valor vigente 1-feb-2026.</t>
  </si>
  <si>
    <t xml:space="preserve">F7</t>
  </si>
  <si>
    <t xml:space="preserve">PGU evitada año 30 (%)</t>
  </si>
  <si>
    <t xml:space="preserve">Base gradual: 0% año 5 → 100% año 30. Estrés: menor reemplazo.</t>
  </si>
  <si>
    <t xml:space="preserve">F8</t>
  </si>
  <si>
    <t xml:space="preserve">Gasto CAPREDENA/DIPRECA actual ($ bill./año)</t>
  </si>
  <si>
    <t xml:space="preserve">DIPRES Presupuesto 2025. 1% PIB. Fuente exacta y verificada.</t>
  </si>
  <si>
    <t xml:space="preserve">F9</t>
  </si>
  <si>
    <t xml:space="preserve">Elasticidad recaudación-PIB</t>
  </si>
  <si>
    <t xml:space="preserve">Base unitaria; estrés con caída temporal en recesión.</t>
  </si>
  <si>
    <t xml:space="preserve">BLOQUE 4 — REGLAS DEL MODELO</t>
  </si>
  <si>
    <t xml:space="preserve">R1</t>
  </si>
  <si>
    <t xml:space="preserve">Piso de dignidad mensual ($ CLP)</t>
  </si>
  <si>
    <t xml:space="preserve">Canónica libro v185. Equivalente Regla×240 → $129,4M capital.</t>
  </si>
  <si>
    <t xml:space="preserve">R2</t>
  </si>
  <si>
    <t xml:space="preserve">Regla ×240 (multiplicador)</t>
  </si>
  <si>
    <t xml:space="preserve">Capital = Pensión mensual × 240. 20 años × 12 meses, con margen prudencial.</t>
  </si>
  <si>
    <t xml:space="preserve">R3</t>
  </si>
  <si>
    <t xml:space="preserve">B1 — Financiamiento productivo (%)</t>
  </si>
  <si>
    <t xml:space="preserve">REGLA 45/30/25 (el autor, 19-oct-2026): B1 45% créditos (Acciones Espejo tipo A).</t>
  </si>
  <si>
    <t xml:space="preserve">R4</t>
  </si>
  <si>
    <t xml:space="preserve">B2 — Lagunas / préstamos (%)</t>
  </si>
  <si>
    <t xml:space="preserve">REGLA 45/30/25: B2 30% (tipo B).</t>
  </si>
  <si>
    <t xml:space="preserve">R5</t>
  </si>
  <si>
    <t xml:space="preserve">B3 — Reserva anticíclica (%)</t>
  </si>
  <si>
    <t xml:space="preserve">REGLA 45/30/25: B3 25% reserva (tipo B; 10% en oro).</t>
  </si>
  <si>
    <t xml:space="preserve">R6</t>
  </si>
  <si>
    <t xml:space="preserve">Escalonado del fondo años 1-5 (referencia antigua, sin uso)</t>
  </si>
  <si>
    <t xml:space="preserve">Sin uso en los motores vigentes. No es un aumento de la pensión: la pensión se reajusta solo por IPC. El fortalecimiento del capital de respaldo se modela con el factor ×1,34 (fila 125) acreditado en 10 años (hoja de cada motor, fila 177).</t>
  </si>
  <si>
    <t xml:space="preserve">R7</t>
  </si>
  <si>
    <t xml:space="preserve">Escalonado del fondo año 6 (referencia antigua, sin uso)</t>
  </si>
  <si>
    <t xml:space="preserve">Sin uso en los motores vigentes (ver fila 40). No es un aumento de la pensión.</t>
  </si>
  <si>
    <t xml:space="preserve">R8</t>
  </si>
  <si>
    <t xml:space="preserve">Complemento trienal de la pensión (ELIMINADO: 0)</t>
  </si>
  <si>
    <t xml:space="preserve">v7.22 (el autor y la revisora, 23-oct-2026): eliminado. La pensión se reajusta por IPC; el modelo no contempla complementos trienales ni bianuales. Los motores vigentes no usaban este valor; solo la tasa derivada de la fila 13, que usa la hoja antigua 10_Motor.</t>
  </si>
  <si>
    <t xml:space="preserve">R9</t>
  </si>
  <si>
    <t xml:space="preserve">Cotización legal vigente (%)</t>
  </si>
  <si>
    <t xml:space="preserve">DL 3.500: 10% trabajador. Ley 21.735 agrega aporte empleador escalonado (hasta 7% en 7 años) — modelar como variable separada si se requiere.</t>
  </si>
  <si>
    <t xml:space="preserve">R10</t>
  </si>
  <si>
    <t xml:space="preserve">Cotización AFJ simulada (%)</t>
  </si>
  <si>
    <t xml:space="preserve">Igual a legal en base; optimista subir a 13%.</t>
  </si>
  <si>
    <t xml:space="preserve">R11</t>
  </si>
  <si>
    <t xml:space="preserve">Edad jubilación hombres</t>
  </si>
  <si>
    <t xml:space="preserve">Legal vigente. Convergencia 65/65 al 2050.</t>
  </si>
  <si>
    <t xml:space="preserve">R12</t>
  </si>
  <si>
    <t xml:space="preserve">Edad jubilación mujeres</t>
  </si>
  <si>
    <t xml:space="preserve">Legal vigente 60. Optimista: 65 al 2050.</t>
  </si>
  <si>
    <t xml:space="preserve">R13</t>
  </si>
  <si>
    <t xml:space="preserve">Capacidad prestable B1 — RÉGIMEN (%)</t>
  </si>
  <si>
    <t xml:space="preserve">Fracción del fondo total imputado a B1 que puede prestarse al fisco. Cap. 11.</t>
  </si>
  <si>
    <t xml:space="preserve">R14</t>
  </si>
  <si>
    <t xml:space="preserve">Umbral RAAB amarillo (brecha/capacidad)</t>
  </si>
  <si>
    <t xml:space="preserve">Sobre 70% del ratio brecha/capacidad enciende amarillo. Criterio editorial: regla de prudencia.</t>
  </si>
  <si>
    <t xml:space="preserve">R15</t>
  </si>
  <si>
    <t xml:space="preserve">Umbral RAAB rojo (brecha/capacidad)</t>
  </si>
  <si>
    <t xml:space="preserve">Sobre 100% (brecha excede capacidad) enciende rojo: ralentizar rampa.</t>
  </si>
  <si>
    <t xml:space="preserve">BLOQUE 5 — POBLACIÓN Y STOCKS POR GRUPO (canónico v185)</t>
  </si>
  <si>
    <t xml:space="preserve">P1</t>
  </si>
  <si>
    <t xml:space="preserve">Uniformados — personas</t>
  </si>
  <si>
    <t xml:space="preserve">CIEDESS oct. 2024 + DIPRES. CAPREDENA 104.578 + DIPRECA 71.958.</t>
  </si>
  <si>
    <t xml:space="preserve">P2</t>
  </si>
  <si>
    <t xml:space="preserve">Uniformados — capital por persona ($)</t>
  </si>
  <si>
    <t xml:space="preserve">v7.24 (el autor, 23-oct-2026): la AFJ paga todas las pensiones de CAPREDENA y DIPRECA. Presupuesto 2025 (DIPRES): pensiones $1.604.432 + $1.234.270 millones = $2,84 bill./año → $1.340.022 promedio mensual × 240 = $321,6 millones por persona. El piloto fijará el valor real de cada uno (puede ser más o menos).</t>
  </si>
  <si>
    <t xml:space="preserve">P3</t>
  </si>
  <si>
    <t xml:space="preserve">Profesores — personas</t>
  </si>
  <si>
    <t xml:space="preserve">Estimación libro v185. Cap. 12.</t>
  </si>
  <si>
    <t xml:space="preserve">P4</t>
  </si>
  <si>
    <t xml:space="preserve">Profesores — top-up por persona ($)</t>
  </si>
  <si>
    <t xml:space="preserve">$400.000 top-up × 240. Heredable sin recuperación.</t>
  </si>
  <si>
    <t xml:space="preserve">P5</t>
  </si>
  <si>
    <t xml:space="preserve">Pueblos originarios — personas</t>
  </si>
  <si>
    <t xml:space="preserve">P6</t>
  </si>
  <si>
    <t xml:space="preserve">Pueblos originarios — top-up por persona ($)</t>
  </si>
  <si>
    <t xml:space="preserve">P7</t>
  </si>
  <si>
    <t xml:space="preserve">Civiles AFP — personas (universo teórico)</t>
  </si>
  <si>
    <t xml:space="preserve">Solo referencia: el motor usa el universo verificado (fila 62 y filas 85 a 88) desde la v7.4. No se usa en los escenarios principales.</t>
  </si>
  <si>
    <t xml:space="preserve">referencia</t>
  </si>
  <si>
    <t xml:space="preserve">P8</t>
  </si>
  <si>
    <t xml:space="preserve">Civiles AFP — personas (verificado)</t>
  </si>
  <si>
    <t xml:space="preserve">476.181 sin ahorro + 328.204 con brecha real. SP sep 2022. OPERATIVO.</t>
  </si>
  <si>
    <t xml:space="preserve">P9</t>
  </si>
  <si>
    <t xml:space="preserve">Civiles AFP — complemento promedio bajo el piso ($)</t>
  </si>
  <si>
    <t xml:space="preserve">v7.24 (23-oct-2026, regla del autor, revisada por la revisora): el Estado sigue pagando la PGU; la AFJ solo completa hasta el piso. Civiles con brecha y nuevos jubilados: ($539.000 − PGU $231.732) × 240 − ahorro propio $22.000.000 = $51.744.320 (complemento mensual ≈ $215.601). Heredable. Antes: $107,36M (no descontaba la PGU). Incluye el capital de los bonos (hoja 75, fila 35).</t>
  </si>
  <si>
    <t xml:space="preserve">P10</t>
  </si>
  <si>
    <t xml:space="preserve">Civiles AFP — capital propio promedio ($)</t>
  </si>
  <si>
    <t xml:space="preserve">Capital ya acumulado en AFP que se transfiere a AFJ.</t>
  </si>
  <si>
    <t xml:space="preserve">P11</t>
  </si>
  <si>
    <t xml:space="preserve">9 grupos olvidados 60+ — personas</t>
  </si>
  <si>
    <t xml:space="preserve">Sub-total 60+ del universo 1.502.000. Cap. 12 v185.</t>
  </si>
  <si>
    <t xml:space="preserve">P12</t>
  </si>
  <si>
    <t xml:space="preserve">9 grupos olvidados — costo neto incremental anual ($ bill.)</t>
  </si>
  <si>
    <t xml:space="preserve">Costo neto sobre PGU. $307K/persona dif. PGU × 456.100.</t>
  </si>
  <si>
    <t xml:space="preserve">P13</t>
  </si>
  <si>
    <t xml:space="preserve">Capital semilla AFP heredado al día 1 ($ bill.)</t>
  </si>
  <si>
    <t xml:space="preserve">Solo referencia (universo amplio de 1.200.000): el motor usa la fila 90 desde la v7.4.</t>
  </si>
  <si>
    <t xml:space="preserve">LEYENDA DE COLORES</t>
  </si>
  <si>
    <t xml:space="preserve">Azul + amarillo: input editable</t>
  </si>
  <si>
    <t xml:space="preserve">Negro: fórmula calculada</t>
  </si>
  <si>
    <t xml:space="preserve">Verde: link entre hojas</t>
  </si>
  <si>
    <t xml:space="preserve">Rojo: pendiente fuente</t>
  </si>
  <si>
    <t xml:space="preserve">BLOQUE 6 — MODO DE LECTURA</t>
  </si>
  <si>
    <t xml:space="preserve">M8</t>
  </si>
  <si>
    <t xml:space="preserve">Modo de lectura (1=Nominal con IPC; 0=Real sin IPC)</t>
  </si>
  <si>
    <t xml:space="preserve">Toggle modo de lectura. Multiplica IPC efectivo del Motor por este flag. Nominal=1: inflados con IPC; Real=0: pesos constantes base.</t>
  </si>
  <si>
    <t xml:space="preserve">BLOQUE 7 — TRANSICIONES ARRANQUE/RÉGIMEN</t>
  </si>
  <si>
    <t xml:space="preserve">R20</t>
  </si>
  <si>
    <t xml:space="preserve">Capacidad prestable B1 arranque (%) — primeros años</t>
  </si>
  <si>
    <t xml:space="preserve">Memoria canónica: "R13 = 7,5% (régimen) / 12% (arranque)". Arranque permite mayor capacidad prestable durante la fase de capitalización inicial.</t>
  </si>
  <si>
    <t xml:space="preserve">R21</t>
  </si>
  <si>
    <t xml:space="preserve">Duración fase arranque (años)</t>
  </si>
  <si>
    <t xml:space="preserve">Default 10 años alineado con Bono Soberano F5. Estrés=15 cuando F5 también=15. Editable.</t>
  </si>
  <si>
    <t xml:space="preserve">BLOQUE 8 — HERENCIA Y CADENA (v6.5)</t>
  </si>
  <si>
    <t xml:space="preserve">H1</t>
  </si>
  <si>
    <t xml:space="preserve">Devolución al fallecer del complemento bajo el piso (1 = se devuelve; 0 = se hereda)</t>
  </si>
  <si>
    <t xml:space="preserve">Regla del autor (28-sep-2026): bajo el piso de dignidad el complemento se hereda íntegro, también para los futuros jubilados. 0 = heredable. El valor 1 reproduce la v6.4.11.</t>
  </si>
  <si>
    <t xml:space="preserve">H2</t>
  </si>
  <si>
    <t xml:space="preserve">Año en que empiezan a jubilar los herederos (cadena)</t>
  </si>
  <si>
    <t xml:space="preserve">Libro: «hacia los años 15 a 20 la herencia previsional de la segunda generación permite prescindir» del apoyo. Desde este año, parte de los nuevos jubilados llega con capital heredado.</t>
  </si>
  <si>
    <t xml:space="preserve">H3</t>
  </si>
  <si>
    <t xml:space="preserve">Año desde el cual todos los nuevos jubilados traen herencia</t>
  </si>
  <si>
    <t xml:space="preserve">Rampa lineal entre H2 y H3.</t>
  </si>
  <si>
    <t xml:space="preserve">H4</t>
  </si>
  <si>
    <t xml:space="preserve">Reducción del complemento por herencia (%)</t>
  </si>
  <si>
    <t xml:space="preserve">Supuesto prudente. Un hijo hereda de sus dos padres (dos jubilados): 2 × $129,4M ÷ ~2,5 hijos ≈ $103M ≈ 96% del complemento promedio de $107,36M (P9). Se usa 80% por prudencia. Sensibilidad v6.5: con 60% la lectura prudencial C se vuelve negativa hacia el año 30; con 80% o más se sostiene en Base y Prudente.</t>
  </si>
  <si>
    <t xml:space="preserve">BLOQUE 9 — ORO Y UNIVERSO CIVIL VERIFICADO DE REFERENCIA (v6.6)</t>
  </si>
  <si>
    <t xml:space="preserve">P14</t>
  </si>
  <si>
    <t xml:space="preserve">Civiles sin ahorro previsional (65+) — personas</t>
  </si>
  <si>
    <t xml:space="preserve">v7.24: lo usa el motor (fila 45, año 4). SP / USS abr. 2024. Nunca cotizaron. Complemento = fila 86.</t>
  </si>
  <si>
    <t xml:space="preserve">P15</t>
  </si>
  <si>
    <t xml:space="preserve">Civiles sin ahorro — capital por persona ($)</t>
  </si>
  <si>
    <t xml:space="preserve">v7.24: sin ahorro = ($539.000 − PGU $231.732) × 240 = $73.744.320 (complemento mensual $307.268). Heredable. Lo usa el motor (fila 45, año 4). Incluye el capital de los bonos (hoja 75, fila 34).</t>
  </si>
  <si>
    <t xml:space="preserve">P16</t>
  </si>
  <si>
    <t xml:space="preserve">Civiles AFP con brecha real bajo el piso — personas</t>
  </si>
  <si>
    <t xml:space="preserve">v7.24: lo usa el motor (fila 45, año 4). SP sep. 2022. Complemento promedio = fila 63 ($51,74M). Heredable.</t>
  </si>
  <si>
    <t xml:space="preserve">P17</t>
  </si>
  <si>
    <t xml:space="preserve">Civiles AFP sobre el piso — personas (estimación)</t>
  </si>
  <si>
    <t xml:space="preserve">v7.24: lo usa el motor (filas 45 y 46, año 4). Cota superior. USS sobre datos SP abr. 2024 (pensión total con PGU): 239.335 sobre $600.000 + ~61% de los 94.458 entre $500.000 y $600.000. Pendiente: dato SP por tramo de pensión AFP sola.</t>
  </si>
  <si>
    <t xml:space="preserve">P18</t>
  </si>
  <si>
    <t xml:space="preserve">Civiles sobre el piso — complemento promedio ($)</t>
  </si>
  <si>
    <t xml:space="preserve">v7.24: = promedio ponderado de los tramos (fila 161) × 240 = $89,4 millones. Piso $539.000; tramos +$400.000/+$350.000/+$300.000 (antes +300/250/200). Préstamo de capital que vuelve completo al fallecer (no se consume: se paga solo el rendimiento).</t>
  </si>
  <si>
    <t xml:space="preserve">P19</t>
  </si>
  <si>
    <t xml:space="preserve">Capital semilla AFP verificado ($ bill.)</t>
  </si>
  <si>
    <t xml:space="preserve">v7.24: ahorro propio de los civiles con brecha (328.204 × $22 millones) que se traspasa a la AFJ; lo usa el motor (fila 46).</t>
  </si>
  <si>
    <t xml:space="preserve">O1</t>
  </si>
  <si>
    <t xml:space="preserve">Oro en reserva estratégica (% del B3 de la Regla)</t>
  </si>
  <si>
    <t xml:space="preserve">Decisión del autor (15-oct-2026): 10% del B3 (= 4% del fondo) en oro físico, como reserva de soberanía. Comprado gradualmente en el mercado internacional.</t>
  </si>
  <si>
    <t xml:space="preserve">BLOQUE 10 — MOTOR v6.6.2 (hoja 18): selectores de escenario y parámetros nuevos</t>
  </si>
  <si>
    <t xml:space="preserve">S1</t>
  </si>
  <si>
    <t xml:space="preserve">Reparto del fondo (B1/B2/B3)</t>
  </si>
  <si>
    <t xml:space="preserve">45/30/25</t>
  </si>
  <si>
    <t xml:space="preserve">Reparto vigente del modelo: 45/30/25 (el autor, 19-oct-2026).</t>
  </si>
  <si>
    <t xml:space="preserve">v6.6.2</t>
  </si>
  <si>
    <t xml:space="preserve">🎛️ SELECTOR</t>
  </si>
  <si>
    <t xml:space="preserve">S2</t>
  </si>
  <si>
    <t xml:space="preserve">Rendimiento real del mercado (B2)</t>
  </si>
  <si>
    <t xml:space="preserve">Selector: 0,035 (prudente) o 0,05. Referencia: fondos AFP 3,0% (E) a 5,2% (A) real anual desde 2002.</t>
  </si>
  <si>
    <t xml:space="preserve">S3</t>
  </si>
  <si>
    <t xml:space="preserve">PGU evitada se transfiere a la AFJ</t>
  </si>
  <si>
    <t xml:space="preserve">No</t>
  </si>
  <si>
    <t xml:space="preserve">Selector «Sí»/«No». Decisión nueva de financiamiento (no está en el libro). Si «Sí», esa PGU deja de ser ahorro del Fisco y sale de la compensación del bono (hoja 17, fila 31).</t>
  </si>
  <si>
    <t xml:space="preserve">S4</t>
  </si>
  <si>
    <t xml:space="preserve">Crecimiento del país en ahorros y Acciones Espejo</t>
  </si>
  <si>
    <t xml:space="preserve">Selector «Sí»/«No». «Sí»: Acciones Espejo crecen con el PIB (M1) desde el año 21; el ahorro AFP de los nuevos jubilados crece con los sueldos (K7) y su complemento baja en lo mismo.</t>
  </si>
  <si>
    <t xml:space="preserve">K1</t>
  </si>
  <si>
    <t xml:space="preserve">Costo de administración AFJ (% del fondo familiar/año)</t>
  </si>
  <si>
    <t xml:space="preserve">Supuesto de trabajo, pendiente de validación (acordado con la revisora, 16-oct-2026).</t>
  </si>
  <si>
    <t xml:space="preserve">K2</t>
  </si>
  <si>
    <t xml:space="preserve">Pérdida esperada por mora (% de la cartera B1/año)</t>
  </si>
  <si>
    <t xml:space="preserve">Con B1 30% equivale a 0,3% del fondo (total de costos 0,5%, acordado como hipótesis). Con B1 45% sube a 0,45% del fondo.</t>
  </si>
  <si>
    <t xml:space="preserve">K3</t>
  </si>
  <si>
    <t xml:space="preserve">Tasa real del crédito fundado (IPC + …)</t>
  </si>
  <si>
    <t xml:space="preserve">IPC + 4%, cuota francesa. Acordado como supuesto del modelo (la revisora, 16-oct-2026). La comisión única de 1,5% es de BancoEstado y no entra al fondo.</t>
  </si>
  <si>
    <t xml:space="preserve">K4</t>
  </si>
  <si>
    <t xml:space="preserve">Tasa real de préstamos al Estado en UF (B3)</t>
  </si>
  <si>
    <t xml:space="preserve">Misma tasa que el libro usa para deuda soberana en UF.</t>
  </si>
  <si>
    <t xml:space="preserve">K5</t>
  </si>
  <si>
    <t xml:space="preserve">Administración de la reserva del aporte (% de la reserva/año)</t>
  </si>
  <si>
    <t xml:space="preserve">Ya descontado en el rendimiento neto de la reserva (2,7% − 0,15% = 2,55%). No se descuenta otra vez.</t>
  </si>
  <si>
    <t xml:space="preserve">K6</t>
  </si>
  <si>
    <t xml:space="preserve">Colocación máxima de capital creado (% del PIB/año)</t>
  </si>
  <si>
    <t xml:space="preserve">Supuesto de trabajo. El capital creado rinde solo cuando se presta o invierte; lo no colocado no rinde.</t>
  </si>
  <si>
    <t xml:space="preserve">K7</t>
  </si>
  <si>
    <t xml:space="preserve">Crecimiento real de sueldos y ahorro (S4 = «Sí»)</t>
  </si>
  <si>
    <t xml:space="preserve">Supuesto de trabajo.</t>
  </si>
  <si>
    <t xml:space="preserve">K8</t>
  </si>
  <si>
    <t xml:space="preserve">PGU evitada al año 30 (fracción)</t>
  </si>
  <si>
    <t xml:space="preserve">v7.24: 0 en el escenario base (ver fila 150).</t>
  </si>
  <si>
    <t xml:space="preserve">K9</t>
  </si>
  <si>
    <t xml:space="preserve">Tope de crecimiento real de las cuentas</t>
  </si>
  <si>
    <t xml:space="preserve">El crecimiento es lo que sobra después de pensiones y costos, con este tope (acordado con la revisora).</t>
  </si>
  <si>
    <t xml:space="preserve">K10</t>
  </si>
  <si>
    <t xml:space="preserve">Pensión anual como fracción del capital (Regla ×240)</t>
  </si>
  <si>
    <t xml:space="preserve">1/240 del capital al mes = 5% al año. Es la pensión que promete el libro.</t>
  </si>
  <si>
    <t xml:space="preserve">K11</t>
  </si>
  <si>
    <t xml:space="preserve">Parte del B2 invertida en el extranjero</t>
  </si>
  <si>
    <t xml:space="preserve">Se paga con dinero real (dólares). El capital creado no se invierte afuera.</t>
  </si>
  <si>
    <t xml:space="preserve">K12</t>
  </si>
  <si>
    <t xml:space="preserve">Liquidez mínima de la reserva (% del fondo)</t>
  </si>
  <si>
    <t xml:space="preserve">Umbral verde del tablero RAAB del libro («liquidez B3 ≥ 15% del capital»). Amarillo 10–15%, rojo &lt; 10%.</t>
  </si>
  <si>
    <t xml:space="preserve">S5</t>
  </si>
  <si>
    <t xml:space="preserve">Factor de fortalecimiento del capital creado</t>
  </si>
  <si>
    <t xml:space="preserve">Selector: 1 = solo la Regla ×240; 1,34 = capital fortalecido del libro (Cap. 4: $321,8 M por cada $240 M; pensión 3,73%). El capital extra se crea al entrar, queda en la cuenta de la familia y se presta; la pensión prometida no cambia.</t>
  </si>
  <si>
    <t xml:space="preserve">S6</t>
  </si>
  <si>
    <t xml:space="preserve">Aporte anual del Estado reajustado por IPC</t>
  </si>
  <si>
    <t xml:space="preserve">Sí</t>
  </si>
  <si>
    <t xml:space="preserve">Selector «Sí»/«No». «No» = lo que dice hoy el libro (sección 4 ter: nominal, sin IPC). «Sí» = $20,6 bill./año en pesos de cada año reajustados: cuesta al Fisco ≈$242 bill. nominales en vez de $206 (ver hoja 17, fila 34).</t>
  </si>
  <si>
    <t xml:space="preserve">BLOQUE 11 — v6.6.3 (17-oct-2026): B3 intocable, reparto del B1, uniformados y fin de la creación</t>
  </si>
  <si>
    <t xml:space="preserve">S7</t>
  </si>
  <si>
    <t xml:space="preserve">Tratamiento de la B3</t>
  </si>
  <si>
    <t xml:space="preserve">Intocable</t>
  </si>
  <si>
    <t xml:space="preserve">Selector: «Intocable» (como dice el libro, Cap. 5: el préstamo al Fisco sale solo del B1, nunca de la B3) o «Prestada» (como la v6.6.2: B3 en préstamos al Estado al 2,7%).</t>
  </si>
  <si>
    <t xml:space="preserve">v6.6.3</t>
  </si>
  <si>
    <t xml:space="preserve">K13</t>
  </si>
  <si>
    <t xml:space="preserve">Rendimiento real de la B3 intocable</t>
  </si>
  <si>
    <t xml:space="preserve">Supuesto de trabajo: oro (0%), acciones y liquidez para crisis. Sensibilidad sugerida: 2%.</t>
  </si>
  <si>
    <t xml:space="preserve">K14</t>
  </si>
  <si>
    <t xml:space="preserve">Rendimiento real de la reserva del aporte si la B3 es intocable</t>
  </si>
  <si>
    <t xml:space="preserve">La reserva es respaldo líquido: no se presta al Estado.</t>
  </si>
  <si>
    <t xml:space="preserve">K15</t>
  </si>
  <si>
    <t xml:space="preserve">Parte del B1 prestada al Estado</t>
  </si>
  <si>
    <t xml:space="preserve">El autor, 17-oct-2026. Equivale al techo del libro (12% del fondo = 26,7% del B1).</t>
  </si>
  <si>
    <t xml:space="preserve">K16</t>
  </si>
  <si>
    <t xml:space="preserve">Tasa real del préstamo al Estado (IPC + …)</t>
  </si>
  <si>
    <t xml:space="preserve">El autor, 17-oct-2026: misma tasa que las personas. Alternativa: 2,7% (bonos BTU 2026).</t>
  </si>
  <si>
    <t xml:space="preserve">K17</t>
  </si>
  <si>
    <t xml:space="preserve">Parte del B1 en aporte ambiental</t>
  </si>
  <si>
    <t xml:space="preserve">Recomendación de la revisión de cálculo (17-oct): 5%. El aporte no se devuelve ni paga interés.</t>
  </si>
  <si>
    <t xml:space="preserve">K18</t>
  </si>
  <si>
    <t xml:space="preserve">Rendimiento del aporte ambiental (Acciones Espejo adicionales)</t>
  </si>
  <si>
    <t xml:space="preserve">Ejemplo del libro: subsidio US$300 M a proyecto de US$1.000 M; utilidad 10–15%, IDPC 27%, 10% a Espejo → 0,9%–1,35%. Solo es plata nueva si el proyecto no existiría sin el subsidio.</t>
  </si>
  <si>
    <t xml:space="preserve">K19</t>
  </si>
  <si>
    <t xml:space="preserve">Cotización 6% de uniformados activos a la AFJ ($ bill./año, real)</t>
  </si>
  <si>
    <t xml:space="preserve">~120.000 en servicio × 6% × $900.000 × 12 (estimación 4-oct-2026). Dinero real que reduce el capital que hay que crear.</t>
  </si>
  <si>
    <t xml:space="preserve">K20</t>
  </si>
  <si>
    <t xml:space="preserve">Último año en que se crea capital para nuevos jubilados</t>
  </si>
  <si>
    <t xml:space="preserve">El autor, 17-oct-2026: los aumentos son solo para la primera generación (20–30 años).</t>
  </si>
  <si>
    <t xml:space="preserve">BLOQUE 12 — v6.7 (17-oct-2026): motor por bolsillo, tope del B1, Acciones Espejo, aporte ambiental y cuenta del Fisco</t>
  </si>
  <si>
    <t xml:space="preserve">G1</t>
  </si>
  <si>
    <t xml:space="preserve">Factor de fortalecimiento (×)</t>
  </si>
  <si>
    <t xml:space="preserve">Acuerdo 17-oct: se aplica completo, una vez, al ingresar.</t>
  </si>
  <si>
    <t xml:space="preserve">v6.7</t>
  </si>
  <si>
    <t xml:space="preserve">G2</t>
  </si>
  <si>
    <t xml:space="preserve">El autor 17-oct.</t>
  </si>
  <si>
    <t xml:space="preserve">G3</t>
  </si>
  <si>
    <t xml:space="preserve">Recomendación 17-oct.</t>
  </si>
  <si>
    <t xml:space="preserve">G4</t>
  </si>
  <si>
    <t xml:space="preserve">Proyectos que de verdad son nuevos gracias al aporte ambiental</t>
  </si>
  <si>
    <t xml:space="preserve">Adicionalidad: solo cuenta la inversión que no habría llegado sin el aporte.</t>
  </si>
  <si>
    <t xml:space="preserve">G5</t>
  </si>
  <si>
    <t xml:space="preserve">Utilidad anual de los proyectos ambientales (% del proyecto)</t>
  </si>
  <si>
    <t xml:space="preserve">Rango del ejemplo del libro: 10–15%.</t>
  </si>
  <si>
    <t xml:space="preserve">G6</t>
  </si>
  <si>
    <t xml:space="preserve">Tasa del impuesto de primera categoría</t>
  </si>
  <si>
    <t xml:space="preserve">Régimen general.</t>
  </si>
  <si>
    <t xml:space="preserve">G7</t>
  </si>
  <si>
    <t xml:space="preserve">Aporte ambiental como % del costo del proyecto</t>
  </si>
  <si>
    <t xml:space="preserve">Libro: hasta 30% en mineras, 20% en otras.</t>
  </si>
  <si>
    <t xml:space="preserve">G8</t>
  </si>
  <si>
    <t xml:space="preserve">Recaudación IDPC total, año 1 ($ bill.)</t>
  </si>
  <si>
    <t xml:space="preserve">Libro, Cap. 3 (SII, Operación Renta 2024).</t>
  </si>
  <si>
    <t xml:space="preserve">G9</t>
  </si>
  <si>
    <t xml:space="preserve">Crecimiento real anual del IDPC</t>
  </si>
  <si>
    <t xml:space="preserve">Libro, Cap. 3 (supuesto BCCh).</t>
  </si>
  <si>
    <t xml:space="preserve">G10</t>
  </si>
  <si>
    <t xml:space="preserve">Rendimiento real de la B3 intocable (oro y liquidez)</t>
  </si>
  <si>
    <t xml:space="preserve">G11</t>
  </si>
  <si>
    <t xml:space="preserve">Colocación máxima de crédito nuevo (% del PIB al año)</t>
  </si>
  <si>
    <t xml:space="preserve">Ritmo de colocación.</t>
  </si>
  <si>
    <t xml:space="preserve">G12</t>
  </si>
  <si>
    <t xml:space="preserve">Techo del préstamo al Estado, años 1 a 10 (% del fondo)</t>
  </si>
  <si>
    <t xml:space="preserve">Libro, Cap. 5.</t>
  </si>
  <si>
    <t xml:space="preserve">G13</t>
  </si>
  <si>
    <t xml:space="preserve">Techo del préstamo al Estado, desde el año 11 (% del fondo)</t>
  </si>
  <si>
    <t xml:space="preserve">G14</t>
  </si>
  <si>
    <t xml:space="preserve">Umbral amarillo de la RAAB (reserva / fondo)</t>
  </si>
  <si>
    <t xml:space="preserve">Libro: verde ≥ 15%.</t>
  </si>
  <si>
    <t xml:space="preserve">G15</t>
  </si>
  <si>
    <t xml:space="preserve">Alza del % del impuesto por año en amarillo (puntos)</t>
  </si>
  <si>
    <t xml:space="preserve">v7.21 (el autor, 22-oct-2026): 4 puntos por año en amarillo (antes 2). Con 3 puntos y el tope de 30%, el Prudente quedaba 5 años en rojo; con 4, ninguno. Cuesta al Fisco $1,3 (autor) a $3,2 billones (Prudente) en 30 años. La baja sigue en 2 puntos por año (C160), para no soltar la reserva demasiado rápido.</t>
  </si>
  <si>
    <t xml:space="preserve">G16</t>
  </si>
  <si>
    <t xml:space="preserve">Máximo % del impuesto redirigido a la AFJ</t>
  </si>
  <si>
    <t xml:space="preserve">v7.3: tope 30%. v7.21: sube 4 puntos por año en amarillo (C139).</t>
  </si>
  <si>
    <t xml:space="preserve">G17</t>
  </si>
  <si>
    <t xml:space="preserve">% inicial del impuesto redirigido a la AFJ</t>
  </si>
  <si>
    <t xml:space="preserve">v7.6: punto de partida y piso de la regla. v7.21: sube 4 puntos por año si la reserva &lt; 15% del fondo (C139) y baja 2 si supera 25% (C160).</t>
  </si>
  <si>
    <t xml:space="preserve">G18</t>
  </si>
  <si>
    <t xml:space="preserve">Regla automática de alza del % (Sí / No)</t>
  </si>
  <si>
    <t xml:space="preserve">Si la reserva baja del umbral, el % sube hasta el máximo.</t>
  </si>
  <si>
    <t xml:space="preserve">G19</t>
  </si>
  <si>
    <t xml:space="preserve">Aporte del Estado reajustado por IPC (Sí / No)</t>
  </si>
  <si>
    <t xml:space="preserve">Acuerdo 17-oct.</t>
  </si>
  <si>
    <t xml:space="preserve">G20</t>
  </si>
  <si>
    <t xml:space="preserve">Cotización 6% de uniformados activos ($ bill./año)</t>
  </si>
  <si>
    <t xml:space="preserve">Reduce primero el capital que hay que crear.</t>
  </si>
  <si>
    <t xml:space="preserve">G21</t>
  </si>
  <si>
    <t xml:space="preserve">Último año de creación para nuevos jubilados</t>
  </si>
  <si>
    <t xml:space="preserve">G22</t>
  </si>
  <si>
    <t xml:space="preserve">Ahorro de las familias que dejan de ayudar a sus padres ($ bill./año, conservador)</t>
  </si>
  <si>
    <t xml:space="preserve">Hoja 17, pata 4. Solo como referencia de comparación: no es ingreso de la AFJ.</t>
  </si>
  <si>
    <t xml:space="preserve">G23</t>
  </si>
  <si>
    <t xml:space="preserve">Pata Fisco: gasto militar liberado ($ bill./año)</t>
  </si>
  <si>
    <t xml:space="preserve">v7.24 (el autor, 23-oct-2026): como la AFJ paga todas las pensiones de los uniformados, el Fisco deja de pagar las pensiones de CAPREDENA y DIPRECA: $2,84 bill./año (DIPRES 2025). Antes $1,5 (error de conversión: US$2.300 millones son $2,2 bill.).</t>
  </si>
  <si>
    <t xml:space="preserve">G24</t>
  </si>
  <si>
    <t xml:space="preserve">Pata Fisco: IVA adicional ($ bill./año)</t>
  </si>
  <si>
    <t xml:space="preserve">Hoja 17, pata 2.</t>
  </si>
  <si>
    <t xml:space="preserve">G25</t>
  </si>
  <si>
    <t xml:space="preserve">Pata Fisco: bonos extra absorbidos ($ bill./año)</t>
  </si>
  <si>
    <t xml:space="preserve">v7.24: reemplazado por el cálculo por grupo y por año de la hoja 75 (fila 137 de cada motor).</t>
  </si>
  <si>
    <t xml:space="preserve">G26</t>
  </si>
  <si>
    <t xml:space="preserve">PGU evitada al año 30 (fracción del universo verificado)</t>
  </si>
  <si>
    <t xml:space="preserve">v7.24 (la revisora, 23-oct-2026): 0 en el escenario base. La PGU evitada por herencia queda como posibilidad aparte (con la rampa del 70% al año 30 sumaría $20,4 bill. en 30 años) hasta calcularla con los herederos: hoy la ley sigue pagando PGU a quien tenga pensión bajo el umbral.</t>
  </si>
  <si>
    <t xml:space="preserve">BLOQUE 13 — v7.3/v7.4 (21-oct-2026): importaciones, IVA de las pensiones y espera de herencia</t>
  </si>
  <si>
    <t xml:space="preserve">V1</t>
  </si>
  <si>
    <t xml:space="preserve">IVA que vuelve sobre el ingreso nuevo de los jubilados (fracción)</t>
  </si>
  <si>
    <t xml:space="preserve">Regla del autor: ~10% de lo que recibe la gente vuelve como IVA (IVA real 19%, no todo se consume).</t>
  </si>
  <si>
    <t xml:space="preserve">v7.3</t>
  </si>
  <si>
    <t xml:space="preserve">V2</t>
  </si>
  <si>
    <t xml:space="preserve">Pensiones que los jubilados ya recibían antes de la AFJ ($ bill./año)</t>
  </si>
  <si>
    <t xml:space="preserve">Uniformados 2,9 (CAPREDENA y DIPRECA) + ahorro AFP propio de los civiles 1,32 (5% de $26,4 bill.). No es ingreso nuevo.</t>
  </si>
  <si>
    <t xml:space="preserve">V3</t>
  </si>
  <si>
    <t xml:space="preserve">Ayuda de los hijos que la pensión reemplaza ($ bill./año)</t>
  </si>
  <si>
    <t xml:space="preserve">Pata 4: la familia deja de pasarles plata y la ahorra; no es consumo nuevo.</t>
  </si>
  <si>
    <t xml:space="preserve">V4</t>
  </si>
  <si>
    <t xml:space="preserve">Años de vida restante promedio de los jubilados iniciales</t>
  </si>
  <si>
    <t xml:space="preserve">Supuesto prudente: jubilados de hoy con ~70 años; INE: esperanza de vida a los 65 de 83 (H) y 87 (M).</t>
  </si>
  <si>
    <t xml:space="preserve">V5</t>
  </si>
  <si>
    <t xml:space="preserve">Años promedio de espera hasta que jubila el heredero</t>
  </si>
  <si>
    <t xml:space="preserve">El autor: entre 10 y 30 años. Se usa 10 por prudencia.</t>
  </si>
  <si>
    <t xml:space="preserve">V6</t>
  </si>
  <si>
    <t xml:space="preserve">Parte de los fallecidos con cónyuge que sigue cobrando la pensión</t>
  </si>
  <si>
    <t xml:space="preserve">Supuesto prudente: en la mitad de los casos el cónyuge sigue cobrando.</t>
  </si>
  <si>
    <t xml:space="preserve">V7</t>
  </si>
  <si>
    <t xml:space="preserve">Parte de los créditos del B1 que se usan para importar (tipo B dentro del B1)</t>
  </si>
  <si>
    <t xml:space="preserve">El autor, 21-oct-2026: lo que se importa va con tipo B (respaldo del Bono); lo que se gasta en Chile, tipo A (se netea). Pruebas: 10%, 20% y 30%.</t>
  </si>
  <si>
    <t xml:space="preserve">V8</t>
  </si>
  <si>
    <t xml:space="preserve">Umbral para bajar el % del impuesto redirigido (reserva / fondo)</t>
  </si>
  <si>
    <t xml:space="preserve">El autor, 21-oct-2026: el % debe bajar cuando la reserva se recupera. Se usa 25% (banda entre 15% y 25%) para que el % no suba y baje todos los años.</t>
  </si>
  <si>
    <t xml:space="preserve">v7.6</t>
  </si>
  <si>
    <t xml:space="preserve">V9</t>
  </si>
  <si>
    <t xml:space="preserve">Baja del % del impuesto por año sobre el umbral (puntos)</t>
  </si>
  <si>
    <t xml:space="preserve">Simétrico con la subida: 2 puntos por año, hasta volver al % inicial (10%).</t>
  </si>
  <si>
    <t xml:space="preserve">V10</t>
  </si>
  <si>
    <t xml:space="preserve">Complemento sobre el piso: tramo usado en el promedio ($/mes)</t>
  </si>
  <si>
    <t xml:space="preserve">v7.24 (el autor, 23-oct-2026, propuesta para aprobación de la revisora): tramos +$400.000 / +$350.000 / +$300.000 (AFP $539.001–$699.999: +$400.000; $700.000–$999.999: +$350.000; $1.000.000 y más: +$300.000). Promedio ponderado $372.500 con los mismos pesos de la v7.11. Antes (v7.11, montos del libro): +$300.000/+$250.000/+$200.000, promedio $272.500.</t>
  </si>
  <si>
    <t xml:space="preserve">B2 que puede financiar importaciones del B1 (% del B2)</t>
  </si>
  <si>
    <t xml:space="preserve">v7.9 (el autor, 21-oct-2026): si el B1 necesita más dólares para lo importado (tipo B), se usan dólares del B2, que ya está invertido afuera y respaldado por el Bono, en vez de la reserva. El B2 cambia inversión afuera (IPC+3,5%) por crédito de importación (IPC+4,3%). El B3 no se toca. Tope propuesto: 10% del B2. 0 = como v7.8.</t>
  </si>
  <si>
    <t xml:space="preserve">Prueba: año con rendimiento real negativo (0 = sin prueba)</t>
  </si>
  <si>
    <t xml:space="preserve">v7.13 (pedido de la revisora): en el año indicado, la plata real de las cuentas, la reserva y las inversiones en Chile rinden la tasa de la fila 164 en vez de su rendimiento normal. La diferencia entra a la caja como pérdida (fila 229 de cada escenario). 0 = como v7.12.</t>
  </si>
  <si>
    <t xml:space="preserve">Prueba: rendimiento real de las inversiones en ese año</t>
  </si>
  <si>
    <t xml:space="preserve">Fondo de estabilización: mínimo antes de poder regalar ($ billones)</t>
  </si>
  <si>
    <t xml:space="preserve">v7.14 (el autor, 22-oct-2026): la ganancia real de las herencias en espera, menos 0,5 puntos para la AFJ, forma un fondo de estabilización apartado dentro de la reserva. Se usa primero en años malos (fila 229). Mínimo = lo que cuesta proteger a los herederos en dos años de −20% (≈ $6 billones c/u).</t>
  </si>
  <si>
    <t xml:space="preserve">Fondo de estabilización: ¿acuerdo para regalar el excedente a las cuentas de los más pobres? (Sí / No)</t>
  </si>
  <si>
    <t xml:space="preserve">v7.14: solo con acuerdo total (directorio y consejo), con semáforo verde el año anterior y sobre el mínimo. El regalo no sale de la AFJ: pasa de la reserva a las cuentas de los más pobres como capital heredable (filas 69 y 70), que genera pensión con la regla ×240. No = como v7.13.</t>
  </si>
  <si>
    <t xml:space="preserve">Fondo de estabilización: reserva mínima (reserva / fondo) para poder regalar</t>
  </si>
  <si>
    <t xml:space="preserve">v7.16: solo se regala si el impuesto redirigido está en su mínimo (10%) y la reserva supera el 20% del fondo; el monto se calcula para que DESPUÉS del regalo la reserva siga sobre ese 20% (regalo ≤ (reserva − 20% × fondo) / 1,2). Limita, pero no elimina, el costo para el Fisco (en la v7.15, $0,8 billones en el escenario del autor). Recomendación de la revisora: mantener el regalo apagado hasta validar el fondo.</t>
  </si>
  <si>
    <t xml:space="preserve">Prueba: cuántos años malos seguidos (desde el año de C163)</t>
  </si>
  <si>
    <t xml:space="preserve">Colchón de liquidez para liquidar entre bancos (% de la plata creada que circula)</t>
  </si>
  <si>
    <t xml:space="preserve">v7.17 (el autor y la revisora, 22-oct-2026): los bancos se pagan entre ellos con reservas en el Banco Central (LBTR). El banco intermediario de la AFJ necesita reservas para las salidas netas. La ley ordena un colchón dentro del B3 (bonos del Banco Central y de la Tesorería, que sirven de garantía ante el Banco Central; bonos del Tesoro de EE.UU. como segunda línea, que se venden). El B3 ya está en liquidez (rinde 01_Supuestos C134), así que el colchón no cuesta mientras quepa en él; lo que no cabe se cubre con la reserva y cuesta la diferencia de rendimiento. El Banco Central no presta gratis: es autónomo.</t>
  </si>
  <si>
    <t xml:space="preserve">B3-A: años para llegar al tope de inversión en Chile (1 = de inmediato)</t>
  </si>
  <si>
    <t xml:space="preserve">v7.18 (22-oct-2026): con 1, la plata creada que no se presta se invierte en bonos chilenos de una vez (≈ $36 billones el año 1, un salto de ≈ 16% del M2). Con 10, el tope sube parejo en 10 años y se evita el salto (hoja 72). v7.21 (el autor, 22-oct-2026): 5 años, para no meter de golpe la compra de bonos chilenos al M2 (+17,8% el año 1 con 1 año).</t>
  </si>
  <si>
    <t xml:space="preserve">Interés real que paga la AFJ por sus saldos en los bancos (prueba; 0 = propuesta del autor)</t>
  </si>
  <si>
    <t xml:space="preserve">v7.18 (22-oct-2026): la plata creada que circula termina guardada en algún banco como saldo contra la AFJ. El autor: la AFJ no paga interés por esos saldos. Prueba «¿y si los bancos exigieran 0,5% o 1%?».</t>
  </si>
  <si>
    <t xml:space="preserve">Costo para la AFJ del préstamo de liquidez del Banco Central (0 = ley de la AFJ, propuesta del autor)</t>
  </si>
  <si>
    <t xml:space="preserve">v7.19 (el autor, 22-oct-2026): por la ley de la AFJ, el mecanismo de respaldo y liquidación no se le cobra a la AFJ. Si existe un costo para el Banco Central o el banco intermediario, se muestra aparte (fila 275) y no se carga a la AFJ. v7.20: solo se usa si C174 = Sí.</t>
  </si>
  <si>
    <t xml:space="preserve">Prueba: saldos AFJ que los bancos piden convertir en reservas del Banco Central (% de la plata que circula)</t>
  </si>
  <si>
    <t xml:space="preserve">v7.19 (la revisora): que el colchón quepa en el B3 no prueba que alcance si los bancos piden convertir más. v7.20 (el autor): se cubre con recursos propios de la AFJ, primero bonos líquidos del B3 y después la reserva, sin préstamo ni garantía del Banco Central (C174 = No). La fila 273 muestra lo que quedaría sin cubrir.</t>
  </si>
  <si>
    <t xml:space="preserve">Préstamo del Banco Central para convertir saldos AFJ en reservas (Sí / No)</t>
  </si>
  <si>
    <t xml:space="preserve">v7.20 (el autor, 22-oct-2026): No. «No se solicita financiamiento ni garantía del Banco Central.» La conversión se cubre con recursos propios: bonos líquidos del B3 entregados o vendidos, y después la reserva; lo que dejan de rendir se carga a la AFJ (fila 274). Sí = cálculo de la v7.19 (préstamo contra bonos del B3).</t>
  </si>
  <si>
    <t xml:space="preserve">Parte de los créditos a personas y empresas que va a personas (vivienda)</t>
  </si>
  <si>
    <t xml:space="preserve">v7.20, POR DECIDIR (el autor). Referencia: en la banca chilena la vivienda es 36,4% de las colocaciones y las comerciales 51,1% (ABIF, Informe N° 223, mayo 2025): 36,4 / (36,4 + 51,1) ≈ 42%. Sin consumo, porque la AFJ no presta para consumo. Informativo: no cambia resultados (misma tasa).</t>
  </si>
  <si>
    <t xml:space="preserve">Plazo promedio del crédito a personas (vivienda), años</t>
  </si>
  <si>
    <t xml:space="preserve">v7.20, POR DECIDIR. Supuesto de referencia: crédito hipotecario a 20 años. Solo reparte cada año entre capital devuelto y préstamos nuevos; no cambia resultados.</t>
  </si>
  <si>
    <t xml:space="preserve">Plazo promedio del crédito a empresas, años</t>
  </si>
  <si>
    <t xml:space="preserve">v7.20, POR DECIDIR. Supuesto de referencia: 5 años. Solo reparte entre capital devuelto y préstamos nuevos; no cambia resultados.</t>
  </si>
  <si>
    <t xml:space="preserve">Plazo promedio del préstamo al Estado, años</t>
  </si>
  <si>
    <t xml:space="preserve">v7.20, POR DECIDIR. Supuesto de referencia: 10 años. Solo reparte entre capital devuelto y préstamos nuevos; no cambia resultados.</t>
  </si>
  <si>
    <t xml:space="preserve">Tope de la AFJ en el crédito del país: B1 / (crédito bancario + B1) (0 = sin tope)</t>
  </si>
  <si>
    <t xml:space="preserve">v7.21 (el autor, 22-oct-2026): 30%. Rige en todos los escenarios (fila 78), salvo la hoja 54, que sigue como prueba del tope de 25%. Misma definición que la hoja 72 y el resumen (fila 19). Con la v7.20: sin tope, reserva del autor $80,8 y la AFJ llega a 32,3%; con 30%, $72,5; con 25%, $49,7.</t>
  </si>
  <si>
    <t xml:space="preserve">Freno de inflación (regla para la ley; la calculadora no calcula inflación)</t>
  </si>
  <si>
    <t xml:space="preserve">Regla</t>
  </si>
  <si>
    <t xml:space="preserve">v7.21: si el IPC supera 4% (meta del Banco Central + 1 punto), el ritmo de crédito nuevo baja de 4% a 3% del PIB al año. La calculadora no calcula inflación (hoja 72), así que no lo activa sola: su efecto se mide con el escenario «3F Prudente con freno» (hoja 52).</t>
  </si>
  <si>
    <t xml:space="preserve">Ritmo de colocación inicial (% del PIB al año) — prueba</t>
  </si>
  <si>
    <t xml:space="preserve">v7.22 (pedido de la revisora): ritmo de los primeros años (C182). Después rige el ritmo de cada escenario (fila 174 de cada motor).</t>
  </si>
  <si>
    <t xml:space="preserve">Años con el ritmo inicial (0 = no se usa)</t>
  </si>
  <si>
    <t xml:space="preserve">v7.22: 0 en la versión base (4 % del PIB desde el año 1). Las pruebas con 3 y 5 años están en la hoja 74.</t>
  </si>
  <si>
    <t xml:space="preserve">Imputación de lo devuelto en créditos mixtos: «Sí» = primero a la parte importada (tipo B)</t>
  </si>
  <si>
    <t xml:space="preserve">v7.24 (el autor, 23-oct-2026): lo que devuelve el deudor se imputa primero a la parte importada; así el respaldo B (Bono) se libera antes. Hoja 76.</t>
  </si>
  <si>
    <t xml:space="preserve">Parte importada dentro de cada crédito mixto</t>
  </si>
  <si>
    <t xml:space="preserve">v7.24 (prueba 8): parte importada dentro de cada crédito mixto. Lo que devuelve el deudor se imputa primero a lo importado: el respaldo B de cada año de origen se libera con el capital que efectivamente cobran sus créditos mixtos (misma amortización que la fila 290: saldo anterior / plazo), hasta cancelar la parte importada. Filas 317 a 325 de cada motor.</t>
  </si>
  <si>
    <t xml:space="preserve">Parte de los préstamos nuevos a EMPRESAS que se usa para importar (personas/vivienda y Estado son tipo A: 0 %)</t>
  </si>
  <si>
    <t xml:space="preserve">v7.24 prueba 8 (revisión técnica a la prueba 7): las importaciones se calculan solo sobre los préstamos nuevos a empresas (fila 291 de cada motor), no sobre todos los préstamos. C158 queda solo para la regla proporcional de referencia y el Diablo.</t>
  </si>
  <si>
    <t xml:space="preserve">Parte de los préstamos a empresas que son créditos mixtos (= C186 / C185; resultado, no se escribe)</t>
  </si>
  <si>
    <t xml:space="preserve">v7.24 prueba 8/9: informativo. Cada motor calcula su propia parte mixta (C329 de cada motor) con su % de importación (C328). Con 20 % importado y 30 % dentro de cada crédito mixto, 2 de cada 3 pesos prestados a empresas son créditos mixtos.</t>
  </si>
  <si>
    <t xml:space="preserve">Control: importación pedida que no cabe en los créditos mixtos (debe ser 0)</t>
  </si>
  <si>
    <t xml:space="preserve">Prueba: año con pago anticipado de los créditos a empresas (0 = sin prueba)</t>
  </si>
  <si>
    <t xml:space="preserve">v7.24 prueba 10-11 (pedido de la revisora): pago anticipado de créditos ya existentes. Ese año las empresas pagan su cuota normal y, además, la parte C190 del saldo que les queda DESPUÉS de esa cuota (no de toda la deuda al comienzo del año). Lo devuelto se vuelve a prestar (fila 291) y libera antes el respaldo B de esos créditos (fila 319).</t>
  </si>
  <si>
    <t xml:space="preserve">Prueba: parte del saldo de empresas que queda después de la cuota del año y que se paga por adelantado</t>
  </si>
  <si>
    <t xml:space="preserve">Cobertura del seguro de deudores en los prudentes y en el Diablo con defensas: PRUEBA DE PROTECCIÓN REDUCIDA</t>
  </si>
  <si>
    <t xml:space="preserve">v7.24 prueba 13: 35 % es una prueba de resistencia con protección reducida (tomada de la defensa A del Diablo, v7.7), no el diseño del autor. El Diablo sin defensas no tiene seguro.</t>
  </si>
  <si>
    <t xml:space="preserve">Años que tarda el seguro en pagar la indemnización a la AFJ (0, 1 o 2)</t>
  </si>
  <si>
    <t xml:space="preserve">v7.24 prueba 11-12: mientras el seguro no paga, la caja pone el capital castigado (fila 108) y el respaldo B de lo importado sigue ocupado (fila 318). La indemnización es capital recuperado: se imputa primero a la parte importada, igual que la cuota, y se cuenta una sola vez.</t>
  </si>
  <si>
    <t xml:space="preserve">Cobertura del seguro de deudores en los escenarios del autor (parte del capital impago que paga el seguro)</t>
  </si>
  <si>
    <t xml:space="preserve">Diseño del autor (el autor, 24-oct-2026): el seguro cubre todo el capital impago, por cualquier causa, y lo paga el deudor en su cuota. SUPUESTO POR RESPALDAR: que exista ese seguro, en qué condiciones y a qué costo (la prima debe cubrir al menos el impago bruto de C194 más el margen de la aseguradora). Si demora en pagar, hay una necesidad temporal de caja (C192); los intereses no cobrados quedan aparte.</t>
  </si>
  <si>
    <t xml:space="preserve">Impago bruto de los deudores en los escenarios del autor (% del saldo al año, antes del seguro)</t>
  </si>
  <si>
    <t xml:space="preserve">Diseño del autor: deudores VIP seleccionados por la AFJ (el valor menor del rango 0,1–0,3 % del autor). SUPUESTO POR RESPALDAR: definir los requisitos para ser VIP (capacidad de pago, endeudamiento, garantías, historial) y respaldar el 0,1 % con datos.</t>
  </si>
  <si>
    <t xml:space="preserve">v7.26 — NUEVOS JUBILADOS DE CADA AÑO (incluidos en los 60.000 de la fila 21; nadie se cuenta dos veces)</t>
  </si>
  <si>
    <t xml:space="preserve">v7.26 (24-oct-2026, el autor, revisado por la revisora): los 60.000 nuevos jubilados de cada año (fila 21) se separan en profesores, pueblos originarios y civiles; los civiles, en bajo y sobre el piso. Los profesores y pueblos originarios están INCLUIDOS en los 60.000: el total sigue siendo 60.000 al año. SUPUESTOS PROVISIONALES, por respaldar con datos de la Superintendencia de Pensiones, Mineduc y CONADI.</t>
  </si>
  <si>
    <t xml:space="preserve">Nuevos jubilados: profesores por año (incluidos en la fila 21)</t>
  </si>
  <si>
    <t xml:space="preserve">Supuesto provisional: unos 250.000 docentes con carreras de ~35 años. Reciben el aporte heredable de $400.000 (fila 58), más el capital de sus bonos (hoja 75, G31).</t>
  </si>
  <si>
    <t xml:space="preserve">Nuevos jubilados: pueblos originarios por año (incluidos en la fila 21)</t>
  </si>
  <si>
    <t xml:space="preserve">Supuesto provisional: ~10 % de los nuevos jubilados. Reciben el aporte heredable de $400.000 (fila 60), más el capital de sus bonos (hoja 75, G32).</t>
  </si>
  <si>
    <t xml:space="preserve">Parte de los nuevos jubilados civiles que queda sobre el piso</t>
  </si>
  <si>
    <t xml:space="preserve">Supuesto provisional: la misma proporción del universo actual (297.000 sobre el piso de 1.101.385 civiles); calza con la distribución por años cotizados de la USS sobre datos SP (abr. 2024), ~24 %. Bajo el piso (73 %) reciben el complemento de la fila 63.</t>
  </si>
  <si>
    <t xml:space="preserve">¿Tramos para los nuevos jubilados sobre el piso? (Sí / No)</t>
  </si>
  <si>
    <t xml:space="preserve">Decisión del autor (24-oct-2026), apoyada por la revisora: los nuevos jubilados sobre el piso reciben los mismos tramos que los actuales (+$400.000 / +$350.000 / +$300.000; promedio fila 161, capital fila 89). Es préstamo de capital: vuelve con IPC al fallecer (filas 62-63 de cada motor). «No» = sin tramos.</t>
  </si>
  <si>
    <t xml:space="preserve">Regla de los tramos nuevos: reserva / fondo bajo la cual se suspenden (semáforo del año anterior)</t>
  </si>
  <si>
    <t xml:space="preserve">v7.26 (el autor y la revisora): si el año anterior la reserva disponible quedó bajo este porcentaje del fondo (fila 122 de cada motor), ese año los nuevos jubilados sobre el piso no reciben tramo (fila 346). Las pensiones ya otorgadas y su IPC no se tocan. Funciona en todos los motores.</t>
  </si>
  <si>
    <t xml:space="preserve">Nuevos jubilados civiles sobre el piso por año (resultado, no se escribe)</t>
  </si>
  <si>
    <t xml:space="preserve">Resultado: (60.000 − 7.000 − 6.000) × 27 % ≈ 12.690 personas al año.</t>
  </si>
  <si>
    <t xml:space="preserve">Complemento promedio que se reduce por herencia, por nuevo jubilado ($; resultado, no se escribe)</t>
  </si>
  <si>
    <t xml:space="preserve">Resultado: solo los civiles bajo el piso (73 % de los 47.000 civiles) con el complemento de la fila 63, promediado sobre los 60.000. Es la única parte que se reduce cuando los herederos ya traen herencia (filas 80 a 82) y cuando crece el ahorro propio (fila 64). Corrección de la v7.26 pedida por la revisora (24-oct-2026): antes este promedio incluía los aportes fijos y la herencia los reducía hasta 80 %.</t>
  </si>
  <si>
    <t xml:space="preserve">Aportes fijos por nuevo jubilado: profesores, pueblos originarios y bonos de los civiles sobre el piso ($; resultado, no se escribe)</t>
  </si>
  <si>
    <t xml:space="preserve">Resultado: el aporte heredable de $400.000 de profesores (fila 58) y pueblos originarios (fila 60), con el capital de sus bonos, y el capital de los bonos de los civiles sobre el piso, promediados sobre los 60.000. Son beneficios fijos decididos por el autor: NO se reducen por herencia ni por el crecimiento del ahorro propio (10_Motor filas 35 y 62; hojas 18, 22 y 23). 13.000 × $96 millones = $1,248 billones al año, más bonos.</t>
  </si>
  <si>
    <t xml:space="preserve">Resumen a 30 años — horizonte del libro (v7.28)</t>
  </si>
  <si>
    <t xml:space="preserve">Billones de pesos de 2026. Todo son fórmulas sobre los motores. El libro proyecta solo 30 años: más allá, los supuestos pierden sentido, y se propone recalcular cada 5 años con datos reales. «Saldo ampliado» = Fisco + oro de la AFJ + alivio de las familias (≈ $45, estimado fuera de la calculadora). Los porcentajes de la compensación comparan beneficios con el aporte inicial: no son devolución del Bono.</t>
  </si>
  <si>
    <t xml:space="preserve">Indicador</t>
  </si>
  <si>
    <t xml:space="preserve">1 Costos del autor</t>
  </si>
  <si>
    <t xml:space="preserve">2 Con palancas</t>
  </si>
  <si>
    <t xml:space="preserve">3 Costos prudentes</t>
  </si>
  <si>
    <t xml:space="preserve">4 Prudente + palancas</t>
  </si>
  <si>
    <t xml:space="preserve">1b Aporte fijo 10%</t>
  </si>
  <si>
    <t xml:space="preserve">3b Prudente, 10% fijo</t>
  </si>
  <si>
    <t xml:space="preserve">6 Optimista (colocación 5%)</t>
  </si>
  <si>
    <t xml:space="preserve">1r Con reforma 2025</t>
  </si>
  <si>
    <t xml:space="preserve">3r Prudente + reforma 2025</t>
  </si>
  <si>
    <t xml:space="preserve">Diablo</t>
  </si>
  <si>
    <t xml:space="preserve">Diablo con defensas (A + B)</t>
  </si>
  <si>
    <t xml:space="preserve">3F Prudente con freno</t>
  </si>
  <si>
    <t xml:space="preserve">1T Tope duro 25%</t>
  </si>
  <si>
    <t xml:space="preserve">1 + crecimiento 0,22</t>
  </si>
  <si>
    <t xml:space="preserve">1 + crecimiento 0,49</t>
  </si>
  <si>
    <t xml:space="preserve">1 + 25% Acc. Espejo al Fisco</t>
  </si>
  <si>
    <t xml:space="preserve">1 + 50% Acc. Espejo al Fisco</t>
  </si>
  <si>
    <t xml:space="preserve">1 + crec. 0,22 + 25% al Fisco</t>
  </si>
  <si>
    <t xml:space="preserve">Diablo, circuito nuevo</t>
  </si>
  <si>
    <t xml:space="preserve">Diablo con defensas, circuito nuevo</t>
  </si>
  <si>
    <t xml:space="preserve">ESCENARIOS</t>
  </si>
  <si>
    <t xml:space="preserve">Apoyo extraordinario del Estado, acumulado a 20 años</t>
  </si>
  <si>
    <t xml:space="preserve">Apoyo extraordinario del Estado, acumulado a 30 años</t>
  </si>
  <si>
    <t xml:space="preserve">Primer año con apoyo</t>
  </si>
  <si>
    <t xml:space="preserve">Reserva en caja, año 10</t>
  </si>
  <si>
    <t xml:space="preserve">Reserva en caja, año 20</t>
  </si>
  <si>
    <t xml:space="preserve">Reserva en caja, año 30</t>
  </si>
  <si>
    <t xml:space="preserve">Años con semáforo en rojo (1 a 30)</t>
  </si>
  <si>
    <t xml:space="preserve">Ingresos por cada $100 de pagos y costos, año 20 (v7.22: incluye todos los costos de la fila 113)</t>
  </si>
  <si>
    <t xml:space="preserve">Ingresos por cada $100 de pagos y costos, año 30 (v7.22: incluye todos los costos de la fila 113)</t>
  </si>
  <si>
    <t xml:space="preserve">Cuentas de las familias, año 30</t>
  </si>
  <si>
    <t xml:space="preserve">Créditos del B1, año 30</t>
  </si>
  <si>
    <t xml:space="preserve">Saldo con el Banco Central, máximo en 30 años</t>
  </si>
  <si>
    <t xml:space="preserve">Parte máxima de la AFJ en el crédito del país: B1 / (crédito bancario + B1), años 1 a 30 (v7.20: misma definición que el tope y la hoja 72)</t>
  </si>
  <si>
    <t xml:space="preserve">CUENTA DEL FISCO A 30 AÑOS</t>
  </si>
  <si>
    <t xml:space="preserve">Bono Soberano</t>
  </si>
  <si>
    <t xml:space="preserve">Impuesto que va a las Acciones Espejo</t>
  </si>
  <si>
    <t xml:space="preserve">Intereses que el Fisco paga a la AFJ</t>
  </si>
  <si>
    <t xml:space="preserve">Ahorros e ingresos del Fisco</t>
  </si>
  <si>
    <t xml:space="preserve">Apoyo extraordinario y traspasos</t>
  </si>
  <si>
    <t xml:space="preserve">Saldo fiscal acumulado a 30 años</t>
  </si>
  <si>
    <t xml:space="preserve">Saldo fiscal si el Bono se financia con deuda al 2,7%</t>
  </si>
  <si>
    <t xml:space="preserve">Oro de la AFJ, año 30</t>
  </si>
  <si>
    <t xml:space="preserve">Saldo ampliado (Fisco + oro + familias ≈ 45)</t>
  </si>
  <si>
    <t xml:space="preserve">COMPARACIÓN CON EL APORTE INICIAL (no es devolución)</t>
  </si>
  <si>
    <t xml:space="preserve">Ahorros e ingresos del Fisco / Bono</t>
  </si>
  <si>
    <t xml:space="preserve">+ oro / Bono</t>
  </si>
  <si>
    <t xml:space="preserve">+ oro + alivio familiar / Bono</t>
  </si>
  <si>
    <t xml:space="preserve">Cómo leerlo: los escenarios 55 a 59 son el escenario 1 con un solo cambio cada uno (el 59 combina dos). La devolución de Acciones Espejo baja lo que entra a la reserva y sube la caja del Fisco en lo mismo. El crecimiento extra sube la recaudación (carga tributaria 21%) y el impuesto de primera categoría que alimenta las Acciones Espejo.</t>
  </si>
  <si>
    <t xml:space="preserve">v7.1 (19-oct-2026, «Iluminación Financiera»): (1) el Banco Central acepta el canje de la plata de la AFJ sin cobrar y el Bono ya no le devuelve la línea (todos los escenarios salvo el Diablo); (2) mora prudente 0,65% (índice de provisiones de vivienda, CMF ene-2026); (3) reparto 45/30/25: el B1 presta hasta 45% del fondo y el resto es tipo B, invertido en Chile; (4) ritmo de colocación 4% del PIB en los escenarios del autor, 3% en los prudentes y 5% en el 6 (optimista); los escenarios de freno y tope (51, 52, 54) mantienen su ritmo propio. Los créditos del B1 son plata creada: no usan el Bono (ver hoja 61).</t>
  </si>
  <si>
    <t xml:space="preserve">v7.2 (19-oct-2026, con las observaciones de la revisora): diseño B del autor (la plata creada solo se presta en el B1, tipo A; el B2 y el B3, tipo B, son plata real invertida afuera, sin invertir plata creada en Chile); impuesto redirigido parte en 15% con tope 30%; regla 45/30/25 en todas las columnas; conciliación de la reserva (hoja 48) con fórmulas; hojas nuevas 62 (Banco Central), 63 (patrimonio), 64 (impulso e inflación) y 65 (pruebas).</t>
  </si>
  <si>
    <t xml:space="preserve">v7.3 (21-oct-2026): tipo A (Chile, se netea) y tipo B (importaciones, con respaldo del Bono) dentro del B1, sin línea del Banco Central; plata creada que no cabe en el B1 invertida en bonos de Tesorería y empresas sólidas (no en papeles del Banco Central); IVA según el ingreso nuevo de los jubilados; pensiones que no se pagan durante la espera de herencia (hoja 66).</t>
  </si>
  <si>
    <t xml:space="preserve">v7.4 (21-oct-2026): sin traspaso de ahorros del Fisco a la AFJ (gasto militar y PGU evitada son compensación); universo verificado de civiles como base; tramos sobre el piso +400 / 350 / 300 mil. Palancas: solo crecimiento extra (+0,22) y entrada gradual de los grupos (5 años).</t>
  </si>
  <si>
    <t xml:space="preserve">v7.5 (21-oct-2026, observaciones de la revisora): la línea del Banco Central queda siempre limitada a su cupo y la reserva a su caja (misma caja en las filas 76, 91 y 92, con el Bono del año incluido); control de faltante de financiamiento en la fila 219 de cada motor; espera de herencia calculada por cohorte de entrada; control de fórmulas en la hoja 48.</t>
  </si>
  <si>
    <t xml:space="preserve">v7.6 (21-oct-2026, decisiones del autor): el % del impuesto redirigido baja 2 puntos por año cuando la reserva supera 25% del fondo, hasta volver a 10%; el rendimiento real de las cuentas en espera de herencia forma el fondo de solidaridad que paga la operación de la AFJ (filas 220-223); complemento sobre el piso parametrizado por tramo promedio (Supuestos V10).</t>
  </si>
  <si>
    <t xml:space="preserve">v7.7 (21-oct-2026, el autor): el Diablo se mantiene como prueba de estrés; al lado, «Diablo con defensas» (hoja 43): seguro pagado por el deudor (pérdida neta 0,65%) e inversión en Chile de la plata creada que no se presta. Columna M.</t>
  </si>
  <si>
    <t xml:space="preserve">v7.8 (21-oct-2026, el autor con la revisoracita): seguro 100% a cargo del deudor (reserva 0%); fila 220 renombrada «ahorro de pagos durante la espera».</t>
  </si>
  <si>
    <t xml:space="preserve">Compensación al país — qué beneficios entran en la cuenta del Fisco y cuáles no</t>
  </si>
  <si>
    <t xml:space="preserve">Suma de la cuenta del Fisco de cada motor (filas 133 a 147) en los primeros 30 años, billones de pesos de 2026. Cada línea se cuenta una sola vez. El oro es patrimonio de la AFJ (no es caja del Fisco) y los beneficios sociales no tienen cifra: se muestran aparte y no se suman.</t>
  </si>
  <si>
    <t xml:space="preserve">Línea</t>
  </si>
  <si>
    <t xml:space="preserve">Tipo</t>
  </si>
  <si>
    <t xml:space="preserve">1 C. El autor — 30 años</t>
  </si>
  <si>
    <t xml:space="preserve">2 C. El autor + palancas — 30 años</t>
  </si>
  <si>
    <t xml:space="preserve">3 Prudente — 30 años</t>
  </si>
  <si>
    <t xml:space="preserve">1b C. El autor, 10% fijo — 30 años</t>
  </si>
  <si>
    <t xml:space="preserve">A. COSTOS DEL ESTADO</t>
  </si>
  <si>
    <t xml:space="preserve">Bono Soberano (aporte del Estado)</t>
  </si>
  <si>
    <t xml:space="preserve">Costo</t>
  </si>
  <si>
    <t xml:space="preserve">Impuesto que deja de recibir por las Acciones Espejo</t>
  </si>
  <si>
    <t xml:space="preserve">Intereses que el Fisco paga a la AFJ por su préstamo</t>
  </si>
  <si>
    <t xml:space="preserve">Apoyo extraordinario para pensiones</t>
  </si>
  <si>
    <t xml:space="preserve">Traspaso por ley de ahorros a la AFJ (palanca)</t>
  </si>
  <si>
    <t xml:space="preserve">Medida adicional</t>
  </si>
  <si>
    <t xml:space="preserve">B. AHORROS DEL ESTADO (gasto que deja de hacer)</t>
  </si>
  <si>
    <t xml:space="preserve">Pensiones de uniformados que ya no paga (CAPREDENA y DIPRECA)</t>
  </si>
  <si>
    <t xml:space="preserve">Ahorro</t>
  </si>
  <si>
    <t xml:space="preserve">PGU evitada</t>
  </si>
  <si>
    <t xml:space="preserve">Bonos extra absorbidos por la AFJ</t>
  </si>
  <si>
    <t xml:space="preserve">Intereses que se ahorra al no emitir deuda de mercado</t>
  </si>
  <si>
    <t xml:space="preserve">C. INGRESOS EFECTIVOS</t>
  </si>
  <si>
    <t xml:space="preserve">IVA adicional</t>
  </si>
  <si>
    <t xml:space="preserve">Ingreso</t>
  </si>
  <si>
    <t xml:space="preserve">Impuesto de los proyectos ambientales</t>
  </si>
  <si>
    <t xml:space="preserve">D. DEPENDEN DE MEDIDAS O SUPUESTOS ADICIONALES</t>
  </si>
  <si>
    <t xml:space="preserve">Impuestos por el crecimiento extra del PIB (palanca)</t>
  </si>
  <si>
    <t xml:space="preserve">Otros ingresos del Estado (minería, etc.)</t>
  </si>
  <si>
    <t xml:space="preserve">RESULTADO DEL FISCO (A + B + C + D)</t>
  </si>
  <si>
    <t xml:space="preserve">Total</t>
  </si>
  <si>
    <t xml:space="preserve">FUERA DE LA CUENTA DEL FISCO (no se suman)</t>
  </si>
  <si>
    <t xml:space="preserve">Oro de la AFJ (valor, patrimonio de los afiliados; intocable)</t>
  </si>
  <si>
    <t xml:space="preserve">Ahorro de las familias que hoy ayudan a sus padres (pata 4 del Bono): no está en la calculadora; se estima aparte (≈US$47 mil millones a 30 años) y no se suma aquí.</t>
  </si>
  <si>
    <t xml:space="preserve">Beneficios sociales sin cifra: tranquilidad de los jubilados, herencia que no se rompe, menos presión sobre los hijos. Van en el libro como argumento, no como número.</t>
  </si>
  <si>
    <t xml:space="preserve">PGU evitada por herencia (quinta pata, de futuro): el Estado sigue pagando la PGU; con los años la necesitan menos personas porque heredan capital. Rampa del escenario medio (0 % el año 5 → 70 % del universo verificado el año 30). No se suma al resultado hasta calcularla con los herederos.</t>
  </si>
  <si>
    <t xml:space="preserve">Resultado del Fisco si se suma la quinta pata (referencia, no es el escenario base)</t>
  </si>
  <si>
    <t xml:space="preserve">Conciliación de la reserva, años 1 a 10, y qué respalda las cuentas de las familias (escenario 1, costos el autor)</t>
  </si>
  <si>
    <t xml:space="preserve">Todo es fórmula sobre la hoja 38. La reserva es una sola caja: el Bono es una de sus entradas, junto con las Acciones Espejo y los rendimientos; las salidas no se pueden asignar a una entrada en particular. El Bono lo paga el Fisco (con impuestos o con deuda: ver fila 192 de cada motor). La AFJ no lo devuelve ni paga intereses. Es plata del Banco Central, distinta de la plata que crea la AFJ.</t>
  </si>
  <si>
    <t xml:space="preserve">Partida (billones de 2026)</t>
  </si>
  <si>
    <t xml:space="preserve">Año 1</t>
  </si>
  <si>
    <t xml:space="preserve">Año 2</t>
  </si>
  <si>
    <t xml:space="preserve">Año 3</t>
  </si>
  <si>
    <t xml:space="preserve">Año 4</t>
  </si>
  <si>
    <t xml:space="preserve">Año 5</t>
  </si>
  <si>
    <t xml:space="preserve">Año 6</t>
  </si>
  <si>
    <t xml:space="preserve">Año 7</t>
  </si>
  <si>
    <t xml:space="preserve">Año 8</t>
  </si>
  <si>
    <t xml:space="preserve">Año 9</t>
  </si>
  <si>
    <t xml:space="preserve">Año 10</t>
  </si>
  <si>
    <t xml:space="preserve">Total 1–10</t>
  </si>
  <si>
    <t xml:space="preserve">Reserva al inicio del año</t>
  </si>
  <si>
    <t xml:space="preserve">ENTRADAS</t>
  </si>
  <si>
    <t xml:space="preserve">Acciones Espejo</t>
  </si>
  <si>
    <t xml:space="preserve">Cotización 6% de uniformados no usada para crear capital</t>
  </si>
  <si>
    <t xml:space="preserve">Rendimiento de los créditos del B1</t>
  </si>
  <si>
    <t xml:space="preserve">Rendimiento de la plata real de las cuentas</t>
  </si>
  <si>
    <t xml:space="preserve">Rendimiento de la reserva</t>
  </si>
  <si>
    <t xml:space="preserve">Rendimiento de las inversiones en Chile</t>
  </si>
  <si>
    <t xml:space="preserve">Recuperación al fallecer (tramos sobre el piso)</t>
  </si>
  <si>
    <t xml:space="preserve">Vuelve a la reserva (créditos que bajan)</t>
  </si>
  <si>
    <t xml:space="preserve">Apoyo extraordinario del Estado</t>
  </si>
  <si>
    <t xml:space="preserve">SALIDAS</t>
  </si>
  <si>
    <t xml:space="preserve">Pensiones prometidas</t>
  </si>
  <si>
    <t xml:space="preserve">Complementos de nuevos jubilados pagados con plata real (pasan a sus cuentas)</t>
  </si>
  <si>
    <t xml:space="preserve">Administración AFJ</t>
  </si>
  <si>
    <t xml:space="preserve">Pérdida de cartera (mora)</t>
  </si>
  <si>
    <t xml:space="preserve">Intereses de la línea del Banco Central</t>
  </si>
  <si>
    <t xml:space="preserve">Intereses de la plata en los bancos (incluye los saldos AFJ, v7.18)</t>
  </si>
  <si>
    <t xml:space="preserve">Custodia y seguro del oro</t>
  </si>
  <si>
    <t xml:space="preserve">Seguro de deudores, colchón y costo de convertir saldos pagados por la reserva (v7.20)</t>
  </si>
  <si>
    <t xml:space="preserve">Compras de oro</t>
  </si>
  <si>
    <t xml:space="preserve">Tomado de la reserva para financiar créditos</t>
  </si>
  <si>
    <t xml:space="preserve">Repago de la línea del Banco Central con reserva</t>
  </si>
  <si>
    <t xml:space="preserve">Crecimiento de las cuentas</t>
  </si>
  <si>
    <t xml:space="preserve">Reserva al final del año (suma)</t>
  </si>
  <si>
    <t xml:space="preserve">Reserva según el motor (fila 120)</t>
  </si>
  <si>
    <t xml:space="preserve">Control: diferencia (debe ser 0)</t>
  </si>
  <si>
    <t xml:space="preserve">Control: cuántas de las 120 celdas de salidas (C19:L30) son fórmulas (debe ser 120)</t>
  </si>
  <si>
    <t xml:space="preserve">Control: saldo inicial + entradas + salidas = saldo final del motor (suma de diferencias, debe ser 0)</t>
  </si>
  <si>
    <t xml:space="preserve">Billones de 2026</t>
  </si>
  <si>
    <t xml:space="preserve">Año 20</t>
  </si>
  <si>
    <t xml:space="preserve">Año 30</t>
  </si>
  <si>
    <t xml:space="preserve">Cuentas de las familias (lo que se les debe)</t>
  </si>
  <si>
    <t xml:space="preserve">  de eso: capital base de la pensión</t>
  </si>
  <si>
    <t xml:space="preserve">  de eso: aumento ×1,34 acreditado</t>
  </si>
  <si>
    <t xml:space="preserve">Activos: créditos del B1</t>
  </si>
  <si>
    <t xml:space="preserve">Activos: inversiones en Chile</t>
  </si>
  <si>
    <t xml:space="preserve">Activos: reserva en caja</t>
  </si>
  <si>
    <t xml:space="preserve">Activos: oro</t>
  </si>
  <si>
    <t xml:space="preserve">Activos: plata real de las cuentas invertida</t>
  </si>
  <si>
    <t xml:space="preserve">Otros pasivos: saldo con el Banco Central (canje)</t>
  </si>
  <si>
    <t xml:space="preserve">Otros pasivos: plata de la AFJ que circula en los bancos</t>
  </si>
  <si>
    <t xml:space="preserve">Patrimonio (activos − cuentas − otros pasivos)</t>
  </si>
  <si>
    <t xml:space="preserve">Parte de las cuentas con activo propio detrás</t>
  </si>
  <si>
    <t xml:space="preserve">El patrimonio negativo es la parte de las cuentas que no tiene un activo propio detrás: es el capital creado. Lo sostienen los flujos de cada año (intereses de créditos e inversiones, Acciones Espejo), no un activo guardado.</t>
  </si>
  <si>
    <t xml:space="preserve">Los créditos del B1 y las inversiones no respaldan las cuentas por sí solos: los financian la plata de la AFJ que circula en los bancos (70%) y el saldo con el Banco Central (30%). Lo que aportan es el interés.</t>
  </si>
  <si>
    <t xml:space="preserve">El aumento ×1,34 se acredita en 10 años. Hasta el año 10 la reserva alcanza a cubrirlo; después queda en la misma situación que el resto del capital creado: lo pagan los flujos.</t>
  </si>
  <si>
    <t xml:space="preserve">La plata inventada y el respaldo — explicación para no economistas (v7.7)</t>
  </si>
  <si>
    <t xml:space="preserve">Fórmulas sobre la hoja 38 (escenario 1, costos del autor). Billones de pesos de 2026. Horizonte: 30 años.</t>
  </si>
  <si>
    <t xml:space="preserve">1. LA IDEA EN SIMPLE (definición del autor)</t>
  </si>
  <si>
    <t xml:space="preserve">• Un banco que presta registra el crédito como activo y el depósito que crea como pasivo; cuando el deudor paga a alguien de otro banco, la plata se liquida entre bancos con reservas del Banco Central. La AFJ presta del mismo modo, pero los intereses son para los jubilados.</t>
  </si>
  <si>
    <t xml:space="preserve">• Acciones Espejo tipo A = el B1 (hasta 45% del fondo): plata creada que se presta a personas, empresas y al Estado. No lleva respaldo del Bono. El capital se extingue cuando el crédito se paga; los intereses pagan pensiones. El banco intermediario no puede reutilizar esos recursos por cuenta propia. La plata creada que no cabe en el B1 se invierte en Chile en bonos de Tesorería y de empresas sólidas.</t>
  </si>
  <si>
    <t xml:space="preserve">• Acciones Espejo tipo B = el B2 (30%) y el B3 (25%): plata real invertida afuera (acciones y fondos) y la reserva para emergencias (con 10% en oro). Se paga con el Bono, las Acciones Espejo y el ahorro AFP. Sus rendimientos ayudan a pagar las pensiones.</t>
  </si>
  <si>
    <t xml:space="preserve">• lo que se presta y se gasta en Chile (tipo A) se netea entre los bancos y no necesita al Banco Central. Solo la parte que se usa para importar es tipo B dentro del B1 y se paga con la plata real del Bono (la reserva); nunca pasa del respaldo del Bono.</t>
  </si>
  <si>
    <t xml:space="preserve">• El Bono no se devuelve: se justifica por los beneficios que produce y su compensación fiscal es parcial (hoja 47).</t>
  </si>
  <si>
    <t xml:space="preserve">2. AÑO A AÑO: QUÉ ES TIPO A, QUÉ ES TIPO B Y EN QUÉ SE USA LA PLATA REAL</t>
  </si>
  <si>
    <t xml:space="preserve">Año</t>
  </si>
  <si>
    <t xml:space="preserve">Tipo A: créditos del B1</t>
  </si>
  <si>
    <t xml:space="preserve">Tipo B: plata real afuera (reserva + cuentas)</t>
  </si>
  <si>
    <t xml:space="preserve">Oro</t>
  </si>
  <si>
    <t xml:space="preserve">Bono acumulado</t>
  </si>
  <si>
    <t xml:space="preserve">Complementos con plata real (acum.)</t>
  </si>
  <si>
    <t xml:space="preserve">Pensiones que faltaron (acum.)</t>
  </si>
  <si>
    <t xml:space="preserve">Plata creada sin prestar (no rinde)</t>
  </si>
  <si>
    <t xml:space="preserve">Lectura: la tipo A crece con los créditos sin usar el Bono. La tipo B es plata real: el Bono entra, una parte paga complementos y pensiones de los primeros años, y el resto queda invertido afuera y en oro. La última columna es la parte de las cuentas que todavía no se presta: no tiene activo propio ni rinde (ver hoja 63).</t>
  </si>
  <si>
    <t xml:space="preserve">3. COMPROBACIONES (deben dar cero)</t>
  </si>
  <si>
    <t xml:space="preserve">Bono usado para financiar créditos (fila 92, 30 años)</t>
  </si>
  <si>
    <t xml:space="preserve">Bono usado para devolverle plata al Banco Central (fila 95, 30 años)</t>
  </si>
  <si>
    <t xml:space="preserve">Plata creada invertida en bonos chilenos o papeles del Banco Central (fila 181, 30 años)</t>
  </si>
  <si>
    <t xml:space="preserve">El Banco Central y la AFJ — hoja histórica (v7.7). Desde la v7.22 no hay canje, línea ni préstamo del Banco Central en ningún escenario: los saldos de esta hoja son 0.</t>
  </si>
  <si>
    <t xml:space="preserve">Billones de pesos de 2026. Las celdas amarillas son supuestos editables. Requiere revisión jurídica (Ley Orgánica Constitucional del Banco Central, art. 27) y de un economista monetario.</t>
  </si>
  <si>
    <t xml:space="preserve">A. EL CANJE CON EL BANCO CENTRAL (en la v7.4 casi no se usa: lo que se gasta en Chile se netea y lo importado se paga con la reserva)</t>
  </si>
  <si>
    <t xml:space="preserve">Qué es: cuando la plata de un crédito de la AFJ llega a otro banco, el Banco Central le presta a la AFJ, con los créditos como garantía y sin cobrarle intereses. La deuda baja cuando los deudores pagan (no se paga con el Bono).</t>
  </si>
  <si>
    <t xml:space="preserve">Por qué tiene un costo para el país: para mantener su tasa, el Banco Central debe retirar esa plata adicional emitiendo sus propios papeles, que pagan interés. Ese costo no lo paga la AFJ, pero existe.</t>
  </si>
  <si>
    <t xml:space="preserve">Tasa real que paga el Banco Central por sus papeles (TPM 4,5% − IPC 3%)</t>
  </si>
  <si>
    <t xml:space="preserve">Escenario 1 (costos del autor)</t>
  </si>
  <si>
    <t xml:space="preserve">Año 15</t>
  </si>
  <si>
    <t xml:space="preserve">Año 25</t>
  </si>
  <si>
    <t xml:space="preserve">Créditos del B1 (tipo A)</t>
  </si>
  <si>
    <t xml:space="preserve">Saldo del canje con el Banco Central</t>
  </si>
  <si>
    <t xml:space="preserve">Saldo del canje / PIB</t>
  </si>
  <si>
    <t xml:space="preserve">Costo anual estimado para el Banco Central (saldo × tasa)</t>
  </si>
  <si>
    <t xml:space="preserve">Costo acumulado para el Banco Central en 30 años</t>
  </si>
  <si>
    <t xml:space="preserve">Mismo cálculo, escenario 3 (prudente)</t>
  </si>
  <si>
    <t xml:space="preserve">B. PRESTARLE AL BANCO CENTRAL — DESCARTADO (el autor, 19-oct-2026): la AFJ solo presta al Estado, a empresas y a personas seleccionadas. Se deja la cuenta como registro.</t>
  </si>
  <si>
    <t xml:space="preserve">Idea: la AFJ compra papeles del Banco Central a una tasa menor, en reemplazo de papeles que hoy tiene otro acreedor. Lo que el Banco Central deja de pagar es su ahorro; lo que cobra la AFJ es su ingreso. Es una posibilidad por evaluar, no un beneficio demostrado.</t>
  </si>
  <si>
    <t xml:space="preserve">Monto que la AFJ le presta al Banco Central</t>
  </si>
  <si>
    <t xml:space="preserve">Tasa real que el Banco Central paga hoy por esos papeles</t>
  </si>
  <si>
    <t xml:space="preserve">Tasa real que cobraría la AFJ</t>
  </si>
  <si>
    <t xml:space="preserve">Intereses que el Banco Central deja de pagar al acreedor anterior (al año)</t>
  </si>
  <si>
    <t xml:space="preserve">Intereses nuevos que el Banco Central le paga a la AFJ (al año)</t>
  </si>
  <si>
    <t xml:space="preserve">Ahorro neto del Banco Central (al año)</t>
  </si>
  <si>
    <t xml:space="preserve">Ingreso de la AFJ para pensiones (al año)</t>
  </si>
  <si>
    <t xml:space="preserve">Ahorro neto del Banco Central en 30 años</t>
  </si>
  <si>
    <t xml:space="preserve">Condiciones para que el ahorro sea real (si no se cumplen, el ahorro es cero):</t>
  </si>
  <si>
    <t xml:space="preserve">1. La AFJ debe prestar plata que ya tiene (plata real), no plata que el mismo Banco Central le prestó en el canje: si el Banco Central presta gratis y la AFJ le presta de vuelta con interés, lo que gana la AFJ lo pierde el Banco Central y el país no ahorra nada.</t>
  </si>
  <si>
    <t xml:space="preserve">2. Hay que comparar el mismo monto, plazo, moneda, reajuste y riesgo.</t>
  </si>
  <si>
    <t xml:space="preserve">3. El Banco Central emite papeles para regular la cantidad de dinero, no para financiarse: si el acreedor anterior recibe su plata de vuelta, puede que el Banco Central tenga que volver a retirarla con nuevos papeles, y entonces el ahorro desaparece.</t>
  </si>
  <si>
    <t xml:space="preserve">4. Necesita revisión jurídica (art. 27 de su ley orgánica) y de un economista monetario.</t>
  </si>
  <si>
    <t xml:space="preserve">De dónde sale el patrimonio negativo (v7.7)</t>
  </si>
  <si>
    <t xml:space="preserve">Billones de pesos de 2026. Fórmulas sobre el balance de los motores (filas 152 a 161).</t>
  </si>
  <si>
    <t xml:space="preserve">Activos: créditos del B1 (tipo A)</t>
  </si>
  <si>
    <t xml:space="preserve">Activos: reserva en caja (tipo B)</t>
  </si>
  <si>
    <t xml:space="preserve">Activos: oro (tipo B)</t>
  </si>
  <si>
    <t xml:space="preserve">Activos: plata real de las cuentas invertida afuera (tipo B)</t>
  </si>
  <si>
    <t xml:space="preserve">Pasivo: saldo del canje con el Banco Central</t>
  </si>
  <si>
    <t xml:space="preserve">Pasivo: plata de la AFJ que circula en los bancos</t>
  </si>
  <si>
    <t xml:space="preserve">PATRIMONIO del motor (activos − pasivos)</t>
  </si>
  <si>
    <t xml:space="preserve">A. Cuentas que no tienen un activo propio detrás (cuentas − todos los activos)</t>
  </si>
  <si>
    <t xml:space="preserve">B. La otra cara de los créditos tipo A y de la inversión en Chile (se netea cuando se pagan)</t>
  </si>
  <si>
    <t xml:space="preserve">Control: −A − B (debe igualar el patrimonio del motor)</t>
  </si>
  <si>
    <t xml:space="preserve">Escenario 3 (prudente)</t>
  </si>
  <si>
    <t xml:space="preserve">CÓMO LEERLO</t>
  </si>
  <si>
    <t xml:space="preserve">• El patrimonio negativo NO es una pérdida escondida: tiene dos partes que se pueden explicar.</t>
  </si>
  <si>
    <t xml:space="preserve">• Parte A: el capital que el modelo promete a las familias (regla ×240 y aumento ×1,34) y que todavía no está respaldado por un activo propio. Lo pagan los flujos de cada año: intereses de los créditos, Acciones Espejo y rendimientos de la plata real. Si esos flujos fallan, aparece el apoyo extraordinario.</t>
  </si>
  <si>
    <t xml:space="preserve">• Parte B: cada crédito del B1 nace con su contraparte (la plata que circula en los bancos y el canje con el Banco Central). Cuando el deudor paga, crédito y contraparte se extinguen juntos (el neteo del autor). Mientras el crédito está vivo, la contraparte figura como pasivo; por eso el motor la resta.</t>
  </si>
  <si>
    <t xml:space="preserve">• Pregunta abierta para el economista: si la plata de la AFJ que circula en los bancos debe contarse como pasivo de la AFJ (lectura estricta del motor) o como dinero de los deudores (lectura del autor). Con la primera, el patrimonio es el de la fila «PATRIMONIO del motor»; con la segunda, el déficit es solo la parte A.</t>
  </si>
  <si>
    <t xml:space="preserve">Crédito, pensiones y divisas: el impulso sobre la economía (v7.7)</t>
  </si>
  <si>
    <t xml:space="preserve">Esto mide el tamaño del impulso, no la inflación: para estimar la inflación hace falta un modelo macroeconómico y la revisión de un economista. Billones de pesos de 2026.</t>
  </si>
  <si>
    <t xml:space="preserve">Crédito bancario vigente en Chile, julio 2026 (CMF: US$307.073 millones × $959)</t>
  </si>
  <si>
    <t xml:space="preserve">Crecimiento real del crédito bancario en 12 meses, julio 2026 (CMF)</t>
  </si>
  <si>
    <t xml:space="preserve">Parte del crédito AFJ que reemplaza créditos existentes (supuesto)</t>
  </si>
  <si>
    <t xml:space="preserve">Parte del Bono colocada con inversionistas extranjeros (supuesto)</t>
  </si>
  <si>
    <t xml:space="preserve">PIB</t>
  </si>
  <si>
    <t xml:space="preserve">Crédito nuevo de la AFJ en el año</t>
  </si>
  <si>
    <t xml:space="preserve">Crédito nuevo / PIB</t>
  </si>
  <si>
    <t xml:space="preserve">Crédito nuevo que es adicional (después del reemplazo) / PIB</t>
  </si>
  <si>
    <t xml:space="preserve">Crédito nuevo / crédito bancario actual</t>
  </si>
  <si>
    <t xml:space="preserve">Créditos de la AFJ / PIB (stock)</t>
  </si>
  <si>
    <t xml:space="preserve">Pensiones pagadas por la AFJ / PIB</t>
  </si>
  <si>
    <t xml:space="preserve">Bono que se convierte en dólares para invertir afuera / PIB</t>
  </si>
  <si>
    <t xml:space="preserve">Compra neta de dólares (después de lo colocado afuera) / PIB</t>
  </si>
  <si>
    <t xml:space="preserve">LECTURA (hipótesis de trabajo, no conclusiones demostradas)</t>
  </si>
  <si>
    <t xml:space="preserve">• Crédito: hoy el crédito bancario no crece (−0,18% real en 12 meses). En los primeros años, la AFJ agregaría crédito nuevo por cerca de 4% del PIB al año. Si una parte reemplaza créditos existentes (deudas más caras que se refinancian), el impulso es menor.</t>
  </si>
  <si>
    <t xml:space="preserve">• El crédito que financia casas, empresas y obras aumenta también lo que el país produce; el que financia consumo presiona los precios. La AFJ no da créditos de consumo.</t>
  </si>
  <si>
    <t xml:space="preserve">• Divisas: convertir el Bono en dólares para invertir afuera (tipo B) presiona el tipo de cambio y, por esa vía, los precios de lo importado. Si una parte del Bono la compran inversionistas extranjeros (el libro lo propone), entran dólares y la presión baja.</t>
  </si>
  <si>
    <t xml:space="preserve">• Pensiones: las pensiones más altas aumentan el consumo de los jubilados; una parte reemplaza la ayuda que hoy les dan sus hijos (pata 4), y esa parte no es demanda nueva.</t>
  </si>
  <si>
    <t xml:space="preserve">• Pendiente: medir con un economista cuánto crédito es nuevo, cómo responde la producción y qué pasa con importaciones, divisas y liquidez. Hasta entonces, el ritmo de 3%, 4% y 5% del PIB es una hipótesis de trabajo.</t>
  </si>
  <si>
    <t xml:space="preserve">Historial de pruebas de versiones anteriores (v7.0 a v7.2), solo como registro. Las pruebas del modelo actual (v7.4) están en la hoja 66.</t>
  </si>
  <si>
    <t xml:space="preserve">Valores generados el 19-oct-2026 cambiando un supuesto a la vez en los motores 38 (escenario 1) y 40 (escenario 3) y recalculando todo el libro. No son fórmulas: si se cambian otros supuestos, hay que repetir la prueba. Billones de pesos de 2026; reserva al año 30 y apoyo extraordinario acumulado a 30 años.</t>
  </si>
  <si>
    <t xml:space="preserve">1. DE LA v7.0 A LA v7.1 (acumulando un cambio por paso)</t>
  </si>
  <si>
    <t xml:space="preserve">Paso</t>
  </si>
  <si>
    <t xml:space="preserve">Autor: reserva año 30</t>
  </si>
  <si>
    <t xml:space="preserve">Autor: apoyo extra</t>
  </si>
  <si>
    <t xml:space="preserve">Prudente: reserva año 30</t>
  </si>
  <si>
    <t xml:space="preserve">Prudente: apoyo extra</t>
  </si>
  <si>
    <t xml:space="preserve">v7.0</t>
  </si>
  <si>
    <t xml:space="preserve">1. El Bono no devuelve la línea del Banco Central</t>
  </si>
  <si>
    <t xml:space="preserve">2. + Banco Central sin cobro (prudente)</t>
  </si>
  <si>
    <t xml:space="preserve">3. + mora prudente 0,65%</t>
  </si>
  <si>
    <t xml:space="preserve">4. + tope del B1 45% (regla 45/30/25)</t>
  </si>
  <si>
    <t xml:space="preserve">5. + ritmo 3% en el prudente (= v7.1)</t>
  </si>
  <si>
    <t xml:space="preserve">2. CADA CAMBIO SOLO, SOBRE LA v7.0</t>
  </si>
  <si>
    <t xml:space="preserve">Solo: Banco Central sin cobro</t>
  </si>
  <si>
    <t xml:space="preserve">Solo: mora prudente 0,65%</t>
  </si>
  <si>
    <t xml:space="preserve">Solo: tope del B1 45%</t>
  </si>
  <si>
    <t xml:space="preserve">Solo: ritmo 3% en el prudente</t>
  </si>
  <si>
    <t xml:space="preserve">3. DE LA v7.1 A LA v7.2 (diseño B del autor e impuesto redirigido)</t>
  </si>
  <si>
    <t xml:space="preserve">v7.1</t>
  </si>
  <si>
    <t xml:space="preserve">Diseño B: la plata creada solo se presta; tipo B = plata real afuera (impuesto 10% → 20%)</t>
  </si>
  <si>
    <t xml:space="preserve">Diseño B + impuesto con tope 25%</t>
  </si>
  <si>
    <t xml:space="preserve">Diseño B + impuesto con tope 30%</t>
  </si>
  <si>
    <t xml:space="preserve">Diseño B + impuesto 15% → 30% (= v7.2)</t>
  </si>
  <si>
    <t xml:space="preserve">Diseño B + impuesto 15% → 35%</t>
  </si>
  <si>
    <t xml:space="preserve">4. PRUEBAS ADVERSAS SOBRE LA v7.2</t>
  </si>
  <si>
    <t xml:space="preserve">v7.2</t>
  </si>
  <si>
    <t xml:space="preserve">Mora 1,5% en ambos</t>
  </si>
  <si>
    <t xml:space="preserve">Mora 2,6% en ambos (provisiones de empresas, CMF)</t>
  </si>
  <si>
    <t xml:space="preserve">El Banco Central cobra 1,5% real por el canje</t>
  </si>
  <si>
    <t xml:space="preserve">Ritmo de préstamo 3% en ambos</t>
  </si>
  <si>
    <t xml:space="preserve">Lectura: lo que más mejora el modelo es que el Bono no devuelva la línea del Banco Central; lo que más lo empeora es la mora y que el Banco Central cobre. El diseño B (plata creada solo en créditos) es más fácil de defender, pero obliga a subir el impuesto redirigido hasta 30% y aun así el prudente necesita un pequeño apoyo al final (8 billones desde el año 29).</t>
  </si>
  <si>
    <t xml:space="preserve">Novedades del modelo (v7.7): importaciones, inversión en Chile, IVA de las pensiones y espera de herencia</t>
  </si>
  <si>
    <t xml:space="preserve">Fórmulas sobre la hoja 38 (escenario 1). Billones de pesos de 2026. Los supuestos están en 01_Supuestos, bloque 13 (V1 a V7).</t>
  </si>
  <si>
    <t xml:space="preserve">A. TIPO A Y TIPO B DENTRO DEL B1</t>
  </si>
  <si>
    <t xml:space="preserve">Créditos del B1</t>
  </si>
  <si>
    <t xml:space="preserve">  de eso, tipo B: crédito para importar (respaldo del Bono)</t>
  </si>
  <si>
    <t xml:space="preserve">  de eso, tipo A: crédito que se gasta en Chile (se netea)</t>
  </si>
  <si>
    <t xml:space="preserve">Reserva en caja (plata real del Bono)</t>
  </si>
  <si>
    <t xml:space="preserve">Oro de la AFJ (valor)</t>
  </si>
  <si>
    <t xml:space="preserve">Oro / crédito para importar</t>
  </si>
  <si>
    <t xml:space="preserve">B. IVA DE LAS PENSIONES</t>
  </si>
  <si>
    <t xml:space="preserve">Pensiones que se pagan</t>
  </si>
  <si>
    <t xml:space="preserve">IVA adicional actual (10% del ingreso nuevo)</t>
  </si>
  <si>
    <t xml:space="preserve">IVA adicional de la versión anterior (fijo)</t>
  </si>
  <si>
    <t xml:space="preserve">C. ESPERA DE HERENCIA</t>
  </si>
  <si>
    <t xml:space="preserve">Capital de los jubilados iniciales</t>
  </si>
  <si>
    <t xml:space="preserve">Parte en espera de herencia</t>
  </si>
  <si>
    <t xml:space="preserve">Pensiones que no se pagan mientras el heredero no jubila</t>
  </si>
  <si>
    <t xml:space="preserve">Totales a 30 años</t>
  </si>
  <si>
    <t xml:space="preserve">IVA adicional actual</t>
  </si>
  <si>
    <t xml:space="preserve">IVA adicional con la regla anterior</t>
  </si>
  <si>
    <t xml:space="preserve">Pensiones que no se pagan por la espera de herencia</t>
  </si>
  <si>
    <t xml:space="preserve">Reserva usada para financiar lo importado (fila 92)</t>
  </si>
  <si>
    <t xml:space="preserve">• Tipo A: lo que se presta y se gasta en Chile. Funciona como en un banco: crédito en una mano, deuda en la otra, y cuando se paga se netean. No usa el Bono ni el Banco Central.</t>
  </si>
  <si>
    <t xml:space="preserve">• Tipo B dentro del B1: la parte de los créditos que compra cosas afuera (por ejemplo, una máquina importada). Necesita dólares, así que se paga con la plata real del Bono (la reserva). Los tipo B nunca pasan del respaldo del Bono: si la reserva llega a su piso, se frena el crédito para importar.</t>
  </si>
  <si>
    <t xml:space="preserve">• Se puede pasar de tipo B a tipo A sin límite (libera respaldo). De tipo A a tipo B, solo si queda respaldo del Bono.</t>
  </si>
  <si>
    <t xml:space="preserve">• Oro como puente (idea del autor): el oro de la AFJ podría prestarse al Banco Central para conseguir dólares mientras el crédito se paga, y recomprarse después. La tabla muestra qué parte del crédito para importar alcanzaría a cubrir.</t>
  </si>
  <si>
    <t xml:space="preserve">• IVA: ahora crece con el ingreso nuevo de los jubilados (pensión AFJ menos lo que ya recibían, la PGU evitada, su ahorro AFP y la ayuda de los hijos).</t>
  </si>
  <si>
    <t xml:space="preserve">• Espera de herencia: cuando un jubilado fallece, la cuenta pasa al heredero, que cobra recién al jubilar; mientras tanto solo se reajusta por IPC y la AFJ no paga pensión. Supuestos prudentes: 15 años de vida restante, 10 años de espera y la mitad con cónyuge que sigue cobrando.</t>
  </si>
  <si>
    <t xml:space="preserve">PRUEBAS DE UNA VERSIÓN ANTERIOR (v7.3, solo como registro) (valores de prueba, 21-oct-2026)</t>
  </si>
  <si>
    <t xml:space="preserve">Cada fila cambia un supuesto y recalcula todo. Billones de pesos de 2026: reserva al año 30 y apoyo extraordinario acumulado a 30 años.</t>
  </si>
  <si>
    <t xml:space="preserve">Prueba</t>
  </si>
  <si>
    <t xml:space="preserve">Impuesto 10% → 20%</t>
  </si>
  <si>
    <t xml:space="preserve">Impuesto 10% → 30% (= v7.3)</t>
  </si>
  <si>
    <t xml:space="preserve">Impuesto 15% → 30% (v7.2)</t>
  </si>
  <si>
    <t xml:space="preserve">Importación 10% (con 15% → 30%)</t>
  </si>
  <si>
    <t xml:space="preserve">Importación 30% (con 15% → 30%)</t>
  </si>
  <si>
    <t xml:space="preserve">Herencia dura: espera 5 años, 75% con cónyuge (con 15% → 30%)</t>
  </si>
  <si>
    <t xml:space="preserve">Sin espera de herencia (con 15% → 30%)</t>
  </si>
  <si>
    <t xml:space="preserve">Impuesto 10% → 20% + importación 30%</t>
  </si>
  <si>
    <t xml:space="preserve">Impuesto 10% → 20% + herencia dura</t>
  </si>
  <si>
    <t xml:space="preserve">Lectura: la espera de herencia (idea del autor) y que la inversión de la plata creada se quede en Chile son las dos mejoras grandes de la v7.3. Con ellas basta el 10% inicial del impuesto, con la regla que lo sube hasta 30% solo si la reserva baja. Los supuestos que más mueven el resultado son la parte de los créditos para importar y los años de espera de los herederos.</t>
  </si>
  <si>
    <t xml:space="preserve">PRUEBAS DE LA v7.4 (21-oct-2026)</t>
  </si>
  <si>
    <t xml:space="preserve">v7.4: universo verificado, tramos +400/350/300, sin traspaso</t>
  </si>
  <si>
    <t xml:space="preserve">Universo amplio (prueba de prudencia, como el libro hasta el 15-oct)</t>
  </si>
  <si>
    <t xml:space="preserve">Impuesto fijo en 10% (escenarios 1b y 3b)</t>
  </si>
  <si>
    <t xml:space="preserve">Regla del impuesto (v7.4): autor, sube desde el año 27 hasta 18%; prudente, desde el año 19 hasta 30% (año 28); con palancas prudente, desde el año 25 hasta 22%; Diablo, desde el año 17 hasta 30% (año 26).</t>
  </si>
  <si>
    <t xml:space="preserve">Pruebas de sensibilidad de la v7.5 — con trazabilidad</t>
  </si>
  <si>
    <t xml:space="preserve">Escenario de partida: v7.5 sin cambios (escenario 1 = motor 38, costos del autor; escenario 3 = motor 40, prudente). Cada prueba cambia solo las celdas indicadas y recalcula todo el libro (21-oct-2026). Son valores de prueba, no fórmulas. Billones de pesos de 2026.</t>
  </si>
  <si>
    <t xml:space="preserve">Celdas cambiadas</t>
  </si>
  <si>
    <t xml:space="preserve">Autor: ingresos por $100 de pagos (año 30)</t>
  </si>
  <si>
    <t xml:space="preserve">Autor: años en rojo</t>
  </si>
  <si>
    <t xml:space="preserve">Autor: Fisco 30 años</t>
  </si>
  <si>
    <t xml:space="preserve">Prudente: ingresos por $100 (año 30)</t>
  </si>
  <si>
    <t xml:space="preserve">Prudente: años en rojo</t>
  </si>
  <si>
    <t xml:space="preserve">Prudente: Fisco 30 años</t>
  </si>
  <si>
    <t xml:space="preserve">0. v7.5 (sin cambios)</t>
  </si>
  <si>
    <t xml:space="preserve">—</t>
  </si>
  <si>
    <t xml:space="preserve">1. Mora 1,5% en ambos</t>
  </si>
  <si>
    <t xml:space="preserve">Motores 38 y 40: C8 = 1,5%</t>
  </si>
  <si>
    <t xml:space="preserve">2. Importación 10%</t>
  </si>
  <si>
    <t xml:space="preserve">01_Supuestos C158 = 10%</t>
  </si>
  <si>
    <t xml:space="preserve">3. Importación 30%</t>
  </si>
  <si>
    <t xml:space="preserve">01_Supuestos C158 = 30%</t>
  </si>
  <si>
    <t xml:space="preserve">4. Herencia dura (espera 5 años, 75% con cónyuge)</t>
  </si>
  <si>
    <t xml:space="preserve">01_Supuestos C156 = 5; C157 = 75%</t>
  </si>
  <si>
    <t xml:space="preserve">5. Sin espera de herencia</t>
  </si>
  <si>
    <t xml:space="preserve">01_Supuestos C157 = 100%</t>
  </si>
  <si>
    <t xml:space="preserve">6. Universo amplio</t>
  </si>
  <si>
    <t xml:space="preserve">Motores 38 y 40: C25 = Amplio</t>
  </si>
  <si>
    <t xml:space="preserve">7. Impuesto fijo en 10% (sin regla)</t>
  </si>
  <si>
    <t xml:space="preserve">Motores 38 y 40: C13 = No</t>
  </si>
  <si>
    <t xml:space="preserve">8. Bono 180</t>
  </si>
  <si>
    <t xml:space="preserve">01_Supuestos C28 = 18,0</t>
  </si>
  <si>
    <t xml:space="preserve">9. Bono 160</t>
  </si>
  <si>
    <t xml:space="preserve">01_Supuestos C28 = 16,0</t>
  </si>
  <si>
    <t xml:space="preserve">10. Combinada adversa: mora 1,5% + importación 30% + herencia dura</t>
  </si>
  <si>
    <t xml:space="preserve">Pruebas 1 + 3 + 4 juntas</t>
  </si>
  <si>
    <t xml:space="preserve">11. Combinada adversa + impuesto fijo 10%</t>
  </si>
  <si>
    <t xml:space="preserve">Pruebas 1 + 3 + 4 + 7 juntas</t>
  </si>
  <si>
    <t xml:space="preserve">Lectura: las pruebas 1 a 9 cambian un supuesto a la vez; las 10 y 11 combinan varias condiciones adversas. Ninguna prueba individual requiere apoyo en el escenario del autor; en el prudente lo requieren la herencia dura (11) y sin espera de herencia (28). La combinación adversa sí requiere apoyo extraordinario: 33 (autor) y 67 (prudente) con la regla del impuesto, y 93 y 119 sin ella.</t>
  </si>
  <si>
    <t xml:space="preserve">Pruebas de la v7.6 — decisiones del autor del 21-oct-2026</t>
  </si>
  <si>
    <t xml:space="preserve">Escenario de partida: v7.6 sin cambios (escenario 1 = motor 38, costos del autor; escenario 3 = motor 40, prudente). Cada prueba cambia solo las celdas indicadas y recalcula todo el libro (21-oct-2026). Son valores de prueba, no fórmulas. Billones de pesos de 2026.</t>
  </si>
  <si>
    <t xml:space="preserve">0. v7.6 sin cambios (regla que sube y baja, banda 15%–25%)</t>
  </si>
  <si>
    <t xml:space="preserve">1. Umbral de bajada 20%</t>
  </si>
  <si>
    <t xml:space="preserve">01_Supuestos C159 = 20%</t>
  </si>
  <si>
    <t xml:space="preserve">2. Umbral de bajada 17%</t>
  </si>
  <si>
    <t xml:space="preserve">01_Supuestos C159 = 17%</t>
  </si>
  <si>
    <t xml:space="preserve">3. Demostración: umbral de alza 22% (la regla sube y después baja)</t>
  </si>
  <si>
    <t xml:space="preserve">01_Supuestos C138 = 22%</t>
  </si>
  <si>
    <t xml:space="preserve">4. Todos en el tramo bajo (+$300.000)</t>
  </si>
  <si>
    <t xml:space="preserve">01_Supuestos C161 = 300.000</t>
  </si>
  <si>
    <t xml:space="preserve">5. Todos en el tramo alto (+$400.000)</t>
  </si>
  <si>
    <t xml:space="preserve">01_Supuestos C161 = 400.000</t>
  </si>
  <si>
    <t xml:space="preserve">6. Espera de herencia 15 años</t>
  </si>
  <si>
    <t xml:space="preserve">01_Supuestos C156 = 15</t>
  </si>
  <si>
    <t xml:space="preserve">7. Espera 20 años y sin cónyuge que siga cobrando</t>
  </si>
  <si>
    <t xml:space="preserve">01_Supuestos C156 = 20; C157 = 0</t>
  </si>
  <si>
    <t xml:space="preserve">Lectura: la regla nueva queda programada y funciona (prueba 3: sube a 18%, baja a 12% cuando la reserva pasa 22%, y vuelve a subir). En los escenarios principales no alcanza a bajar dentro de 30 años, porque la reserva no vuelve a superar 25% del fondo después de que la regla sube; por eso los resultados son iguales a la v7.5. Los tramos de $300.000 o $400.000 mueven la reserva del año 30 en menos de 4 billones. La espera de herencia más larga mejora la AFJ (más rendimiento queda en el fondo de solidaridad).</t>
  </si>
  <si>
    <t xml:space="preserve">Motor v7.26 — 1 Costos del autor, sin préstamo del Banco Central, sin palancas</t>
  </si>
  <si>
    <t xml:space="preserve">v6.8 agrega al motor v6.7: cómo se financia el crédito nuevo (depósitos que vuelven, línea del Banco Central con límite y tasa, reserva), deuda que se devuelve, oro intocable con valoración aparte, crecimiento extra del PIB en la cuenta del Fisco, intereses del préstamo al Estado, tramos sobre el piso, uniformados con dotación creciente, palancas y un balance cuyo patrimonio se comprueba por movimientos. Filas en verde = nuevas.</t>
  </si>
  <si>
    <t xml:space="preserve">PARÁMETROS DEL ESCENARIO (amarillo = editable)</t>
  </si>
  <si>
    <t xml:space="preserve">Origen / nota</t>
  </si>
  <si>
    <t xml:space="preserve">Crecimiento de sueldos y ahorro de los nuevos jubilados (Sí / No)</t>
  </si>
  <si>
    <t xml:space="preserve">Administración AFJ (% del fondo)</t>
  </si>
  <si>
    <t xml:space="preserve">Pérdida definitiva de cartera (% de los créditos privados) = impago bruto C340 × (1 − cobertura C338). Resultado, no se escribe</t>
  </si>
  <si>
    <t xml:space="preserve">v7.24 prueba 12: antes era dato de entrada; ahora se calcula del impago bruto y del seguro.</t>
  </si>
  <si>
    <t xml:space="preserve">Tope del B1 (% del fondo)</t>
  </si>
  <si>
    <t xml:space="preserve">v7.1 (el autor, 19-oct-2026): 45%, regla 45/30/25 (B1 45%, B2 30%, B3 25%). Lo que no cabe en el B1 es tipo B y se invierte en Chile.</t>
  </si>
  <si>
    <t xml:space="preserve">Rendimiento real de la reserva (caja, invertida afuera)</t>
  </si>
  <si>
    <t xml:space="preserve">Acciones Espejo: «Libro» (10% del IDPC) o «Calculadora»</t>
  </si>
  <si>
    <t xml:space="preserve">Libro</t>
  </si>
  <si>
    <t xml:space="preserve">Si falta plata: «Apoyo» o «Reducir»</t>
  </si>
  <si>
    <t xml:space="preserve">Apoyo</t>
  </si>
  <si>
    <t xml:space="preserve">Regla del impuesto redirigido: sube 4 puntos por año en amarillo, hasta 30 % (Sí / No)</t>
  </si>
  <si>
    <t xml:space="preserve">NUEVO: por escenario (la revisora: separar 10% y 20%)</t>
  </si>
  <si>
    <t xml:space="preserve">Crecimiento extra del PIB por el modelo (puntos al año)</t>
  </si>
  <si>
    <t xml:space="preserve">NUEVO: 0 / 0,22% / 0,49% (Corbo y Schmidt-Hebbel 2003)</t>
  </si>
  <si>
    <t xml:space="preserve">Depósitos que vuelven a BancoEstado (% del B1 del año anterior)</t>
  </si>
  <si>
    <t xml:space="preserve">NUEVO: financian créditos; son obligación con depositantes</t>
  </si>
  <si>
    <t xml:space="preserve">Tasa real pagada a esos depósitos</t>
  </si>
  <si>
    <t xml:space="preserve">NUEVO</t>
  </si>
  <si>
    <t xml:space="preserve">Límite de la línea del Banco Central (% del PIB)</t>
  </si>
  <si>
    <t xml:space="preserve">v7.3: sin línea del Banco Central. Los tipo B nunca pasan del respaldo del Bono: si la reserva llega al piso, se frena el crédito para importar.</t>
  </si>
  <si>
    <t xml:space="preserve">Tasa real de la línea del Banco Central</t>
  </si>
  <si>
    <t xml:space="preserve">Piso de la reserva que no se usa para financiar créditos (% del fondo)</t>
  </si>
  <si>
    <t xml:space="preserve">Orden de financiamiento: «BC» (primero Banco Central) o «Reserva»</t>
  </si>
  <si>
    <t xml:space="preserve">Reserva</t>
  </si>
  <si>
    <t xml:space="preserve">v7.3: lo importado se paga primero con la reserva (plata real del Bono).</t>
  </si>
  <si>
    <t xml:space="preserve">Oro (% del B3)</t>
  </si>
  <si>
    <t xml:space="preserve">NUEVO: 10% del B3, acuerdo del autor</t>
  </si>
  <si>
    <t xml:space="preserve">B3 (% del fondo)</t>
  </si>
  <si>
    <t xml:space="preserve">NUEVO: 25% (el autor, 17-oct)</t>
  </si>
  <si>
    <t xml:space="preserve">Variación real anual del precio del oro en pesos</t>
  </si>
  <si>
    <t xml:space="preserve">NUEVO: escenarios −2% / 0% / +2%; es valoración, no caja</t>
  </si>
  <si>
    <t xml:space="preserve">Custodia y seguro del oro (% del valor al año)</t>
  </si>
  <si>
    <t xml:space="preserve">Universo civil: «Amplio» (v6.7) o «Verificado» (con tramos sobre el piso del Cap. 11)</t>
  </si>
  <si>
    <t xml:space="preserve">Verificado</t>
  </si>
  <si>
    <t xml:space="preserve">v7.4 (el autor, 21-oct-2026): universo verificado (SP): 476.181 sin ahorro + 328.204 con brecha + 297.000 sobre el piso (complemento recuperable). El amplio queda como prueba de prudencia (hoja 66).</t>
  </si>
  <si>
    <t xml:space="preserve">Capital propio promedio de los civiles sobre el piso ($)</t>
  </si>
  <si>
    <t xml:space="preserve">NUEVO: supuesto mínimo = $539.000 × 240; por verificar</t>
  </si>
  <si>
    <t xml:space="preserve">Crecimiento anual de la dotación de uniformados</t>
  </si>
  <si>
    <t xml:space="preserve">Crecimiento real anual de sueldos de uniformados</t>
  </si>
  <si>
    <t xml:space="preserve">Años de entrada de los grupos iniciales (palanca 1; 1 = como v6.7)</t>
  </si>
  <si>
    <t xml:space="preserve">Parte del ahorro del Fisco (gasto militar + PGU evitada) traspasada por ley a la AFJ (palanca 3)</t>
  </si>
  <si>
    <t xml:space="preserve">v7.4 (el autor, 21-oct-2026): 0. El gasto militar liberado y la PGU evitada son compensación para el Fisco: no se traspasan a la AFJ.</t>
  </si>
  <si>
    <t xml:space="preserve">Años para bajar el préstamo al Estado al techo desde el año 11 (0 = de golpe, como v6.7)</t>
  </si>
  <si>
    <t xml:space="preserve">El apoyo extraordinario lo financia el Fisco (Sí / No)</t>
  </si>
  <si>
    <t xml:space="preserve">NUEVO: La revisora pide atribuirlo</t>
  </si>
  <si>
    <t xml:space="preserve">Carga tributaria (impuestos / PIB) para el crecimiento extra</t>
  </si>
  <si>
    <t xml:space="preserve">NUEVO: ≈21%, por confirmar con fuente</t>
  </si>
  <si>
    <t xml:space="preserve">Otros ingresos del Estado que dan holgura (minería, etc.; $ bill./año)</t>
  </si>
  <si>
    <t xml:space="preserve">NUEVO: línea aparte, no es efecto del modelo</t>
  </si>
  <si>
    <t xml:space="preserve">Repagar la línea del Banco Central con reserva sobre el umbral verde (Sí / No)</t>
  </si>
  <si>
    <t xml:space="preserve">v7.1: No. Desde la v7.22 no hay línea del Banco Central en ningún escenario, así que no hay nada que repagar.</t>
  </si>
  <si>
    <t xml:space="preserve">Valor de 1 tonelada de oro hoy ($ bill.): 32.150,7 onzas × US$4.165 × $959</t>
  </si>
  <si>
    <t xml:space="preserve">AÑO Y ECONOMÍA</t>
  </si>
  <si>
    <t xml:space="preserve">PIB real</t>
  </si>
  <si>
    <t xml:space="preserve">Factor de crecimiento del ahorro</t>
  </si>
  <si>
    <t xml:space="preserve">Deflactor IPC</t>
  </si>
  <si>
    <t xml:space="preserve">ENTRADAS A LAS CUENTAS</t>
  </si>
  <si>
    <t xml:space="preserve">Capital de los grupos al entrar, sin gradualidad</t>
  </si>
  <si>
    <t xml:space="preserve">Ahorro AFP real de los civiles, sin gradualidad</t>
  </si>
  <si>
    <t xml:space="preserve">Capital de uniformados extra por crecimiento de dotación (se jubilan 30 años después)</t>
  </si>
  <si>
    <t xml:space="preserve">Capital de los grupos al entrar (con gradualidad y uniformados extra)</t>
  </si>
  <si>
    <t xml:space="preserve">Ahorro AFP real de los civiles</t>
  </si>
  <si>
    <t xml:space="preserve">Complemento de nuevos jubilados</t>
  </si>
  <si>
    <t xml:space="preserve">Ahorro AFP propio de los nuevos jubilados</t>
  </si>
  <si>
    <t xml:space="preserve">DINERO REAL QUE ENTRA A LA AFJ</t>
  </si>
  <si>
    <t xml:space="preserve">Aporte del Estado</t>
  </si>
  <si>
    <t xml:space="preserve">Recaudación IDPC total (con crecimiento extra)</t>
  </si>
  <si>
    <t xml:space="preserve">% del IDPC redirigido a la AFJ (v7.22: sube 4 puntos porcentuales de la fracción del IDPC por año si la reserva &lt; 15 % del fondo; baja 2 puntos por año si &gt; 25 %; entre 10 % y 30 %). No es un alza de la tasa del impuesto a las empresas.</t>
  </si>
  <si>
    <t xml:space="preserve">Acciones Espejo (flujo del impuesto redirigido)</t>
  </si>
  <si>
    <t xml:space="preserve">Complemento pagado con dinero real (años 1 a 10)</t>
  </si>
  <si>
    <t xml:space="preserve">Cotización 6% de uniformados (crece con dotación y sueldos)</t>
  </si>
  <si>
    <t xml:space="preserve">Traspaso por ley de ahorros del Fisco a la AFJ</t>
  </si>
  <si>
    <t xml:space="preserve">CAPITAL CREADO</t>
  </si>
  <si>
    <t xml:space="preserve">Saldo recuperable de los tramos sobre el piso</t>
  </si>
  <si>
    <t xml:space="preserve">Capital por crear antes del 6% de uniformados</t>
  </si>
  <si>
    <t xml:space="preserve">6% de uniformados que reemplaza capital creado</t>
  </si>
  <si>
    <t xml:space="preserve">Capital base creado en el año</t>
  </si>
  <si>
    <t xml:space="preserve">Capital base creado acumulado</t>
  </si>
  <si>
    <t xml:space="preserve">Fortalecimiento comprometido acumulado (v7.27: la devolución del préstamo de la fila 63 ya no lo reduce; el fortalecimiento adquirido es de la familia)</t>
  </si>
  <si>
    <t xml:space="preserve">Capital base de la pensión (acumulado)</t>
  </si>
  <si>
    <t xml:space="preserve">Dinero real dentro de las cuentas (acumulado)</t>
  </si>
  <si>
    <t xml:space="preserve">LIQUIDEZ PARA COLOCAR CRÉDITOS (NUEVO)</t>
  </si>
  <si>
    <t xml:space="preserve">Plata de la AFJ que queda en los bancos (tipo A que se netea + inversiones en Chile; v7.3: solo lo importado sale)</t>
  </si>
  <si>
    <t xml:space="preserve">Variación de esos depósitos</t>
  </si>
  <si>
    <t xml:space="preserve">Límite de la línea del Banco Central</t>
  </si>
  <si>
    <t xml:space="preserve">Piso de la reserva</t>
  </si>
  <si>
    <t xml:space="preserve">Financiamiento disponible para crédito nuevo (v7.5: reserva anterior + Bono del año − piso, y cupo de la línea)</t>
  </si>
  <si>
    <t xml:space="preserve">COLOCACIÓN EN EL B1 (solo plata creada)</t>
  </si>
  <si>
    <t xml:space="preserve">Colocación máxima (ritmo y financiamiento) — v7.21: con tope de la AFJ en el crédito del país (01_Supuestos C179)</t>
  </si>
  <si>
    <t xml:space="preserve">Capital base prestado</t>
  </si>
  <si>
    <t xml:space="preserve">Fortalecimiento acreditado (acumulado)</t>
  </si>
  <si>
    <t xml:space="preserve">Fondo de las familias</t>
  </si>
  <si>
    <t xml:space="preserve">Fortalecimiento prestado</t>
  </si>
  <si>
    <t xml:space="preserve">B1 — créditos vigentes</t>
  </si>
  <si>
    <t xml:space="preserve">Plata creada sin prestar (antes de invertirla en Chile)</t>
  </si>
  <si>
    <t xml:space="preserve">  de eso: préstamo al Estado</t>
  </si>
  <si>
    <t xml:space="preserve">  de eso: aporte ambiental</t>
  </si>
  <si>
    <t xml:space="preserve">  de eso: personas y empresas</t>
  </si>
  <si>
    <t xml:space="preserve">Impuesto nuevo de los proyectos ambientales</t>
  </si>
  <si>
    <t xml:space="preserve">CÓMO SE FINANCIA EL CRÉDITO NUEVO (NUEVO)</t>
  </si>
  <si>
    <t xml:space="preserve">Crédito nuevo neto que hay que financiar</t>
  </si>
  <si>
    <t xml:space="preserve">Tomado de la línea del Banco Central</t>
  </si>
  <si>
    <t xml:space="preserve">Tomado de la reserva</t>
  </si>
  <si>
    <t xml:space="preserve">Devuelto a la línea (créditos que bajan)</t>
  </si>
  <si>
    <t xml:space="preserve">Vuelve a la reserva</t>
  </si>
  <si>
    <t xml:space="preserve">Repago de la línea con reserva excedente</t>
  </si>
  <si>
    <t xml:space="preserve">DEUDA CON EL BANCO CENTRAL (fin de año)</t>
  </si>
  <si>
    <t xml:space="preserve">Intereses de la línea</t>
  </si>
  <si>
    <t xml:space="preserve">Intereses de los depósitos</t>
  </si>
  <si>
    <t xml:space="preserve">ORO (NUEVO: intocable, comprado con la reserva)</t>
  </si>
  <si>
    <t xml:space="preserve">Oro meta (10% del B3)</t>
  </si>
  <si>
    <t xml:space="preserve">Valoración del oro (no es caja)</t>
  </si>
  <si>
    <t xml:space="preserve">Custodia y seguro</t>
  </si>
  <si>
    <t xml:space="preserve">ORO (valor, fin de año)</t>
  </si>
  <si>
    <t xml:space="preserve">Oro en toneladas</t>
  </si>
  <si>
    <t xml:space="preserve">RENDIMIENTOS Y PAGOS</t>
  </si>
  <si>
    <t xml:space="preserve">Rendimiento del B1 — v7.24 prueba 11: los intereses de personas y empresas se calculan sobre la parte que sí paga (× (1 − C340))</t>
  </si>
  <si>
    <t xml:space="preserve">Pérdida de cartera que paga la caja = impago bruto − indemnización cobrada en el año (filas 330 y 332; sin espera = fila 87 × C8)</t>
  </si>
  <si>
    <t xml:space="preserve">PENSIONES QUE SE PAGAN (prometidas − espera de herencia, fila 218)</t>
  </si>
  <si>
    <t xml:space="preserve">Administración</t>
  </si>
  <si>
    <t xml:space="preserve">Saldo del año (rendimientos − pensiones − costos)</t>
  </si>
  <si>
    <t xml:space="preserve">Reserva antes de cubrir faltantes</t>
  </si>
  <si>
    <t xml:space="preserve">Faltante del año</t>
  </si>
  <si>
    <t xml:space="preserve">CÓMO SE CUBRE LO QUE FALTA</t>
  </si>
  <si>
    <t xml:space="preserve">APOYO EXTRAORDINARIO PARA PENSIONES</t>
  </si>
  <si>
    <t xml:space="preserve">Pensión que no se paga (modo Reducir)</t>
  </si>
  <si>
    <t xml:space="preserve">RESERVA EN CAJA (sin oro, fin de año)</t>
  </si>
  <si>
    <t xml:space="preserve">Crecimiento acumulado de las cuentas</t>
  </si>
  <si>
    <t xml:space="preserve">Reserva / fondo (semáforo)</t>
  </si>
  <si>
    <t xml:space="preserve">Semáforo</t>
  </si>
  <si>
    <t xml:space="preserve">Apoyo acumulado</t>
  </si>
  <si>
    <t xml:space="preserve">Auxiliar: año con apoyo</t>
  </si>
  <si>
    <t xml:space="preserve">INDICADORES</t>
  </si>
  <si>
    <t xml:space="preserve">Faltante operativo del año (si el saldo es negativo)</t>
  </si>
  <si>
    <t xml:space="preserve">Años de pensiones que cubre la reserva (faltante promedio de los 5 años siguientes)</t>
  </si>
  <si>
    <t xml:space="preserve">Créditos del B1 / PIB</t>
  </si>
  <si>
    <t xml:space="preserve">Deuda con el Banco Central / PIB</t>
  </si>
  <si>
    <t xml:space="preserve">Apoyo del año / PIB</t>
  </si>
  <si>
    <t xml:space="preserve">CUENTA DEL FISCO</t>
  </si>
  <si>
    <t xml:space="preserve">Aporte del Estado (−)</t>
  </si>
  <si>
    <t xml:space="preserve">Impuesto que deja de recibir por las Acciones Espejo (−)</t>
  </si>
  <si>
    <t xml:space="preserve">Gasto militar liberado (+)</t>
  </si>
  <si>
    <t xml:space="preserve">IVA adicional (+) — v7.3: 10% del ingreso nuevo de los jubilados</t>
  </si>
  <si>
    <t xml:space="preserve">Bonos extra absorbidos (+)</t>
  </si>
  <si>
    <t xml:space="preserve">PGU evitada (+)</t>
  </si>
  <si>
    <t xml:space="preserve">Impuesto de los proyectos ambientales (+)</t>
  </si>
  <si>
    <t xml:space="preserve">Subtotal: líneas de la v6.7</t>
  </si>
  <si>
    <t xml:space="preserve">Intereses que paga el Fisco a la AFJ por su préstamo (−) (NUEVO)</t>
  </si>
  <si>
    <t xml:space="preserve">Intereses que se ahorra al no emitir deuda de mercado al 2,7% (+) (NUEVO)</t>
  </si>
  <si>
    <t xml:space="preserve">PIB extra por el modelo</t>
  </si>
  <si>
    <t xml:space="preserve">Impuestos por el crecimiento extra (+) (NUEVO)</t>
  </si>
  <si>
    <t xml:space="preserve">Otros ingresos del Estado (+) (NUEVO)</t>
  </si>
  <si>
    <t xml:space="preserve">Apoyo extraordinario financiado por el Fisco (−) (NUEVO)</t>
  </si>
  <si>
    <t xml:space="preserve">Traspaso de ahorros a la AFJ (−) (NUEVO)</t>
  </si>
  <si>
    <t xml:space="preserve">Resultado del Fisco en el año</t>
  </si>
  <si>
    <t xml:space="preserve">Resultado del Fisco acumulado</t>
  </si>
  <si>
    <t xml:space="preserve">Auxiliar: año en que el Fisco acumulado queda positivo</t>
  </si>
  <si>
    <t xml:space="preserve">BALANCE DE LA AFJ (NUEVO: con movimientos comprobables)</t>
  </si>
  <si>
    <t xml:space="preserve">Reserva en caja</t>
  </si>
  <si>
    <t xml:space="preserve">Plata real de las cuentas invertida (B2 y B3)</t>
  </si>
  <si>
    <t xml:space="preserve">TOTAL ACTIVOS</t>
  </si>
  <si>
    <t xml:space="preserve">Cuentas de las familias (capital base + fortalecimiento + crecimiento)</t>
  </si>
  <si>
    <t xml:space="preserve">Deuda con el Banco Central</t>
  </si>
  <si>
    <t xml:space="preserve">Depósitos que vuelven</t>
  </si>
  <si>
    <t xml:space="preserve">TOTAL PASIVOS</t>
  </si>
  <si>
    <t xml:space="preserve">PATRIMONIO (activos − pasivos)</t>
  </si>
  <si>
    <t xml:space="preserve">Capital acreditado sin dinero real (creación)</t>
  </si>
  <si>
    <t xml:space="preserve">PATRIMONIO por movimientos (entradas + saldo + valoración − crecimiento − creación)</t>
  </si>
  <si>
    <t xml:space="preserve">CHECK: balance − movimientos (debe ser 0)</t>
  </si>
  <si>
    <t xml:space="preserve">Reforma de pensiones 2025 (Ley 21.735): el ahorro AFP de los nuevos jubilados crece con el calendario de la ley (Sí / No)</t>
  </si>
  <si>
    <t xml:space="preserve">Solo la parte que va a la cuenta individual (0,1% en 2025 hasta 4,5% desde 2033), carrera de 40 años, ponderada por rentabilidad 3,5%. No incluye la rentabilidad protegida (1,5%): conservador</t>
  </si>
  <si>
    <t xml:space="preserve">PARÁMETROS NUEVOS v6.9 (amarillo = editable)</t>
  </si>
  <si>
    <t xml:space="preserve">Invertir en Chile la plata creada que no se presta (Sí / No)</t>
  </si>
  <si>
    <t xml:space="preserve">v7.3: la plata creada que no cabe en el B1 (45%) se invierte en Chile en bonos de Tesorería y de empresas sólidas; nunca en papeles del Banco Central.</t>
  </si>
  <si>
    <t xml:space="preserve">Tope en bonos de Tesorería y de empresas sólidas (% del PIB)</t>
  </si>
  <si>
    <t xml:space="preserve">v7.10 (el autor, 21-oct-2026): tope 12% del PIB (antes 9%). Cuenta «B3-A»: inversión de largo plazo en Chile de la plata creada que no cabe en el B1. Su capital no se suma a la reserva, pero su rendimiento (fila 184) sí entra a la caja y, por esa vía, influye en la regla del impuesto. La inversión puede bajar si se necesita para el B1.</t>
  </si>
  <si>
    <t xml:space="preserve">Tasa real de los bonos chilenos</t>
  </si>
  <si>
    <t xml:space="preserve">Supuesto; bonos del Estado y de empresas</t>
  </si>
  <si>
    <t xml:space="preserve">Tope en papeles del Banco Central (% del PIB)</t>
  </si>
  <si>
    <t xml:space="preserve">v7.3: 0. La AFJ no le presta al Banco Central (el autor, 19-oct-2026).</t>
  </si>
  <si>
    <t xml:space="preserve">Tasa real de los papeles del Banco Central</t>
  </si>
  <si>
    <t xml:space="preserve">Supuesto</t>
  </si>
  <si>
    <t xml:space="preserve">Parte de los créditos del B1 que se usan para importar (tipo B; regla proporcional sobre el saldo, referencia)</t>
  </si>
  <si>
    <t xml:space="preserve">v7.3: lo que se gasta en Chile es tipo A y se netea entre bancos; solo lo importado necesita dólares (01_Supuestos V7).</t>
  </si>
  <si>
    <t xml:space="preserve">Circuito del autor: todos los bancos aceptan la plata de la AFJ (Sí / No)</t>
  </si>
  <si>
    <t xml:space="preserve">No = como v6.8 (depósitos que vuelven a BancoEstado al año siguiente)</t>
  </si>
  <si>
    <t xml:space="preserve">v7.1: 4% del PIB al año (escenarios del autor).</t>
  </si>
  <si>
    <t xml:space="preserve">Tasa real del crédito a personas y empresas (IPC + …)</t>
  </si>
  <si>
    <t xml:space="preserve">El autor, 18-oct: IPC + 4,3% para dar más margen (v6.8: IPC + 4%)</t>
  </si>
  <si>
    <t xml:space="preserve">Parte del seguro de los deudores que paga la reserva (% de los créditos al año)</t>
  </si>
  <si>
    <t xml:space="preserve">v7.8 (el autor, 21-oct-2026): el seguro lo paga entero el deudor, sumado a su cuota; la reserva no paga seguro (0%). Antes: 0,2% con semáforo verde.</t>
  </si>
  <si>
    <t xml:space="preserve">Años en que se acredita el aumento ×1,34 (1 = todo al entrar)</t>
  </si>
  <si>
    <t xml:space="preserve">El autor, 18-oct (con acuerdo de la revisora): en 10 años, al ritmo del Bono Soberano. El Bono financia el arranque; no queda como respaldo permanente del aumento (hoja 48)</t>
  </si>
  <si>
    <t xml:space="preserve">PLATA CREADA SIN PRESTAR, INVERTIDA EN CHILE (NUEVO v6.9)</t>
  </si>
  <si>
    <t xml:space="preserve">Financiamiento que queda para invertir (después del B1)</t>
  </si>
  <si>
    <t xml:space="preserve">Inversión posible (plata sin prestar, con topes)</t>
  </si>
  <si>
    <t xml:space="preserve">Inversión en Chile (fin de año) — v7.3: bonos de Tesorería y empresas; se netea en Chile como la tipo A</t>
  </si>
  <si>
    <t xml:space="preserve">  en bonos chilenos</t>
  </si>
  <si>
    <t xml:space="preserve">  en papeles del Banco Central</t>
  </si>
  <si>
    <t xml:space="preserve">Variación de la inversión</t>
  </si>
  <si>
    <t xml:space="preserve">Plata creada que queda sin trabajar</t>
  </si>
  <si>
    <t xml:space="preserve">Inversiones en Chile (activo del balance)</t>
  </si>
  <si>
    <t xml:space="preserve">Intereses que paga el Banco Central por sus papeles</t>
  </si>
  <si>
    <t xml:space="preserve">Aumento ×1,34 comprometido en el año</t>
  </si>
  <si>
    <t xml:space="preserve">Seguro de deudores pagado por la reserva (solo con semáforo verde el año anterior)</t>
  </si>
  <si>
    <t xml:space="preserve">Informativo: intereses que pagaría el Fisco si el Bono se financia con deuda al 2,7% real</t>
  </si>
  <si>
    <t xml:space="preserve">Informativo: Fisco acumulado si el Bono se financia con deuda</t>
  </si>
  <si>
    <t xml:space="preserve">Reforma 2025 (Ley 21.735): ahorro AFP de los nuevos jubilados respecto de la calculadora (factor)</t>
  </si>
  <si>
    <t xml:space="preserve">Complemento que ya no hay que crear por el ahorro extra de la reforma</t>
  </si>
  <si>
    <t xml:space="preserve">ESPERA DE HERENCIA: el jubilado fallece y el heredero aún no jubila; la cuenta del heredero solo se reajusta por IPC (conserva su poder de compra)</t>
  </si>
  <si>
    <t xml:space="preserve">Capital de los jubilados iniciales (entrada acumulada)</t>
  </si>
  <si>
    <t xml:space="preserve">Parte del capital inicial en espera de herencia (calculada por cohorte de entrada)</t>
  </si>
  <si>
    <t xml:space="preserve">Pensiones que no se pagan mientras el heredero no jubila (por cohorte: cada grupo desde su año de entrada)</t>
  </si>
  <si>
    <t xml:space="preserve">Control: faltante de financiamiento (debe ser 0). Si no hay caja ni cupo, la colocación se reduce (fila 76).</t>
  </si>
  <si>
    <t xml:space="preserve">AHORRO DE PAGOS DURANTE LA ESPERA (v7.8; antes «fondo de solidaridad»): pensiones que no se pagan mientras el heredero no jubila (= fila 218). No mide el rendimiento de los activos de esas cuentas; ya está incluido en la caja (fila 111), no se suma de nuevo.</t>
  </si>
  <si>
    <t xml:space="preserve">Costo de operación de la AFJ (fila 112: 0,1% del fondo en este escenario, estimación de costo)</t>
  </si>
  <si>
    <t xml:space="preserve">Indicador de holgura: ahorro de pagos en espera / costo de operación (no es recaudación de un fondo separado)</t>
  </si>
  <si>
    <t xml:space="preserve">Diferencia: ahorro de pagos en espera − costo de operación (informativo, no se suma a la caja)</t>
  </si>
  <si>
    <t xml:space="preserve">B2 QUE FINANCIA IMPORTACIONES DEL B1 (v7.9, idea del autor)</t>
  </si>
  <si>
    <t xml:space="preserve">Tope: parte del B2 que puede financiar lo importado del B1 (% del B2)</t>
  </si>
  <si>
    <t xml:space="preserve">v7.9: lo importado del B1 se financia primero con dólares del B2 hasta este tope; el resto, con la reserva (sin línea del Banco Central desde la v7.22). El B2 es el 30/55 de la plata real de las cuentas.</t>
  </si>
  <si>
    <t xml:space="preserve">Créditos de importación financiados con el B2 (saldo fin de año)</t>
  </si>
  <si>
    <t xml:space="preserve">Variación del año</t>
  </si>
  <si>
    <t xml:space="preserve">Pérdida por años de rendimiento real negativo (prueba de 01_Supuestos C163, C164 y C168; entra a la caja en la fila 113)</t>
  </si>
  <si>
    <t xml:space="preserve">HERENCIAS EN ESPERA: CAPITAL, RESPALDO, RENDIMIENTO Y REPARTO (v7.12, pedido de la revisora). Informativo: no se suma a la caja, porque ese rendimiento ya está en las filas 107, 109, 110 y 184.</t>
  </si>
  <si>
    <t xml:space="preserve">Parte de la AFJ: puntos de rendimiento real sobre el capital en espera (decisión del autor, 21-oct)</t>
  </si>
  <si>
    <t xml:space="preserve">Capital en espera de herencia (fin de año) = fila 216 × fila 217. Solo jubilados iniciales (primera generación), no todas las generaciones futuras.</t>
  </si>
  <si>
    <t xml:space="preserve">Rendimiento real promedio de los activos del fondo (rendimientos − pérdidas − pérdida de la prueba) / fondo del año anterior</t>
  </si>
  <si>
    <t xml:space="preserve">Rendimiento real atribuible a las cuentas en espera (capital promedio del año × tasa del año). Es una atribución proporcional: no identifica activos concretos.</t>
  </si>
  <si>
    <t xml:space="preserve">Para la AFJ (administración): hasta 0,5 puntos del capital en espera, solo si hay rendimiento</t>
  </si>
  <si>
    <t xml:space="preserve">Para el fondo de estabilización (v7.14; antes «solidaridad»): el resto del rendimiento real</t>
  </si>
  <si>
    <t xml:space="preserve">Faltante en años de rendimiento real negativo (lo cubre la reserva: el heredero conserva el IPC)</t>
  </si>
  <si>
    <t xml:space="preserve">Cobertura del costo de operación del año (fila 112) con la parte de la AFJ</t>
  </si>
  <si>
    <t xml:space="preserve">Regla: el heredero recibe siempre el IPC; si el rendimiento real es menor que 0,5 puntos, la AFJ toma solo lo que hay y solidaridad recibe 0; si es negativo, la reserva cubre la diferencia.</t>
  </si>
  <si>
    <t xml:space="preserve">FONDO DE ESTABILIZACIÓN (v7.16): parte apartada de la reserva. Protege primero el IPC de los herederos en espera y después la pérdida general de años malos. Cada año se concilia con la reserva: reserva = fondo respaldado + resto.</t>
  </si>
  <si>
    <t xml:space="preserve">Mínimo del fondo ($ billones, 01_Supuestos C165)</t>
  </si>
  <si>
    <t xml:space="preserve">Acuerdo para regalar (01_Supuestos C166)</t>
  </si>
  <si>
    <t xml:space="preserve">Aporte del año (fila 236)</t>
  </si>
  <si>
    <t xml:space="preserve">Uso 1: IPC de los herederos en años malos (fila 237)</t>
  </si>
  <si>
    <t xml:space="preserve">Regalo a las cuentas de los más pobres (con acuerdo; semáforo verde, impuesto en su mínimo y reserva ≥ 20% el año anterior; tope para que, después del regalo y de la baja esperada del año (igual a la del año anterior), la reserva siga ≥ 20%)</t>
  </si>
  <si>
    <t xml:space="preserve">Uso 2: pérdida general del año malo (fila 229 menos lo de herederos)</t>
  </si>
  <si>
    <t xml:space="preserve">Fondo antes de conciliar con la reserva</t>
  </si>
  <si>
    <t xml:space="preserve">Fondo de estabilización respaldado (fin de año) = mínimo entre el fondo y la reserva</t>
  </si>
  <si>
    <t xml:space="preserve">Fondo usado para otros faltantes de la reserva (conciliación)</t>
  </si>
  <si>
    <t xml:space="preserve">Resto de la reserva (reserva − fondo respaldado)</t>
  </si>
  <si>
    <t xml:space="preserve">Control: reserva − fondo − resto (debe ser 0)</t>
  </si>
  <si>
    <t xml:space="preserve">Fondo respaldado / reserva en caja</t>
  </si>
  <si>
    <t xml:space="preserve">QUIÉN PAGA LA ADMINISTRACIÓN (informativo: el costo ya está descontado en la fila 112; aquí solo se distribuye su financiamiento)</t>
  </si>
  <si>
    <t xml:space="preserve">Costo de administración del año (fila 112)</t>
  </si>
  <si>
    <t xml:space="preserve">Pagado con la ganancia de las herencias en espera (hasta 0,5 puntos, fila 235)</t>
  </si>
  <si>
    <t xml:space="preserve">Pagado con los rendimientos generales del año</t>
  </si>
  <si>
    <t xml:space="preserve">Pagado con la reserva (años en que los rendimientos no alcanzan)</t>
  </si>
  <si>
    <t xml:space="preserve">COLCHÓN DE LIQUIDEZ PARA LIQUIDAR ENTRE BANCOS (v7.17; v7.20): bonos líquidos propios del B3. Por decisión del autor no se pide préstamo ni garantía del Banco Central (01_Supuestos C174 = No).</t>
  </si>
  <si>
    <t xml:space="preserve">Colchón requerido (% de la plata creada que circula, 01_Supuestos C169)</t>
  </si>
  <si>
    <t xml:space="preserve">Plata creada que circula en los bancos (B1 − respaldo B ocupado vigente, fila 326, + inversión en Chile). v7.24 prueba 9: igual a la fila 72</t>
  </si>
  <si>
    <t xml:space="preserve">Colchón requerido</t>
  </si>
  <si>
    <t xml:space="preserve">B3 en liquidez disponible (como en la fila 109; sin costo extra: ya rinde como liquidez)</t>
  </si>
  <si>
    <t xml:space="preserve">Parte del colchón que pone la reserva (lo que no cabe en el B3)</t>
  </si>
  <si>
    <t xml:space="preserve">Costo del colchón (parte de la reserva × diferencia de rendimiento; entra a la fila 113)</t>
  </si>
  <si>
    <t xml:space="preserve">Colchón / B3 en liquidez</t>
  </si>
  <si>
    <t xml:space="preserve">Reserva libre del colchón (reserva − parte de la reserva en el colchón; ver fila 276)</t>
  </si>
  <si>
    <t xml:space="preserve">Interés pagado por los saldos AFJ en los bancos (01_Supuestos C171 × fila 261; entra a la fila 113)</t>
  </si>
  <si>
    <t xml:space="preserve">CONVERSIÓN DE SALDOS AFJ EN RESERVAS (v7.19, prueba de la revisora; v7.20: con recursos propios de la AFJ)</t>
  </si>
  <si>
    <t xml:space="preserve">Conversión que piden los bancos (01_Supuestos C173 × fila 261)</t>
  </si>
  <si>
    <t xml:space="preserve">Cubierta con bonos líquidos del B3: entregados o vendidos, recursos propios (C174 = No); o como garantía de un préstamo del Banco Central (C174 = Sí, cálculo de la v7.19)</t>
  </si>
  <si>
    <t xml:space="preserve">Cubierta con la reserva (incluye la parte de la reserva que ya estaba en el colchón)</t>
  </si>
  <si>
    <t xml:space="preserve">Sin cubrir (debe ser 0)</t>
  </si>
  <si>
    <t xml:space="preserve">Costo para la AFJ de convertir (entra a la fila 113). C174 = No: lo que dejan de rendir los bonos del B3 entregados (01_Supuestos I134) y la reserva entregada, medida con la reserva al inicio del año (la parte del colchón, a la tasa del B3; el resto, a la tasa de la reserva). C174 = Sí: costo del préstamo (C172; 0 por la ley)</t>
  </si>
  <si>
    <t xml:space="preserve">Informativo: costo para el Banco Central de su préstamo, a la tasa de sus papeles (solo si C174 = Sí)</t>
  </si>
  <si>
    <t xml:space="preserve">Reserva disponible (v7.19): reserva − lo comprometido (lo mayor entre la parte de la reserva en el colchón, fila 264, y la conversión cubierta con reserva, fila 272; es el mismo respaldo, no se suma dos veces). La usan el financiamiento de créditos (76, 92, 95), las compras de oro (103), el regalo (245), el semáforo (122) y el fondo de estabilización (248)</t>
  </si>
  <si>
    <t xml:space="preserve">Préstamo del Banco Central usado para convertir saldos (v7.20: 0, salvo 01_Supuestos C174 = Sí)</t>
  </si>
  <si>
    <t xml:space="preserve">CRÉDITOS POR DESTINO: PERSONAS, EMPRESAS Y ESTADO (v7.20, pedido de la revisora y el autor). Informativo: reparte los créditos del B1 (fila 83) sin cambiar ningún resultado.</t>
  </si>
  <si>
    <t xml:space="preserve">Parte de los créditos a personas y empresas que va a personas (01_Supuestos C175, por decidir)</t>
  </si>
  <si>
    <t xml:space="preserve">Plazo promedio, personas (vivienda), años (01_Supuestos C176)</t>
  </si>
  <si>
    <t xml:space="preserve">Plazo promedio, empresas, años (01_Supuestos C177)</t>
  </si>
  <si>
    <t xml:space="preserve">Plazo promedio, Estado, años (01_Supuestos C178)</t>
  </si>
  <si>
    <t xml:space="preserve">PERSONAS (vivienda)</t>
  </si>
  <si>
    <t xml:space="preserve">  Deuda pendiente (fin de año)</t>
  </si>
  <si>
    <t xml:space="preserve">  Capital cobrado en el año (cuota sobre el saldo que sí paga, o lo que baje la deuda si es más)</t>
  </si>
  <si>
    <t xml:space="preserve">  Préstamos nuevos del año = saldo final − saldo anterior + capital cobrado + capital castigado (incluye reponer lo castigado)</t>
  </si>
  <si>
    <t xml:space="preserve">  Intereses del año (IPC + tasa de la fila 175; pagan pensiones)</t>
  </si>
  <si>
    <t xml:space="preserve">EMPRESAS</t>
  </si>
  <si>
    <t xml:space="preserve">  Capital cobrado en el año (cuota sobre el saldo que sí paga; más el pago anticipado de la prueba 01_Supuestos C189-C190, sobre el saldo que queda después de la cuota)</t>
  </si>
  <si>
    <t xml:space="preserve">ESTADO</t>
  </si>
  <si>
    <t xml:space="preserve">  Deuda pendiente (fin de año) (fila 85)</t>
  </si>
  <si>
    <t xml:space="preserve">  Capital devuelto en el año</t>
  </si>
  <si>
    <t xml:space="preserve">  Préstamos nuevos del año</t>
  </si>
  <si>
    <t xml:space="preserve">  Intereses del año (01_Supuestos G2; pagan pensiones)</t>
  </si>
  <si>
    <t xml:space="preserve">Aporte ambiental (fila 86): no es préstamo, no se devuelve; se compensa con Acciones Espejo</t>
  </si>
  <si>
    <t xml:space="preserve">TOTAL préstamos nuevos del año</t>
  </si>
  <si>
    <t xml:space="preserve">TOTAL capital devuelto en el año (se netea: se anula la plata creada)</t>
  </si>
  <si>
    <t xml:space="preserve">TOTAL deuda pendiente (fin de año)</t>
  </si>
  <si>
    <t xml:space="preserve">TOTAL intereses del año</t>
  </si>
  <si>
    <t xml:space="preserve">Control: deuda por destino + aporte ambiental − créditos del B1, fila 83 (debe ser 0)</t>
  </si>
  <si>
    <t xml:space="preserve">Control: intereses por destino − rendimiento del B1 sin el impuesto ambiental, fila 107 (debe ser 0)</t>
  </si>
  <si>
    <t xml:space="preserve">Control del neteo: deuda anterior + nuevos − cobrado − castigado − deuda final (debe ser 0)</t>
  </si>
  <si>
    <t xml:space="preserve">ACCIÓN ESPEJO: LÍMITE DE EMISIÓN (regla del autor: registra el derecho del jubilado y limita la emisión; no pone plata)</t>
  </si>
  <si>
    <t xml:space="preserve">Derecho de los jubilados registrado en Acciones Espejo (fondo de las familias, fila 81)</t>
  </si>
  <si>
    <t xml:space="preserve">Créditos vinculados a Acciones Espejo (personas + empresas + Estado)</t>
  </si>
  <si>
    <t xml:space="preserve">Acciones Espejo libres para vincular a créditos nuevos</t>
  </si>
  <si>
    <t xml:space="preserve">Créditos vinculados por cada $100 de derecho (el tope del B1 lo limita a $45)</t>
  </si>
  <si>
    <t xml:space="preserve">Control: créditos que superan el derecho registrado (debe ser 0)</t>
  </si>
  <si>
    <t xml:space="preserve">CÓMO SE PAGAN LAS PENSIONES (el flujo del impuesto redirigido entra una sola vez, a la caja, fila 114; no amplía la emisión)</t>
  </si>
  <si>
    <t xml:space="preserve">Pensiones que se pagan (fila 111)</t>
  </si>
  <si>
    <t xml:space="preserve">Intereses de los créditos (fila 302)</t>
  </si>
  <si>
    <t xml:space="preserve">Flujo del impuesto redirigido a las Acciones Espejo (fila 56)</t>
  </si>
  <si>
    <t xml:space="preserve">Intereses + flujo por cada $100 de pensiones (el resto viene de las inversiones y de la reserva, fila 113)</t>
  </si>
  <si>
    <t xml:space="preserve">Créditos mixtos nuevos del año (empresas) = préstamos nuevos a empresas (fila 291) × C329</t>
  </si>
  <si>
    <t xml:space="preserve">Capital efectivamente cobrado en el año a los créditos mixtos = C329 × (capital cobrado a empresas, fila 290, ya sin lo castigado + indemnizaciones del seguro cobradas en el año que corresponden a empresas)</t>
  </si>
  <si>
    <t xml:space="preserve">Respaldo B ocupado teórico por año de origen (sin tope): importación − capital ya cobrado. Cobro acumulado a la edad a, con pérdida anual C8 sobre el saldo (igual que la fila 108) y pago anticipado: (1 − C8)/plazo × (1 − g^a)/(1 − g), g = (1 − 1/plazo)(1 − C8), más lo prepagado</t>
  </si>
  <si>
    <t xml:space="preserve">B DESEMBOLSADO EN EL AÑO: importaciones pagadas al otorgar los créditos mixtos nuevos = fila 317 × parte importada (01_Supuestos C185)</t>
  </si>
  <si>
    <t xml:space="preserve">Respaldo B ocupado (primero lo importado) = ocupado del año anterior + B desembolsado − B liberado</t>
  </si>
  <si>
    <t xml:space="preserve">Respaldo B ocupado con regla proporcional (referencia) = fila 172 × B1</t>
  </si>
  <si>
    <t xml:space="preserve">Respaldo B liberado en el año = lo menor entre: el capital efectivamente cobrado a los créditos mixtos (fila 318), lo ocupado, y lo que falta para llegar al respaldo teórico de la fila 319 (así se pone al día si el seguro paga con espera)</t>
  </si>
  <si>
    <t xml:space="preserve">Control: B liberado que supera el capital cobrado a los créditos mixtos (fila 323 − fila 318; debe ser 0)</t>
  </si>
  <si>
    <t xml:space="preserve">Control: B liberado que supera todo lo recuperado de las empresas (capital cobrado fila 290 + indemnizaciones de empresas; debe ser 0)</t>
  </si>
  <si>
    <t xml:space="preserve">Respaldo B ocupado vigente, regla activa (01_Supuestos C184: «Sí» = fila 321; «No» = fila 322). Lo usan las filas 72, 227 y 261</t>
  </si>
  <si>
    <t xml:space="preserve">Parte del crédito nuevo que necesita respaldo B, regla activa (importaciones / préstamos nuevos del año anterior). La usan las filas 76 y 179</t>
  </si>
  <si>
    <t xml:space="preserve">Parte de los préstamos nuevos a empresas que se usa para importar (este escenario)</t>
  </si>
  <si>
    <t xml:space="preserve">Toma 01_Supuestos C186.</t>
  </si>
  <si>
    <t xml:space="preserve">Parte de los préstamos a empresas que son créditos mixtos (C328 / 01_Supuestos C185, máximo 100 %)</t>
  </si>
  <si>
    <t xml:space="preserve">MORA Y SEGURO (v7.24 prueba 12). Impago bruto del año = capital castigado (fila 343)</t>
  </si>
  <si>
    <t xml:space="preserve">Indemnización del seguro que corresponde a ese impago = fila 330 × C338</t>
  </si>
  <si>
    <t xml:space="preserve">Indemnización que el seguro paga en el año (con la espera de C339)</t>
  </si>
  <si>
    <t xml:space="preserve">Pérdida definitiva de la AFJ = capital castigado − indemnización del seguro</t>
  </si>
  <si>
    <t xml:space="preserve">Control: pérdida definitiva − capital castigado × (1 − cobertura) (debe ser 0)</t>
  </si>
  <si>
    <t xml:space="preserve">Seguro por cobrar al cierre (indemnizaciones devengadas que todavía no llegan)</t>
  </si>
  <si>
    <t xml:space="preserve">Control de caja: pérdidas pagadas por la caja (fila 108, acumulado) − pérdidas definitivas (acumulado) − seguro por cobrar (debe ser 0)</t>
  </si>
  <si>
    <t xml:space="preserve">Parte del capital impago que paga el seguro (este escenario)</t>
  </si>
  <si>
    <t xml:space="preserve">Autor: 01_Supuestos C193 (todo el capital).</t>
  </si>
  <si>
    <t xml:space="preserve">Años de espera del pago del seguro (01_Supuestos C192)</t>
  </si>
  <si>
    <t xml:space="preserve">Impago bruto: parte del saldo de personas y empresas que los deudores dejan de pagar al año (antes del seguro) — DATO DE ENTRADA</t>
  </si>
  <si>
    <t xml:space="preserve">Autor: 01_Supuestos C194 (deudores VIP).</t>
  </si>
  <si>
    <t xml:space="preserve">Capital castigado, personas: saldo al comienzo del año × impago bruto C340 (sale de la cartera)</t>
  </si>
  <si>
    <t xml:space="preserve">Capital castigado, empresas: saldo al comienzo del año × impago bruto C340 (sale de la cartera)</t>
  </si>
  <si>
    <t xml:space="preserve">TOTAL capital castigado (lo repone crédito nuevo: filas 286 y 291)</t>
  </si>
  <si>
    <t xml:space="preserve">v7.26 — Tramos de los nuevos jubilados sobre el piso: capital del año (préstamo que vuelve con IPC al fallecer; filas 62-63)</t>
  </si>
  <si>
    <t xml:space="preserve">v7.26 — Tramos suspendidos por la regla de la reserva (reserva / fondo del año anterior bajo 01_Supuestos C201)</t>
  </si>
  <si>
    <t xml:space="preserve">v7.26 — Años con tramos nuevos suspendidos (acumulado)</t>
  </si>
  <si>
    <t xml:space="preserve">v7.26 — Ahorro AFP propio extra de los nuevos jubilados sobre el piso (capital propio fila 26 menos el promedio de 01_Supuestos I64; ya incluido en la fila 51)</t>
  </si>
  <si>
    <t xml:space="preserve">Motor v7.26 — 2 Costos del autor, sin préstamo del Banco Central, con palancas</t>
  </si>
  <si>
    <t xml:space="preserve">Motor v7.26 — 3 Costos prudentes, sin préstamo del Banco Central, sin palancas</t>
  </si>
  <si>
    <t xml:space="preserve">v7.1: 0%. La ley obliga al Banco Central a aceptar el canje sin cobrar. Referencia de lo que cobra hoy: TPM 4,5% + 0,25 ≈ 1,25–1,75% real.</t>
  </si>
  <si>
    <t xml:space="preserve">v7.1: 3% del PIB al año (prudente; cercano al récord del BNDES de Brasil, 4,3% bruto en 2010).</t>
  </si>
  <si>
    <t xml:space="preserve">Costo de operación de la AFJ (fila 112: 0,2% del fondo en este escenario, estimación de costo)</t>
  </si>
  <si>
    <t xml:space="preserve">01_Supuestos C191 (prueba dura).</t>
  </si>
  <si>
    <t xml:space="preserve">Prueba dura: 1 % de impago bruto (con 35 % de seguro queda la pérdida de 0,65 % de antes; el Diablo sin seguro pierde el 1 %).</t>
  </si>
  <si>
    <t xml:space="preserve">Motor v7.26 — 4 Costos prudentes, sin préstamo del Banco Central, con palancas</t>
  </si>
  <si>
    <t xml:space="preserve">Motor v7.26 — 1b Costos del autor, sin préstamo del Banco Central, impuesto fijo en 10% (comparación)</t>
  </si>
  <si>
    <t xml:space="preserve">Motor v7.26 — 3b Costos prudentes, sin préstamo del Banco Central, impuesto fijo en 10% (comparación)</t>
  </si>
  <si>
    <t xml:space="preserve">Motor v7.26 — 6 Optimista: costos del autor, colocación 5% del PIB al año</t>
  </si>
  <si>
    <t xml:space="preserve">v7.1: 5% del PIB al año (escenario optimista).</t>
  </si>
  <si>
    <t xml:space="preserve">Motor v7.26 — 1r Costos del autor con la reforma de pensiones 2025</t>
  </si>
  <si>
    <t xml:space="preserve">Motor v7.26 — 3r Costos prudentes con la reforma de pensiones 2025</t>
  </si>
  <si>
    <t xml:space="preserve">Motor v7.26 — 5 Diablo: costos prudentes, sin crecimiento, sin línea del Banco Central (v7.22); la plata creada que no se presta queda sin invertir, con palancas</t>
  </si>
  <si>
    <t xml:space="preserve">v7.22 (el autor y la revisora, 23-oct-2026): sin línea del Banco Central. Antes: 30 % del PIB a 1,5 %, con prioridad «BC».</t>
  </si>
  <si>
    <t xml:space="preserve">Plata de la AFJ que queda en los bancos (todos los bancos; sin costo si la tasa es 0)</t>
  </si>
  <si>
    <t xml:space="preserve">v7.2 (el autor, 19-oct-2026): No. La plata creada solo se presta en el B1 (tipo A). El B2 y el B3 (tipo B) son plata real invertida afuera: Bono, Acciones Espejo y ahorro AFP.</t>
  </si>
  <si>
    <t xml:space="preserve">Tope en bonos chilenos (% del PIB)</t>
  </si>
  <si>
    <t xml:space="preserve">Diablo: nada en bonos</t>
  </si>
  <si>
    <t xml:space="preserve">Diablo: todo en papeles del Banco Central al 1,5%</t>
  </si>
  <si>
    <t xml:space="preserve">Respaldo B ocupado: parte de los créditos del B1 que se usan para importar × factor de imputación (v7.24: primero lo importado)</t>
  </si>
  <si>
    <t xml:space="preserve">Todos los bancos aceptan la plata de la AFJ; solo el canje necesita plata del Banco Central</t>
  </si>
  <si>
    <t xml:space="preserve">v6.8 usaba 5% (hoja 01); v6.9 usa 4% (la revisión de cálculo, 18-oct: punto medio que cierra con costos del autor y presiona menos que 5%)</t>
  </si>
  <si>
    <t xml:space="preserve">Inversión en Chile (fin de año)</t>
  </si>
  <si>
    <t xml:space="preserve">Plata creada que circula en los bancos (créditos tipo A + inversión en Chile)</t>
  </si>
  <si>
    <t xml:space="preserve">Diablo sin defensas: sin seguro.</t>
  </si>
  <si>
    <t xml:space="preserve">Motor v7.26 — DIABLO CON DEFENSAS: las mismas condiciones adversas del Diablo, con dos defensas de diseño: (A) seguro que paga el deudor, que deja la pérdida neta de cartera en 0,65% en vez de 1%; (B) la plata creada que no se presta se invierte en Chile (bonos chilenos hasta 12% del PIB) en vez de quedar sin invertir. Sin línea del Banco Central (v7.22).</t>
  </si>
  <si>
    <t xml:space="preserve">v7.7: defensa B — se invierte en Chile.</t>
  </si>
  <si>
    <t xml:space="preserve">v7.7: defensa B — sin papeles del Banco Central.</t>
  </si>
  <si>
    <t xml:space="preserve">Motor v7.26 — 1F Costos del autor con freno del crédito (peor caso: freno apenas se pasa el 25%)</t>
  </si>
  <si>
    <t xml:space="preserve">FRENO DEL CRÉDITO (NUEVO v6.9.4, amarillo = editable)</t>
  </si>
  <si>
    <t xml:space="preserve">Crédito bancario de Chile, julio 2026 (hoja 64, CMF; v7.19: misma base que la hoja 72)</t>
  </si>
  <si>
    <t xml:space="preserve">Alarma / tope: parte de la AFJ en el crédito del país (v7.19: todo el B1, sumado al crédito bancario)</t>
  </si>
  <si>
    <t xml:space="preserve">Ritmo de colocación con el freno puesto (% del PIB al año)</t>
  </si>
  <si>
    <t xml:space="preserve">Mora supuesta (el freno se activa si la mora del escenario la supera)</t>
  </si>
  <si>
    <t xml:space="preserve">Modo del freno: «Mora» (alarma y mora sobre lo supuesto), «Siempre» (solo alarma), «Tope» (la AFJ nunca pasa la alarma) o «No»</t>
  </si>
  <si>
    <t xml:space="preserve">Siempre</t>
  </si>
  <si>
    <t xml:space="preserve">Crédito del país (crece igual que el PIB)</t>
  </si>
  <si>
    <t xml:space="preserve">Créditos de la AFJ (todo el B1) / crédito bancario</t>
  </si>
  <si>
    <t xml:space="preserve">Parte de la AFJ en el crédito del país: B1 / (crédito bancario + B1) (v7.19: la que miden el freno y el tope)</t>
  </si>
  <si>
    <t xml:space="preserve">Freno puesto este año (según el año anterior)</t>
  </si>
  <si>
    <t xml:space="preserve">Ritmo de colocación aplicado (% del PIB)</t>
  </si>
  <si>
    <t xml:space="preserve">Años con el freno puesto (acumulado)</t>
  </si>
  <si>
    <t xml:space="preserve">Modo «Tope»: máximo del B1 para que la parte de la AFJ no pase la alarma (v7.19: B1 ≤ alarma / (1 − alarma) × crédito bancario)</t>
  </si>
  <si>
    <t xml:space="preserve">Cómo leerlo: el freno mira la parte de la AFJ del año anterior (para no crear una referencia circular). «Mora» es la regla propuesta en el librito: alarma del 25% y mora sobre lo supuesto. «Siempre» es el peor caso: el freno queda puesto apenas se pasa la alarma. Con «No» la hoja es idéntica a su escenario de origen (control).</t>
  </si>
  <si>
    <t xml:space="preserve">Motor v7.26 — 3F Costos prudentes con freno del crédito </t>
  </si>
  <si>
    <t xml:space="preserve">Mora</t>
  </si>
  <si>
    <t xml:space="preserve">Motor v7.26 — 1T Costos del autor con tope duro: la AFJ nunca pasa el 25% del crédito del país</t>
  </si>
  <si>
    <t xml:space="preserve">Colocación máxima (ritmo y financiamiento)</t>
  </si>
  <si>
    <t xml:space="preserve">Tope</t>
  </si>
  <si>
    <t xml:space="preserve">Motor v7.26 — 1 con crecimiento extra del PIB de 0,22 puntos al año (Corbo y Schmidt-Hebbel, bajo)</t>
  </si>
  <si>
    <t xml:space="preserve">DEVOLUCIÓN DE ACCIONES ESPEJO AL FISCO (amarillo = editable)</t>
  </si>
  <si>
    <t xml:space="preserve">Parte del flujo de las Acciones Espejo que vuelve al Fisco</t>
  </si>
  <si>
    <t xml:space="preserve">Desde el año</t>
  </si>
  <si>
    <t xml:space="preserve">La parte devuelta se queda en la caja del Fisco: baja lo que entra a la reserva (fila 114) y baja el costo de la fila 134.</t>
  </si>
  <si>
    <t xml:space="preserve">Motor v7.26 — 1 con crecimiento extra del PIB de 0,49 puntos al año (meta del autor)</t>
  </si>
  <si>
    <t xml:space="preserve">Motor v7.26 — 1 con 25% del flujo de Acciones Espejo devuelto al Fisco desde el año 16</t>
  </si>
  <si>
    <t xml:space="preserve">Motor v7.26 — 1 con 50% del flujo de Acciones Espejo devuelto al Fisco desde el año 16</t>
  </si>
  <si>
    <t xml:space="preserve">Motor v7.26 — 1 con crecimiento 0,22 y 25% de Acciones Espejo devuelto desde el año 16</t>
  </si>
  <si>
    <t xml:space="preserve">Fuentes oficiales y trazabilidad — versión editorial vigente</t>
  </si>
  <si>
    <t xml:space="preserve">Trazabilidad de cada parámetro: institución, valor, fecha, link verificado, nota metodológica y estado. Taxonomía: "Oficial pleno" / "Derivado". URLs y fechas verificadas para esta versión. Estado: 17 Cerradas + 5 Derivadas/pendientes (B10 r-star, B16 nuevos jubilados, B25/B26 Acciones Espejo, B30 Bono Soberano).</t>
  </si>
  <si>
    <t xml:space="preserve">Tipo de contenido (00c): 🏛️ OFICIAL</t>
  </si>
  <si>
    <t xml:space="preserve">Variable / Parámetro</t>
  </si>
  <si>
    <t xml:space="preserve">Valor canónico</t>
  </si>
  <si>
    <t xml:space="preserve">Fecha referencia</t>
  </si>
  <si>
    <t xml:space="preserve">Documento / Link</t>
  </si>
  <si>
    <t xml:space="preserve">Nota metodológica</t>
  </si>
  <si>
    <t xml:space="preserve">BCCh — Banco Central de Chile</t>
  </si>
  <si>
    <t xml:space="preserve">PIB Chile base 2026</t>
  </si>
  <si>
    <t xml:space="preserve">$325 billones CLP (pesos 2026)</t>
  </si>
  <si>
    <t xml:space="preserve">2026 — actualiza el dato 2024 (Anuario CCNN 2018-2024, publ. 18-mar-2025: $295 bill.)</t>
  </si>
  <si>
    <t xml:space="preserve">https://www.bcentral.cl/areas/estadisticas/cuentas-nacionales-anuales</t>
  </si>
  <si>
    <t xml:space="preserve">Base del libro desde v6.5.1 (decisión del autor 28-sep-2026): $295 bill. de 2024 llevados a pesos y nivel 2026. Fuente del dato 2024: BCCh Cuentas Nacionales Anuales.</t>
  </si>
  <si>
    <t xml:space="preserve">Cerrado</t>
  </si>
  <si>
    <t xml:space="preserve">Meta inflación (IPC largo plazo)</t>
  </si>
  <si>
    <t xml:space="preserve">3,0%</t>
  </si>
  <si>
    <t xml:space="preserve">Política monetaria vigente (meta 3% a 2 años)</t>
  </si>
  <si>
    <t xml:space="preserve">https://www.bcentral.cl/areas/politica-monetaria</t>
  </si>
  <si>
    <t xml:space="preserve">Base 3%; conservador 3,5% (canónico v185 cap. 17). Marco de metas de inflación BCCh.</t>
  </si>
  <si>
    <t xml:space="preserve">Crecimiento PIB potencial</t>
  </si>
  <si>
    <t xml:space="preserve">2,5%</t>
  </si>
  <si>
    <t xml:space="preserve">IPoM diciembre 2025</t>
  </si>
  <si>
    <t xml:space="preserve">https://www.bcentral.cl/contenido/-/detalle/publicaciones/politica-monetaria/ipom-diciembre-2025</t>
  </si>
  <si>
    <t xml:space="preserve">Base 2,5%; estrés 1,5%; optimista 3,0%. IPoM dic-2025 proyecta PIB 2025 = 2,5% y rango 1,75-2,75% para 2026.</t>
  </si>
  <si>
    <t xml:space="preserve">1,5%</t>
  </si>
  <si>
    <t xml:space="preserve">2024 (TPM neutral nominal 3,75-4,75% IPoM dic-2025; r-star implícito ~1,5% real)</t>
  </si>
  <si>
    <t xml:space="preserve">https://www.bcentral.cl/areas/investigacion/documentos-de-trabajo</t>
  </si>
  <si>
    <t xml:space="preserve">Solo tasa de descuento/entorno, NO retorno del fondo AFJ. Rango TPM neutral nominal BCCh dic-2025 = 3,75-4,75% (meta inflación 3%).</t>
  </si>
  <si>
    <t xml:space="preserve">Derivado — rango BCCh / estimación prudente; paper específico pendiente</t>
  </si>
  <si>
    <t xml:space="preserve">INE — Instituto Nacional de Estadísticas</t>
  </si>
  <si>
    <t xml:space="preserve">Esperanza vida hombres a 65</t>
  </si>
  <si>
    <t xml:space="preserve">83 años</t>
  </si>
  <si>
    <t xml:space="preserve">Tablas Mortalidad RV-2014 (vigentes desde 1-jul-2023)</t>
  </si>
  <si>
    <t xml:space="preserve">https://www.spensiones.cl/portal/institucional/594/w3-article-15527.html</t>
  </si>
  <si>
    <t xml:space="preserve">Base del modelo 83 años (v6.5.1). Prudente 88; estrés 91. Fuente sistémica = CMF/SP: 86,6 años a 65 hombre (tablas RV-2014).</t>
  </si>
  <si>
    <t xml:space="preserve">Esperanza vida mujeres a 65</t>
  </si>
  <si>
    <t xml:space="preserve">87 años</t>
  </si>
  <si>
    <t xml:space="preserve">Base del modelo 87 años (v6.5.1). Prudente 91; estrés 94. Fuente sistémica = CMF/SP: 90,8 años a 60 mujer (tablas RV-2014).</t>
  </si>
  <si>
    <t xml:space="preserve">1,5</t>
  </si>
  <si>
    <t xml:space="preserve">Proyecciones base Censo 2017 (1992-2050); valor 2024p = 1,3 hijos/mujer</t>
  </si>
  <si>
    <t xml:space="preserve">https://www.ine.gob.cl/estadisticas-por-tema/demografia-y-poblacion/estimaciones-y-proyecciones-de-poblacion</t>
  </si>
  <si>
    <t xml:space="preserve">Base 1,5; estrés demográfico 1,3. Tasa observada 2024p = 1,3 (mínimo histórico). Mínimo proyectado 2029 = 1,57 (base 2017).</t>
  </si>
  <si>
    <t xml:space="preserve">Nuevos jubilados civiles / año</t>
  </si>
  <si>
    <t xml:space="preserve">60.000</t>
  </si>
  <si>
    <t xml:space="preserve">Informe Seguridad Social 2024 (Subsec. Previsión Social, ago-2025)</t>
  </si>
  <si>
    <t xml:space="preserve">https://previsionsocial.gob.cl/wp-content/uploads/2025/08/20250814_Informe-Seguridad-Social_2024.pdf</t>
  </si>
  <si>
    <t xml:space="preserve">Flujo régimen anual. Total pensiones pagadas dic-2024 = 1.799.740 (+9,1% YoY). Flujo neto anual estable cerca de 60.000.</t>
  </si>
  <si>
    <t xml:space="preserve">Derivado — supuesto operativo calibrado con fuente oficial</t>
  </si>
  <si>
    <t xml:space="preserve">SP — Superintendencia de Pensiones</t>
  </si>
  <si>
    <t xml:space="preserve">Cotización legal trabajador</t>
  </si>
  <si>
    <t xml:space="preserve">10%</t>
  </si>
  <si>
    <t xml:space="preserve">DL 3.500 (10% vigente) + Ley 21.735 (publ. 26-mar-2025)</t>
  </si>
  <si>
    <t xml:space="preserve">https://www.bcn.cl/leychile/navegar?idNorma=1212060</t>
  </si>
  <si>
    <t xml:space="preserve">Trabajador 10% vigente DL 3.500. Ley 21.735 agrega aporte empleador escalonado hasta 7% en 7 años (vigencia diferida 1-abr-2027).</t>
  </si>
  <si>
    <t xml:space="preserve">Universo teórico jubilados AFP</t>
  </si>
  <si>
    <t xml:space="preserve">1.200.000 personas</t>
  </si>
  <si>
    <t xml:space="preserve">Ficha Estadística Previsional SP (mensual)</t>
  </si>
  <si>
    <t xml:space="preserve">https://www.spensiones.cl/portal/institucional/594/w3-propertyvalue-10121.html</t>
  </si>
  <si>
    <t xml:space="preserve">P7 en supuestos. Universo teórico jubilados AFP referencial.</t>
  </si>
  <si>
    <t xml:space="preserve">Jubilados AFP verificados (con brecha real)</t>
  </si>
  <si>
    <t xml:space="preserve">804.385 personas</t>
  </si>
  <si>
    <t xml:space="preserve">SP — estadísticas a sep. 2022</t>
  </si>
  <si>
    <t xml:space="preserve">https://www.spensiones.cl/portal/institucional/594/w3-propertyname-621.html</t>
  </si>
  <si>
    <t xml:space="preserve">476.181 sin ahorro + 328.204 con brecha. OPERATIVO. Cifra canónica del libro v185 sobre brecha real.</t>
  </si>
  <si>
    <t xml:space="preserve">PGU mensual</t>
  </si>
  <si>
    <t xml:space="preserve">$231.732 CLP</t>
  </si>
  <si>
    <t xml:space="preserve">Reajuste vigente desde 1-feb-2026 (IPC 2025 = 3,45%)</t>
  </si>
  <si>
    <t xml:space="preserve">https://www.spensiones.cl/portal/institucional/594/w3-article-16886.html</t>
  </si>
  <si>
    <t xml:space="preserve">Ley 21.419 (PGU original) + Ley 21.735 (reforma 2025). Monto 65-81 años = $231.732; 82+ años = $250.275.</t>
  </si>
  <si>
    <t xml:space="preserve">SII — Servicio de Impuestos Internos</t>
  </si>
  <si>
    <t xml:space="preserve">Recaudación IDPC base (Acciones Espejo año 1)</t>
  </si>
  <si>
    <t xml:space="preserve">$1,1 billones CLP</t>
  </si>
  <si>
    <t xml:space="preserve">Canónico v185 (párr. 1642, 1822) — derivado de proyecciones SII</t>
  </si>
  <si>
    <t xml:space="preserve">https://www.sii.cl/sobre_el_sii/serie_de_ingresos_tributarios.html</t>
  </si>
  <si>
    <t xml:space="preserve">Régimen pleno año 20+: $2,5 B (F3). Confirmación formal SII al validar piloto. IDPC = Impuesto De Primera Categoría.</t>
  </si>
  <si>
    <t xml:space="preserve">Derivado — confirmación SII pendiente</t>
  </si>
  <si>
    <t xml:space="preserve">Recaudación IDPC régimen (Acciones Espejo año 20+)</t>
  </si>
  <si>
    <t xml:space="preserve">$2,5 billones CLP</t>
  </si>
  <si>
    <t xml:space="preserve">Canónico v185 — proyección SII régimen año 20+</t>
  </si>
  <si>
    <t xml:space="preserve">Crece con PIB elasticidad 1.</t>
  </si>
  <si>
    <t xml:space="preserve">DIPRES — Dirección de Presupuestos</t>
  </si>
  <si>
    <t xml:space="preserve">Gasto CAPREDENA + DIPRECA actual</t>
  </si>
  <si>
    <t xml:space="preserve">$2,9 billones CLP/año</t>
  </si>
  <si>
    <t xml:space="preserve">Proyecto Ley Presupuesto 2025 (DIPRES, oct-2024)</t>
  </si>
  <si>
    <t xml:space="preserve">https://www.dipres.gob.cl/597/articles-347131_doc_pdf.pdf</t>
  </si>
  <si>
    <t xml:space="preserve">1% PIB. $2.900.073 millones (Capredena 0,6% PIB + Dipreca 0,4% PIB). Confirmado por CIEDESS oct-2024.</t>
  </si>
  <si>
    <t xml:space="preserve">Bono Soberano de Capitalización — emisión anual</t>
  </si>
  <si>
    <t xml:space="preserve">$20,6 billones CLP/año</t>
  </si>
  <si>
    <t xml:space="preserve">GFSM 2014 — propuesta del libro v185 (instrumento por crear)</t>
  </si>
  <si>
    <t xml:space="preserve">https://www.imf.org/external/pubs/ft/gfs/manual/2014/gfsfinal.pdf</t>
  </si>
  <si>
    <t xml:space="preserve">Variante 15 años en sensibilidad (Estrés). Es propuesta del Modelo Rentista, no instrumento oficial existente — tratamiento contable GFSM por confirmar con Hacienda al validar piloto.</t>
  </si>
  <si>
    <t xml:space="preserve">Derivado — propuesta del libro / tratamiento GFSM pendiente</t>
  </si>
  <si>
    <t xml:space="preserve">Esquema GFSM 2014 — definición</t>
  </si>
  <si>
    <t xml:space="preserve">IMF GFSM 2014</t>
  </si>
  <si>
    <t xml:space="preserve">2014 vigente</t>
  </si>
  <si>
    <t xml:space="preserve">Marco internacional para clasificación deuda soberana.</t>
  </si>
  <si>
    <t xml:space="preserve">CIEDESS — Centro de Estudios en Seguridad Social</t>
  </si>
  <si>
    <t xml:space="preserve">CAPREDENA — personas</t>
  </si>
  <si>
    <t xml:space="preserve">104.578</t>
  </si>
  <si>
    <t xml:space="preserve">CIEDESS oct-2024 (sobre datos 2023 del Informe Estadístico Anual de Seguridad Social)</t>
  </si>
  <si>
    <t xml:space="preserve">https://www.ciedess.cl/601/w3-article-15242.html</t>
  </si>
  <si>
    <t xml:space="preserve">Subgrupo uniformados. Cifra 2023 reportada por CIEDESS en oct-2024.</t>
  </si>
  <si>
    <t xml:space="preserve">DIPRECA — personas</t>
  </si>
  <si>
    <t xml:space="preserve">71.958</t>
  </si>
  <si>
    <t xml:space="preserve">Subgrupo uniformados. Total uniformados = 176.536 (P1). Cifra 2023 reportada por CIEDESS oct-2024.</t>
  </si>
  <si>
    <t xml:space="preserve">Marco legal vigente</t>
  </si>
  <si>
    <t xml:space="preserve">Ley 21.419 (PGU)</t>
  </si>
  <si>
    <t xml:space="preserve">PGU inicial</t>
  </si>
  <si>
    <t xml:space="preserve">Publicada 29-ene-2022 / Promulgada 26-ene-2022</t>
  </si>
  <si>
    <t xml:space="preserve">https://www.bcn.cl/leychile/navegar?idNorma=1171923</t>
  </si>
  <si>
    <t xml:space="preserve">Ley 21.419 crea la PGU; Ley 21.735 corresponde a la reforma 2025.</t>
  </si>
  <si>
    <t xml:space="preserve">Ley 21.735 (Reforma 2025)</t>
  </si>
  <si>
    <t xml:space="preserve">Aporte empleador escalonado</t>
  </si>
  <si>
    <t xml:space="preserve">Publicada 26-mar-2025 / Promulgada 20-mar-2025 (vigencia diferida 1-abr-2027)</t>
  </si>
  <si>
    <t xml:space="preserve">Hasta 7% empleador en 7 años. Crea Seguro Social Previsional y Fondo Autónomo de Protección Previsional (FAPP). Capítulo dedicado en libro.</t>
  </si>
  <si>
    <t xml:space="preserve">DL 3.500 (Sistema AFP)</t>
  </si>
  <si>
    <t xml:space="preserve">10% cotización trabajador</t>
  </si>
  <si>
    <t xml:space="preserve">Promulgado 4-nov-1980 (vigente con modificaciones)</t>
  </si>
  <si>
    <t xml:space="preserve">https://www.bcn.cl/leychile/navegar?idNorma=7147</t>
  </si>
  <si>
    <t xml:space="preserve">Marco vigente del sistema AFP. 10% cotización trabajador. Modificado por Ley 21.735 (2025).</t>
  </si>
  <si>
    <t xml:space="preserve">PROTOCOLO DE VERIFICACIÓN</t>
  </si>
  <si>
    <t xml:space="preserve">PROTOCOLO DE VERIFICACIÓN. Antes de entregar a economista externo, completar las celdas amarillas con URL precisa y/o fecha exacta del boletín/documento citado. La lista debe ser validada por el equipo editorial antes de cualquier exposición externa.</t>
  </si>
  <si>
    <t xml:space="preserve">Motor de cálculo año a año (1–30)</t>
  </si>
  <si>
    <t xml:space="preserve">Calcula stock fondo, retornos, gastos, flujos para el escenario activo. No editar manualmente.</t>
  </si>
  <si>
    <t xml:space="preserve">Escenario activo:</t>
  </si>
  <si>
    <t xml:space="preserve">Horizonte (años):</t>
  </si>
  <si>
    <t xml:space="preserve">Modo activo:</t>
  </si>
  <si>
    <t xml:space="preserve">Año →</t>
  </si>
  <si>
    <t xml:space="preserve">PARÁMETROS DERIVADOS (escenario activo)</t>
  </si>
  <si>
    <t xml:space="preserve">IPC efectivo (M2 × M8)</t>
  </si>
  <si>
    <t xml:space="preserve">Crecimiento PIB (M1)</t>
  </si>
  <si>
    <t xml:space="preserve">Retorno fondo AFJ — diseño (M4)</t>
  </si>
  <si>
    <t xml:space="preserve">Tasa efectiva pago pensión (M5)</t>
  </si>
  <si>
    <t xml:space="preserve">r_eff reinversión stock (M6)</t>
  </si>
  <si>
    <t xml:space="preserve">Capacidad prestable B1 (arranque R20 / régimen R13)</t>
  </si>
  <si>
    <t xml:space="preserve">B1 (R3)</t>
  </si>
  <si>
    <t xml:space="preserve">B2 (R4)</t>
  </si>
  <si>
    <t xml:space="preserve">B3 (R5)</t>
  </si>
  <si>
    <t xml:space="preserve">Densidad cotización (D4)</t>
  </si>
  <si>
    <t xml:space="preserve">Nuevos jubilados / año (D5)</t>
  </si>
  <si>
    <t xml:space="preserve">Años de retiro promedio (D6)</t>
  </si>
  <si>
    <t xml:space="preserve">Bono Soberano anual (F4)</t>
  </si>
  <si>
    <t xml:space="preserve">Años bono soberano (F5)</t>
  </si>
  <si>
    <t xml:space="preserve">↳ F2 anclaje año 1 (parámetro de referencia — NO es el flujo año a año)</t>
  </si>
  <si>
    <t xml:space="preserve">↳ F3 anclaje régimen año 20+ (parámetro de referencia — NO es el flujo año a año)</t>
  </si>
  <si>
    <t xml:space="preserve">PGU mensual (F6)</t>
  </si>
  <si>
    <t xml:space="preserve">PGU evitada año 30 % (F7)</t>
  </si>
  <si>
    <t xml:space="preserve">PIB 2026 base (F1)</t>
  </si>
  <si>
    <t xml:space="preserve">Multiplicador fondo nuevos (siempre 1.00 en modo editorial)</t>
  </si>
  <si>
    <t xml:space="preserve">STOCKS Y FLUJOS AGREGADOS</t>
  </si>
  <si>
    <t xml:space="preserve">Stock fondo Uniformados ($ bill.)</t>
  </si>
  <si>
    <t xml:space="preserve">Stock fondo Profesores ($ bill.)</t>
  </si>
  <si>
    <t xml:space="preserve">Stock fondo Pueblos originarios ($ bill.)</t>
  </si>
  <si>
    <t xml:space="preserve">Stock fondo Civiles AFP + semilla ($ bill.)</t>
  </si>
  <si>
    <t xml:space="preserve">Stock fondo Olvidados ($ bill.)</t>
  </si>
  <si>
    <t xml:space="preserve">Capital nuevo a originar ($ bill./año) — descontada la herencia de la 2ª generación (H2–H4)</t>
  </si>
  <si>
    <t xml:space="preserve">STOCK FONDO AFJ TOTAL ($ bill.)</t>
  </si>
  <si>
    <t xml:space="preserve">Bono Soberano Capitalización ($ bill./año — 10 años cliff canónico v185)</t>
  </si>
  <si>
    <t xml:space="preserve">FLUJO Acciones Espejo REAL anual ($ bill./año — interpola F2→F3 años 1-20, después IPC)</t>
  </si>
  <si>
    <t xml:space="preserve">Gasto pensiones Uniformados (M5 × Stock) ($ bill./año)</t>
  </si>
  <si>
    <t xml:space="preserve">Gasto pensiones Profesores (M5 × Stock) ($ bill./año)</t>
  </si>
  <si>
    <t xml:space="preserve">Gasto pensiones Originarios (M5 × Stock) ($ bill./año)</t>
  </si>
  <si>
    <t xml:space="preserve">Gasto pensiones Civiles AFP (M5 × Stock) ($ bill./año)</t>
  </si>
  <si>
    <t xml:space="preserve">Gasto pensiones Olvidados (M5 × Stock) ($ bill./año)</t>
  </si>
  <si>
    <t xml:space="preserve">Gasto pensiones Nuevos entrantes (M5 × Stock) ($ bill./año)</t>
  </si>
  <si>
    <t xml:space="preserve">GASTO PENSIONES TOTAL ($ bill./año)</t>
  </si>
  <si>
    <t xml:space="preserve">Retorno bruto fondo (M4 × Stock — tasa diseño sistema, NO lo que recibe el jubilado) ($ bill./año)</t>
  </si>
  <si>
    <t xml:space="preserve">Cobertura retorno/gasto</t>
  </si>
  <si>
    <t xml:space="preserve">Flujo B2 retorno por fallecimiento ($ bill./año) — × H1 (bajo el piso se hereda: 0)</t>
  </si>
  <si>
    <t xml:space="preserve">Capacidad prestable AFJ ($ bill.)</t>
  </si>
  <si>
    <t xml:space="preserve">Fuentes de financiamiento disponibles ($ bill./año)</t>
  </si>
  <si>
    <t xml:space="preserve">Brecha de originación ($ bill./año)</t>
  </si>
  <si>
    <t xml:space="preserve">Ratio crédito originado / capacidad prestable [v6.6: usa la fila 66]</t>
  </si>
  <si>
    <t xml:space="preserve">Semáforo RAAB</t>
  </si>
  <si>
    <t xml:space="preserve">PGU evitada % del régimen</t>
  </si>
  <si>
    <t xml:space="preserve">Gasto PGU base civiles con brecha ($ bill./año)</t>
  </si>
  <si>
    <t xml:space="preserve">Ahorro fiscal PGU evitada ($ bill./año)</t>
  </si>
  <si>
    <t xml:space="preserve">Reserva B3 acumulada ($ bill.) [v6.6: bono + Acciones Espejo + excedente no asignado al fondo individual, menos el capital nuevo que esas fuentes financian; la brecha se origina como crédito y no sale de B3]</t>
  </si>
  <si>
    <t xml:space="preserve">Stock acumulado Nuevos entrantes ($ bill.) [v6.3]</t>
  </si>
  <si>
    <t xml:space="preserve">INGRESO efectivo jubilados (M5 × Stock — lo que percibe el jubilado, ~3,82%) ($ bill./año)</t>
  </si>
  <si>
    <t xml:space="preserve">Reinversión natural al fondo (M6 × Stock — crece el stock individual, ~1,18-1,80%) ($ bill./año)</t>
  </si>
  <si>
    <t xml:space="preserve">Originación crédito + operativa (M4 − M5 − M6, residual del 5% bruto) ($ bill./año)</t>
  </si>
  <si>
    <t xml:space="preserve">Aportes fijos de los nuevos jubilados ($ bill./año, nominal) — profesores, pueblos originarios y bonos sobre el piso; no se reducen por herencia (01_Supuestos C204)</t>
  </si>
  <si>
    <t xml:space="preserve">✓ CHECK: M4 × Stock = Ingreso jubilados + Reinversión + Originación + Operativa</t>
  </si>
  <si>
    <t xml:space="preserve">Cupón del Bono pagado por el fondo ($ bill./año) [v6.6: 0 — el bono es aporte fiscal fundacional, como CORFO 1939; no se devuelve, se compensa]</t>
  </si>
  <si>
    <t xml:space="preserve">Crédito originado ($ bill./año) [v6.6: brecha de originación + crecimiento del fondo individual que el retorno no cubre; se crea como préstamo, no sale de B3]</t>
  </si>
  <si>
    <t xml:space="preserve">Oro en reserva estratégica ($ bill.) [v6.6: O1 × B3 de la Regla × fondo]</t>
  </si>
  <si>
    <t xml:space="preserve">Motor v6.6.3 — pensión prometida, rendimiento por bolsillo y reserva (pesos reales de 2026, billones)</t>
  </si>
  <si>
    <t xml:space="preserve">Todo en pesos reales: los aportes nominales del Estado y el capital nuevo del motor v6.6.1 se deflactan por el IPC (M2). Las pensiones son las prometidas (1/240 del capital al mes), no un porcentaje del fondo. El capital creado rinde solo cuando se coloca. Orden: primero pensiones, después costos; lo que sobra hace crecer las cuentas (tope K9); el resto va a la reserva; si falta, lo pone la reserva. El motor v6.6.1 (hoja 10) se conserva como referencia de las tablas que hoy cita el libro.</t>
  </si>
  <si>
    <t xml:space="preserve">Reparto (S1):</t>
  </si>
  <si>
    <t xml:space="preserve">Mercado B2 (S2):</t>
  </si>
  <si>
    <t xml:space="preserve">PGU a la AFJ (S3):</t>
  </si>
  <si>
    <t xml:space="preserve">Crecimiento (S4):</t>
  </si>
  <si>
    <t xml:space="preserve">Año en que se agota la reserva:</t>
  </si>
  <si>
    <t xml:space="preserve">Participación B1</t>
  </si>
  <si>
    <t xml:space="preserve">Participación B2</t>
  </si>
  <si>
    <t xml:space="preserve">Participación B3</t>
  </si>
  <si>
    <t xml:space="preserve">Oro (O1 × B3)</t>
  </si>
  <si>
    <t xml:space="preserve">B3 (S7):</t>
  </si>
  <si>
    <t xml:space="preserve">Préstamos al Estado (B3 − oro)</t>
  </si>
  <si>
    <t xml:space="preserve">Rinde el fondo colocado</t>
  </si>
  <si>
    <t xml:space="preserve">Costos (% del fondo)</t>
  </si>
  <si>
    <t xml:space="preserve">Rinde la reserva (neto)</t>
  </si>
  <si>
    <t xml:space="preserve">Aporte con IPC (S6):</t>
  </si>
  <si>
    <t xml:space="preserve">PIB real ($ bill. de 2026)</t>
  </si>
  <si>
    <t xml:space="preserve">Deflactor IPC (para pasar flujos nominales a reales)</t>
  </si>
  <si>
    <t xml:space="preserve">Factor de crecimiento del ahorro (S4)</t>
  </si>
  <si>
    <t xml:space="preserve">ENTRADAS DE CAPITAL A LAS CUENTAS</t>
  </si>
  <si>
    <t xml:space="preserve">Capital creado al entrar los grupos (uniformados, olvidados, profesores, pueblos originarios, civiles)</t>
  </si>
  <si>
    <t xml:space="preserve">Ahorro AFP real de los civiles que entran (año 4)</t>
  </si>
  <si>
    <t xml:space="preserve">Complemento de nuevos jubilados (motor v6.6.1 fila 35, deflactado; con herencia H2–H4) — hasta el año K20</t>
  </si>
  <si>
    <t xml:space="preserve">Ahorro AFP propio de los nuevos jubilados (60.000 × $22 M, real)</t>
  </si>
  <si>
    <t xml:space="preserve">Complemento financiado con dinero real (aporte del Estado + Espejo, mientras dura el aporte)</t>
  </si>
  <si>
    <t xml:space="preserve">Complemento creado como crédito (después del aporte, o lo que no alcanza)</t>
  </si>
  <si>
    <t xml:space="preserve">CAPITAL PROMETIDO ACUMULADO (base de la pensión)</t>
  </si>
  <si>
    <t xml:space="preserve">Aporte del Estado (S6: con IPC = real constante; sin IPC = nominal deflactado)</t>
  </si>
  <si>
    <t xml:space="preserve">Acciones Espejo (10% del IDPC, real)</t>
  </si>
  <si>
    <t xml:space="preserve">PGU evitada transferida a la AFJ (solo si S3 = «Sí»)</t>
  </si>
  <si>
    <t xml:space="preserve">Capital de fortalecimiento creado: (S5 − 1) × capital creado del año (sin pensión adicional)</t>
  </si>
  <si>
    <t xml:space="preserve">CAPITAL CREADO: COLOCACIÓN</t>
  </si>
  <si>
    <t xml:space="preserve">Capital creado nuevo del año (incluye fortalecimiento)</t>
  </si>
  <si>
    <t xml:space="preserve">Colocado en el año (tope K6 × PIB)</t>
  </si>
  <si>
    <t xml:space="preserve">Capital creado sin colocar (no rinde)</t>
  </si>
  <si>
    <t xml:space="preserve">Capital creado colocado acumulado</t>
  </si>
  <si>
    <t xml:space="preserve">Fortalecimiento acumulado en las cuentas</t>
  </si>
  <si>
    <t xml:space="preserve">FONDO FAMILIAR Y RENDIMIENTO</t>
  </si>
  <si>
    <t xml:space="preserve">Fondo familiar antes del crecimiento del año</t>
  </si>
  <si>
    <t xml:space="preserve">Fondo colocado o invertido (rinde)</t>
  </si>
  <si>
    <t xml:space="preserve">Rendimiento B1 — personas y empresas (IPC + 4%), Estado (K15/K16) y ambiental (K17/K18)</t>
  </si>
  <si>
    <t xml:space="preserve">Rendimiento B2 — mercado</t>
  </si>
  <si>
    <t xml:space="preserve">Rendimiento B3 — intocable (K13) o préstamos al Estado (v6.6.2)</t>
  </si>
  <si>
    <t xml:space="preserve">Rendimiento oro</t>
  </si>
  <si>
    <t xml:space="preserve">RENDIMIENTO TOTAL DEL FONDO</t>
  </si>
  <si>
    <t xml:space="preserve">Rendimiento de la reserva (sobre el saldo inicial; 2,55% neto; si es negativa, costo 2,7%)</t>
  </si>
  <si>
    <t xml:space="preserve">PAGOS</t>
  </si>
  <si>
    <t xml:space="preserve">PENSIONES PROMETIDAS (1/240 del capital al mes)</t>
  </si>
  <si>
    <t xml:space="preserve">Costo de administración (K1)</t>
  </si>
  <si>
    <t xml:space="preserve">Pérdida por mora (K2 × cartera B1)</t>
  </si>
  <si>
    <t xml:space="preserve">RESULTADO DEL AÑO</t>
  </si>
  <si>
    <t xml:space="preserve">Saldo: rendimientos + PGU − pensiones − costos</t>
  </si>
  <si>
    <t xml:space="preserve">Crecimiento de las cuentas (lo que sobra, tope K9)</t>
  </si>
  <si>
    <t xml:space="preserve">Crecimiento de las cuentas (%)</t>
  </si>
  <si>
    <t xml:space="preserve">RESERVA DEL APORTE (fin de año; incluye 6% de uniformados K19)</t>
  </si>
  <si>
    <t xml:space="preserve">Fondo familiar (fin de año)</t>
  </si>
  <si>
    <t xml:space="preserve">Fondo colocado o invertido (fin de año)</t>
  </si>
  <si>
    <t xml:space="preserve">INDICADORES Y RAAB</t>
  </si>
  <si>
    <t xml:space="preserve">Reserva / fondo familiar</t>
  </si>
  <si>
    <t xml:space="preserve">Semáforo de liquidez de la reserva (K12)</t>
  </si>
  <si>
    <t xml:space="preserve">Pensiones prometidas sin financiamiento (reserva agotada)</t>
  </si>
  <si>
    <t xml:space="preserve">Año de agotamiento (auxiliar)</t>
  </si>
  <si>
    <t xml:space="preserve">LIQUIDEZ (prueba pedida por la revisora)</t>
  </si>
  <si>
    <t xml:space="preserve">Dinero real ingresado acumulado (aporte + Espejo + ahorro AFP + PGU transferida)</t>
  </si>
  <si>
    <t xml:space="preserve">Desembolsos de capital creado que salen de la AFJ (acumulado)</t>
  </si>
  <si>
    <t xml:space="preserve">Reserva líquida mínima exigida (K12 × fondo)</t>
  </si>
  <si>
    <t xml:space="preserve">Desembolsos que el dinero real no alcanza a liquidar → requieren la facultad legal de crear crédito</t>
  </si>
  <si>
    <t xml:space="preserve">Dinero real que exige lo que se paga afuera: B2 en el extranjero + oro</t>
  </si>
  <si>
    <t xml:space="preserve">Check: ¿el dinero real (reserva + ahorro real en el fondo) cubre lo que se paga afuera?</t>
  </si>
  <si>
    <t xml:space="preserve">Motor v6.7 — escenario Prudente (pesos reales de 2026, billones)</t>
  </si>
  <si>
    <t xml:space="preserve">La plata creada solo va al B1 (créditos en Chile, con tope y ritmo de colocación); la plata real va al B2 y al B3 y se invierte afuera. Lo creado que no cabe en el B1 queda sin prestar y no rinde. Si falta plata: modo «Apoyo» = plata nueva a la vista; modo «Reducir» = se paga menos pensión. Parámetros del escenario en C5:C13 (editables); el resto en 01_Supuestos, bloque 12.</t>
  </si>
  <si>
    <t xml:space="preserve">Crecimiento del país (Sí / No)</t>
  </si>
  <si>
    <t xml:space="preserve">Pérdida de cartera (% de los créditos privados)</t>
  </si>
  <si>
    <t xml:space="preserve">Rendimiento real de la reserva (invertida afuera)</t>
  </si>
  <si>
    <t xml:space="preserve">Acciones Espejo: «Libro» (10% del IDPC) o «Calculadora» (rampa a $2,5 bill.)</t>
  </si>
  <si>
    <t xml:space="preserve">Fortalecimiento: «Entrada» o «Gradual»</t>
  </si>
  <si>
    <t xml:space="preserve">Entrada</t>
  </si>
  <si>
    <t xml:space="preserve">Capital de los grupos al entrar (uniformados, olvidados, profesores, pueblos originarios, civiles)</t>
  </si>
  <si>
    <t xml:space="preserve">Ahorro AFP real de los civiles (año 4)</t>
  </si>
  <si>
    <t xml:space="preserve">Complemento de nuevos jubilados (hasta el año G21)</t>
  </si>
  <si>
    <t xml:space="preserve">Aporte del Estado (con o sin IPC, G19)</t>
  </si>
  <si>
    <t xml:space="preserve">Recaudación IDPC total</t>
  </si>
  <si>
    <t xml:space="preserve">% del impuesto redirigido a la AFJ</t>
  </si>
  <si>
    <t xml:space="preserve">Fortalecimiento comprometido acumulado</t>
  </si>
  <si>
    <t xml:space="preserve">Colocación máxima acumulada por ritmo</t>
  </si>
  <si>
    <t xml:space="preserve">Fondo antes del fortalecimiento del año (modo Gradual)</t>
  </si>
  <si>
    <t xml:space="preserve">Fondo de las familias (antes del crecimiento del año)</t>
  </si>
  <si>
    <t xml:space="preserve">B1 — créditos vigentes (plata creada prestada)</t>
  </si>
  <si>
    <t xml:space="preserve">  de eso: préstamo al Estado (techo del libro)</t>
  </si>
  <si>
    <t xml:space="preserve">Impuesto nuevo de los proyectos ambientales (IDPC total)</t>
  </si>
  <si>
    <t xml:space="preserve">Rendimiento del B1 (privados IPC+4%, Estado G2, ambiental vía Espejo)</t>
  </si>
  <si>
    <t xml:space="preserve">Pérdida de cartera</t>
  </si>
  <si>
    <t xml:space="preserve">Rendimiento de la plata real de las cuentas (B2 y B3, afuera)</t>
  </si>
  <si>
    <t xml:space="preserve">Rendimiento de la reserva (invertida afuera)</t>
  </si>
  <si>
    <t xml:space="preserve">PENSIONES PROMETIDAS (1/240 del capital base al mes)</t>
  </si>
  <si>
    <t xml:space="preserve">Crecimiento de las cuentas (si sobra; tope K9)</t>
  </si>
  <si>
    <t xml:space="preserve">PLATA NUEVA PARA PENSIONES (modo Apoyo)</t>
  </si>
  <si>
    <t xml:space="preserve">Pensión pagada / prometida</t>
  </si>
  <si>
    <t xml:space="preserve">RESERVA (dinero real, fin de año)</t>
  </si>
  <si>
    <t xml:space="preserve">Plata nueva acumulada</t>
  </si>
  <si>
    <t xml:space="preserve">Plata nueva / PIB</t>
  </si>
  <si>
    <t xml:space="preserve">Ahorro de las familias (referencia, no es ingreso)</t>
  </si>
  <si>
    <t xml:space="preserve">Auxiliar: año con plata nueva</t>
  </si>
  <si>
    <t xml:space="preserve">LIQUIDEZ Y CRÉDITO</t>
  </si>
  <si>
    <t xml:space="preserve">B1 / fondo</t>
  </si>
  <si>
    <t xml:space="preserve">Dinero real disponible (reserva + real en cuentas) / créditos desembolsados</t>
  </si>
  <si>
    <t xml:space="preserve">CUENTA DEL FISCO (por año)</t>
  </si>
  <si>
    <t xml:space="preserve">Impuesto que deja de recibir el Fisco por las Acciones Espejo (−)</t>
  </si>
  <si>
    <t xml:space="preserve">IVA adicional (+)</t>
  </si>
  <si>
    <t xml:space="preserve">Impuesto nuevo de los proyectos ambientales que queda al Fisco (+)</t>
  </si>
  <si>
    <t xml:space="preserve">Motor v6.7 — escenario Intermedio (pesos reales de 2026, billones)</t>
  </si>
  <si>
    <t xml:space="preserve">Pruebas reproducibles sobre la v7.11 (pedidas por la revisora, 21-oct-2026)</t>
  </si>
  <si>
    <t xml:space="preserve">Cada prueba parte de la v7.11 sin cambios y cambia solo las celdas indicadas; los valores son resultados guardados al recalcular. Billones de pesos de 2026, año 30 salvo indicación. Para reproducir: cambiar las celdas, recalcular y leer la hoja 60.</t>
  </si>
  <si>
    <t xml:space="preserve">Autor: máx. Banco Central</t>
  </si>
  <si>
    <t xml:space="preserve">Prudente: máx. Banco Central</t>
  </si>
  <si>
    <t xml:space="preserve">Prudente 10% fijo: reserva año 30</t>
  </si>
  <si>
    <t xml:space="preserve">Prudente 10% fijo: apoyo extra</t>
  </si>
  <si>
    <t xml:space="preserve">Prudente 10% fijo: años en rojo</t>
  </si>
  <si>
    <t xml:space="preserve">Prudente 10% fijo: Fisco 30 años</t>
  </si>
  <si>
    <t xml:space="preserve">Prudente 10% fijo: máx. Banco Central</t>
  </si>
  <si>
    <t xml:space="preserve">Diablo con defensas: reserva año 30</t>
  </si>
  <si>
    <t xml:space="preserve">Diablo con defensas: apoyo extra</t>
  </si>
  <si>
    <t xml:space="preserve">Diablo con defensas: años en rojo</t>
  </si>
  <si>
    <t xml:space="preserve">Diablo con defensas: Fisco 30 años</t>
  </si>
  <si>
    <t xml:space="preserve">Diablo con defensas: máx. Banco Central</t>
  </si>
  <si>
    <t xml:space="preserve">0. v7.11 sin cambios</t>
  </si>
  <si>
    <t xml:space="preserve">1. B2 financia importaciones hasta 10%</t>
  </si>
  <si>
    <t xml:space="preserve">01_Supuestos C162 = 10%</t>
  </si>
  <si>
    <t xml:space="preserve">2. Colocar 5% del PIB al año</t>
  </si>
  <si>
    <t xml:space="preserve">C174 = 5% en los motores</t>
  </si>
  <si>
    <t xml:space="preserve">3. Importado 26% del B1</t>
  </si>
  <si>
    <t xml:space="preserve">01_Supuestos C158 = 26%</t>
  </si>
  <si>
    <t xml:space="preserve">4. Importado 30% del B1</t>
  </si>
  <si>
    <t xml:space="preserve">5. Importado 40% del B1</t>
  </si>
  <si>
    <t xml:space="preserve">01_Supuestos C158 = 40%</t>
  </si>
  <si>
    <t xml:space="preserve">6. Inversión en Chile rinde 1,5% (no 2,5%)</t>
  </si>
  <si>
    <t xml:space="preserve">C169 = 1,5% en los motores</t>
  </si>
  <si>
    <t xml:space="preserve">7. Inversión en Chile rinde 0%</t>
  </si>
  <si>
    <t xml:space="preserve">C169 = 0% en los motores</t>
  </si>
  <si>
    <t xml:space="preserve">8. Tope de inversión en Chile 9% (como v7.9)</t>
  </si>
  <si>
    <t xml:space="preserve">C168 = 9% donde había 12%</t>
  </si>
  <si>
    <t xml:space="preserve">9. Complementos +400/350/300 (promedio $350.000)</t>
  </si>
  <si>
    <t xml:space="preserve">01_Supuestos C161 = 350.000</t>
  </si>
  <si>
    <t xml:space="preserve">10. B2 10% + importado 26%</t>
  </si>
  <si>
    <t xml:space="preserve">C162 = 10%; C158 = 26%</t>
  </si>
  <si>
    <t xml:space="preserve">Lectura: las pruebas 3 a 5 muestran la sensibilidad a lo importado aunque se adopte el límite de colocación de 20%; las 6 y 7, el riesgo de la cartera en Chile (cuenta B3-A); la 9, el costo de la tabla +400/350/300.</t>
  </si>
  <si>
    <t xml:space="preserve">Quién paga las pensiones (v7.13) — Rosa como socia: los intereses de los créditos van a los jubilados, no a un banco</t>
  </si>
  <si>
    <t xml:space="preserve">Fórmulas sobre cada escenario. Billones de pesos de 2026. «Banco de los jubilados» = rendimiento del B1 menos pérdidas de cartera (filas 107 − 108). El resto de las pensiones lo cubren la plata real de las cuentas, la reserva (que viene del Bono), las inversiones en Chile y, si falta, el impuesto de las Acciones Espejo y el Bono a través de la caja.</t>
  </si>
  <si>
    <t xml:space="preserve">Concepto</t>
  </si>
  <si>
    <t xml:space="preserve">Autor: 30 años</t>
  </si>
  <si>
    <t xml:space="preserve">Autor: % de pensiones</t>
  </si>
  <si>
    <t xml:space="preserve">Prudente: 30 años</t>
  </si>
  <si>
    <t xml:space="preserve">Prudente: % de pensiones</t>
  </si>
  <si>
    <t xml:space="preserve">Prudente 10% fijo: 30 años</t>
  </si>
  <si>
    <t xml:space="preserve">Prudente 10% fijo: % de pensiones</t>
  </si>
  <si>
    <t xml:space="preserve">Diablo: 30 años</t>
  </si>
  <si>
    <t xml:space="preserve">Diablo: % de pensiones</t>
  </si>
  <si>
    <t xml:space="preserve">Diablo con defensas: 30 años</t>
  </si>
  <si>
    <t xml:space="preserve">Diablo con defensas: % de pensiones</t>
  </si>
  <si>
    <t xml:space="preserve">Pensiones pagadas (fila 111)</t>
  </si>
  <si>
    <t xml:space="preserve">Banco de los jubilados: intereses de créditos − pérdidas (107 − 108)</t>
  </si>
  <si>
    <t xml:space="preserve">Plata real de las cuentas, B2 y B3 (109)</t>
  </si>
  <si>
    <t xml:space="preserve">Rendimiento de la reserva (110)</t>
  </si>
  <si>
    <t xml:space="preserve">Inversiones en Chile, B3-A (184)</t>
  </si>
  <si>
    <t xml:space="preserve">Total de rendimientos</t>
  </si>
  <si>
    <t xml:space="preserve">Lo que falta: lo cubren el impuesto y el Bono vía caja</t>
  </si>
  <si>
    <t xml:space="preserve">Balance «como socios» (v7.16): las familias son socias del banco de los jubilados</t>
  </si>
  <si>
    <t xml:space="preserve">Como en un banco, el crédito y la plata que circula se anulan: la plata creada y prestada no suma patrimonio contable. El patrimonio de los socios es lo que la AFJ tiene menos lo que debe a los bancos y al Banco Central. La diferencia con los derechos de las familias es el valor que deben aportar los intereses futuros, el impuesto y el Bono (ver hoja 70). Billones de pesos de 2026.</t>
  </si>
  <si>
    <t xml:space="preserve">Autor año 10</t>
  </si>
  <si>
    <t xml:space="preserve">Autor año 20</t>
  </si>
  <si>
    <t xml:space="preserve">Autor año 30</t>
  </si>
  <si>
    <t xml:space="preserve">Prudente año 10</t>
  </si>
  <si>
    <t xml:space="preserve">Prudente año 20</t>
  </si>
  <si>
    <t xml:space="preserve">Prudente año 30</t>
  </si>
  <si>
    <t xml:space="preserve">Diablo con defensas año 10</t>
  </si>
  <si>
    <t xml:space="preserve">Diablo con defensas año 20</t>
  </si>
  <si>
    <t xml:space="preserve">Diablo con defensas año 30</t>
  </si>
  <si>
    <t xml:space="preserve">Créditos del B1 (activo)</t>
  </si>
  <si>
    <t xml:space="preserve">Plata real de las cuentas (B2 y B3)</t>
  </si>
  <si>
    <t xml:space="preserve">Inversiones en Chile (B3-A)</t>
  </si>
  <si>
    <t xml:space="preserve">Total de activos</t>
  </si>
  <si>
    <t xml:space="preserve">Plata creada que circula en los bancos (se anula con los créditos)</t>
  </si>
  <si>
    <t xml:space="preserve">Saldo con el Banco Central (canje)</t>
  </si>
  <si>
    <t xml:space="preserve">Patrimonio de los socios = activos − lo que se debe</t>
  </si>
  <si>
    <t xml:space="preserve">Derechos de las familias (Acciones Espejo y ahorro)</t>
  </si>
  <si>
    <t xml:space="preserve">Patrimonio / derechos</t>
  </si>
  <si>
    <t xml:space="preserve">Lo que deben aportar los intereses futuros, el impuesto y el Bono = derechos − patrimonio</t>
  </si>
  <si>
    <t xml:space="preserve">Dinero (v7.19): cuánta plata agrega la AFJ al M2, separando créditos y compras de bonos</t>
  </si>
  <si>
    <t xml:space="preserve">Esta hoja NO calcula la inflación: mide la plata. La inflación depende también de la actividad, la demanda, los costos, las condiciones financieras y la respuesta del Banco Central; para estimarla hace falta un modelo macroeconómico. Los créditos y las compras de bonos se muestran por separado: refinanciar un crédito bancario no agrega plata; comprar un bono le entrega plata al vendedor. Billones de pesos de 2026.</t>
  </si>
  <si>
    <t xml:space="preserve">M2 de Chile, julio 2026 (Banco Central de Chile, vía Trading Economics: $204.239 miles de millones)</t>
  </si>
  <si>
    <t xml:space="preserve">Crédito bancario de Chile, julio 2026 (hoja 64)</t>
  </si>
  <si>
    <t xml:space="preserve">Parte de los créditos de la AFJ que reemplaza créditos de los bancos (refinanciamiento): casos</t>
  </si>
  <si>
    <t xml:space="preserve">Autor</t>
  </si>
  <si>
    <t xml:space="preserve">Año 12</t>
  </si>
  <si>
    <t xml:space="preserve">M2 sin la AFJ (crece con el PIB)</t>
  </si>
  <si>
    <t xml:space="preserve">Créditos de la AFJ que se gastan en Chile (tipo A, saldo)</t>
  </si>
  <si>
    <t xml:space="preserve">Bonos chilenos comprados por el B3-A (saldo)</t>
  </si>
  <si>
    <t xml:space="preserve">Parte de la AFJ en el crédito del país: B1 / (crédito bancario + B1)</t>
  </si>
  <si>
    <t xml:space="preserve">Créditos, reemplazo 30%: plata nueva del año / M2</t>
  </si>
  <si>
    <t xml:space="preserve">Créditos, reemplazo 30%: acumulada / M2</t>
  </si>
  <si>
    <t xml:space="preserve">Créditos, reemplazo 50%: plata nueva del año / M2</t>
  </si>
  <si>
    <t xml:space="preserve">Créditos, reemplazo 50%: acumulada / M2</t>
  </si>
  <si>
    <t xml:space="preserve">Créditos, reemplazo 70%: plata nueva del año / M2</t>
  </si>
  <si>
    <t xml:space="preserve">Créditos, reemplazo 70%: acumulada / M2</t>
  </si>
  <si>
    <t xml:space="preserve">Compras de bonos: plata nueva del año / M2 (va a los vendedores de bonos; no es crédito)</t>
  </si>
  <si>
    <t xml:space="preserve">Compras de bonos: acumulada / M2</t>
  </si>
  <si>
    <t xml:space="preserve">Diablo con defensas</t>
  </si>
  <si>
    <t xml:space="preserve">Autor con tope (hoja 54)</t>
  </si>
  <si>
    <t xml:space="preserve">Créditos por destino (v7.20): cuánto se presta a personas, empresas y Estado, año a año</t>
  </si>
  <si>
    <t xml:space="preserve">Escenario del autor (hoja 38). Billones de pesos de 2026. Todo son fórmulas. El reparto entre personas y empresas y los plazos son supuestos visibles por decidir (01_Supuestos C175 a C178): cambian el reparto, no los resultados. Los intereses van a pagar pensiones; el capital devuelto se netea (se anula la plata creada) y la Acción Espejo queda libre para otro crédito.</t>
  </si>
  <si>
    <t xml:space="preserve">TODOS LOS ESCENARIOS (año 30 y totales a 30 años)</t>
  </si>
  <si>
    <t xml:space="preserve">Hoja</t>
  </si>
  <si>
    <t xml:space="preserve">Personas: deuda año 30</t>
  </si>
  <si>
    <t xml:space="preserve">Empresas: deuda año 30</t>
  </si>
  <si>
    <t xml:space="preserve">Estado: deuda año 30</t>
  </si>
  <si>
    <t xml:space="preserve">Préstamos nuevos, 30 años</t>
  </si>
  <si>
    <t xml:space="preserve">Capital devuelto, 30 años</t>
  </si>
  <si>
    <t xml:space="preserve">Intereses, 30 años</t>
  </si>
  <si>
    <t xml:space="preserve">Préstamo del Banco Central, máximo</t>
  </si>
  <si>
    <t xml:space="preserve">Controles (suma de diferencias; debe ser 0)</t>
  </si>
  <si>
    <t xml:space="preserve">38_v69_E1</t>
  </si>
  <si>
    <t xml:space="preserve">39_v69_E2</t>
  </si>
  <si>
    <t xml:space="preserve">40_v69_E3</t>
  </si>
  <si>
    <t xml:space="preserve">41_v69_E4</t>
  </si>
  <si>
    <t xml:space="preserve">45_v69_E1_10</t>
  </si>
  <si>
    <t xml:space="preserve">46_v69_E3_10</t>
  </si>
  <si>
    <t xml:space="preserve">44_v69_E6</t>
  </si>
  <si>
    <t xml:space="preserve">49_v69_E1_Ref</t>
  </si>
  <si>
    <t xml:space="preserve">50_v69_E3_Ref</t>
  </si>
  <si>
    <t xml:space="preserve">42_v69_Diablo</t>
  </si>
  <si>
    <t xml:space="preserve">43_Diablo_Defensas</t>
  </si>
  <si>
    <t xml:space="preserve">51_v69_E1_Freno</t>
  </si>
  <si>
    <t xml:space="preserve">52_v69_E3_Freno</t>
  </si>
  <si>
    <t xml:space="preserve">54_v69_E1_Tope</t>
  </si>
  <si>
    <t xml:space="preserve">55_E1_Crec022</t>
  </si>
  <si>
    <t xml:space="preserve">56_E1_Crec049</t>
  </si>
  <si>
    <t xml:space="preserve">57_E1_AE25</t>
  </si>
  <si>
    <t xml:space="preserve">58_E1_AE50</t>
  </si>
  <si>
    <t xml:space="preserve">59_E1_Crec022_AE25</t>
  </si>
  <si>
    <t xml:space="preserve">Control general (debe ser 0)</t>
  </si>
  <si>
    <t xml:space="preserve">• Préstamos nuevos = lo que se presta en el año, incluido volver a prestar el capital que se devolvió. Capital devuelto = lo que se netea. Deuda pendiente = lo que se debe a fin de año.</t>
  </si>
  <si>
    <t xml:space="preserve">• Acción Espejo (regla del autor): registra el derecho del jubilado y limita la emisión; no pone plata. Cada $1 de derecho puede quedar vinculado a $1 de crédito como máximo, y el tope del B1 lo limita a 45% del fondo. Al devolverse el crédito, la acción queda libre.</t>
  </si>
  <si>
    <t xml:space="preserve">• El flujo del impuesto redirigido (10% del IDPC al inicio) es un ingreso de la caja, contado una sola vez (fila 114). No amplía cuánto se puede prestar.</t>
  </si>
  <si>
    <t xml:space="preserve">• Si el deudor no paga: primero el seguro (lo paga el deudor), después la reserva.</t>
  </si>
  <si>
    <t xml:space="preserve">• Conversión de saldos AFJ en reservas: con recursos propios (bonos líquidos del B3 y la reserva), sin préstamo ni garantía del Banco Central (01_Supuestos C174 = No). La última fila del cuadro de arriba debe dar 0.</t>
  </si>
  <si>
    <t xml:space="preserve">• Desde la v7.22 ningún escenario usa préstamo ni línea del Banco Central, tampoco las hojas 42 y 43 (Diablo).</t>
  </si>
  <si>
    <t xml:space="preserve">Registro de pruebas de la v7.23 (pedido de la revisora, 23-oct-2026)</t>
  </si>
  <si>
    <t xml:space="preserve">VALORES GUARDADOS DE CORRIDAS ALTERNATIVAS: no son fórmulas. Cada prueba parte de la v7.23 base y cambia solo las celdas indicadas; para reproducirla, cambia esas celdas, recalcula y lee los motores. «Mín. reserva/fondo» = mínimo de la fila 122 en 30 años. «Cobertura» = ingresos / (pagos y todos los costos de la fila 113) × 100, año 30. «Años en rojo» cuenta la fila 123: rojo es reserva disponible bajo 10 % del fondo; las pensiones se siguen pagando. «Apoyo del Estado» es la fila 118: falta plata y la pone el Estado. «Conversión sin cubrir» = máximo de la fila 273; «Reserva libre mínima» = mínimo de la fila 276. No tener años en rojo no significa superávit anual.</t>
  </si>
  <si>
    <t xml:space="preserve">Cambio</t>
  </si>
  <si>
    <t xml:space="preserve">Escenario</t>
  </si>
  <si>
    <t xml:space="preserve">Reserva año 30 ($ bill.)</t>
  </si>
  <si>
    <t xml:space="preserve">Mín. reserva/fondo (%)</t>
  </si>
  <si>
    <t xml:space="preserve">Años en rojo</t>
  </si>
  <si>
    <t xml:space="preserve">Apoyo del Estado 30 años ($ bill.)</t>
  </si>
  <si>
    <t xml:space="preserve">Saldo fiscal 30 años ($ bill.)</t>
  </si>
  <si>
    <t xml:space="preserve">Cobertura año 30 (por $100)</t>
  </si>
  <si>
    <t xml:space="preserve">% máx. del IDPC a la AFJ</t>
  </si>
  <si>
    <t xml:space="preserve">Banco Central, máximo ($ bill.)</t>
  </si>
  <si>
    <t xml:space="preserve">Conversión sin cubrir, máximo ($ bill.)</t>
  </si>
  <si>
    <t xml:space="preserve">Reserva libre mínima ($ bill.)</t>
  </si>
  <si>
    <t xml:space="preserve">Versión base v7.23</t>
  </si>
  <si>
    <t xml:space="preserve">Prudente 10 % fijo</t>
  </si>
  <si>
    <t xml:space="preserve">Dos años seguidos con −20 % (años 15 y 16)</t>
  </si>
  <si>
    <t xml:space="preserve">01_Supuestos C163 = 15; 01_Supuestos C164 = -0.2; 01_Supuestos C168 = 2</t>
  </si>
  <si>
    <t xml:space="preserve">Un año con −10 % (año 15)</t>
  </si>
  <si>
    <t xml:space="preserve">01_Supuestos C163 = 15; 01_Supuestos C164 = -0.1; 01_Supuestos C168 = 1</t>
  </si>
  <si>
    <t xml:space="preserve">Mora de 1 % en todos los escenarios</t>
  </si>
  <si>
    <t xml:space="preserve">C8 de cada motor = 0.01</t>
  </si>
  <si>
    <t xml:space="preserve">Mora de 1,5 % en todos los escenarios</t>
  </si>
  <si>
    <t xml:space="preserve">C8 de cada motor = 0.015</t>
  </si>
  <si>
    <t xml:space="preserve">Ritmo 5 % del PIB los años 1 a 3, después el del escenario</t>
  </si>
  <si>
    <t xml:space="preserve">01_Supuestos C181 = 0.05; 01_Supuestos C182 = 3</t>
  </si>
  <si>
    <t xml:space="preserve">Ritmo 5 % del PIB los años 1 a 5, después el del escenario</t>
  </si>
  <si>
    <t xml:space="preserve">01_Supuestos C181 = 0.05; 01_Supuestos C182 = 5</t>
  </si>
  <si>
    <t xml:space="preserve">Bono sin reajuste por IPC</t>
  </si>
  <si>
    <t xml:space="preserve">01_Supuestos C143 = No</t>
  </si>
  <si>
    <t xml:space="preserve">Techo del Estado 15 % (años 1 a 10)</t>
  </si>
  <si>
    <t xml:space="preserve">01_Supuestos C136 = 0.15</t>
  </si>
  <si>
    <t xml:space="preserve">Bancos piden convertir 20 % de los saldos</t>
  </si>
  <si>
    <t xml:space="preserve">01_Supuestos C173 = 0.2</t>
  </si>
  <si>
    <t xml:space="preserve">Bancos piden convertir 40 % de los saldos</t>
  </si>
  <si>
    <t xml:space="preserve">01_Supuestos C173 = 0.4</t>
  </si>
  <si>
    <t xml:space="preserve">La AFJ paga 0,5 % real por sus saldos</t>
  </si>
  <si>
    <t xml:space="preserve">01_Supuestos C171 = 0.005</t>
  </si>
  <si>
    <t xml:space="preserve">Sin tope de la AFJ en el crédito del país</t>
  </si>
  <si>
    <t xml:space="preserve">01_Supuestos C179 = 0</t>
  </si>
  <si>
    <t xml:space="preserve">Tope de 25 %</t>
  </si>
  <si>
    <t xml:space="preserve">01_Supuestos C179 = 0.25</t>
  </si>
  <si>
    <t xml:space="preserve">Bonos que paga la AFJ (pata de los bonos) — ficha v7.24</t>
  </si>
  <si>
    <t xml:space="preserve">Billones de pesos de 2026. Decisión del autor (23-oct-2026): la AFJ da el Bono de Invierno y el Bono por Hijo a TODOS sus jubilados, sin los topes ni la focalización del Estado, como capital que se suma al fondo al ingresar y se hereda. Por eso el beneficio que financia la AFJ (capital, filas 30 a 40) es MAYOR que el gasto que deja de hacer el Estado (ahorro, fila 42): el Estado solo se ahorra lo que hoy paga a quienes reciben esos bonos, y desde el año en que cada grupo entra a la AFJ. Las filas 5 a 8 muestran solo el costo nacional actual, como referencia.</t>
  </si>
  <si>
    <t xml:space="preserve">Bono</t>
  </si>
  <si>
    <t xml:space="preserve">Monto</t>
  </si>
  <si>
    <t xml:space="preserve">Beneficiarios</t>
  </si>
  <si>
    <t xml:space="preserve">Costo anual ($ bill.)</t>
  </si>
  <si>
    <t xml:space="preserve">Cómo lo paga la AFJ</t>
  </si>
  <si>
    <t xml:space="preserve">Capital heredable equivalente (× 20 años, $ bill.)</t>
  </si>
  <si>
    <t xml:space="preserve">Fuente</t>
  </si>
  <si>
    <t xml:space="preserve">Bono de Invierno</t>
  </si>
  <si>
    <t xml:space="preserve">Pago anual sumado a la pensión</t>
  </si>
  <si>
    <t xml:space="preserve">Mintrab, Bono de Invierno 2025 (1,8 millones); ChileAtiende y prensa 2026 ($81.257)</t>
  </si>
  <si>
    <t xml:space="preserve">Bono por Hijo</t>
  </si>
  <si>
    <t xml:space="preserve">≈$970.200 por hijo nacido vivo (2026), más rentabilidad; se suma a la pensión de mujeres con PGU</t>
  </si>
  <si>
    <t xml:space="preserve">Aumento de la pensión mensual de la madre</t>
  </si>
  <si>
    <t xml:space="preserve">La Tercera / IPS: &gt;$100 mil millones al año desde 2020; ≈$200 mil millones en 2024; $161.352 millones a octubre de 2025</t>
  </si>
  <si>
    <t xml:space="preserve">TOTAL</t>
  </si>
  <si>
    <t xml:space="preserve">Fuera: aguinaldos de Fiestas Patrias y Navidad, y Bono Bodas de Oro (decisión del autor, 23-oct-2026).</t>
  </si>
  <si>
    <t xml:space="preserve">Capital heredable: si la AFJ, en vez de pagar cada año, deposita el capital equivalente en las cuentas (regla ×240 = 20 años de pago), ese capital queda a nombre de cada jubilado y se hereda. Ejemplo: Bono de Invierno = $81.257 al año = $6.771 al mes × 240 = $1.625.140 por persona.</t>
  </si>
  <si>
    <t xml:space="preserve">Pendiente: comprobar con el IPS cuántos beneficiarios actuales de cada bono están dentro de los grupos de la AFJ.</t>
  </si>
  <si>
    <t xml:space="preserve">Valor del motor (01_Supuestos!I149):</t>
  </si>
  <si>
    <t xml:space="preserve">(Filas 15 a 25 reemplazadas por la tabla por grupo, filas 28 a 42.)</t>
  </si>
  <si>
    <t xml:space="preserve">Bono de Invierno: capital por persona = $81.257 / 12 × 240</t>
  </si>
  <si>
    <t xml:space="preserve">Bono por Hijo: valor por hijo 2026 (10 % de 18 ingresos mínimos de $539.000), sin la rentabilidad acumulada. Antes (prueba 5) se estimaba con un pago anual promedio de $190.000 por beneficiaria: es un cambio de supuesto, no solo de distribución</t>
  </si>
  <si>
    <t xml:space="preserve">Bono por Hijo: pago anual equivalente que hoy hace el Estado por cada hijo (= valor / 20 años)</t>
  </si>
  <si>
    <t xml:space="preserve">(Promedio general, solo referencia)</t>
  </si>
  <si>
    <t xml:space="preserve">CAPITAL DE BONOS POR GRUPO (supuestos en amarillo; a afinar con datos del IPS y de cada grupo)</t>
  </si>
  <si>
    <t xml:space="preserve">Grupo</t>
  </si>
  <si>
    <t xml:space="preserve">Personas</t>
  </si>
  <si>
    <t xml:space="preserve">Año de ingreso</t>
  </si>
  <si>
    <t xml:space="preserve">% mujeres</t>
  </si>
  <si>
    <t xml:space="preserve">Hijos promedio</t>
  </si>
  <si>
    <t xml:space="preserve">Capital de bonos por persona = Invierno + % mujeres × hijos × valor por hijo</t>
  </si>
  <si>
    <t xml:space="preserve">Capital de bonos del grupo ($ bill.)</t>
  </si>
  <si>
    <t xml:space="preserve">¿El Estado les paga hoy los bonos?</t>
  </si>
  <si>
    <t xml:space="preserve">Ahorro anual del Estado por persona ($): equivalencia del modelo (Invierno + % mujeres × hijos × valor por hijo / 20). No es el gasto efectivo del Estado: falta validarlo con el IPS</t>
  </si>
  <si>
    <t xml:space="preserve">Uniformados (CAPREDENA y DIPRECA; mujeres = montepíos ≈33 %)</t>
  </si>
  <si>
    <t xml:space="preserve">Profesores</t>
  </si>
  <si>
    <t xml:space="preserve">Pueblos originarios</t>
  </si>
  <si>
    <t xml:space="preserve">9 grupos olvidados (60+)</t>
  </si>
  <si>
    <t xml:space="preserve">Civiles sin ahorro</t>
  </si>
  <si>
    <t xml:space="preserve">Civiles con brecha bajo el piso (y nuevos jubilados)</t>
  </si>
  <si>
    <t xml:space="preserve">Civiles sobre el piso</t>
  </si>
  <si>
    <t xml:space="preserve">Fuentes de los supuestos: % de mujeres en uniformados según montepíos de CAPREDENA (32.880 de 104.067) y DIPRECA (25.717 de 72.706), Fundación Sol 2025. Los demás porcentajes y el número de hijos son supuestos del autor, a verificar.</t>
  </si>
  <si>
    <t xml:space="preserve">Ahorro del Estado: empieza el año en que cada grupo entra a la AFJ, baja 3 % al año por fallecimientos y suma a los nuevos jubilados (60.000 al año desde el año 4, con el ahorro por persona de la fila 35). Se calcula en la fila 137 de cada motor.</t>
  </si>
  <si>
    <t xml:space="preserve">Ahorro del Estado en el año 10 del escenario autor ($ bill.):</t>
  </si>
  <si>
    <t xml:space="preserve">Circuito B → A: crédito mixto (parte nacional tipo A, parte importada tipo B)</t>
  </si>
  <si>
    <t xml:space="preserve">Regla del autor (23-oct-2026): lo que devuelve el deudor se imputa primero a la parte importada. Al devolverse, se libera el respaldo B (Bono) y vuelve a quedar disponible; los dólares pagados al proveedor no vuelven: para otra importación hay que comprar dólares de nuevo. Los intereses son ingreso de la AFJ, no devolución de capital. La reclasificación B → A no crea ganancia ni plata nueva.</t>
  </si>
  <si>
    <t xml:space="preserve">Monto del crédito ($ millones)</t>
  </si>
  <si>
    <t xml:space="preserve">Parte importada (tipo B)</t>
  </si>
  <si>
    <t xml:space="preserve">Plazo (años)</t>
  </si>
  <si>
    <t xml:space="preserve">Tasa real (IPC + …)</t>
  </si>
  <si>
    <t xml:space="preserve">Imputación: 1 = primero lo importado; 0 = proporcional</t>
  </si>
  <si>
    <t xml:space="preserve">Capital devuelto</t>
  </si>
  <si>
    <t xml:space="preserve">Saldo del crédito</t>
  </si>
  <si>
    <t xml:space="preserve">Saldo parte importada (respaldo B ocupado)</t>
  </si>
  <si>
    <t xml:space="preserve">Respaldo B liberado en el año</t>
  </si>
  <si>
    <t xml:space="preserve">Saldo parte nacional (tipo A)</t>
  </si>
  <si>
    <t xml:space="preserve">Intereses del año (ingreso AFJ)</t>
  </si>
  <si>
    <t xml:space="preserve">Dólares: pagados al proveedor / recuperados</t>
  </si>
  <si>
    <t xml:space="preserve">Control: respaldo B liberado en total = parte importada</t>
  </si>
  <si>
    <t xml:space="preserve">Año en que el respaldo B queda libre del todo</t>
  </si>
  <si>
    <t xml:space="preserve">Diablo, circuito nuevo (v7.24 prueba 9): mismas condiciones adversas que la hoja 42_v69_Diablo, con el circuito B → A nuevo y 30 % de importación en los préstamos a empresas</t>
  </si>
  <si>
    <t xml:space="preserve">Diablo: 30 %, la misma dureza que su regla antigua (C172 = 0,3).</t>
  </si>
  <si>
    <t xml:space="preserve">Diablo con defensas, circuito nuevo (v7.24 prueba 9): mismas condiciones adversas que la hoja 43_Diablo_Defensas, con el circuito B → A nuevo y 30 % de importación en los préstamos a empresas</t>
  </si>
  <si>
    <t xml:space="preserve">Ejemplo: un préstamo a empresa con impago y seguro (v7.24 prueba 12, pedido de la revisora)</t>
  </si>
  <si>
    <t xml:space="preserve">Muestra, año por año, la misma secuencia que siguen los motores: saldo inicial, capital cobrado, capital castigado, indemnización, crédito nuevo que repone lo castigado, saldo final, caja y respaldo B. Cambia las casillas amarillas. Montos en millones de pesos.</t>
  </si>
  <si>
    <t xml:space="preserve">Monto del crédito</t>
  </si>
  <si>
    <t xml:space="preserve">Año en que el deudor deja de pagar</t>
  </si>
  <si>
    <t xml:space="preserve">Parte del capital impago que paga el seguro</t>
  </si>
  <si>
    <t xml:space="preserve">Años que tarda el seguro en pagar</t>
  </si>
  <si>
    <t xml:space="preserve">Tasa real del crédito</t>
  </si>
  <si>
    <t xml:space="preserve">Saldo inicial del préstamo</t>
  </si>
  <si>
    <t xml:space="preserve">Capital cobrado (cuota)</t>
  </si>
  <si>
    <t xml:space="preserve">Capital castigado (sale de la cartera)</t>
  </si>
  <si>
    <t xml:space="preserve">Saldo final del préstamo</t>
  </si>
  <si>
    <t xml:space="preserve">Intereses cobrados</t>
  </si>
  <si>
    <t xml:space="preserve">Indemnización del seguro que corresponde (devengada)</t>
  </si>
  <si>
    <t xml:space="preserve">Indemnización que el seguro paga en el año</t>
  </si>
  <si>
    <t xml:space="preserve">Seguro por cobrar al cierre</t>
  </si>
  <si>
    <t xml:space="preserve">Pérdida definitiva de la AFJ</t>
  </si>
  <si>
    <t xml:space="preserve">Crédito nuevo que repone lo castigado (a otro deudor; la cartera se mantiene)</t>
  </si>
  <si>
    <t xml:space="preserve">Lo que pone la caja de la reserva (castigo − indemnización cobrada; fila 108)</t>
  </si>
  <si>
    <t xml:space="preserve">Respaldo B ocupado al cierre (parte importada que falta recuperar)</t>
  </si>
  <si>
    <t xml:space="preserve">Respaldo B liberado en el año = capital cobrado + indemnización efectivamente recibida, primero a lo importado (misma regla del motor)</t>
  </si>
  <si>
    <t xml:space="preserve">Respaldo B que no se recupera: parte importada de lo castigado que el seguro no pagó (los dólares se fueron y no vuelven; queda como pérdida, no se libera)</t>
  </si>
  <si>
    <t xml:space="preserve">CONTROLES (deben ser 0)</t>
  </si>
  <si>
    <t xml:space="preserve">Saldo: monto − cobrado − castigado − saldo final</t>
  </si>
  <si>
    <t xml:space="preserve">Castigo = indemnización cobrada + pérdida definitiva + seguro por cobrar</t>
  </si>
  <si>
    <t xml:space="preserve">Caja: lo que puso la caja − pérdida definitiva − seguro por cobrar</t>
  </si>
  <si>
    <t xml:space="preserve">Respaldo B: parte importada − liberado − no recuperado − ocupado al cierre</t>
  </si>
  <si>
    <t xml:space="preserve">Respaldo B liberado que supera lo recuperado (cuota + indemnización recibida)</t>
  </si>
  <si>
    <t xml:space="preserve">Cómo se lee: el año del impago el préstamo sale de la cartera (castigo) y la AFJ presta lo mismo a otro deudor, así la cartera no cambia. La caja pone el capital castigado mientras el seguro no paga. El respaldo B solo se libera con lo que de verdad vuelve: la cuota y la indemnización. Si el seguro no cubre todo, la parte importada que falta no se libera: queda como respaldo B no recuperado. Con cobertura total (diseño del autor) no hay pérdida definitiva, solo una espera de caja. Los intereses no cobrados quedan aparte.</t>
  </si>
  <si>
    <t xml:space="preserve">En la cartera completa (motores) rige la misma regla: filas 318 y 323 liberan B solo con capital cobrado e indemnizaciones recibidas.</t>
  </si>
  <si>
    <t xml:space="preserve">Pruebas de las defensas, mora y pago anticipado con el circuito B → A nuevo — calculadora v7.28 (fortalecimiento adquirido de la familia; 28-oct-2026)</t>
  </si>
  <si>
    <t xml:space="preserve">VALORES GUARDADOS de corridas alternativas con la v7.27 (repetidas el 28-oct-2026 con resultado idéntico; la v7.28 solo cambia textos) (no son fórmulas). Cada prueba parte de la base v7.27 y cambia solo lo indicado. Billones de pesos de 2026. «Años en rojo» = años con reserva disponible inferior al 10 % del fondo. Los valores v7.26 de la prueba 13 se reprodujeron exactamente antes del cambio (55,30 / 10,25 / 40,37 / 29,46).</t>
  </si>
  <si>
    <t xml:space="preserve">Reserva año 30</t>
  </si>
  <si>
    <t xml:space="preserve">Apoyo del Estado 30 años</t>
  </si>
  <si>
    <t xml:space="preserve">Saldo del año 30</t>
  </si>
  <si>
    <t xml:space="preserve">Peor saldo anual</t>
  </si>
  <si>
    <t xml:space="preserve">Respaldo B ocupado año 30</t>
  </si>
  <si>
    <t xml:space="preserve">Conversión sin cubrir, máx.</t>
  </si>
  <si>
    <t xml:space="preserve">Saldo fiscal 30 años</t>
  </si>
  <si>
    <t xml:space="preserve">Controles B (debe ser 0)</t>
  </si>
  <si>
    <t xml:space="preserve">Años sin tramos nuevos (regla del 15 %)</t>
  </si>
  <si>
    <t xml:space="preserve">Base v7.27</t>
  </si>
  <si>
    <t xml:space="preserve">no aplica (regla antigua)</t>
  </si>
  <si>
    <t xml:space="preserve">regla antigua</t>
  </si>
  <si>
    <t xml:space="preserve">01_Supuestos C163 = 15; C164 = −0,2; C168 = 2</t>
  </si>
  <si>
    <t xml:space="preserve">Impago bruto de 1,5 % en todos (antes del seguro)</t>
  </si>
  <si>
    <t xml:space="preserve">C340 de cada motor = 0,015</t>
  </si>
  <si>
    <t xml:space="preserve">Plazo menor: créditos a empresas a 3 años (no es pago anticipado)</t>
  </si>
  <si>
    <t xml:space="preserve">01_Supuestos C177 = 3</t>
  </si>
  <si>
    <t xml:space="preserve">01_Supuestos C173 = 0,4</t>
  </si>
  <si>
    <t xml:space="preserve">Pago anticipado en el año 10: 30 % del saldo de empresas que queda después de la cuota</t>
  </si>
  <si>
    <t xml:space="preserve">01_Supuestos C189 = 10; C190 = 0,3</t>
  </si>
  <si>
    <t xml:space="preserve">El seguro paga con 1 año de espera</t>
  </si>
  <si>
    <t xml:space="preserve">01_Supuestos C192 = 1</t>
  </si>
  <si>
    <t xml:space="preserve">Impago bruto 1,5 % y el seguro paga con 2 años de espera</t>
  </si>
  <si>
    <t xml:space="preserve">C340 de cada motor = 0,015; 01_Supuestos C192 = 2</t>
  </si>
  <si>
    <t xml:space="preserve">Importación doble</t>
  </si>
  <si>
    <t xml:space="preserve">01_Supuestos C185 = 0,6 y C186 = 0,4; C328 de las dos hojas del Diablo nuevo (42N y 43N) = 0,6</t>
  </si>
  <si>
    <t xml:space="preserve">Cómo leerlo: la referencia principal para evaluar las defensas es el Diablo con el circuito nuevo (hojas 42N y 43N: mismas condiciones adversas, 30 % de importación en los préstamos a empresas). «Diablo» y «Diablo con defensas» (hojas 42 y 43) son una comparación con otra regla de respaldo: 30 % de todo el B1 ocupado como respaldo B, sin liberarse. Las pruebas que no registran apoyo del Estado no son por eso holgadas: mirar años en rojo y reserva final.</t>
  </si>
  <si>
    <t xml:space="preserve">Supuestos: en el Autor, impago bruto 0,1 % (deudores VIP) y seguro que cubre todo el capital = diseño del autor, por respaldar. En los prudentes y el Diablo con defensas, 35 % de seguro = prueba de protección reducida.</t>
  </si>
  <si>
    <t xml:space="preserve">Lectura v7.27 (el fortalecimiento adquirido es de la familia; la devolución del préstamo ya no lo reduce): los tramos de los nuevos jubilados sobre el piso y su ahorro AFP propio entran a la AFJ (opción 1, decisión del autor, 24-oct-2026: al jubilar, todo el ahorro AFP pasa a la AFJ). Los aportes fijos de profesores y pueblos originarios no se reducen por herencia (corrección de la revisora). En la base no hay años en rojo en el Autor ni en el Prudente; el Prudente tiene déficit anual en los últimos años y termina con -0,9 el año 30. En la crisis de dos años con −20 % la reserva del Autor baja a 56,4 (12 años en rojo) y el Prudente con 10 % fijo necesita 40,7 de apoyo del Estado acumulado en 30 años; la regla del 15 % suspende los tramos nuevos 14 años. Las pensiones se pagan siempre.</t>
  </si>
</sst>
</file>

<file path=xl/styles.xml><?xml version="1.0" encoding="utf-8"?>
<styleSheet xmlns="http://schemas.openxmlformats.org/spreadsheetml/2006/main">
  <numFmts count="22">
    <numFmt numFmtId="164" formatCode="General"/>
    <numFmt numFmtId="165" formatCode="@"/>
    <numFmt numFmtId="166" formatCode="#,##0;\(#,##0\);\-"/>
    <numFmt numFmtId="167" formatCode="0.00%"/>
    <numFmt numFmtId="168" formatCode="0.0%;\(0.0%\);\-"/>
    <numFmt numFmtId="169" formatCode="0.00%;\(0.00%\);\-"/>
    <numFmt numFmtId="170" formatCode="0.00"/>
    <numFmt numFmtId="171" formatCode="0.0"/>
    <numFmt numFmtId="172" formatCode="\$#,##0;&quot;($&quot;#,##0\);\-"/>
    <numFmt numFmtId="173" formatCode="0"/>
    <numFmt numFmtId="174" formatCode="0.0%"/>
    <numFmt numFmtId="175" formatCode="0%"/>
    <numFmt numFmtId="176" formatCode="#,##0.0"/>
    <numFmt numFmtId="177" formatCode="#,##0.0;\(#,##0.0\);\-"/>
    <numFmt numFmtId="178" formatCode="#,##0.00;\(#,##0.00\);\-"/>
    <numFmt numFmtId="179" formatCode="#,##0.00"/>
    <numFmt numFmtId="180" formatCode="#,##0"/>
    <numFmt numFmtId="181" formatCode="0.0000"/>
    <numFmt numFmtId="182" formatCode="0.00\x"/>
    <numFmt numFmtId="183" formatCode="\$#,##0.00&quot; B&quot;;&quot;($&quot;#,##0.00&quot; B)&quot;;\-"/>
    <numFmt numFmtId="184" formatCode="0.000"/>
    <numFmt numFmtId="185" formatCode="0.000000"/>
  </numFmts>
  <fonts count="75">
    <font>
      <sz val="11"/>
      <color theme="1"/>
      <name val="Calibri"/>
      <family val="0"/>
      <charset val="1"/>
    </font>
    <font>
      <sz val="10"/>
      <name val="Arial"/>
      <family val="0"/>
    </font>
    <font>
      <sz val="10"/>
      <name val="Arial"/>
      <family val="0"/>
    </font>
    <font>
      <sz val="10"/>
      <name val="Arial"/>
      <family val="0"/>
    </font>
    <font>
      <b val="true"/>
      <sz val="22"/>
      <color rgb="FF1F4E79"/>
      <name val="Arial"/>
      <family val="0"/>
      <charset val="1"/>
    </font>
    <font>
      <i val="true"/>
      <sz val="12"/>
      <color rgb="FF595959"/>
      <name val="Arial"/>
      <family val="0"/>
      <charset val="1"/>
    </font>
    <font>
      <i val="true"/>
      <sz val="10"/>
      <color rgb="FF595959"/>
      <name val="Calibri"/>
      <family val="0"/>
      <charset val="1"/>
    </font>
    <font>
      <b val="true"/>
      <sz val="11"/>
      <color rgb="FF1F4E79"/>
      <name val="Arial"/>
      <family val="0"/>
      <charset val="1"/>
    </font>
    <font>
      <sz val="10"/>
      <color rgb="FF000000"/>
      <name val="Arial"/>
      <family val="0"/>
      <charset val="1"/>
    </font>
    <font>
      <b val="true"/>
      <sz val="11"/>
      <name val="Arial"/>
      <family val="0"/>
      <charset val="1"/>
    </font>
    <font>
      <b val="true"/>
      <i val="true"/>
      <sz val="11"/>
      <color rgb="FF1F4E79"/>
      <name val="Arial"/>
      <family val="0"/>
      <charset val="1"/>
    </font>
    <font>
      <i val="true"/>
      <sz val="9"/>
      <color rgb="FF595959"/>
      <name val="Arial"/>
      <family val="0"/>
      <charset val="1"/>
    </font>
    <font>
      <b val="true"/>
      <sz val="10"/>
      <color rgb="FF000000"/>
      <name val="Arial"/>
      <family val="0"/>
      <charset val="1"/>
    </font>
    <font>
      <b val="true"/>
      <sz val="14"/>
      <color rgb="FF1F3864"/>
      <name val="Arial"/>
      <family val="0"/>
      <charset val="1"/>
    </font>
    <font>
      <b val="true"/>
      <sz val="10"/>
      <color rgb="FFFFFFFF"/>
      <name val="Arial"/>
      <family val="0"/>
      <charset val="1"/>
    </font>
    <font>
      <b val="true"/>
      <sz val="11"/>
      <color rgb="FF1F3864"/>
      <name val="Arial"/>
      <family val="0"/>
      <charset val="1"/>
    </font>
    <font>
      <b val="true"/>
      <sz val="10"/>
      <color rgb="FF1F3864"/>
      <name val="Arial"/>
      <family val="0"/>
      <charset val="1"/>
    </font>
    <font>
      <sz val="10"/>
      <color theme="1"/>
      <name val="Arial"/>
      <family val="0"/>
      <charset val="1"/>
    </font>
    <font>
      <b val="true"/>
      <sz val="11"/>
      <color rgb="FF7F6000"/>
      <name val="Arial"/>
      <family val="0"/>
      <charset val="1"/>
    </font>
    <font>
      <b val="true"/>
      <sz val="10"/>
      <color rgb="FF7F6000"/>
      <name val="Arial"/>
      <family val="0"/>
      <charset val="1"/>
    </font>
    <font>
      <b val="true"/>
      <sz val="11"/>
      <color rgb="FF3F3F3F"/>
      <name val="Arial"/>
      <family val="0"/>
      <charset val="1"/>
    </font>
    <font>
      <b val="true"/>
      <sz val="10"/>
      <color rgb="FF3F3F3F"/>
      <name val="Arial"/>
      <family val="0"/>
      <charset val="1"/>
    </font>
    <font>
      <b val="true"/>
      <sz val="11"/>
      <color rgb="FF375623"/>
      <name val="Arial"/>
      <family val="0"/>
      <charset val="1"/>
    </font>
    <font>
      <b val="true"/>
      <sz val="10"/>
      <color rgb="FF375623"/>
      <name val="Arial"/>
      <family val="0"/>
      <charset val="1"/>
    </font>
    <font>
      <b val="true"/>
      <sz val="10"/>
      <color theme="1"/>
      <name val="Arial"/>
      <family val="0"/>
      <charset val="1"/>
    </font>
    <font>
      <b val="true"/>
      <sz val="14"/>
      <color rgb="FF1F4E79"/>
      <name val="Arial"/>
      <family val="0"/>
      <charset val="1"/>
    </font>
    <font>
      <b val="true"/>
      <sz val="10"/>
      <color rgb="FF0000FF"/>
      <name val="Arial"/>
      <family val="0"/>
      <charset val="1"/>
    </font>
    <font>
      <b val="true"/>
      <sz val="11"/>
      <color rgb="FFFFFFFF"/>
      <name val="Arial"/>
      <family val="0"/>
      <charset val="1"/>
    </font>
    <font>
      <i val="true"/>
      <sz val="10"/>
      <color rgb="FF595959"/>
      <name val="Arial"/>
      <family val="0"/>
      <charset val="1"/>
    </font>
    <font>
      <sz val="10"/>
      <color rgb="FF385723"/>
      <name val="Arial"/>
      <family val="0"/>
      <charset val="1"/>
    </font>
    <font>
      <b val="true"/>
      <sz val="9"/>
      <color rgb="FF1F3864"/>
      <name val="Arial"/>
      <family val="0"/>
      <charset val="1"/>
    </font>
    <font>
      <b val="true"/>
      <sz val="9"/>
      <color rgb="FF7F6000"/>
      <name val="Arial"/>
      <family val="0"/>
      <charset val="1"/>
    </font>
    <font>
      <b val="true"/>
      <sz val="9"/>
      <color rgb="FF3F3F3F"/>
      <name val="Arial"/>
      <family val="0"/>
      <charset val="1"/>
    </font>
    <font>
      <sz val="10"/>
      <color rgb="FF008000"/>
      <name val="Arial"/>
      <family val="0"/>
      <charset val="1"/>
    </font>
    <font>
      <b val="true"/>
      <sz val="10"/>
      <color rgb="FFC00000"/>
      <name val="Arial"/>
      <family val="0"/>
      <charset val="1"/>
    </font>
    <font>
      <b val="true"/>
      <sz val="11"/>
      <color rgb="FF1F4E78"/>
      <name val="Calibri"/>
      <family val="0"/>
      <charset val="1"/>
    </font>
    <font>
      <b val="true"/>
      <sz val="10"/>
      <color theme="1"/>
      <name val="Cambria"/>
      <family val="0"/>
      <charset val="1"/>
    </font>
    <font>
      <b val="true"/>
      <sz val="10"/>
      <color rgb="FF0000FF"/>
      <name val="Calibri"/>
      <family val="0"/>
      <charset val="1"/>
    </font>
    <font>
      <i val="true"/>
      <sz val="9"/>
      <color theme="1"/>
      <name val="Calibri"/>
      <family val="0"/>
      <charset val="1"/>
    </font>
    <font>
      <sz val="10"/>
      <color rgb="FF008000"/>
      <name val="Calibri"/>
      <family val="0"/>
      <charset val="1"/>
    </font>
    <font>
      <b val="true"/>
      <sz val="10"/>
      <color theme="1"/>
      <name val="Calibri"/>
      <family val="0"/>
      <charset val="1"/>
    </font>
    <font>
      <b val="true"/>
      <sz val="11"/>
      <color rgb="FF1F4E78"/>
      <name val="Cambria"/>
      <family val="0"/>
      <charset val="1"/>
    </font>
    <font>
      <b val="true"/>
      <sz val="10"/>
      <color rgb="FF0000FF"/>
      <name val="Cambria"/>
      <family val="0"/>
      <charset val="1"/>
    </font>
    <font>
      <i val="true"/>
      <sz val="9"/>
      <color theme="1"/>
      <name val="Cambria"/>
      <family val="0"/>
      <charset val="1"/>
    </font>
    <font>
      <sz val="10"/>
      <color rgb="FF008000"/>
      <name val="Cambria"/>
      <family val="0"/>
      <charset val="1"/>
    </font>
    <font>
      <b val="true"/>
      <sz val="10"/>
      <name val="Arial"/>
      <family val="0"/>
      <charset val="1"/>
    </font>
    <font>
      <sz val="10"/>
      <color rgb="FF0000FF"/>
      <name val="Arial"/>
      <family val="0"/>
      <charset val="1"/>
    </font>
    <font>
      <sz val="9"/>
      <color rgb="FF595959"/>
      <name val="Arial"/>
      <family val="0"/>
      <charset val="1"/>
    </font>
    <font>
      <b val="true"/>
      <sz val="11"/>
      <color theme="1"/>
      <name val="Calibri"/>
      <family val="0"/>
      <charset val="1"/>
    </font>
    <font>
      <sz val="11"/>
      <color rgb="FF0000FF"/>
      <name val="Calibri"/>
      <family val="0"/>
      <charset val="1"/>
    </font>
    <font>
      <sz val="11"/>
      <color rgb="FF0000FF"/>
      <name val="Cambria"/>
      <family val="0"/>
      <charset val="1"/>
    </font>
    <font>
      <sz val="11"/>
      <name val="Arial"/>
      <family val="0"/>
      <charset val="1"/>
    </font>
    <font>
      <b val="true"/>
      <sz val="12"/>
      <color rgb="FF1F4E79"/>
      <name val="Arial"/>
      <family val="0"/>
      <charset val="1"/>
    </font>
    <font>
      <b val="true"/>
      <sz val="14"/>
      <color theme="1"/>
      <name val="Calibri"/>
      <family val="0"/>
      <charset val="1"/>
    </font>
    <font>
      <b val="true"/>
      <sz val="12"/>
      <color theme="1"/>
      <name val="Calibri"/>
      <family val="0"/>
      <charset val="1"/>
    </font>
    <font>
      <sz val="10"/>
      <name val="Arial"/>
      <family val="0"/>
      <charset val="1"/>
    </font>
    <font>
      <sz val="11"/>
      <color rgb="FF0000FF"/>
      <name val="Arial"/>
      <family val="0"/>
      <charset val="1"/>
    </font>
    <font>
      <b val="true"/>
      <sz val="11"/>
      <name val="Calibri"/>
      <family val="0"/>
      <charset val="1"/>
    </font>
    <font>
      <b val="true"/>
      <sz val="11"/>
      <name val="Cambria"/>
      <family val="0"/>
      <charset val="1"/>
    </font>
    <font>
      <sz val="11"/>
      <name val="Cambria"/>
      <family val="0"/>
      <charset val="1"/>
    </font>
    <font>
      <i val="true"/>
      <sz val="10"/>
      <color rgb="FF9C5700"/>
      <name val="Arial"/>
      <family val="0"/>
      <charset val="1"/>
    </font>
    <font>
      <b val="true"/>
      <sz val="10"/>
      <color rgb="FF2E7D32"/>
      <name val="Arial"/>
      <family val="0"/>
      <charset val="1"/>
    </font>
    <font>
      <b val="true"/>
      <sz val="10"/>
      <color rgb="FF008000"/>
      <name val="Arial"/>
      <family val="0"/>
      <charset val="1"/>
    </font>
    <font>
      <b val="true"/>
      <sz val="10"/>
      <color rgb="FF1F4E79"/>
      <name val="Arial"/>
      <family val="0"/>
      <charset val="1"/>
    </font>
    <font>
      <i val="true"/>
      <sz val="9"/>
      <color rgb="FF606060"/>
      <name val="Calibri"/>
      <family val="0"/>
      <charset val="1"/>
    </font>
    <font>
      <b val="true"/>
      <sz val="10"/>
      <color rgb="FFC00000"/>
      <name val="Calibri"/>
      <family val="0"/>
      <charset val="1"/>
    </font>
    <font>
      <b val="true"/>
      <sz val="10"/>
      <color rgb="FF008000"/>
      <name val="Calibri"/>
      <family val="0"/>
      <charset val="1"/>
    </font>
    <font>
      <b val="true"/>
      <sz val="10"/>
      <color rgb="FF1F4E78"/>
      <name val="Calibri"/>
      <family val="0"/>
      <charset val="1"/>
    </font>
    <font>
      <sz val="10"/>
      <color rgb="FF1F4E78"/>
      <name val="Calibri"/>
      <family val="0"/>
      <charset val="1"/>
    </font>
    <font>
      <i val="true"/>
      <sz val="10"/>
      <color rgb="FF808080"/>
      <name val="Calibri"/>
      <family val="0"/>
      <charset val="1"/>
    </font>
    <font>
      <b val="true"/>
      <sz val="10"/>
      <color rgb="FF006100"/>
      <name val="Calibri"/>
      <family val="0"/>
      <charset val="1"/>
    </font>
    <font>
      <sz val="9"/>
      <color rgb="FF006100"/>
      <name val="Calibri"/>
      <family val="0"/>
      <charset val="1"/>
    </font>
    <font>
      <b val="true"/>
      <sz val="14"/>
      <name val="Calibri"/>
      <family val="0"/>
      <charset val="1"/>
    </font>
    <font>
      <b val="true"/>
      <sz val="13"/>
      <name val="Cambria"/>
      <family val="0"/>
      <charset val="1"/>
    </font>
    <font>
      <b val="true"/>
      <sz val="12"/>
      <name val="Cambria"/>
      <family val="0"/>
      <charset val="1"/>
    </font>
  </fonts>
  <fills count="21">
    <fill>
      <patternFill patternType="none"/>
    </fill>
    <fill>
      <patternFill patternType="gray125"/>
    </fill>
    <fill>
      <patternFill patternType="solid">
        <fgColor rgb="FF1F3864"/>
        <bgColor rgb="FF1F4E78"/>
      </patternFill>
    </fill>
    <fill>
      <patternFill patternType="solid">
        <fgColor rgb="FFD9E2F3"/>
        <bgColor rgb="FFD9E1F2"/>
      </patternFill>
    </fill>
    <fill>
      <patternFill patternType="solid">
        <fgColor rgb="FFFFF2CC"/>
        <bgColor rgb="FFFCE4D6"/>
      </patternFill>
    </fill>
    <fill>
      <patternFill patternType="solid">
        <fgColor rgb="FFE7E6E6"/>
        <bgColor rgb="FFE2EFDA"/>
      </patternFill>
    </fill>
    <fill>
      <patternFill patternType="solid">
        <fgColor rgb="FFE2EFDA"/>
        <bgColor rgb="FFE7E6E6"/>
      </patternFill>
    </fill>
    <fill>
      <patternFill patternType="solid">
        <fgColor rgb="FF1F4E79"/>
        <bgColor rgb="FF1F4E78"/>
      </patternFill>
    </fill>
    <fill>
      <patternFill patternType="solid">
        <fgColor rgb="FFD9E1F2"/>
        <bgColor rgb="FFD9E2F3"/>
      </patternFill>
    </fill>
    <fill>
      <patternFill patternType="solid">
        <fgColor rgb="FFFFFF99"/>
        <bgColor rgb="FFFFF2CC"/>
      </patternFill>
    </fill>
    <fill>
      <patternFill patternType="solid">
        <fgColor rgb="FFDDEBF7"/>
        <bgColor rgb="FFD9E2F3"/>
      </patternFill>
    </fill>
    <fill>
      <patternFill patternType="solid">
        <fgColor rgb="FFFCE4D6"/>
        <bgColor rgb="FFFFF2CC"/>
      </patternFill>
    </fill>
    <fill>
      <patternFill patternType="solid">
        <fgColor rgb="FFFFFF00"/>
        <bgColor rgb="FFFFCC00"/>
      </patternFill>
    </fill>
    <fill>
      <patternFill patternType="solid">
        <fgColor rgb="FF404040"/>
        <bgColor rgb="FF3F3F3F"/>
      </patternFill>
    </fill>
    <fill>
      <patternFill patternType="solid">
        <fgColor rgb="FF305496"/>
        <bgColor rgb="FF1F4E79"/>
      </patternFill>
    </fill>
    <fill>
      <patternFill patternType="solid">
        <fgColor rgb="FF2E75B6"/>
        <bgColor rgb="FF305496"/>
      </patternFill>
    </fill>
    <fill>
      <patternFill patternType="solid">
        <fgColor rgb="FF5B9BD5"/>
        <bgColor rgb="FF969696"/>
      </patternFill>
    </fill>
    <fill>
      <patternFill patternType="solid">
        <fgColor rgb="FF9DC3E6"/>
        <bgColor rgb="FFBFBFBF"/>
      </patternFill>
    </fill>
    <fill>
      <patternFill patternType="solid">
        <fgColor rgb="FFBDD7EE"/>
        <bgColor rgb="FFD9E1F2"/>
      </patternFill>
    </fill>
    <fill>
      <patternFill patternType="solid">
        <fgColor rgb="FF6B5B95"/>
        <bgColor rgb="FF606060"/>
      </patternFill>
    </fill>
    <fill>
      <patternFill patternType="solid">
        <fgColor rgb="FFC6EFCE"/>
        <bgColor rgb="FFE2EFDA"/>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4" fillId="2"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false" indent="0" shrinkToFit="false"/>
      <protection locked="true" hidden="false"/>
    </xf>
    <xf numFmtId="164" fontId="16" fillId="3"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center" vertical="center" textRotation="0" wrapText="false" indent="0" shrinkToFit="false"/>
      <protection locked="true" hidden="false"/>
    </xf>
    <xf numFmtId="164" fontId="19" fillId="4" borderId="1" xfId="0" applyFont="true" applyBorder="true" applyAlignment="true" applyProtection="false">
      <alignment horizontal="center" vertical="center" textRotation="0" wrapText="false" indent="0" shrinkToFit="false"/>
      <protection locked="true" hidden="false"/>
    </xf>
    <xf numFmtId="164" fontId="20" fillId="0" borderId="1" xfId="0" applyFont="true" applyBorder="true" applyAlignment="true" applyProtection="false">
      <alignment horizontal="center" vertical="center" textRotation="0" wrapText="false" indent="0" shrinkToFit="false"/>
      <protection locked="true" hidden="false"/>
    </xf>
    <xf numFmtId="164" fontId="21" fillId="5" borderId="1" xfId="0" applyFont="true" applyBorder="true" applyAlignment="true" applyProtection="false">
      <alignment horizontal="center" vertical="center" textRotation="0" wrapText="false" indent="0" shrinkToFit="false"/>
      <protection locked="true" hidden="false"/>
    </xf>
    <xf numFmtId="164" fontId="22" fillId="0" borderId="1" xfId="0" applyFont="true" applyBorder="true" applyAlignment="true" applyProtection="false">
      <alignment horizontal="center" vertical="center" textRotation="0" wrapText="false" indent="0" shrinkToFit="false"/>
      <protection locked="true" hidden="false"/>
    </xf>
    <xf numFmtId="164" fontId="23" fillId="6"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top"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25" fillId="0" borderId="0"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26" fillId="4" borderId="1" xfId="0" applyFont="true" applyBorder="true" applyAlignment="true" applyProtection="false">
      <alignment horizontal="center" vertical="center" textRotation="0" wrapText="true" indent="0" shrinkToFit="false"/>
      <protection locked="true" hidden="false"/>
    </xf>
    <xf numFmtId="166" fontId="26" fillId="4" borderId="1" xfId="0" applyFont="true" applyBorder="true" applyAlignment="true" applyProtection="false">
      <alignment horizontal="center" vertical="center" textRotation="0" wrapText="true" indent="0" shrinkToFit="false"/>
      <protection locked="true" hidden="false"/>
    </xf>
    <xf numFmtId="164" fontId="27" fillId="7" borderId="1" xfId="0" applyFont="true" applyBorder="true" applyAlignment="true" applyProtection="false">
      <alignment horizontal="center" vertical="center" textRotation="0" wrapText="true" indent="0" shrinkToFit="false"/>
      <protection locked="true" hidden="false"/>
    </xf>
    <xf numFmtId="164" fontId="14" fillId="2" borderId="1" xfId="0" applyFont="true" applyBorder="true" applyAlignment="true" applyProtection="false">
      <alignment horizontal="center" vertical="center" textRotation="0" wrapText="false" indent="0" shrinkToFit="false"/>
      <protection locked="true" hidden="false"/>
    </xf>
    <xf numFmtId="164" fontId="7" fillId="8" borderId="1" xfId="0" applyFont="true" applyBorder="tru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7" fontId="26" fillId="4" borderId="1" xfId="0" applyFont="true" applyBorder="true" applyAlignment="true" applyProtection="false">
      <alignment horizontal="right" vertical="center" textRotation="0" wrapText="false" indent="0" shrinkToFit="false"/>
      <protection locked="true" hidden="false"/>
    </xf>
    <xf numFmtId="168" fontId="26" fillId="4" borderId="1" xfId="0" applyFont="true" applyBorder="true" applyAlignment="true" applyProtection="false">
      <alignment horizontal="right" vertical="center" textRotation="0" wrapText="false" indent="0" shrinkToFit="false"/>
      <protection locked="true" hidden="false"/>
    </xf>
    <xf numFmtId="164" fontId="28" fillId="0" borderId="1" xfId="0" applyFont="true" applyBorder="true" applyAlignment="true" applyProtection="false">
      <alignment horizontal="left" vertical="center" textRotation="0" wrapText="true" indent="0" shrinkToFit="false"/>
      <protection locked="true" hidden="false"/>
    </xf>
    <xf numFmtId="164" fontId="29" fillId="0" borderId="1" xfId="0" applyFont="true" applyBorder="true" applyAlignment="true" applyProtection="false">
      <alignment horizontal="center" vertical="center" textRotation="0" wrapText="true" indent="0" shrinkToFit="false"/>
      <protection locked="true" hidden="false"/>
    </xf>
    <xf numFmtId="168" fontId="12" fillId="6" borderId="1" xfId="0" applyFont="true" applyBorder="true" applyAlignment="true" applyProtection="false">
      <alignment horizontal="right" vertical="center" textRotation="0" wrapText="false" indent="0" shrinkToFit="false"/>
      <protection locked="true" hidden="false"/>
    </xf>
    <xf numFmtId="164" fontId="30" fillId="3" borderId="1" xfId="0" applyFont="true" applyBorder="true" applyAlignment="true" applyProtection="false">
      <alignment horizontal="center" vertical="center" textRotation="0" wrapText="false" indent="0" shrinkToFit="false"/>
      <protection locked="true" hidden="false"/>
    </xf>
    <xf numFmtId="164" fontId="31" fillId="4" borderId="1" xfId="0" applyFont="true" applyBorder="true" applyAlignment="true" applyProtection="false">
      <alignment horizontal="center" vertical="center" textRotation="0" wrapText="false" indent="0" shrinkToFit="false"/>
      <protection locked="true" hidden="false"/>
    </xf>
    <xf numFmtId="169" fontId="26" fillId="4" borderId="1" xfId="0" applyFont="true" applyBorder="true" applyAlignment="true" applyProtection="false">
      <alignment horizontal="right" vertical="center" textRotation="0" wrapText="false" indent="0" shrinkToFit="false"/>
      <protection locked="true" hidden="false"/>
    </xf>
    <xf numFmtId="169" fontId="12" fillId="6" borderId="1" xfId="0" applyFont="true" applyBorder="true" applyAlignment="true" applyProtection="false">
      <alignment horizontal="right" vertical="center" textRotation="0" wrapText="false" indent="0" shrinkToFit="false"/>
      <protection locked="true" hidden="false"/>
    </xf>
    <xf numFmtId="164" fontId="32" fillId="5" borderId="1" xfId="0" applyFont="true" applyBorder="true" applyAlignment="true" applyProtection="false">
      <alignment horizontal="center" vertical="center" textRotation="0" wrapText="false" indent="0" shrinkToFit="false"/>
      <protection locked="true" hidden="false"/>
    </xf>
    <xf numFmtId="166" fontId="26" fillId="4" borderId="1" xfId="0" applyFont="true" applyBorder="true" applyAlignment="true" applyProtection="false">
      <alignment horizontal="right" vertical="center" textRotation="0" wrapText="false" indent="0" shrinkToFit="false"/>
      <protection locked="true" hidden="false"/>
    </xf>
    <xf numFmtId="166" fontId="12" fillId="6" borderId="1" xfId="0" applyFont="true" applyBorder="true" applyAlignment="true" applyProtection="false">
      <alignment horizontal="right" vertical="center" textRotation="0" wrapText="false" indent="0" shrinkToFit="false"/>
      <protection locked="true" hidden="false"/>
    </xf>
    <xf numFmtId="170" fontId="26" fillId="4" borderId="1" xfId="0" applyFont="true" applyBorder="true" applyAlignment="true" applyProtection="false">
      <alignment horizontal="right" vertical="center" textRotation="0" wrapText="false" indent="0" shrinkToFit="false"/>
      <protection locked="true" hidden="false"/>
    </xf>
    <xf numFmtId="170" fontId="12" fillId="6" borderId="1" xfId="0" applyFont="true" applyBorder="true" applyAlignment="true" applyProtection="false">
      <alignment horizontal="right" vertical="center" textRotation="0" wrapText="false" indent="0" shrinkToFit="false"/>
      <protection locked="true" hidden="false"/>
    </xf>
    <xf numFmtId="171" fontId="26" fillId="4" borderId="1" xfId="0" applyFont="true" applyBorder="true" applyAlignment="true" applyProtection="false">
      <alignment horizontal="right" vertical="center" textRotation="0" wrapText="false" indent="0" shrinkToFit="false"/>
      <protection locked="true" hidden="false"/>
    </xf>
    <xf numFmtId="171" fontId="12" fillId="6" borderId="1" xfId="0" applyFont="true" applyBorder="true" applyAlignment="true" applyProtection="false">
      <alignment horizontal="right" vertical="center" textRotation="0" wrapText="false" indent="0" shrinkToFit="false"/>
      <protection locked="true" hidden="false"/>
    </xf>
    <xf numFmtId="172" fontId="26" fillId="4" borderId="1" xfId="0" applyFont="true" applyBorder="true" applyAlignment="true" applyProtection="false">
      <alignment horizontal="right" vertical="center" textRotation="0" wrapText="false" indent="0" shrinkToFit="false"/>
      <protection locked="true" hidden="false"/>
    </xf>
    <xf numFmtId="172" fontId="12" fillId="6" borderId="1" xfId="0" applyFont="true" applyBorder="true" applyAlignment="true" applyProtection="false">
      <alignment horizontal="right" vertical="center" textRotation="0" wrapText="false" indent="0" shrinkToFit="false"/>
      <protection locked="true" hidden="false"/>
    </xf>
    <xf numFmtId="164" fontId="0" fillId="4" borderId="1" xfId="0" applyFont="false" applyBorder="true" applyAlignment="true" applyProtection="false">
      <alignment horizontal="general" vertical="bottom" textRotation="0" wrapText="false" indent="0" shrinkToFit="false"/>
      <protection locked="true" hidden="false"/>
    </xf>
    <xf numFmtId="164" fontId="26" fillId="4" borderId="1" xfId="0" applyFont="true" applyBorder="tru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bottom" textRotation="0" wrapText="false" indent="0" shrinkToFit="false"/>
      <protection locked="true" hidden="false"/>
    </xf>
    <xf numFmtId="164" fontId="33" fillId="0" borderId="1" xfId="0" applyFont="true" applyBorder="true" applyAlignment="true" applyProtection="false">
      <alignment horizontal="general" vertical="bottom" textRotation="0" wrapText="false" indent="0" shrinkToFit="false"/>
      <protection locked="true" hidden="false"/>
    </xf>
    <xf numFmtId="164" fontId="34" fillId="0" borderId="1" xfId="0" applyFont="true" applyBorder="true" applyAlignment="true" applyProtection="false">
      <alignment horizontal="general" vertical="bottom" textRotation="0" wrapText="false" indent="0" shrinkToFit="false"/>
      <protection locked="true" hidden="false"/>
    </xf>
    <xf numFmtId="164" fontId="35" fillId="8" borderId="0" xfId="0" applyFont="true" applyBorder="false" applyAlignment="true" applyProtection="false">
      <alignment horizontal="general" vertical="bottom" textRotation="0" wrapText="false" indent="0" shrinkToFit="false"/>
      <protection locked="true" hidden="false"/>
    </xf>
    <xf numFmtId="164" fontId="36" fillId="0" borderId="0" xfId="0" applyFont="true" applyBorder="false" applyAlignment="true" applyProtection="false">
      <alignment horizontal="general" vertical="bottom" textRotation="0" wrapText="false" indent="0" shrinkToFit="false"/>
      <protection locked="true" hidden="false"/>
    </xf>
    <xf numFmtId="173" fontId="37" fillId="9" borderId="0" xfId="0" applyFont="true" applyBorder="false" applyAlignment="true" applyProtection="false">
      <alignment horizontal="center" vertical="bottom" textRotation="0" wrapText="false" indent="0" shrinkToFit="false"/>
      <protection locked="true" hidden="false"/>
    </xf>
    <xf numFmtId="164" fontId="38" fillId="0" borderId="0" xfId="0" applyFont="true" applyBorder="false" applyAlignment="true" applyProtection="false">
      <alignment horizontal="general" vertical="top" textRotation="0" wrapText="true" indent="0" shrinkToFit="false"/>
      <protection locked="true" hidden="false"/>
    </xf>
    <xf numFmtId="164" fontId="39" fillId="0" borderId="0" xfId="0" applyFont="true" applyBorder="false" applyAlignment="true" applyProtection="false">
      <alignment horizontal="general" vertical="bottom" textRotation="0" wrapText="false" indent="0" shrinkToFit="false"/>
      <protection locked="true" hidden="false"/>
    </xf>
    <xf numFmtId="173" fontId="40" fillId="0" borderId="0" xfId="0" applyFont="true" applyBorder="false" applyAlignment="true" applyProtection="false">
      <alignment horizontal="general" vertical="bottom" textRotation="0" wrapText="false" indent="0" shrinkToFit="false"/>
      <protection locked="true" hidden="false"/>
    </xf>
    <xf numFmtId="164" fontId="41" fillId="8" borderId="0" xfId="0" applyFont="true" applyBorder="false" applyAlignment="true" applyProtection="false">
      <alignment horizontal="general" vertical="bottom" textRotation="0" wrapText="false" indent="0" shrinkToFit="false"/>
      <protection locked="true" hidden="false"/>
    </xf>
    <xf numFmtId="174" fontId="42" fillId="9" borderId="0" xfId="0" applyFont="true" applyBorder="false" applyAlignment="true" applyProtection="false">
      <alignment horizontal="center" vertical="bottom" textRotation="0" wrapText="false" indent="0" shrinkToFit="false"/>
      <protection locked="true" hidden="false"/>
    </xf>
    <xf numFmtId="164" fontId="43" fillId="0" borderId="0" xfId="0" applyFont="true" applyBorder="false" applyAlignment="true" applyProtection="false">
      <alignment horizontal="general" vertical="top" textRotation="0" wrapText="true" indent="0" shrinkToFit="false"/>
      <protection locked="true" hidden="false"/>
    </xf>
    <xf numFmtId="164" fontId="44" fillId="0" borderId="0" xfId="0" applyFont="true" applyBorder="false" applyAlignment="true" applyProtection="false">
      <alignment horizontal="general" vertical="bottom" textRotation="0" wrapText="false" indent="0" shrinkToFit="false"/>
      <protection locked="true" hidden="false"/>
    </xf>
    <xf numFmtId="174" fontId="36" fillId="0" borderId="0" xfId="0" applyFont="true" applyBorder="false" applyAlignment="true" applyProtection="false">
      <alignment horizontal="general" vertical="bottom" textRotation="0" wrapText="false" indent="0" shrinkToFit="false"/>
      <protection locked="true" hidden="false"/>
    </xf>
    <xf numFmtId="164" fontId="42" fillId="9" borderId="0" xfId="0" applyFont="true" applyBorder="false" applyAlignment="true" applyProtection="false">
      <alignment horizontal="center" vertical="bottom" textRotation="0" wrapText="false" indent="0" shrinkToFit="false"/>
      <protection locked="true" hidden="false"/>
    </xf>
    <xf numFmtId="164" fontId="43" fillId="0" borderId="0" xfId="0" applyFont="true" applyBorder="false" applyAlignment="true" applyProtection="false">
      <alignment horizontal="general" vertical="bottom" textRotation="0" wrapText="false" indent="0" shrinkToFit="false"/>
      <protection locked="true" hidden="false"/>
    </xf>
    <xf numFmtId="175" fontId="26" fillId="4" borderId="1" xfId="0" applyFont="true" applyBorder="true" applyAlignment="true" applyProtection="false">
      <alignment horizontal="right" vertical="center" textRotation="0" wrapText="false" indent="0" shrinkToFit="false"/>
      <protection locked="true" hidden="false"/>
    </xf>
    <xf numFmtId="175" fontId="0" fillId="4" borderId="1" xfId="0" applyFont="false" applyBorder="true" applyAlignment="true" applyProtection="false">
      <alignment horizontal="general" vertical="bottom" textRotation="0" wrapText="false" indent="0" shrinkToFit="false"/>
      <protection locked="true" hidden="false"/>
    </xf>
    <xf numFmtId="175" fontId="12" fillId="6" borderId="1" xfId="0" applyFont="true" applyBorder="true" applyAlignment="true" applyProtection="false">
      <alignment horizontal="right" vertical="center" textRotation="0" wrapText="false" indent="0" shrinkToFit="false"/>
      <protection locked="true" hidden="false"/>
    </xf>
    <xf numFmtId="164" fontId="45" fillId="0" borderId="0" xfId="0" applyFont="true" applyBorder="false" applyAlignment="true" applyProtection="false">
      <alignment horizontal="general" vertical="bottom" textRotation="0" wrapText="false" indent="0" shrinkToFit="false"/>
      <protection locked="true" hidden="false"/>
    </xf>
    <xf numFmtId="164" fontId="46" fillId="4" borderId="0" xfId="0" applyFont="true" applyBorder="false" applyAlignment="true" applyProtection="false">
      <alignment horizontal="general" vertical="bottom" textRotation="0" wrapText="false" indent="0" shrinkToFit="false"/>
      <protection locked="true" hidden="false"/>
    </xf>
    <xf numFmtId="164" fontId="47" fillId="0" borderId="0" xfId="0" applyFont="true" applyBorder="false" applyAlignment="true" applyProtection="false">
      <alignment horizontal="general" vertical="bottom" textRotation="0" wrapText="false" indent="0" shrinkToFit="false"/>
      <protection locked="true" hidden="false"/>
    </xf>
    <xf numFmtId="164" fontId="0" fillId="6" borderId="0" xfId="0" applyFont="false" applyBorder="false" applyAlignment="true" applyProtection="false">
      <alignment horizontal="general" vertical="bottom" textRotation="0" wrapText="false" indent="0" shrinkToFit="false"/>
      <protection locked="true" hidden="false"/>
    </xf>
    <xf numFmtId="164" fontId="48" fillId="0"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74" fontId="0" fillId="0" borderId="0" xfId="0" applyFont="false" applyBorder="false" applyAlignment="true" applyProtection="false">
      <alignment horizontal="general" vertical="bottom" textRotation="0" wrapText="false" indent="0" shrinkToFit="false"/>
      <protection locked="true" hidden="false"/>
    </xf>
    <xf numFmtId="176" fontId="0" fillId="0" borderId="0" xfId="0" applyFont="false" applyBorder="false" applyAlignment="true" applyProtection="false">
      <alignment horizontal="general" vertical="bottom" textRotation="0" wrapText="false" indent="0" shrinkToFit="false"/>
      <protection locked="true" hidden="false"/>
    </xf>
    <xf numFmtId="164" fontId="49" fillId="4" borderId="0" xfId="0" applyFont="true" applyBorder="false" applyAlignment="true" applyProtection="false">
      <alignment horizontal="general" vertical="bottom" textRotation="0" wrapText="false" indent="0" shrinkToFit="false"/>
      <protection locked="true" hidden="false"/>
    </xf>
    <xf numFmtId="175" fontId="49" fillId="4" borderId="0" xfId="0" applyFont="true" applyBorder="false" applyAlignment="true" applyProtection="false">
      <alignment horizontal="general" vertical="bottom" textRotation="0" wrapText="false" indent="0" shrinkToFit="false"/>
      <protection locked="true" hidden="false"/>
    </xf>
    <xf numFmtId="164" fontId="50" fillId="4" borderId="0" xfId="0" applyFont="true" applyBorder="false" applyAlignment="tru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27" fillId="7" borderId="0" xfId="0" applyFont="true" applyBorder="false" applyAlignment="true" applyProtection="false">
      <alignment horizontal="general" vertical="bottom" textRotation="0" wrapText="false" indent="0" shrinkToFit="false"/>
      <protection locked="true" hidden="false"/>
    </xf>
    <xf numFmtId="164" fontId="27" fillId="7" borderId="0" xfId="0" applyFont="true" applyBorder="false" applyAlignment="true" applyProtection="false">
      <alignment horizontal="center" vertical="center" textRotation="0" wrapText="true" indent="0" shrinkToFit="false"/>
      <protection locked="true" hidden="false"/>
    </xf>
    <xf numFmtId="164" fontId="9" fillId="10" borderId="0" xfId="0" applyFont="true" applyBorder="false" applyAlignment="true" applyProtection="false">
      <alignment horizontal="general" vertical="bottom" textRotation="0" wrapText="true" indent="0" shrinkToFit="false"/>
      <protection locked="true" hidden="false"/>
    </xf>
    <xf numFmtId="164" fontId="0" fillId="10" borderId="0" xfId="0" applyFont="false" applyBorder="false" applyAlignment="true" applyProtection="false">
      <alignment horizontal="general" vertical="bottom" textRotation="0" wrapText="false" indent="0" shrinkToFit="false"/>
      <protection locked="true" hidden="false"/>
    </xf>
    <xf numFmtId="164" fontId="51" fillId="0" borderId="0" xfId="0" applyFont="true" applyBorder="false" applyAlignment="true" applyProtection="false">
      <alignment horizontal="general" vertical="bottom" textRotation="0" wrapText="true" indent="0" shrinkToFit="false"/>
      <protection locked="true" hidden="false"/>
    </xf>
    <xf numFmtId="176" fontId="51" fillId="0" borderId="0" xfId="0" applyFont="true" applyBorder="false" applyAlignment="true" applyProtection="false">
      <alignment horizontal="center" vertical="bottom" textRotation="0" wrapText="false" indent="0" shrinkToFit="false"/>
      <protection locked="true" hidden="false"/>
    </xf>
    <xf numFmtId="173" fontId="51" fillId="0" borderId="0" xfId="0" applyFont="true" applyBorder="false" applyAlignment="true" applyProtection="false">
      <alignment horizontal="center" vertical="bottom" textRotation="0" wrapText="false" indent="0" shrinkToFit="false"/>
      <protection locked="true" hidden="false"/>
    </xf>
    <xf numFmtId="175" fontId="51" fillId="0" borderId="0" xfId="0" applyFont="true" applyBorder="false" applyAlignment="true" applyProtection="false">
      <alignment horizontal="center" vertical="bottom" textRotation="0" wrapText="false" indent="0" shrinkToFit="false"/>
      <protection locked="true" hidden="false"/>
    </xf>
    <xf numFmtId="164" fontId="27" fillId="7" borderId="0" xfId="0" applyFont="true" applyBorder="false" applyAlignment="true" applyProtection="false">
      <alignment horizontal="center" vertical="bottom" textRotation="0" wrapText="true" indent="0" shrinkToFit="false"/>
      <protection locked="true" hidden="false"/>
    </xf>
    <xf numFmtId="164" fontId="51" fillId="0" borderId="0" xfId="0" applyFont="true" applyBorder="false" applyAlignment="true" applyProtection="false">
      <alignment horizontal="general" vertical="bottom" textRotation="0" wrapText="false" indent="0" shrinkToFit="false"/>
      <protection locked="true" hidden="false"/>
    </xf>
    <xf numFmtId="177" fontId="51" fillId="0" borderId="0" xfId="0" applyFont="true" applyBorder="false" applyAlignment="true" applyProtection="false">
      <alignment horizontal="center" vertical="bottom" textRotation="0" wrapText="false" indent="0" shrinkToFit="false"/>
      <protection locked="true" hidden="false"/>
    </xf>
    <xf numFmtId="177" fontId="9" fillId="0" borderId="0" xfId="0" applyFont="true" applyBorder="false" applyAlignment="true" applyProtection="false">
      <alignment horizontal="center" vertical="bottom" textRotation="0" wrapText="false" indent="0" shrinkToFit="false"/>
      <protection locked="true" hidden="false"/>
    </xf>
    <xf numFmtId="176" fontId="0" fillId="0" borderId="0" xfId="0" applyFont="false" applyBorder="false" applyAlignment="true" applyProtection="false">
      <alignment horizontal="center" vertical="bottom" textRotation="0" wrapText="false" indent="0" shrinkToFit="false"/>
      <protection locked="true" hidden="false"/>
    </xf>
    <xf numFmtId="164" fontId="51" fillId="0" borderId="0" xfId="0" applyFont="true" applyBorder="true" applyAlignment="true" applyProtection="false">
      <alignment horizontal="general" vertical="bottom" textRotation="0" wrapText="true" indent="0" shrinkToFit="false"/>
      <protection locked="true" hidden="false"/>
    </xf>
    <xf numFmtId="178" fontId="51" fillId="0" borderId="0" xfId="0" applyFont="true" applyBorder="false" applyAlignment="true" applyProtection="false">
      <alignment horizontal="general" vertical="bottom" textRotation="0" wrapText="false" indent="0" shrinkToFit="false"/>
      <protection locked="true" hidden="false"/>
    </xf>
    <xf numFmtId="178" fontId="9" fillId="0" borderId="0" xfId="0" applyFont="true" applyBorder="false" applyAlignment="true" applyProtection="false">
      <alignment horizontal="general" vertical="bottom" textRotation="0" wrapText="false" indent="0" shrinkToFit="false"/>
      <protection locked="true" hidden="false"/>
    </xf>
    <xf numFmtId="164" fontId="52" fillId="0" borderId="0" xfId="0" applyFont="true" applyBorder="false" applyAlignment="true" applyProtection="false">
      <alignment horizontal="general" vertical="bottom" textRotation="0" wrapText="false" indent="0" shrinkToFit="false"/>
      <protection locked="true" hidden="false"/>
    </xf>
    <xf numFmtId="164" fontId="27" fillId="7" borderId="0" xfId="0" applyFont="true" applyBorder="false" applyAlignment="true" applyProtection="false">
      <alignment horizontal="center" vertical="bottom" textRotation="0" wrapText="false" indent="0" shrinkToFit="false"/>
      <protection locked="true" hidden="false"/>
    </xf>
    <xf numFmtId="177" fontId="0" fillId="0" borderId="0" xfId="0" applyFont="false" applyBorder="false" applyAlignment="true" applyProtection="false">
      <alignment horizontal="center" vertical="bottom" textRotation="0" wrapText="false" indent="0" shrinkToFit="false"/>
      <protection locked="true" hidden="false"/>
    </xf>
    <xf numFmtId="175" fontId="0" fillId="0" borderId="0" xfId="0" applyFont="false" applyBorder="false" applyAlignment="true" applyProtection="false">
      <alignment horizontal="center" vertical="bottom" textRotation="0" wrapText="false" indent="0" shrinkToFit="false"/>
      <protection locked="true" hidden="false"/>
    </xf>
    <xf numFmtId="164" fontId="53" fillId="0" borderId="0" xfId="0" applyFont="true" applyBorder="false" applyAlignment="true" applyProtection="false">
      <alignment horizontal="general" vertical="bottom" textRotation="0" wrapText="false" indent="0" shrinkToFit="false"/>
      <protection locked="true" hidden="false"/>
    </xf>
    <xf numFmtId="164" fontId="54" fillId="0" borderId="0" xfId="0" applyFont="true" applyBorder="false" applyAlignment="true" applyProtection="false">
      <alignment horizontal="general" vertical="bottom" textRotation="0" wrapText="false" indent="0" shrinkToFit="false"/>
      <protection locked="true" hidden="false"/>
    </xf>
    <xf numFmtId="170" fontId="0" fillId="0" borderId="0" xfId="0" applyFont="false" applyBorder="false" applyAlignment="true" applyProtection="false">
      <alignment horizontal="general" vertical="bottom" textRotation="0" wrapText="false" indent="0" shrinkToFit="false"/>
      <protection locked="true" hidden="false"/>
    </xf>
    <xf numFmtId="179" fontId="0" fillId="0" borderId="0" xfId="0" applyFont="false" applyBorder="false" applyAlignment="true" applyProtection="false">
      <alignment horizontal="general" vertical="bottom" textRotation="0" wrapText="false" indent="0" shrinkToFit="false"/>
      <protection locked="true" hidden="false"/>
    </xf>
    <xf numFmtId="170" fontId="48" fillId="0" borderId="0" xfId="0" applyFont="true" applyBorder="false" applyAlignment="true" applyProtection="false">
      <alignment horizontal="general" vertical="bottom" textRotation="0" wrapText="false" indent="0" shrinkToFit="false"/>
      <protection locked="true" hidden="false"/>
    </xf>
    <xf numFmtId="176" fontId="48" fillId="0" borderId="0" xfId="0" applyFont="true" applyBorder="false" applyAlignment="true" applyProtection="false">
      <alignment horizontal="general" vertical="bottom" textRotation="0" wrapText="false" indent="0" shrinkToFit="false"/>
      <protection locked="true" hidden="false"/>
    </xf>
    <xf numFmtId="174" fontId="0" fillId="4" borderId="0" xfId="0" applyFont="false" applyBorder="false" applyAlignment="true" applyProtection="false">
      <alignment horizontal="general" vertical="bottom" textRotation="0" wrapText="false" indent="0" shrinkToFit="false"/>
      <protection locked="true" hidden="false"/>
    </xf>
    <xf numFmtId="176" fontId="0" fillId="4" borderId="0" xfId="0" applyFont="false" applyBorder="false" applyAlignment="true" applyProtection="false">
      <alignment horizontal="general" vertical="bottom" textRotation="0" wrapText="false" indent="0" shrinkToFit="false"/>
      <protection locked="true" hidden="false"/>
    </xf>
    <xf numFmtId="164" fontId="48" fillId="0" borderId="0" xfId="0" applyFont="true" applyBorder="false" applyAlignment="true" applyProtection="false">
      <alignment horizontal="general" vertical="bottom" textRotation="0" wrapText="true" indent="0" shrinkToFit="false"/>
      <protection locked="true" hidden="false"/>
    </xf>
    <xf numFmtId="164" fontId="47" fillId="0" borderId="0" xfId="0" applyFont="true" applyBorder="true" applyAlignment="true" applyProtection="false">
      <alignment horizontal="general" vertical="top" textRotation="0" wrapText="true" indent="0" shrinkToFit="false"/>
      <protection locked="true" hidden="false"/>
    </xf>
    <xf numFmtId="174" fontId="46" fillId="4" borderId="0" xfId="0" applyFont="true" applyBorder="false" applyAlignment="true" applyProtection="false">
      <alignment horizontal="general" vertical="bottom" textRotation="0" wrapText="false" indent="0" shrinkToFit="false"/>
      <protection locked="true" hidden="false"/>
    </xf>
    <xf numFmtId="175" fontId="46" fillId="4" borderId="0" xfId="0" applyFont="true" applyBorder="false" applyAlignment="true" applyProtection="false">
      <alignment horizontal="general" vertical="bottom" textRotation="0" wrapText="false" indent="0" shrinkToFit="false"/>
      <protection locked="true" hidden="false"/>
    </xf>
    <xf numFmtId="167" fontId="46" fillId="4" borderId="0" xfId="0" applyFont="true" applyBorder="false" applyAlignment="true" applyProtection="false">
      <alignment horizontal="general" vertical="bottom" textRotation="0" wrapText="false" indent="0" shrinkToFit="false"/>
      <protection locked="true" hidden="false"/>
    </xf>
    <xf numFmtId="180" fontId="46" fillId="4" borderId="0" xfId="0" applyFont="true" applyBorder="false" applyAlignment="true" applyProtection="false">
      <alignment horizontal="general" vertical="bottom" textRotation="0" wrapText="false" indent="0" shrinkToFit="false"/>
      <protection locked="true" hidden="false"/>
    </xf>
    <xf numFmtId="173" fontId="46" fillId="4" borderId="0" xfId="0" applyFont="true" applyBorder="false" applyAlignment="true" applyProtection="false">
      <alignment horizontal="general" vertical="bottom" textRotation="0" wrapText="false" indent="0" shrinkToFit="false"/>
      <protection locked="true" hidden="false"/>
    </xf>
    <xf numFmtId="170" fontId="46" fillId="4" borderId="0" xfId="0" applyFont="true" applyBorder="false" applyAlignment="true" applyProtection="false">
      <alignment horizontal="general" vertical="bottom" textRotation="0" wrapText="false" indent="0" shrinkToFit="false"/>
      <protection locked="true" hidden="false"/>
    </xf>
    <xf numFmtId="181" fontId="0" fillId="0" borderId="0" xfId="0" applyFont="false" applyBorder="false" applyAlignment="true" applyProtection="false">
      <alignment horizontal="general" vertical="bottom" textRotation="0" wrapText="false" indent="0" shrinkToFit="false"/>
      <protection locked="true" hidden="false"/>
    </xf>
    <xf numFmtId="164" fontId="14" fillId="2" borderId="0" xfId="0" applyFont="true" applyBorder="false" applyAlignment="true" applyProtection="false">
      <alignment horizontal="general" vertical="bottom" textRotation="0" wrapText="false" indent="0" shrinkToFit="false"/>
      <protection locked="true" hidden="false"/>
    </xf>
    <xf numFmtId="164" fontId="45"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55" fillId="0" borderId="0" xfId="0" applyFont="true" applyBorder="false" applyAlignment="true" applyProtection="false">
      <alignment horizontal="general" vertical="bottom" textRotation="0" wrapText="false" indent="0" shrinkToFit="false"/>
      <protection locked="true" hidden="false"/>
    </xf>
    <xf numFmtId="164" fontId="55" fillId="6" borderId="0" xfId="0" applyFont="true" applyBorder="false" applyAlignment="true" applyProtection="false">
      <alignment horizontal="general" vertical="bottom" textRotation="0" wrapText="false" indent="0" shrinkToFit="false"/>
      <protection locked="true" hidden="false"/>
    </xf>
    <xf numFmtId="170" fontId="45" fillId="0" borderId="0" xfId="0" applyFont="true" applyBorder="false" applyAlignment="true" applyProtection="false">
      <alignment horizontal="general" vertical="bottom" textRotation="0" wrapText="false" indent="0" shrinkToFit="false"/>
      <protection locked="true" hidden="false"/>
    </xf>
    <xf numFmtId="164" fontId="45" fillId="6" borderId="0" xfId="0" applyFont="true" applyBorder="false" applyAlignment="true" applyProtection="false">
      <alignment horizontal="general" vertical="bottom" textRotation="0" wrapText="false" indent="0" shrinkToFit="false"/>
      <protection locked="true" hidden="false"/>
    </xf>
    <xf numFmtId="170" fontId="45" fillId="11" borderId="0" xfId="0" applyFont="true" applyBorder="false" applyAlignment="true" applyProtection="false">
      <alignment horizontal="general" vertical="bottom" textRotation="0" wrapText="false" indent="0" shrinkToFit="false"/>
      <protection locked="true" hidden="false"/>
    </xf>
    <xf numFmtId="173" fontId="0" fillId="0" borderId="0" xfId="0" applyFont="false" applyBorder="false" applyAlignment="true" applyProtection="false">
      <alignment horizontal="general" vertical="bottom" textRotation="0" wrapText="false" indent="0" shrinkToFit="false"/>
      <protection locked="true" hidden="false"/>
    </xf>
    <xf numFmtId="164" fontId="56" fillId="12" borderId="0" xfId="0" applyFont="true" applyBorder="false" applyAlignment="true" applyProtection="false">
      <alignment horizontal="general" vertical="bottom" textRotation="0" wrapText="false" indent="0" shrinkToFit="false"/>
      <protection locked="true" hidden="false"/>
    </xf>
    <xf numFmtId="174" fontId="56" fillId="12" borderId="0" xfId="0" applyFont="true" applyBorder="false" applyAlignment="true" applyProtection="false">
      <alignment horizontal="general" vertical="bottom" textRotation="0" wrapText="false" indent="0" shrinkToFit="false"/>
      <protection locked="true" hidden="false"/>
    </xf>
    <xf numFmtId="179" fontId="0" fillId="6" borderId="0" xfId="0" applyFont="false" applyBorder="false" applyAlignment="true" applyProtection="false">
      <alignment horizontal="general" vertical="bottom" textRotation="0" wrapText="false" indent="0" shrinkToFit="false"/>
      <protection locked="true" hidden="false"/>
    </xf>
    <xf numFmtId="179" fontId="56" fillId="6" borderId="0" xfId="0" applyFont="true" applyBorder="false" applyAlignment="true" applyProtection="false">
      <alignment horizontal="general" vertical="bottom" textRotation="0" wrapText="false" indent="0" shrinkToFit="false"/>
      <protection locked="true" hidden="false"/>
    </xf>
    <xf numFmtId="164" fontId="57" fillId="6" borderId="0" xfId="0" applyFont="true" applyBorder="false" applyAlignment="true" applyProtection="false">
      <alignment horizontal="general" vertical="bottom" textRotation="0" wrapText="false" indent="0" shrinkToFit="false"/>
      <protection locked="true" hidden="false"/>
    </xf>
    <xf numFmtId="175" fontId="0" fillId="0" borderId="0" xfId="0" applyFont="false" applyBorder="false" applyAlignment="true" applyProtection="false">
      <alignment horizontal="general" vertical="bottom" textRotation="0" wrapText="false" indent="0" shrinkToFit="false"/>
      <protection locked="true" hidden="false"/>
    </xf>
    <xf numFmtId="164" fontId="57" fillId="0" borderId="0" xfId="0" applyFont="true" applyBorder="false" applyAlignment="tru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general" vertical="bottom" textRotation="0" wrapText="false" indent="0" shrinkToFit="false"/>
      <protection locked="true" hidden="false"/>
    </xf>
    <xf numFmtId="164" fontId="59" fillId="0" borderId="0" xfId="0" applyFont="true" applyBorder="false" applyAlignment="true" applyProtection="false">
      <alignment horizontal="general" vertical="bottom" textRotation="0" wrapText="false" indent="0" shrinkToFit="false"/>
      <protection locked="true" hidden="false"/>
    </xf>
    <xf numFmtId="176" fontId="56" fillId="12" borderId="0" xfId="0" applyFont="true" applyBorder="false" applyAlignment="true" applyProtection="false">
      <alignment horizontal="general" vertical="bottom" textRotation="0" wrapText="false" indent="0" shrinkToFit="false"/>
      <protection locked="true" hidden="false"/>
    </xf>
    <xf numFmtId="175" fontId="56" fillId="12" borderId="0" xfId="0" applyFont="true" applyBorder="false" applyAlignment="true" applyProtection="false">
      <alignment horizontal="general" vertical="bottom" textRotation="0" wrapText="false" indent="0" shrinkToFit="false"/>
      <protection locked="true" hidden="false"/>
    </xf>
    <xf numFmtId="165" fontId="56" fillId="12" borderId="0" xfId="0" applyFont="true" applyBorder="false" applyAlignment="true" applyProtection="false">
      <alignment horizontal="general" vertical="bottom" textRotation="0" wrapText="false" indent="0" shrinkToFit="false"/>
      <protection locked="true" hidden="false"/>
    </xf>
    <xf numFmtId="167" fontId="56" fillId="12" borderId="0" xfId="0" applyFont="true" applyBorder="false" applyAlignment="true" applyProtection="false">
      <alignment horizontal="general" vertical="bottom" textRotation="0" wrapText="false" indent="0" shrinkToFit="false"/>
      <protection locked="true" hidden="false"/>
    </xf>
    <xf numFmtId="173" fontId="56" fillId="12" borderId="0" xfId="0" applyFont="tru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6" fillId="3" borderId="1" xfId="0" applyFont="true" applyBorder="true" applyAlignment="true" applyProtection="false">
      <alignment horizontal="left" vertical="center" textRotation="0" wrapText="false" indent="0" shrinkToFit="false"/>
      <protection locked="true" hidden="false"/>
    </xf>
    <xf numFmtId="164" fontId="14" fillId="13" borderId="1" xfId="0" applyFont="true" applyBorder="true" applyAlignment="true" applyProtection="false">
      <alignment horizontal="center" vertical="center" textRotation="0" wrapText="true" indent="0" shrinkToFit="false"/>
      <protection locked="true" hidden="false"/>
    </xf>
    <xf numFmtId="164" fontId="27" fillId="2" borderId="0" xfId="0" applyFont="true" applyBorder="true" applyAlignment="true" applyProtection="false">
      <alignment horizontal="left" vertical="center" textRotation="0" wrapText="false" indent="0" shrinkToFit="false"/>
      <protection locked="true" hidden="false"/>
    </xf>
    <xf numFmtId="164" fontId="24" fillId="0" borderId="1" xfId="0" applyFont="true" applyBorder="true" applyAlignment="true" applyProtection="false">
      <alignment horizontal="general" vertical="center" textRotation="0" wrapText="false" indent="0" shrinkToFit="false"/>
      <protection locked="true" hidden="false"/>
    </xf>
    <xf numFmtId="164" fontId="17" fillId="0" borderId="1" xfId="0" applyFont="true" applyBorder="true" applyAlignment="true" applyProtection="false">
      <alignment horizontal="general" vertical="center" textRotation="0" wrapText="false" indent="0" shrinkToFit="false"/>
      <protection locked="true" hidden="false"/>
    </xf>
    <xf numFmtId="164" fontId="17"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60" fillId="0" borderId="1" xfId="0" applyFont="true" applyBorder="true" applyAlignment="true" applyProtection="false">
      <alignment horizontal="center" vertical="center" textRotation="0" wrapText="true" indent="0" shrinkToFit="false"/>
      <protection locked="true" hidden="false"/>
    </xf>
    <xf numFmtId="164" fontId="60" fillId="12" borderId="1" xfId="0" applyFont="true" applyBorder="true" applyAlignment="true" applyProtection="false">
      <alignment horizontal="center" vertical="center" textRotation="0" wrapText="true" indent="0" shrinkToFit="false"/>
      <protection locked="true" hidden="false"/>
    </xf>
    <xf numFmtId="164" fontId="27" fillId="14" borderId="0" xfId="0" applyFont="true" applyBorder="true" applyAlignment="true" applyProtection="false">
      <alignment horizontal="left" vertical="center" textRotation="0" wrapText="false" indent="0" shrinkToFit="false"/>
      <protection locked="true" hidden="false"/>
    </xf>
    <xf numFmtId="164" fontId="27" fillId="15" borderId="0" xfId="0" applyFont="true" applyBorder="true" applyAlignment="true" applyProtection="false">
      <alignment horizontal="left" vertical="center" textRotation="0" wrapText="false" indent="0" shrinkToFit="false"/>
      <protection locked="true" hidden="false"/>
    </xf>
    <xf numFmtId="164" fontId="27" fillId="16" borderId="0" xfId="0" applyFont="true" applyBorder="true" applyAlignment="true" applyProtection="false">
      <alignment horizontal="left" vertical="center" textRotation="0" wrapText="false" indent="0" shrinkToFit="false"/>
      <protection locked="true" hidden="false"/>
    </xf>
    <xf numFmtId="164" fontId="27" fillId="17" borderId="0" xfId="0" applyFont="true" applyBorder="true" applyAlignment="true" applyProtection="false">
      <alignment horizontal="left" vertical="center" textRotation="0" wrapText="false" indent="0" shrinkToFit="false"/>
      <protection locked="true" hidden="false"/>
    </xf>
    <xf numFmtId="164" fontId="61" fillId="0" borderId="1" xfId="0" applyFont="true" applyBorder="true" applyAlignment="true" applyProtection="false">
      <alignment horizontal="center" vertical="center" textRotation="0" wrapText="true" indent="0" shrinkToFit="false"/>
      <protection locked="true" hidden="false"/>
    </xf>
    <xf numFmtId="164" fontId="27" fillId="18" borderId="0" xfId="0" applyFont="true" applyBorder="true" applyAlignment="true" applyProtection="false">
      <alignment horizontal="left" vertical="center" textRotation="0" wrapText="false" indent="0" shrinkToFit="false"/>
      <protection locked="true" hidden="false"/>
    </xf>
    <xf numFmtId="164" fontId="27" fillId="19" borderId="0" xfId="0" applyFont="true" applyBorder="true" applyAlignment="true" applyProtection="false">
      <alignment horizontal="left" vertical="center" textRotation="0" wrapText="false" indent="0" shrinkToFit="false"/>
      <protection locked="true" hidden="false"/>
    </xf>
    <xf numFmtId="164" fontId="62" fillId="0" borderId="1" xfId="0" applyFont="true" applyBorder="true" applyAlignment="true" applyProtection="false">
      <alignment horizontal="center" vertical="center" textRotation="0" wrapText="true" indent="0" shrinkToFit="false"/>
      <protection locked="true" hidden="false"/>
    </xf>
    <xf numFmtId="166" fontId="62" fillId="0" borderId="1" xfId="0" applyFont="true" applyBorder="true" applyAlignment="true" applyProtection="false">
      <alignment horizontal="center" vertical="center" textRotation="0" wrapText="true" indent="0" shrinkToFit="false"/>
      <protection locked="true" hidden="false"/>
    </xf>
    <xf numFmtId="173" fontId="27" fillId="7" borderId="1" xfId="0" applyFont="true" applyBorder="true" applyAlignment="true" applyProtection="false">
      <alignment horizontal="center" vertical="center" textRotation="0" wrapText="true" indent="0" shrinkToFit="false"/>
      <protection locked="true" hidden="false"/>
    </xf>
    <xf numFmtId="164" fontId="63" fillId="8" borderId="1" xfId="0" applyFont="true" applyBorder="true" applyAlignment="true" applyProtection="false">
      <alignment horizontal="left" vertical="center" textRotation="0" wrapText="true" indent="0" shrinkToFit="false"/>
      <protection locked="true" hidden="false"/>
    </xf>
    <xf numFmtId="164" fontId="0" fillId="8" borderId="1" xfId="0" applyFont="false" applyBorder="true" applyAlignment="true" applyProtection="false">
      <alignment horizontal="general" vertical="bottom" textRotation="0" wrapText="false" indent="0" shrinkToFit="false"/>
      <protection locked="true" hidden="false"/>
    </xf>
    <xf numFmtId="168" fontId="33" fillId="0" borderId="1" xfId="0" applyFont="true" applyBorder="true" applyAlignment="true" applyProtection="false">
      <alignment horizontal="right" vertical="center" textRotation="0" wrapText="false" indent="0" shrinkToFit="false"/>
      <protection locked="true" hidden="false"/>
    </xf>
    <xf numFmtId="169" fontId="33" fillId="0" borderId="1" xfId="0" applyFont="true" applyBorder="true" applyAlignment="true" applyProtection="false">
      <alignment horizontal="right" vertical="center" textRotation="0" wrapText="false" indent="0" shrinkToFit="false"/>
      <protection locked="true" hidden="false"/>
    </xf>
    <xf numFmtId="174" fontId="33" fillId="0" borderId="1" xfId="0" applyFont="true" applyBorder="true" applyAlignment="true" applyProtection="false">
      <alignment horizontal="right" vertical="center" textRotation="0" wrapText="false" indent="0" shrinkToFit="false"/>
      <protection locked="true" hidden="false"/>
    </xf>
    <xf numFmtId="166" fontId="33" fillId="0" borderId="1" xfId="0" applyFont="true" applyBorder="true" applyAlignment="true" applyProtection="false">
      <alignment horizontal="right" vertical="center" textRotation="0" wrapText="false" indent="0" shrinkToFit="false"/>
      <protection locked="true" hidden="false"/>
    </xf>
    <xf numFmtId="170" fontId="33" fillId="0" borderId="1" xfId="0" applyFont="true" applyBorder="true" applyAlignment="true" applyProtection="false">
      <alignment horizontal="right" vertical="center" textRotation="0" wrapText="false" indent="0" shrinkToFit="false"/>
      <protection locked="true" hidden="false"/>
    </xf>
    <xf numFmtId="164" fontId="64" fillId="0" borderId="1" xfId="0" applyFont="true" applyBorder="true" applyAlignment="true" applyProtection="false">
      <alignment horizontal="general" vertical="center" textRotation="0" wrapText="true" indent="0" shrinkToFit="false"/>
      <protection locked="true" hidden="false"/>
    </xf>
    <xf numFmtId="172" fontId="33" fillId="0" borderId="1" xfId="0" applyFont="true" applyBorder="true" applyAlignment="true" applyProtection="false">
      <alignment horizontal="right" vertical="center" textRotation="0" wrapText="false" indent="0" shrinkToFit="false"/>
      <protection locked="true" hidden="false"/>
    </xf>
    <xf numFmtId="182" fontId="33" fillId="0" borderId="1" xfId="0" applyFont="true" applyBorder="true" applyAlignment="true" applyProtection="false">
      <alignment horizontal="right" vertical="center" textRotation="0" wrapText="false" indent="0" shrinkToFit="false"/>
      <protection locked="true" hidden="false"/>
    </xf>
    <xf numFmtId="183" fontId="8" fillId="0" borderId="1" xfId="0" applyFont="true" applyBorder="true" applyAlignment="true" applyProtection="false">
      <alignment horizontal="right" vertical="center" textRotation="0" wrapText="false" indent="0" shrinkToFit="false"/>
      <protection locked="true" hidden="false"/>
    </xf>
    <xf numFmtId="164" fontId="12" fillId="18" borderId="1" xfId="0" applyFont="true" applyBorder="true" applyAlignment="true" applyProtection="false">
      <alignment horizontal="left" vertical="center" textRotation="0" wrapText="true" indent="0" shrinkToFit="false"/>
      <protection locked="true" hidden="false"/>
    </xf>
    <xf numFmtId="183" fontId="12" fillId="18" borderId="1" xfId="0" applyFont="true" applyBorder="true" applyAlignment="true" applyProtection="false">
      <alignment horizontal="right" vertical="center" textRotation="0" wrapText="false" indent="0" shrinkToFit="false"/>
      <protection locked="true" hidden="false"/>
    </xf>
    <xf numFmtId="164" fontId="40"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8" fontId="8" fillId="0" borderId="1" xfId="0" applyFont="true" applyBorder="true" applyAlignment="true" applyProtection="false">
      <alignment horizontal="right" vertical="center" textRotation="0" wrapText="false" indent="0" shrinkToFit="false"/>
      <protection locked="true" hidden="false"/>
    </xf>
    <xf numFmtId="164" fontId="65" fillId="0" borderId="0" xfId="0" applyFont="true" applyBorder="false" applyAlignment="true" applyProtection="false">
      <alignment horizontal="general" vertical="bottom" textRotation="0" wrapText="false" indent="0" shrinkToFit="false"/>
      <protection locked="true" hidden="false"/>
    </xf>
    <xf numFmtId="183" fontId="0" fillId="0" borderId="0" xfId="0" applyFont="false" applyBorder="false" applyAlignment="true" applyProtection="false">
      <alignment horizontal="general" vertical="bottom" textRotation="0" wrapText="false" indent="0" shrinkToFit="false"/>
      <protection locked="true" hidden="false"/>
    </xf>
    <xf numFmtId="164" fontId="66" fillId="0" borderId="0" xfId="0" applyFont="true" applyBorder="false" applyAlignment="true" applyProtection="false">
      <alignment horizontal="general" vertical="center" textRotation="0" wrapText="true" indent="0" shrinkToFit="false"/>
      <protection locked="true" hidden="false"/>
    </xf>
    <xf numFmtId="183" fontId="66" fillId="0" borderId="0" xfId="0" applyFont="true" applyBorder="false" applyAlignment="true" applyProtection="false">
      <alignment horizontal="general" vertical="bottom" textRotation="0" wrapText="false" indent="0" shrinkToFit="false"/>
      <protection locked="true" hidden="false"/>
    </xf>
    <xf numFmtId="164" fontId="67" fillId="0" borderId="0" xfId="0" applyFont="true" applyBorder="false" applyAlignment="true" applyProtection="false">
      <alignment horizontal="general" vertical="center" textRotation="0" wrapText="true" indent="0" shrinkToFit="false"/>
      <protection locked="true" hidden="false"/>
    </xf>
    <xf numFmtId="183" fontId="68" fillId="0" borderId="0" xfId="0" applyFont="true" applyBorder="false" applyAlignment="true" applyProtection="false">
      <alignment horizontal="general" vertical="bottom" textRotation="0" wrapText="false" indent="0" shrinkToFit="false"/>
      <protection locked="true" hidden="false"/>
    </xf>
    <xf numFmtId="164" fontId="69" fillId="0" borderId="0" xfId="0" applyFont="true" applyBorder="false" applyAlignment="true" applyProtection="false">
      <alignment horizontal="general" vertical="center" textRotation="0" wrapText="true" indent="0" shrinkToFit="false"/>
      <protection locked="true" hidden="false"/>
    </xf>
    <xf numFmtId="183" fontId="69" fillId="0" borderId="0" xfId="0" applyFont="true" applyBorder="false" applyAlignment="true" applyProtection="false">
      <alignment horizontal="general" vertical="bottom" textRotation="0" wrapText="false" indent="0" shrinkToFit="false"/>
      <protection locked="true" hidden="false"/>
    </xf>
    <xf numFmtId="164" fontId="70" fillId="20" borderId="0" xfId="0" applyFont="true" applyBorder="false" applyAlignment="true" applyProtection="false">
      <alignment horizontal="general" vertical="bottom" textRotation="0" wrapText="false" indent="0" shrinkToFit="false"/>
      <protection locked="true" hidden="false"/>
    </xf>
    <xf numFmtId="183" fontId="7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83" fontId="12" fillId="18" borderId="1" xfId="0" applyFont="true" applyBorder="true" applyAlignment="true" applyProtection="false">
      <alignment horizontal="general" vertical="bottom" textRotation="0" wrapText="false" indent="0" shrinkToFit="false"/>
      <protection locked="true" hidden="false"/>
    </xf>
    <xf numFmtId="164" fontId="45" fillId="11" borderId="0" xfId="0" applyFont="true" applyBorder="false" applyAlignment="tru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general" vertical="bottom" textRotation="0" wrapText="false" indent="0" shrinkToFit="false"/>
      <protection locked="true" hidden="false"/>
    </xf>
    <xf numFmtId="164" fontId="55" fillId="0" borderId="0" xfId="0" applyFont="true" applyBorder="false" applyAlignment="true" applyProtection="false">
      <alignment horizontal="general" vertical="center" textRotation="0" wrapText="true" indent="0" shrinkToFit="false"/>
      <protection locked="true" hidden="false"/>
    </xf>
    <xf numFmtId="173" fontId="14" fillId="2" borderId="0" xfId="0" applyFont="true" applyBorder="false" applyAlignment="true" applyProtection="false">
      <alignment horizontal="general" vertical="bottom" textRotation="0" wrapText="false" indent="0" shrinkToFit="false"/>
      <protection locked="true" hidden="false"/>
    </xf>
    <xf numFmtId="170" fontId="55" fillId="0" borderId="0" xfId="0" applyFont="true" applyBorder="false" applyAlignment="true" applyProtection="false">
      <alignment horizontal="general" vertical="bottom" textRotation="0" wrapText="false" indent="0" shrinkToFit="false"/>
      <protection locked="true" hidden="false"/>
    </xf>
    <xf numFmtId="184" fontId="55" fillId="0" borderId="0" xfId="0" applyFont="true" applyBorder="false" applyAlignment="true" applyProtection="false">
      <alignment horizontal="general" vertical="bottom" textRotation="0" wrapText="false" indent="0" shrinkToFit="false"/>
      <protection locked="true" hidden="false"/>
    </xf>
    <xf numFmtId="164" fontId="45" fillId="0" borderId="0" xfId="0" applyFont="true" applyBorder="false" applyAlignment="true" applyProtection="false">
      <alignment horizontal="general" vertical="center" textRotation="0" wrapText="true" indent="0" shrinkToFit="false"/>
      <protection locked="true" hidden="false"/>
    </xf>
    <xf numFmtId="167" fontId="55" fillId="0" borderId="0" xfId="0" applyFont="true" applyBorder="false" applyAlignment="true" applyProtection="false">
      <alignment horizontal="general" vertical="bottom" textRotation="0" wrapText="false" indent="0" shrinkToFit="false"/>
      <protection locked="true" hidden="false"/>
    </xf>
    <xf numFmtId="174" fontId="55" fillId="0" borderId="0" xfId="0" applyFont="true" applyBorder="false" applyAlignment="true" applyProtection="false">
      <alignment horizontal="general" vertical="bottom" textRotation="0" wrapText="false" indent="0" shrinkToFit="false"/>
      <protection locked="true" hidden="false"/>
    </xf>
    <xf numFmtId="165" fontId="55" fillId="0" borderId="0" xfId="0" applyFont="true" applyBorder="false" applyAlignment="true" applyProtection="false">
      <alignment horizontal="general" vertical="bottom" textRotation="0" wrapText="false" indent="0" shrinkToFit="false"/>
      <protection locked="true" hidden="false"/>
    </xf>
    <xf numFmtId="173" fontId="55" fillId="0" borderId="0" xfId="0" applyFont="true" applyBorder="false" applyAlignment="true" applyProtection="false">
      <alignment horizontal="general" vertical="bottom" textRotation="0" wrapText="false" indent="0" shrinkToFit="false"/>
      <protection locked="true" hidden="false"/>
    </xf>
    <xf numFmtId="175" fontId="55" fillId="0" borderId="0" xfId="0" applyFont="true" applyBorder="false" applyAlignment="true" applyProtection="false">
      <alignment horizontal="general" vertical="bottom" textRotation="0" wrapText="false" indent="0" shrinkToFit="false"/>
      <protection locked="true" hidden="false"/>
    </xf>
    <xf numFmtId="164" fontId="72" fillId="0" borderId="0" xfId="0" applyFont="true" applyBorder="false" applyAlignment="true" applyProtection="false">
      <alignment horizontal="general" vertical="bottom" textRotation="0" wrapText="false" indent="0" shrinkToFit="false"/>
      <protection locked="true" hidden="false"/>
    </xf>
    <xf numFmtId="164" fontId="57" fillId="0" borderId="0" xfId="0" applyFont="true" applyBorder="false" applyAlignment="true" applyProtection="false">
      <alignment horizontal="general" vertical="bottom" textRotation="0" wrapText="true" indent="0" shrinkToFit="false"/>
      <protection locked="true" hidden="false"/>
    </xf>
    <xf numFmtId="185" fontId="0" fillId="0" borderId="0" xfId="0" applyFont="false" applyBorder="false" applyAlignment="true" applyProtection="false">
      <alignment horizontal="general" vertical="bottom" textRotation="0" wrapText="false" indent="0" shrinkToFit="false"/>
      <protection locked="true" hidden="false"/>
    </xf>
    <xf numFmtId="164" fontId="57" fillId="0" borderId="0" xfId="0" applyFont="true" applyBorder="false" applyAlignment="true" applyProtection="false">
      <alignment horizontal="general" vertical="top" textRotation="0" wrapText="true" indent="0" shrinkToFit="false"/>
      <protection locked="true" hidden="false"/>
    </xf>
    <xf numFmtId="164" fontId="57" fillId="3" borderId="0" xfId="0" applyFont="true" applyBorder="false" applyAlignment="true" applyProtection="false">
      <alignment horizontal="general" vertical="bottom" textRotation="0" wrapText="true" indent="0" shrinkToFit="false"/>
      <protection locked="true" hidden="false"/>
    </xf>
    <xf numFmtId="164" fontId="73" fillId="0" borderId="0" xfId="0" applyFont="true" applyBorder="false" applyAlignment="true" applyProtection="false">
      <alignment horizontal="general" vertical="bottom" textRotation="0" wrapText="false" indent="0" shrinkToFit="false"/>
      <protection locked="true" hidden="false"/>
    </xf>
    <xf numFmtId="164" fontId="58" fillId="1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false" indent="0" shrinkToFit="false"/>
      <protection locked="true" hidden="false"/>
    </xf>
    <xf numFmtId="164" fontId="74" fillId="0" borderId="0" xfId="0" applyFont="true" applyBorder="false" applyAlignment="true" applyProtection="false">
      <alignment horizontal="general" vertical="bottom" textRotation="0" wrapText="false" indent="0" shrinkToFit="false"/>
      <protection locked="true" hidden="false"/>
    </xf>
    <xf numFmtId="164" fontId="58" fillId="0" borderId="0" xfId="0" applyFont="true" applyBorder="false" applyAlignment="true" applyProtection="false">
      <alignment horizontal="general" vertical="bottom" textRotation="0" wrapText="true" indent="0" shrinkToFit="false"/>
      <protection locked="true" hidden="false"/>
    </xf>
    <xf numFmtId="164" fontId="58" fillId="10" borderId="0" xfId="0" applyFont="true" applyBorder="false" applyAlignment="true" applyProtection="false">
      <alignment horizontal="general" vertical="bottom" textRotation="0" wrapText="false" indent="0" shrinkToFit="false"/>
      <protection locked="true" hidden="false"/>
    </xf>
    <xf numFmtId="164" fontId="59"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1F4E78"/>
      <rgbColor rgb="FFBFBFBF"/>
      <rgbColor rgb="FF808080"/>
      <rgbColor rgb="FF5B9BD5"/>
      <rgbColor rgb="FF595959"/>
      <rgbColor rgb="FFFFF2CC"/>
      <rgbColor rgb="FFDDEBF7"/>
      <rgbColor rgb="FF375623"/>
      <rgbColor rgb="FFFF8080"/>
      <rgbColor rgb="FF1F4E79"/>
      <rgbColor rgb="FFBDD7EE"/>
      <rgbColor rgb="FF000080"/>
      <rgbColor rgb="FFFF00FF"/>
      <rgbColor rgb="FFE7E6E6"/>
      <rgbColor rgb="FF00FFFF"/>
      <rgbColor rgb="FF800080"/>
      <rgbColor rgb="FF800000"/>
      <rgbColor rgb="FF385723"/>
      <rgbColor rgb="FF0000FF"/>
      <rgbColor rgb="FF00CCFF"/>
      <rgbColor rgb="FFE2EFDA"/>
      <rgbColor rgb="FFC6EFCE"/>
      <rgbColor rgb="FFFFFF99"/>
      <rgbColor rgb="FF9DC3E6"/>
      <rgbColor rgb="FFD9E2F3"/>
      <rgbColor rgb="FFD9E1F2"/>
      <rgbColor rgb="FFFCE4D6"/>
      <rgbColor rgb="FF2E75B6"/>
      <rgbColor rgb="FF33CCCC"/>
      <rgbColor rgb="FF99CC00"/>
      <rgbColor rgb="FFFFCC00"/>
      <rgbColor rgb="FFFF9900"/>
      <rgbColor rgb="FFFF6600"/>
      <rgbColor rgb="FF6B5B95"/>
      <rgbColor rgb="FF969696"/>
      <rgbColor rgb="FF1F3864"/>
      <rgbColor rgb="FF2E7D32"/>
      <rgbColor rgb="FF006100"/>
      <rgbColor rgb="FF404040"/>
      <rgbColor rgb="FF9C5700"/>
      <rgbColor rgb="FF606060"/>
      <rgbColor rgb="FF305496"/>
      <rgbColor rgb="FF3F3F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worksheet" Target="worksheets/sheet35.xml"/><Relationship Id="rId38" Type="http://schemas.openxmlformats.org/officeDocument/2006/relationships/worksheet" Target="worksheets/sheet36.xml"/><Relationship Id="rId39" Type="http://schemas.openxmlformats.org/officeDocument/2006/relationships/worksheet" Target="worksheets/sheet37.xml"/><Relationship Id="rId40" Type="http://schemas.openxmlformats.org/officeDocument/2006/relationships/worksheet" Target="worksheets/sheet38.xml"/><Relationship Id="rId41" Type="http://schemas.openxmlformats.org/officeDocument/2006/relationships/worksheet" Target="worksheets/sheet39.xml"/><Relationship Id="rId42" Type="http://schemas.openxmlformats.org/officeDocument/2006/relationships/worksheet" Target="worksheets/sheet40.xml"/><Relationship Id="rId43" Type="http://schemas.openxmlformats.org/officeDocument/2006/relationships/worksheet" Target="worksheets/sheet41.xml"/><Relationship Id="rId44" Type="http://schemas.openxmlformats.org/officeDocument/2006/relationships/worksheet" Target="worksheets/sheet42.xml"/><Relationship Id="rId45" Type="http://schemas.openxmlformats.org/officeDocument/2006/relationships/worksheet" Target="worksheets/sheet43.xml"/><Relationship Id="rId46" Type="http://schemas.openxmlformats.org/officeDocument/2006/relationships/worksheet" Target="worksheets/sheet44.xml"/><Relationship Id="rId47" Type="http://schemas.openxmlformats.org/officeDocument/2006/relationships/worksheet" Target="worksheets/sheet45.xml"/><Relationship Id="rId48" Type="http://schemas.openxmlformats.org/officeDocument/2006/relationships/worksheet" Target="worksheets/sheet46.xml"/><Relationship Id="rId49" Type="http://schemas.openxmlformats.org/officeDocument/2006/relationships/worksheet" Target="worksheets/sheet47.xml"/><Relationship Id="rId50" Type="http://schemas.openxmlformats.org/officeDocument/2006/relationships/worksheet" Target="worksheets/sheet48.xml"/><Relationship Id="rId51" Type="http://schemas.openxmlformats.org/officeDocument/2006/relationships/worksheet" Target="worksheets/sheet49.xml"/><Relationship Id="rId52" Type="http://schemas.openxmlformats.org/officeDocument/2006/relationships/worksheet" Target="worksheets/sheet50.xml"/><Relationship Id="rId5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10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4.25" zeroHeight="false" outlineLevelRow="0" outlineLevelCol="0"/>
  <cols>
    <col collapsed="false" customWidth="true" hidden="false" outlineLevel="0" max="1" min="1" style="1" width="4"/>
    <col collapsed="false" customWidth="true" hidden="false" outlineLevel="0" max="2" min="2" style="1" width="8"/>
    <col collapsed="false" customWidth="true" hidden="false" outlineLevel="0" max="3" min="3" style="1" width="38"/>
    <col collapsed="false" customWidth="true" hidden="false" outlineLevel="0" max="4" min="4" style="1" width="68.56"/>
    <col collapsed="false" customWidth="true" hidden="false" outlineLevel="0" max="6" min="5" style="1" width="8.67"/>
  </cols>
  <sheetData>
    <row r="1" customFormat="false" ht="14.25" hidden="false" customHeight="true" outlineLevel="0" collapsed="false"/>
    <row r="2" customFormat="false" ht="26.25" hidden="false" customHeight="true" outlineLevel="0" collapsed="false">
      <c r="B2" s="2" t="s">
        <v>0</v>
      </c>
    </row>
    <row r="3" customFormat="false" ht="15" hidden="false" customHeight="true" outlineLevel="0" collapsed="false">
      <c r="B3" s="3" t="s">
        <v>1</v>
      </c>
    </row>
    <row r="4" customFormat="false" ht="49.5" hidden="false" customHeight="true" outlineLevel="0" collapsed="false">
      <c r="B4" s="4" t="s">
        <v>2</v>
      </c>
    </row>
    <row r="5" customFormat="false" ht="15" hidden="false" customHeight="true" outlineLevel="0" collapsed="false">
      <c r="B5" s="5" t="s">
        <v>3</v>
      </c>
      <c r="C5" s="6" t="s">
        <v>4</v>
      </c>
    </row>
    <row r="6" customFormat="false" ht="15" hidden="false" customHeight="true" outlineLevel="0" collapsed="false">
      <c r="B6" s="5" t="s">
        <v>5</v>
      </c>
      <c r="C6" s="6" t="s">
        <v>6</v>
      </c>
    </row>
    <row r="7" customFormat="false" ht="15" hidden="false" customHeight="true" outlineLevel="0" collapsed="false">
      <c r="B7" s="5"/>
      <c r="C7" s="6"/>
    </row>
    <row r="8" customFormat="false" ht="15" hidden="false" customHeight="true" outlineLevel="0" collapsed="false">
      <c r="B8" s="7" t="s">
        <v>7</v>
      </c>
      <c r="C8" s="6"/>
    </row>
    <row r="9" customFormat="false" ht="60" hidden="false" customHeight="true" outlineLevel="0" collapsed="false">
      <c r="B9" s="8" t="s">
        <v>8</v>
      </c>
      <c r="C9" s="8"/>
      <c r="D9" s="8"/>
    </row>
    <row r="10" customFormat="false" ht="14.25" hidden="false" customHeight="true" outlineLevel="0" collapsed="false"/>
    <row r="11" customFormat="false" ht="15" hidden="false" customHeight="true" outlineLevel="0" collapsed="false">
      <c r="B11" s="7" t="s">
        <v>9</v>
      </c>
    </row>
    <row r="12" customFormat="false" ht="15" hidden="false" customHeight="true" outlineLevel="0" collapsed="false">
      <c r="B12" s="9" t="s">
        <v>10</v>
      </c>
      <c r="C12" s="7" t="s">
        <v>11</v>
      </c>
      <c r="D12" s="1" t="s">
        <v>12</v>
      </c>
    </row>
    <row r="13" customFormat="false" ht="15" hidden="false" customHeight="true" outlineLevel="0" collapsed="false">
      <c r="B13" s="10" t="s">
        <v>13</v>
      </c>
      <c r="C13" s="7" t="s">
        <v>14</v>
      </c>
      <c r="D13" s="1" t="s">
        <v>15</v>
      </c>
    </row>
    <row r="14" customFormat="false" ht="14.25" hidden="false" customHeight="true" outlineLevel="0" collapsed="false">
      <c r="B14" s="1" t="s">
        <v>16</v>
      </c>
      <c r="C14" s="7" t="s">
        <v>17</v>
      </c>
      <c r="D14" s="1" t="s">
        <v>18</v>
      </c>
    </row>
    <row r="15" customFormat="false" ht="15" hidden="false" customHeight="true" outlineLevel="0" collapsed="false">
      <c r="B15" s="5" t="s">
        <v>19</v>
      </c>
      <c r="C15" s="7" t="s">
        <v>20</v>
      </c>
      <c r="D15" s="1" t="s">
        <v>21</v>
      </c>
    </row>
    <row r="16" customFormat="false" ht="15" hidden="false" customHeight="true" outlineLevel="0" collapsed="false">
      <c r="B16" s="11" t="s">
        <v>22</v>
      </c>
      <c r="C16" s="7" t="s">
        <v>23</v>
      </c>
      <c r="D16" s="1" t="s">
        <v>24</v>
      </c>
    </row>
    <row r="17" customFormat="false" ht="15" hidden="false" customHeight="true" outlineLevel="0" collapsed="false">
      <c r="B17" s="12" t="s">
        <v>25</v>
      </c>
      <c r="C17" s="13" t="s">
        <v>26</v>
      </c>
      <c r="D17" s="14" t="s">
        <v>27</v>
      </c>
    </row>
    <row r="18" customFormat="false" ht="21.75" hidden="false" customHeight="true" outlineLevel="0" collapsed="false">
      <c r="B18" s="12" t="s">
        <v>28</v>
      </c>
      <c r="C18" s="13" t="s">
        <v>29</v>
      </c>
      <c r="D18" s="14" t="s">
        <v>30</v>
      </c>
    </row>
    <row r="19" customFormat="false" ht="15" hidden="false" customHeight="true" outlineLevel="0" collapsed="false">
      <c r="B19" s="12" t="s">
        <v>31</v>
      </c>
      <c r="C19" s="13" t="s">
        <v>32</v>
      </c>
      <c r="D19" s="14" t="s">
        <v>33</v>
      </c>
    </row>
    <row r="20" customFormat="false" ht="15" hidden="false" customHeight="true" outlineLevel="0" collapsed="false">
      <c r="B20" s="12" t="s">
        <v>34</v>
      </c>
      <c r="C20" s="13" t="s">
        <v>35</v>
      </c>
      <c r="D20" s="14"/>
    </row>
    <row r="21" customFormat="false" ht="15" hidden="false" customHeight="true" outlineLevel="0" collapsed="false">
      <c r="B21" s="12" t="s">
        <v>36</v>
      </c>
      <c r="C21" s="13" t="s">
        <v>37</v>
      </c>
      <c r="D21" s="14" t="s">
        <v>38</v>
      </c>
    </row>
    <row r="22" customFormat="false" ht="15" hidden="false" customHeight="true" outlineLevel="0" collapsed="false">
      <c r="B22" s="12" t="s">
        <v>39</v>
      </c>
      <c r="C22" s="15" t="s">
        <v>40</v>
      </c>
      <c r="D22" s="14" t="s">
        <v>41</v>
      </c>
    </row>
    <row r="23" customFormat="false" ht="15" hidden="false" customHeight="true" outlineLevel="0" collapsed="false">
      <c r="B23" s="12" t="s">
        <v>42</v>
      </c>
      <c r="C23" s="15"/>
      <c r="D23" s="14"/>
    </row>
    <row r="24" customFormat="false" ht="21.75" hidden="false" customHeight="true" outlineLevel="0" collapsed="false">
      <c r="B24" s="12"/>
      <c r="C24" s="15"/>
      <c r="D24" s="14"/>
    </row>
    <row r="25" customFormat="false" ht="15" hidden="false" customHeight="true" outlineLevel="0" collapsed="false">
      <c r="B25" s="12"/>
      <c r="C25" s="15"/>
      <c r="D25" s="14"/>
    </row>
    <row r="26" customFormat="false" ht="15" hidden="false" customHeight="true" outlineLevel="0" collapsed="false">
      <c r="B26" s="12"/>
      <c r="C26" s="15"/>
      <c r="D26" s="14"/>
    </row>
    <row r="27" customFormat="false" ht="15" hidden="false" customHeight="true" outlineLevel="0" collapsed="false">
      <c r="B27" s="12"/>
      <c r="C27" s="15"/>
      <c r="D27" s="14"/>
    </row>
    <row r="28" customFormat="false" ht="54.75" hidden="false" customHeight="true" outlineLevel="0" collapsed="false">
      <c r="B28" s="4"/>
    </row>
    <row r="29" customFormat="false" ht="15" hidden="false" customHeight="true" outlineLevel="0" collapsed="false">
      <c r="B29" s="5" t="s">
        <v>43</v>
      </c>
    </row>
    <row r="30" customFormat="false" ht="15" hidden="false" customHeight="true" outlineLevel="0" collapsed="false">
      <c r="B30" s="16"/>
    </row>
    <row r="31" customFormat="false" ht="15" hidden="false" customHeight="true" outlineLevel="0" collapsed="false">
      <c r="B31" s="16" t="s">
        <v>44</v>
      </c>
    </row>
    <row r="32" customFormat="false" ht="15" hidden="false" customHeight="true" outlineLevel="0" collapsed="false">
      <c r="B32" s="16"/>
    </row>
    <row r="33" customFormat="false" ht="15" hidden="false" customHeight="true" outlineLevel="0" collapsed="false">
      <c r="B33" s="16" t="s">
        <v>45</v>
      </c>
    </row>
    <row r="34" customFormat="false" ht="15" hidden="false" customHeight="true" outlineLevel="0" collapsed="false">
      <c r="B34" s="16"/>
    </row>
    <row r="35" customFormat="false" ht="15" hidden="false" customHeight="true" outlineLevel="0" collapsed="false">
      <c r="B35" s="16" t="s">
        <v>46</v>
      </c>
    </row>
    <row r="36" customFormat="false" ht="15.75" hidden="false" customHeight="true" outlineLevel="0" collapsed="false"/>
    <row r="37" customFormat="false" ht="15" hidden="false" customHeight="true" outlineLevel="0" collapsed="false">
      <c r="B37" s="5" t="s">
        <v>47</v>
      </c>
    </row>
    <row r="38" customFormat="false" ht="15" hidden="false" customHeight="true" outlineLevel="0" collapsed="false">
      <c r="B38" s="16"/>
    </row>
    <row r="39" customFormat="false" ht="15" hidden="false" customHeight="true" outlineLevel="0" collapsed="false">
      <c r="B39" s="16" t="s">
        <v>48</v>
      </c>
    </row>
    <row r="40" customFormat="false" ht="15" hidden="false" customHeight="true" outlineLevel="0" collapsed="false">
      <c r="B40" s="16"/>
    </row>
    <row r="41" customFormat="false" ht="15" hidden="false" customHeight="true" outlineLevel="0" collapsed="false">
      <c r="B41" s="16" t="s">
        <v>49</v>
      </c>
    </row>
    <row r="42" customFormat="false" ht="15" hidden="false" customHeight="true" outlineLevel="0" collapsed="false">
      <c r="B42" s="16"/>
    </row>
    <row r="43" customFormat="false" ht="15.75" hidden="false" customHeight="true" outlineLevel="0" collapsed="false">
      <c r="B43" s="1" t="s">
        <v>50</v>
      </c>
    </row>
    <row r="44" customFormat="false" ht="15.75" hidden="false" customHeight="true" outlineLevel="0" collapsed="false"/>
    <row r="45" customFormat="false" ht="15.75" hidden="false" customHeight="true" outlineLevel="0" collapsed="false">
      <c r="B45" s="1" t="s">
        <v>51</v>
      </c>
    </row>
    <row r="46" customFormat="false" ht="15.75" hidden="false" customHeight="true" outlineLevel="0" collapsed="false"/>
    <row r="47" customFormat="false" ht="15.75" hidden="false" customHeight="true" outlineLevel="0" collapsed="false">
      <c r="B47" s="1" t="s">
        <v>52</v>
      </c>
    </row>
    <row r="48" customFormat="false" ht="15.75" hidden="false" customHeight="true" outlineLevel="0" collapsed="false"/>
    <row r="49" customFormat="false" ht="15.75" hidden="false" customHeight="true" outlineLevel="0" collapsed="false">
      <c r="B49" s="1" t="s">
        <v>53</v>
      </c>
    </row>
    <row r="50" customFormat="false" ht="15.75" hidden="false" customHeight="true" outlineLevel="0" collapsed="false"/>
    <row r="51" customFormat="false" ht="15.75" hidden="false" customHeight="true" outlineLevel="0" collapsed="false">
      <c r="B51" s="1" t="s">
        <v>54</v>
      </c>
    </row>
    <row r="52" customFormat="false" ht="15.75" hidden="false" customHeight="true" outlineLevel="0" collapsed="false"/>
    <row r="53" customFormat="false" ht="15.75" hidden="false" customHeight="true" outlineLevel="0" collapsed="false">
      <c r="B53" s="1" t="s">
        <v>55</v>
      </c>
    </row>
    <row r="54" customFormat="false" ht="15.75" hidden="false" customHeight="true" outlineLevel="0" collapsed="false"/>
    <row r="55" customFormat="false" ht="15.75" hidden="false" customHeight="true" outlineLevel="0" collapsed="false">
      <c r="B55" s="1" t="s">
        <v>56</v>
      </c>
    </row>
    <row r="56" customFormat="false" ht="15.75" hidden="false" customHeight="true" outlineLevel="0" collapsed="false"/>
    <row r="57" customFormat="false" ht="15.75" hidden="false" customHeight="true" outlineLevel="0" collapsed="false">
      <c r="B57" s="1" t="s">
        <v>57</v>
      </c>
    </row>
    <row r="58" customFormat="false" ht="15.75" hidden="false" customHeight="true" outlineLevel="0" collapsed="false"/>
    <row r="59" customFormat="false" ht="15.75" hidden="false" customHeight="true" outlineLevel="0" collapsed="false">
      <c r="B59" s="1" t="s">
        <v>58</v>
      </c>
    </row>
    <row r="60" customFormat="false" ht="15.75" hidden="false" customHeight="true" outlineLevel="0" collapsed="false"/>
    <row r="61" customFormat="false" ht="15.75" hidden="false" customHeight="true" outlineLevel="0" collapsed="false">
      <c r="B61" s="1" t="s">
        <v>59</v>
      </c>
    </row>
    <row r="62" customFormat="false" ht="15.75" hidden="false" customHeight="true" outlineLevel="0" collapsed="false"/>
    <row r="63" customFormat="false" ht="15.75" hidden="false" customHeight="true" outlineLevel="0" collapsed="false">
      <c r="B63" s="1" t="s">
        <v>60</v>
      </c>
    </row>
    <row r="64" customFormat="false" ht="15.75" hidden="false" customHeight="true" outlineLevel="0" collapsed="false"/>
    <row r="65" customFormat="false" ht="15.75" hidden="false" customHeight="true" outlineLevel="0" collapsed="false">
      <c r="B65" s="1" t="s">
        <v>61</v>
      </c>
    </row>
    <row r="66" customFormat="false" ht="15.75" hidden="false" customHeight="true" outlineLevel="0" collapsed="false"/>
    <row r="67" customFormat="false" ht="15.75" hidden="false" customHeight="true" outlineLevel="0" collapsed="false">
      <c r="B67" s="17" t="s">
        <v>62</v>
      </c>
    </row>
    <row r="68" customFormat="false" ht="15.75" hidden="false" customHeight="true" outlineLevel="0" collapsed="false"/>
    <row r="69" customFormat="false" ht="15.75" hidden="false" customHeight="true" outlineLevel="0" collapsed="false">
      <c r="B69" s="17" t="s">
        <v>63</v>
      </c>
    </row>
    <row r="70" customFormat="false" ht="15.75" hidden="false" customHeight="true" outlineLevel="0" collapsed="false"/>
    <row r="71" customFormat="false" ht="15.75" hidden="false" customHeight="true" outlineLevel="0" collapsed="false">
      <c r="B71" s="17" t="s">
        <v>64</v>
      </c>
    </row>
    <row r="72" customFormat="false" ht="15.75" hidden="false" customHeight="true" outlineLevel="0" collapsed="false"/>
    <row r="73" customFormat="false" ht="15.75" hidden="false" customHeight="true" outlineLevel="0" collapsed="false">
      <c r="B73" s="17" t="s">
        <v>65</v>
      </c>
    </row>
    <row r="74" customFormat="false" ht="15.75" hidden="false" customHeight="true" outlineLevel="0" collapsed="false">
      <c r="B74" s="1" t="s">
        <v>66</v>
      </c>
    </row>
    <row r="75" customFormat="false" ht="15.75" hidden="false" customHeight="true" outlineLevel="0" collapsed="false">
      <c r="B75" s="1" t="s">
        <v>67</v>
      </c>
    </row>
    <row r="76" customFormat="false" ht="15.75" hidden="false" customHeight="true" outlineLevel="0" collapsed="false">
      <c r="B76" s="1" t="s">
        <v>68</v>
      </c>
    </row>
    <row r="77" customFormat="false" ht="15.75" hidden="false" customHeight="true" outlineLevel="0" collapsed="false">
      <c r="B77" s="1" t="s">
        <v>69</v>
      </c>
    </row>
    <row r="78" customFormat="false" ht="15.75" hidden="false" customHeight="true" outlineLevel="0" collapsed="false">
      <c r="B78" s="1" t="s">
        <v>70</v>
      </c>
    </row>
    <row r="79" customFormat="false" ht="15.75" hidden="false" customHeight="true" outlineLevel="0" collapsed="false">
      <c r="B79" s="1" t="s">
        <v>71</v>
      </c>
    </row>
    <row r="80" customFormat="false" ht="15.75" hidden="false" customHeight="true" outlineLevel="0" collapsed="false">
      <c r="B80" s="1" t="s">
        <v>72</v>
      </c>
    </row>
    <row r="81" customFormat="false" ht="15.75" hidden="false" customHeight="true" outlineLevel="0" collapsed="false">
      <c r="B81" s="1" t="s">
        <v>73</v>
      </c>
    </row>
    <row r="82" customFormat="false" ht="15.75" hidden="false" customHeight="true" outlineLevel="0" collapsed="false"/>
    <row r="83" customFormat="false" ht="15.75" hidden="false" customHeight="true" outlineLevel="0" collapsed="false">
      <c r="B83" s="1" t="s">
        <v>74</v>
      </c>
    </row>
    <row r="84" customFormat="false" ht="15.75" hidden="false" customHeight="true" outlineLevel="0" collapsed="false">
      <c r="B84" s="1" t="s">
        <v>75</v>
      </c>
    </row>
    <row r="85" customFormat="false" ht="15.75" hidden="false" customHeight="true" outlineLevel="0" collapsed="false">
      <c r="B85" s="1" t="s">
        <v>76</v>
      </c>
    </row>
    <row r="86" customFormat="false" ht="15.75" hidden="false" customHeight="true" outlineLevel="0" collapsed="false">
      <c r="B86" s="1" t="s">
        <v>77</v>
      </c>
    </row>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sheetData>
  <mergeCells count="1">
    <mergeCell ref="B9:D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4.25" zeroHeight="false" outlineLevelRow="0" outlineLevelCol="0"/>
  <cols>
    <col collapsed="false" customWidth="true" hidden="false" outlineLevel="0" max="1" min="1" style="1" width="3"/>
    <col collapsed="false" customWidth="true" hidden="false" outlineLevel="0" max="2" min="2" style="1" width="16"/>
    <col collapsed="false" customWidth="true" hidden="false" outlineLevel="0" max="3" min="3" style="1" width="22"/>
    <col collapsed="false" customWidth="true" hidden="false" outlineLevel="0" max="4" min="4" style="1" width="45"/>
    <col collapsed="false" customWidth="true" hidden="false" outlineLevel="0" max="5" min="5" style="1" width="18"/>
    <col collapsed="false" customWidth="true" hidden="false" outlineLevel="0" max="6" min="6" style="1" width="35"/>
  </cols>
  <sheetData>
    <row r="2" customFormat="false" ht="18" hidden="false" customHeight="true" outlineLevel="0" collapsed="false">
      <c r="B2" s="18" t="s">
        <v>78</v>
      </c>
    </row>
    <row r="3" customFormat="false" ht="49.5" hidden="false" customHeight="true" outlineLevel="0" collapsed="false">
      <c r="B3" s="19" t="s">
        <v>79</v>
      </c>
      <c r="C3" s="19"/>
      <c r="D3" s="19"/>
      <c r="E3" s="19"/>
      <c r="F3" s="19"/>
    </row>
    <row r="5" customFormat="false" ht="25.5" hidden="false" customHeight="true" outlineLevel="0" collapsed="false">
      <c r="B5" s="20" t="s">
        <v>80</v>
      </c>
      <c r="C5" s="20" t="s">
        <v>81</v>
      </c>
      <c r="D5" s="20" t="s">
        <v>82</v>
      </c>
      <c r="E5" s="20" t="s">
        <v>83</v>
      </c>
    </row>
    <row r="6" customFormat="false" ht="79.5" hidden="false" customHeight="true" outlineLevel="0" collapsed="false">
      <c r="B6" s="21" t="s">
        <v>84</v>
      </c>
      <c r="C6" s="22" t="s">
        <v>85</v>
      </c>
      <c r="D6" s="23" t="s">
        <v>86</v>
      </c>
      <c r="E6" s="24" t="s">
        <v>87</v>
      </c>
      <c r="F6" s="24"/>
    </row>
    <row r="7" customFormat="false" ht="79.5" hidden="false" customHeight="true" outlineLevel="0" collapsed="false">
      <c r="B7" s="25" t="s">
        <v>88</v>
      </c>
      <c r="C7" s="26" t="s">
        <v>89</v>
      </c>
      <c r="D7" s="23" t="s">
        <v>90</v>
      </c>
      <c r="E7" s="24" t="s">
        <v>91</v>
      </c>
      <c r="F7" s="24"/>
    </row>
    <row r="8" customFormat="false" ht="79.5" hidden="false" customHeight="true" outlineLevel="0" collapsed="false">
      <c r="B8" s="27" t="s">
        <v>92</v>
      </c>
      <c r="C8" s="28" t="s">
        <v>93</v>
      </c>
      <c r="D8" s="23" t="s">
        <v>94</v>
      </c>
      <c r="E8" s="24" t="s">
        <v>95</v>
      </c>
      <c r="F8" s="24"/>
    </row>
    <row r="9" customFormat="false" ht="79.5" hidden="false" customHeight="true" outlineLevel="0" collapsed="false">
      <c r="B9" s="29" t="s">
        <v>96</v>
      </c>
      <c r="C9" s="30" t="s">
        <v>97</v>
      </c>
      <c r="D9" s="23" t="s">
        <v>98</v>
      </c>
      <c r="E9" s="24" t="s">
        <v>99</v>
      </c>
      <c r="F9" s="24"/>
    </row>
    <row r="11" customFormat="false" ht="15" hidden="false" customHeight="true" outlineLevel="0" collapsed="false">
      <c r="B11" s="31" t="s">
        <v>100</v>
      </c>
    </row>
    <row r="12" customFormat="false" ht="31.5" hidden="false" customHeight="true" outlineLevel="0" collapsed="false">
      <c r="B12" s="32" t="s">
        <v>101</v>
      </c>
      <c r="C12" s="33" t="s">
        <v>102</v>
      </c>
      <c r="D12" s="33"/>
      <c r="E12" s="33"/>
      <c r="F12" s="33"/>
    </row>
    <row r="13" customFormat="false" ht="31.5" hidden="false" customHeight="true" outlineLevel="0" collapsed="false">
      <c r="B13" s="32" t="s">
        <v>103</v>
      </c>
      <c r="C13" s="33" t="s">
        <v>104</v>
      </c>
      <c r="D13" s="33"/>
      <c r="E13" s="33"/>
      <c r="F13" s="33"/>
    </row>
    <row r="14" customFormat="false" ht="31.5" hidden="false" customHeight="true" outlineLevel="0" collapsed="false">
      <c r="B14" s="32" t="s">
        <v>105</v>
      </c>
      <c r="C14" s="33" t="s">
        <v>106</v>
      </c>
      <c r="D14" s="33"/>
      <c r="E14" s="33"/>
      <c r="F14" s="33"/>
    </row>
    <row r="15" customFormat="false" ht="31.5" hidden="false" customHeight="true" outlineLevel="0" collapsed="false">
      <c r="B15" s="32" t="s">
        <v>107</v>
      </c>
      <c r="C15" s="33" t="s">
        <v>108</v>
      </c>
      <c r="D15" s="33"/>
      <c r="E15" s="33"/>
      <c r="F15" s="33"/>
    </row>
    <row r="16" customFormat="false" ht="31.5" hidden="false" customHeight="true" outlineLevel="0" collapsed="false">
      <c r="B16" s="32" t="s">
        <v>109</v>
      </c>
      <c r="C16" s="33" t="s">
        <v>110</v>
      </c>
      <c r="D16" s="33"/>
      <c r="E16" s="33"/>
      <c r="F16" s="33"/>
    </row>
    <row r="17" customFormat="false" ht="31.5" hidden="false" customHeight="true" outlineLevel="0" collapsed="false">
      <c r="B17" s="32" t="s">
        <v>111</v>
      </c>
      <c r="C17" s="33" t="s">
        <v>112</v>
      </c>
      <c r="D17" s="33"/>
      <c r="E17" s="33"/>
      <c r="F17" s="33"/>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1">
    <mergeCell ref="B3:F3"/>
    <mergeCell ref="E6:F6"/>
    <mergeCell ref="E7:F7"/>
    <mergeCell ref="E8:F8"/>
    <mergeCell ref="E9:F9"/>
    <mergeCell ref="C12:F12"/>
    <mergeCell ref="C13:F13"/>
    <mergeCell ref="C14:F14"/>
    <mergeCell ref="C15:F15"/>
    <mergeCell ref="C16:F16"/>
    <mergeCell ref="C17:F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J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C8" activeCellId="0" sqref="C8"/>
    </sheetView>
  </sheetViews>
  <sheetFormatPr defaultColWidth="14.4453125" defaultRowHeight="14.25" zeroHeight="false" outlineLevelRow="0" outlineLevelCol="0"/>
  <cols>
    <col collapsed="false" customWidth="true" hidden="false" outlineLevel="0" max="1" min="1" style="1" width="5"/>
    <col collapsed="false" customWidth="true" hidden="false" outlineLevel="0" max="2" min="2" style="1" width="38"/>
    <col collapsed="false" customWidth="true" hidden="false" outlineLevel="0" max="6" min="3" style="1" width="17"/>
    <col collapsed="false" customWidth="true" hidden="false" outlineLevel="0" max="7" min="7" style="1" width="38"/>
    <col collapsed="false" customWidth="true" hidden="false" outlineLevel="0" max="8" min="8" style="1" width="14"/>
    <col collapsed="false" customWidth="true" hidden="false" outlineLevel="0" max="9" min="9" style="1" width="16"/>
    <col collapsed="false" customWidth="true" hidden="false" outlineLevel="0" max="10" min="10" style="1" width="15"/>
  </cols>
  <sheetData>
    <row r="2" customFormat="false" ht="17.25" hidden="false" customHeight="true" outlineLevel="0" collapsed="false">
      <c r="B2" s="34" t="s">
        <v>113</v>
      </c>
      <c r="C2" s="34"/>
      <c r="D2" s="34"/>
      <c r="E2" s="34"/>
      <c r="F2" s="34"/>
      <c r="G2" s="34"/>
    </row>
    <row r="3" customFormat="false" ht="15" hidden="false" customHeight="true" outlineLevel="0" collapsed="false">
      <c r="B3" s="35" t="s">
        <v>114</v>
      </c>
      <c r="C3" s="35"/>
      <c r="D3" s="35"/>
      <c r="E3" s="35"/>
      <c r="F3" s="35"/>
      <c r="G3" s="35"/>
    </row>
    <row r="5" customFormat="false" ht="15" hidden="false" customHeight="true" outlineLevel="0" collapsed="false">
      <c r="B5" s="5" t="s">
        <v>115</v>
      </c>
      <c r="C5" s="36" t="s">
        <v>116</v>
      </c>
      <c r="D5" s="5" t="s">
        <v>117</v>
      </c>
      <c r="E5" s="37" t="n">
        <v>30</v>
      </c>
      <c r="F5" s="5" t="s">
        <v>118</v>
      </c>
      <c r="G5" s="36" t="s">
        <v>119</v>
      </c>
    </row>
    <row r="7" customFormat="false" ht="27.75" hidden="false" customHeight="true" outlineLevel="0" collapsed="false">
      <c r="A7" s="38" t="s">
        <v>120</v>
      </c>
      <c r="B7" s="38" t="s">
        <v>121</v>
      </c>
      <c r="C7" s="38" t="s">
        <v>116</v>
      </c>
      <c r="D7" s="38" t="s">
        <v>122</v>
      </c>
      <c r="E7" s="38" t="s">
        <v>123</v>
      </c>
      <c r="F7" s="38" t="s">
        <v>124</v>
      </c>
      <c r="G7" s="38" t="s">
        <v>125</v>
      </c>
      <c r="H7" s="38" t="s">
        <v>126</v>
      </c>
      <c r="I7" s="38" t="s">
        <v>127</v>
      </c>
      <c r="J7" s="39" t="s">
        <v>128</v>
      </c>
    </row>
    <row r="8" customFormat="false" ht="15" hidden="false" customHeight="true" outlineLevel="0" collapsed="false">
      <c r="A8" s="40"/>
      <c r="B8" s="40" t="s">
        <v>129</v>
      </c>
      <c r="C8" s="40"/>
      <c r="D8" s="40"/>
      <c r="E8" s="40"/>
      <c r="F8" s="40"/>
      <c r="G8" s="40"/>
      <c r="H8" s="40"/>
    </row>
    <row r="9" customFormat="false" ht="23.25" hidden="false" customHeight="true" outlineLevel="0" collapsed="false">
      <c r="A9" s="15" t="s">
        <v>130</v>
      </c>
      <c r="B9" s="41" t="s">
        <v>131</v>
      </c>
      <c r="C9" s="42" t="n">
        <v>0.023</v>
      </c>
      <c r="D9" s="43" t="n">
        <v>0.015</v>
      </c>
      <c r="E9" s="43" t="n">
        <v>0.015</v>
      </c>
      <c r="F9" s="43" t="n">
        <v>0.03</v>
      </c>
      <c r="G9" s="44" t="s">
        <v>132</v>
      </c>
      <c r="H9" s="45" t="s">
        <v>133</v>
      </c>
      <c r="I9" s="46" t="n">
        <f aca="false" t="array" ref="I9:I9">INDEX($C$9:$F$9,MATCH($C$5,$C$7:$F$7,0))</f>
        <v>0.023</v>
      </c>
      <c r="J9" s="47" t="s">
        <v>134</v>
      </c>
    </row>
    <row r="10" customFormat="false" ht="34.5" hidden="false" customHeight="true" outlineLevel="0" collapsed="false">
      <c r="A10" s="15" t="s">
        <v>135</v>
      </c>
      <c r="B10" s="41" t="s">
        <v>136</v>
      </c>
      <c r="C10" s="42" t="n">
        <v>0.035</v>
      </c>
      <c r="D10" s="43" t="n">
        <v>0.03</v>
      </c>
      <c r="E10" s="43" t="n">
        <v>0.035</v>
      </c>
      <c r="F10" s="43" t="n">
        <v>0.03</v>
      </c>
      <c r="G10" s="14" t="s">
        <v>137</v>
      </c>
      <c r="H10" s="45" t="s">
        <v>133</v>
      </c>
      <c r="I10" s="46" t="n">
        <f aca="false" t="array" ref="I10:I10">INDEX($C$10:$F$10,MATCH($C$5,$C$7:$F$7,0))</f>
        <v>0.035</v>
      </c>
      <c r="J10" s="47" t="s">
        <v>134</v>
      </c>
    </row>
    <row r="11" customFormat="false" ht="23.25" hidden="false" customHeight="true" outlineLevel="0" collapsed="false">
      <c r="A11" s="15" t="s">
        <v>138</v>
      </c>
      <c r="B11" s="41" t="s">
        <v>139</v>
      </c>
      <c r="C11" s="43" t="n">
        <v>0.015</v>
      </c>
      <c r="D11" s="43" t="n">
        <v>0.015</v>
      </c>
      <c r="E11" s="43" t="n">
        <v>0.015</v>
      </c>
      <c r="F11" s="43" t="n">
        <v>0.015</v>
      </c>
      <c r="G11" s="44" t="s">
        <v>140</v>
      </c>
      <c r="H11" s="45" t="s">
        <v>133</v>
      </c>
      <c r="I11" s="46" t="n">
        <f aca="false" t="array" ref="I11:I11">INDEX($C$11:$F$11,MATCH($C$5,$C$7:$F$7,0))</f>
        <v>0.015</v>
      </c>
      <c r="J11" s="47" t="s">
        <v>134</v>
      </c>
    </row>
    <row r="12" customFormat="false" ht="34.5" hidden="false" customHeight="true" outlineLevel="0" collapsed="false">
      <c r="A12" s="15" t="s">
        <v>141</v>
      </c>
      <c r="B12" s="41" t="s">
        <v>142</v>
      </c>
      <c r="C12" s="43" t="n">
        <v>0.05</v>
      </c>
      <c r="D12" s="43" t="n">
        <v>0.04</v>
      </c>
      <c r="E12" s="43" t="n">
        <v>0.03</v>
      </c>
      <c r="F12" s="43" t="n">
        <v>0.06</v>
      </c>
      <c r="G12" s="44" t="s">
        <v>143</v>
      </c>
      <c r="H12" s="45" t="s">
        <v>133</v>
      </c>
      <c r="I12" s="46" t="n">
        <f aca="false" t="array" ref="I12:I12">INDEX($C$12:$F$12,MATCH($C$5,$C$7:$F$7,0))</f>
        <v>0.05</v>
      </c>
      <c r="J12" s="48" t="s">
        <v>144</v>
      </c>
    </row>
    <row r="13" customFormat="false" ht="45.75" hidden="false" customHeight="true" outlineLevel="0" collapsed="false">
      <c r="A13" s="15" t="s">
        <v>145</v>
      </c>
      <c r="B13" s="41" t="s">
        <v>146</v>
      </c>
      <c r="C13" s="49" t="n">
        <f aca="false">IF(C42&gt;0,0.0373,0.0382)</f>
        <v>0.0382</v>
      </c>
      <c r="D13" s="49" t="n">
        <f aca="false">IF(D42&gt;0,0.0373,0.0382)</f>
        <v>0.0382</v>
      </c>
      <c r="E13" s="49" t="n">
        <f aca="false">IF(E42&gt;0,0.0373,0.0382)</f>
        <v>0.0382</v>
      </c>
      <c r="F13" s="49" t="n">
        <f aca="false">IF(F42&gt;0,0.0373,0.0382)</f>
        <v>0.0382</v>
      </c>
      <c r="G13" s="44" t="s">
        <v>147</v>
      </c>
      <c r="H13" s="45" t="s">
        <v>133</v>
      </c>
      <c r="I13" s="50" t="n">
        <f aca="false" t="array" ref="I13:I13">INDEX($C$13:$F$13,MATCH($C$5,$C$7:$F$7,0))</f>
        <v>0.0382</v>
      </c>
      <c r="J13" s="51" t="s">
        <v>148</v>
      </c>
    </row>
    <row r="14" customFormat="false" ht="34.5" hidden="false" customHeight="true" outlineLevel="0" collapsed="false">
      <c r="A14" s="15" t="s">
        <v>149</v>
      </c>
      <c r="B14" s="41" t="s">
        <v>150</v>
      </c>
      <c r="C14" s="43" t="n">
        <v>0.018</v>
      </c>
      <c r="D14" s="43" t="n">
        <v>0.012</v>
      </c>
      <c r="E14" s="43" t="n">
        <v>0.012</v>
      </c>
      <c r="F14" s="43" t="n">
        <v>0.018</v>
      </c>
      <c r="G14" s="44" t="s">
        <v>151</v>
      </c>
      <c r="H14" s="45" t="s">
        <v>133</v>
      </c>
      <c r="I14" s="46" t="n">
        <f aca="false" t="array" ref="I14:I14">INDEX($C$14:$F$14,MATCH($C$5,$C$7:$F$7,0))</f>
        <v>0.018</v>
      </c>
      <c r="J14" s="48" t="s">
        <v>144</v>
      </c>
    </row>
    <row r="15" customFormat="false" ht="23.25" hidden="false" customHeight="true" outlineLevel="0" collapsed="false">
      <c r="A15" s="15" t="s">
        <v>152</v>
      </c>
      <c r="B15" s="41" t="s">
        <v>153</v>
      </c>
      <c r="C15" s="52" t="n">
        <v>850</v>
      </c>
      <c r="D15" s="52" t="n">
        <v>850</v>
      </c>
      <c r="E15" s="52" t="n">
        <v>850</v>
      </c>
      <c r="F15" s="52" t="n">
        <v>850</v>
      </c>
      <c r="G15" s="44" t="s">
        <v>154</v>
      </c>
      <c r="H15" s="45" t="s">
        <v>133</v>
      </c>
      <c r="I15" s="53" t="n">
        <f aca="false" t="array" ref="I15:I15">INDEX($C$15:$F$15,MATCH($C$5,$C$7:$F$7,0))</f>
        <v>850</v>
      </c>
      <c r="J15" s="47" t="s">
        <v>134</v>
      </c>
    </row>
    <row r="16" customFormat="false" ht="15" hidden="false" customHeight="true" outlineLevel="0" collapsed="false">
      <c r="A16" s="40"/>
      <c r="B16" s="40" t="s">
        <v>155</v>
      </c>
      <c r="C16" s="40"/>
      <c r="D16" s="40"/>
      <c r="E16" s="40"/>
      <c r="F16" s="40"/>
      <c r="G16" s="40"/>
      <c r="H16" s="40"/>
    </row>
    <row r="17" customFormat="false" ht="15" hidden="false" customHeight="true" outlineLevel="0" collapsed="false">
      <c r="A17" s="15" t="s">
        <v>156</v>
      </c>
      <c r="B17" s="41" t="s">
        <v>157</v>
      </c>
      <c r="C17" s="52" t="n">
        <v>83</v>
      </c>
      <c r="D17" s="52" t="n">
        <v>88</v>
      </c>
      <c r="E17" s="52" t="n">
        <v>91</v>
      </c>
      <c r="F17" s="52" t="n">
        <v>88</v>
      </c>
      <c r="G17" s="44" t="s">
        <v>158</v>
      </c>
      <c r="H17" s="45" t="s">
        <v>133</v>
      </c>
      <c r="I17" s="53" t="n">
        <f aca="false" t="array" ref="I17:I17">INDEX($C$17:$F$17,MATCH($C$5,$C$7:$F$7,0))</f>
        <v>83</v>
      </c>
      <c r="J17" s="47" t="s">
        <v>134</v>
      </c>
    </row>
    <row r="18" customFormat="false" ht="15" hidden="false" customHeight="true" outlineLevel="0" collapsed="false">
      <c r="A18" s="15" t="s">
        <v>159</v>
      </c>
      <c r="B18" s="41" t="s">
        <v>160</v>
      </c>
      <c r="C18" s="52" t="n">
        <v>87</v>
      </c>
      <c r="D18" s="52" t="n">
        <v>91</v>
      </c>
      <c r="E18" s="52" t="n">
        <v>94</v>
      </c>
      <c r="F18" s="52" t="n">
        <v>91</v>
      </c>
      <c r="G18" s="44" t="s">
        <v>158</v>
      </c>
      <c r="H18" s="45" t="s">
        <v>133</v>
      </c>
      <c r="I18" s="53" t="n">
        <f aca="false" t="array" ref="I18:I18">INDEX($C$18:$F$18,MATCH($C$5,$C$7:$F$7,0))</f>
        <v>87</v>
      </c>
      <c r="J18" s="47" t="s">
        <v>134</v>
      </c>
    </row>
    <row r="19" customFormat="false" ht="23.25" hidden="false" customHeight="true" outlineLevel="0" collapsed="false">
      <c r="A19" s="15" t="s">
        <v>161</v>
      </c>
      <c r="B19" s="41" t="s">
        <v>162</v>
      </c>
      <c r="C19" s="54" t="n">
        <v>1.5</v>
      </c>
      <c r="D19" s="54" t="n">
        <v>1.5</v>
      </c>
      <c r="E19" s="54" t="n">
        <v>1.3</v>
      </c>
      <c r="F19" s="54" t="n">
        <v>1.6</v>
      </c>
      <c r="G19" s="14" t="s">
        <v>163</v>
      </c>
      <c r="H19" s="45" t="s">
        <v>133</v>
      </c>
      <c r="I19" s="55" t="n">
        <f aca="false" t="array" ref="I19:I19">INDEX($C$19:$F$19,MATCH($C$5,$C$7:$F$7,0))</f>
        <v>1.5</v>
      </c>
      <c r="J19" s="47" t="s">
        <v>134</v>
      </c>
    </row>
    <row r="20" customFormat="false" ht="23.25" hidden="false" customHeight="true" outlineLevel="0" collapsed="false">
      <c r="A20" s="15" t="s">
        <v>164</v>
      </c>
      <c r="B20" s="41" t="s">
        <v>165</v>
      </c>
      <c r="C20" s="43" t="n">
        <v>0.6</v>
      </c>
      <c r="D20" s="43" t="n">
        <v>0.55</v>
      </c>
      <c r="E20" s="43" t="n">
        <v>0.55</v>
      </c>
      <c r="F20" s="43" t="n">
        <v>0.65</v>
      </c>
      <c r="G20" s="44" t="s">
        <v>166</v>
      </c>
      <c r="H20" s="45" t="s">
        <v>133</v>
      </c>
      <c r="I20" s="46" t="n">
        <f aca="false" t="array" ref="I20:I20">INDEX($C$20:$F$20,MATCH($C$5,$C$7:$F$7,0))</f>
        <v>0.6</v>
      </c>
      <c r="J20" s="47" t="s">
        <v>134</v>
      </c>
    </row>
    <row r="21" customFormat="false" ht="23.25" hidden="false" customHeight="true" outlineLevel="0" collapsed="false">
      <c r="A21" s="15" t="s">
        <v>167</v>
      </c>
      <c r="B21" s="41" t="s">
        <v>168</v>
      </c>
      <c r="C21" s="52" t="n">
        <v>60000</v>
      </c>
      <c r="D21" s="52" t="n">
        <v>60000</v>
      </c>
      <c r="E21" s="52" t="n">
        <v>60000</v>
      </c>
      <c r="F21" s="52" t="n">
        <v>60000</v>
      </c>
      <c r="G21" s="44" t="s">
        <v>169</v>
      </c>
      <c r="H21" s="45" t="s">
        <v>133</v>
      </c>
      <c r="I21" s="53" t="n">
        <f aca="false" t="array" ref="I21:I21">INDEX($C$21:$F$21,MATCH($C$5,$C$7:$F$7,0))</f>
        <v>60000</v>
      </c>
      <c r="J21" s="47" t="s">
        <v>134</v>
      </c>
    </row>
    <row r="22" customFormat="false" ht="15" hidden="false" customHeight="true" outlineLevel="0" collapsed="false">
      <c r="A22" s="15" t="s">
        <v>170</v>
      </c>
      <c r="B22" s="41" t="s">
        <v>171</v>
      </c>
      <c r="C22" s="52" t="n">
        <v>20</v>
      </c>
      <c r="D22" s="52" t="n">
        <v>20</v>
      </c>
      <c r="E22" s="52" t="n">
        <v>23</v>
      </c>
      <c r="F22" s="52" t="n">
        <v>20</v>
      </c>
      <c r="G22" s="44" t="s">
        <v>172</v>
      </c>
      <c r="H22" s="45" t="s">
        <v>133</v>
      </c>
      <c r="I22" s="53" t="n">
        <f aca="false" t="array" ref="I22:I22">INDEX($C$22:$F$22,MATCH($C$5,$C$7:$F$7,0))</f>
        <v>20</v>
      </c>
      <c r="J22" s="47" t="s">
        <v>134</v>
      </c>
    </row>
    <row r="23" customFormat="false" ht="23.25" hidden="false" customHeight="true" outlineLevel="0" collapsed="false">
      <c r="A23" s="15" t="s">
        <v>173</v>
      </c>
      <c r="B23" s="41" t="s">
        <v>174</v>
      </c>
      <c r="C23" s="52" t="n">
        <v>3</v>
      </c>
      <c r="D23" s="52" t="n">
        <v>3</v>
      </c>
      <c r="E23" s="52" t="n">
        <v>3</v>
      </c>
      <c r="F23" s="52" t="n">
        <v>3</v>
      </c>
      <c r="G23" s="44" t="s">
        <v>175</v>
      </c>
      <c r="H23" s="45" t="s">
        <v>133</v>
      </c>
      <c r="I23" s="53" t="n">
        <f aca="false" t="array" ref="I23:I23">INDEX($C$23:$F$23,MATCH($C$5,$C$7:$F$7,0))</f>
        <v>3</v>
      </c>
      <c r="J23" s="48" t="s">
        <v>144</v>
      </c>
    </row>
    <row r="24" customFormat="false" ht="15" hidden="false" customHeight="true" outlineLevel="0" collapsed="false">
      <c r="A24" s="40"/>
      <c r="B24" s="40" t="s">
        <v>176</v>
      </c>
      <c r="C24" s="40"/>
      <c r="D24" s="40"/>
      <c r="E24" s="40"/>
      <c r="F24" s="40"/>
      <c r="G24" s="40"/>
      <c r="H24" s="40"/>
    </row>
    <row r="25" customFormat="false" ht="15" hidden="false" customHeight="true" outlineLevel="0" collapsed="false">
      <c r="A25" s="15" t="s">
        <v>177</v>
      </c>
      <c r="B25" s="41" t="s">
        <v>178</v>
      </c>
      <c r="C25" s="52" t="n">
        <v>325</v>
      </c>
      <c r="D25" s="52" t="n">
        <v>325</v>
      </c>
      <c r="E25" s="52" t="n">
        <v>325</v>
      </c>
      <c r="F25" s="52" t="n">
        <v>325</v>
      </c>
      <c r="G25" s="44" t="s">
        <v>179</v>
      </c>
      <c r="H25" s="45" t="s">
        <v>133</v>
      </c>
      <c r="I25" s="53" t="n">
        <f aca="false" t="array" ref="I25:I25">INDEX($C$25:$F$25,MATCH($C$5,$C$7:$F$7,0))</f>
        <v>325</v>
      </c>
      <c r="J25" s="47" t="s">
        <v>134</v>
      </c>
    </row>
    <row r="26" customFormat="false" ht="34.5" hidden="false" customHeight="true" outlineLevel="0" collapsed="false">
      <c r="A26" s="15" t="s">
        <v>180</v>
      </c>
      <c r="B26" s="41" t="s">
        <v>181</v>
      </c>
      <c r="C26" s="54" t="n">
        <v>1.1</v>
      </c>
      <c r="D26" s="54" t="n">
        <v>1</v>
      </c>
      <c r="E26" s="54" t="n">
        <v>0.9</v>
      </c>
      <c r="F26" s="54" t="n">
        <v>1.3</v>
      </c>
      <c r="G26" s="14" t="s">
        <v>182</v>
      </c>
      <c r="H26" s="45" t="s">
        <v>133</v>
      </c>
      <c r="I26" s="55" t="n">
        <f aca="false" t="array" ref="I26:I26">INDEX($C$26:$F$26,MATCH($C$5,$C$7:$F$7,0))</f>
        <v>1.1</v>
      </c>
      <c r="J26" s="47" t="s">
        <v>144</v>
      </c>
    </row>
    <row r="27" customFormat="false" ht="23.25" hidden="false" customHeight="true" outlineLevel="0" collapsed="false">
      <c r="A27" s="15" t="s">
        <v>183</v>
      </c>
      <c r="B27" s="41" t="s">
        <v>184</v>
      </c>
      <c r="C27" s="54" t="n">
        <v>2.5</v>
      </c>
      <c r="D27" s="54" t="n">
        <v>2.3</v>
      </c>
      <c r="E27" s="54" t="n">
        <v>2</v>
      </c>
      <c r="F27" s="54" t="n">
        <v>2.7</v>
      </c>
      <c r="G27" s="44" t="s">
        <v>185</v>
      </c>
      <c r="H27" s="45" t="s">
        <v>133</v>
      </c>
      <c r="I27" s="55" t="n">
        <f aca="false" t="array" ref="I27:I27">INDEX($C$27:$F$27,MATCH($C$5,$C$7:$F$7,0))</f>
        <v>2.5</v>
      </c>
      <c r="J27" s="47" t="s">
        <v>144</v>
      </c>
    </row>
    <row r="28" customFormat="false" ht="23.25" hidden="false" customHeight="true" outlineLevel="0" collapsed="false">
      <c r="A28" s="15" t="s">
        <v>186</v>
      </c>
      <c r="B28" s="41" t="s">
        <v>187</v>
      </c>
      <c r="C28" s="54" t="n">
        <v>20.6</v>
      </c>
      <c r="D28" s="54" t="n">
        <v>20.6</v>
      </c>
      <c r="E28" s="54" t="n">
        <v>20.6</v>
      </c>
      <c r="F28" s="54" t="n">
        <v>20.6</v>
      </c>
      <c r="G28" s="44" t="s">
        <v>188</v>
      </c>
      <c r="H28" s="45" t="s">
        <v>133</v>
      </c>
      <c r="I28" s="55" t="n">
        <f aca="false" t="array" ref="I28:I28">INDEX($C$28:$F$28,MATCH($C$5,$C$7:$F$7,0))</f>
        <v>20.6</v>
      </c>
      <c r="J28" s="48" t="s">
        <v>144</v>
      </c>
    </row>
    <row r="29" customFormat="false" ht="23.25" hidden="false" customHeight="true" outlineLevel="0" collapsed="false">
      <c r="A29" s="15" t="s">
        <v>189</v>
      </c>
      <c r="B29" s="41" t="s">
        <v>190</v>
      </c>
      <c r="C29" s="52" t="n">
        <v>10</v>
      </c>
      <c r="D29" s="52" t="n">
        <v>10</v>
      </c>
      <c r="E29" s="52" t="n">
        <v>15</v>
      </c>
      <c r="F29" s="52" t="n">
        <v>10</v>
      </c>
      <c r="G29" s="44" t="s">
        <v>191</v>
      </c>
      <c r="H29" s="45" t="s">
        <v>133</v>
      </c>
      <c r="I29" s="53" t="n">
        <f aca="false" t="array" ref="I29:I29">INDEX($C$29:$F$29,MATCH($C$5,$C$7:$F$7,0))</f>
        <v>10</v>
      </c>
      <c r="J29" s="48" t="s">
        <v>144</v>
      </c>
    </row>
    <row r="30" customFormat="false" ht="15" hidden="false" customHeight="true" outlineLevel="0" collapsed="false">
      <c r="A30" s="15" t="s">
        <v>192</v>
      </c>
      <c r="B30" s="41" t="s">
        <v>193</v>
      </c>
      <c r="C30" s="52" t="n">
        <v>231732</v>
      </c>
      <c r="D30" s="52" t="n">
        <v>231732</v>
      </c>
      <c r="E30" s="52" t="n">
        <v>231732</v>
      </c>
      <c r="F30" s="52" t="n">
        <v>231732</v>
      </c>
      <c r="G30" s="44" t="s">
        <v>194</v>
      </c>
      <c r="H30" s="45" t="s">
        <v>133</v>
      </c>
      <c r="I30" s="53" t="n">
        <f aca="false" t="array" ref="I30:I30">INDEX($C$30:$F$30,MATCH($C$5,$C$7:$F$7,0))</f>
        <v>231732</v>
      </c>
      <c r="J30" s="47" t="s">
        <v>134</v>
      </c>
    </row>
    <row r="31" customFormat="false" ht="23.25" hidden="false" customHeight="true" outlineLevel="0" collapsed="false">
      <c r="A31" s="15" t="s">
        <v>195</v>
      </c>
      <c r="B31" s="41" t="s">
        <v>196</v>
      </c>
      <c r="C31" s="43" t="n">
        <v>1</v>
      </c>
      <c r="D31" s="43" t="n">
        <v>0.7</v>
      </c>
      <c r="E31" s="43" t="n">
        <v>0.5</v>
      </c>
      <c r="F31" s="43" t="n">
        <v>1</v>
      </c>
      <c r="G31" s="44" t="s">
        <v>197</v>
      </c>
      <c r="H31" s="45" t="s">
        <v>133</v>
      </c>
      <c r="I31" s="46" t="n">
        <f aca="false" t="array" ref="I31:I31">INDEX($C$31:$F$31,MATCH($C$5,$C$7:$F$7,0))</f>
        <v>1</v>
      </c>
      <c r="J31" s="48" t="s">
        <v>144</v>
      </c>
    </row>
    <row r="32" customFormat="false" ht="23.25" hidden="false" customHeight="true" outlineLevel="0" collapsed="false">
      <c r="A32" s="15" t="s">
        <v>198</v>
      </c>
      <c r="B32" s="41" t="s">
        <v>199</v>
      </c>
      <c r="C32" s="54" t="n">
        <v>2.9</v>
      </c>
      <c r="D32" s="54" t="n">
        <v>2.9</v>
      </c>
      <c r="E32" s="54" t="n">
        <v>2.9</v>
      </c>
      <c r="F32" s="54" t="n">
        <v>2.9</v>
      </c>
      <c r="G32" s="44" t="s">
        <v>200</v>
      </c>
      <c r="H32" s="45" t="s">
        <v>133</v>
      </c>
      <c r="I32" s="55" t="n">
        <f aca="false" t="array" ref="I32:I32">INDEX($C$32:$F$32,MATCH($C$5,$C$7:$F$7,0))</f>
        <v>2.9</v>
      </c>
      <c r="J32" s="47" t="s">
        <v>134</v>
      </c>
    </row>
    <row r="33" customFormat="false" ht="23.25" hidden="false" customHeight="true" outlineLevel="0" collapsed="false">
      <c r="A33" s="15" t="s">
        <v>201</v>
      </c>
      <c r="B33" s="41" t="s">
        <v>202</v>
      </c>
      <c r="C33" s="56" t="n">
        <v>1</v>
      </c>
      <c r="D33" s="56" t="n">
        <v>1</v>
      </c>
      <c r="E33" s="56" t="n">
        <v>0.8</v>
      </c>
      <c r="F33" s="56" t="n">
        <v>1</v>
      </c>
      <c r="G33" s="44" t="s">
        <v>203</v>
      </c>
      <c r="H33" s="45" t="s">
        <v>133</v>
      </c>
      <c r="I33" s="57" t="n">
        <f aca="false" t="array" ref="I33:I33">INDEX($C$33:$F$33,MATCH($C$5,$C$7:$F$7,0))</f>
        <v>1</v>
      </c>
      <c r="J33" s="48" t="s">
        <v>144</v>
      </c>
    </row>
    <row r="34" customFormat="false" ht="15" hidden="false" customHeight="true" outlineLevel="0" collapsed="false">
      <c r="A34" s="40"/>
      <c r="B34" s="40" t="s">
        <v>204</v>
      </c>
      <c r="C34" s="40"/>
      <c r="D34" s="40"/>
      <c r="E34" s="40"/>
      <c r="F34" s="40"/>
      <c r="G34" s="40"/>
      <c r="H34" s="40"/>
    </row>
    <row r="35" customFormat="false" ht="23.25" hidden="false" customHeight="true" outlineLevel="0" collapsed="false">
      <c r="A35" s="15" t="s">
        <v>205</v>
      </c>
      <c r="B35" s="41" t="s">
        <v>206</v>
      </c>
      <c r="C35" s="58" t="n">
        <v>539000</v>
      </c>
      <c r="D35" s="58" t="n">
        <v>539000</v>
      </c>
      <c r="E35" s="58" t="n">
        <v>539000</v>
      </c>
      <c r="F35" s="58" t="n">
        <v>539000</v>
      </c>
      <c r="G35" s="44" t="s">
        <v>207</v>
      </c>
      <c r="H35" s="45" t="s">
        <v>133</v>
      </c>
      <c r="I35" s="59" t="n">
        <f aca="false" t="array" ref="I35:I35">INDEX($C$35:$F$35,MATCH($C$5,$C$7:$F$7,0))</f>
        <v>539000</v>
      </c>
      <c r="J35" s="48" t="s">
        <v>144</v>
      </c>
    </row>
    <row r="36" customFormat="false" ht="23.25" hidden="false" customHeight="true" outlineLevel="0" collapsed="false">
      <c r="A36" s="15" t="s">
        <v>208</v>
      </c>
      <c r="B36" s="41" t="s">
        <v>209</v>
      </c>
      <c r="C36" s="52" t="n">
        <v>240</v>
      </c>
      <c r="D36" s="52" t="n">
        <v>240</v>
      </c>
      <c r="E36" s="52" t="n">
        <v>240</v>
      </c>
      <c r="F36" s="52" t="n">
        <v>240</v>
      </c>
      <c r="G36" s="44" t="s">
        <v>210</v>
      </c>
      <c r="H36" s="45" t="s">
        <v>133</v>
      </c>
      <c r="I36" s="53" t="n">
        <f aca="false" t="array" ref="I36:I36">INDEX($C$36:$F$36,MATCH($C$5,$C$7:$F$7,0))</f>
        <v>240</v>
      </c>
      <c r="J36" s="48" t="s">
        <v>144</v>
      </c>
    </row>
    <row r="37" customFormat="false" ht="23.25" hidden="false" customHeight="true" outlineLevel="0" collapsed="false">
      <c r="A37" s="15" t="s">
        <v>211</v>
      </c>
      <c r="B37" s="41" t="s">
        <v>212</v>
      </c>
      <c r="C37" s="43" t="n">
        <v>0.45</v>
      </c>
      <c r="D37" s="43" t="n">
        <v>0.45</v>
      </c>
      <c r="E37" s="43" t="n">
        <v>0.45</v>
      </c>
      <c r="F37" s="43" t="n">
        <v>0.45</v>
      </c>
      <c r="G37" s="44" t="s">
        <v>213</v>
      </c>
      <c r="H37" s="45" t="s">
        <v>133</v>
      </c>
      <c r="I37" s="46" t="n">
        <f aca="false" t="array" ref="I37:I37">INDEX($C$37:$F$37,MATCH($C$5,$C$7:$F$7,0))</f>
        <v>0.45</v>
      </c>
      <c r="J37" s="48" t="s">
        <v>144</v>
      </c>
    </row>
    <row r="38" customFormat="false" ht="15" hidden="false" customHeight="true" outlineLevel="0" collapsed="false">
      <c r="A38" s="15" t="s">
        <v>214</v>
      </c>
      <c r="B38" s="41" t="s">
        <v>215</v>
      </c>
      <c r="C38" s="43" t="n">
        <v>0.3</v>
      </c>
      <c r="D38" s="43" t="n">
        <v>0.3</v>
      </c>
      <c r="E38" s="43" t="n">
        <v>0.3</v>
      </c>
      <c r="F38" s="43" t="n">
        <v>0.3</v>
      </c>
      <c r="G38" s="44" t="s">
        <v>216</v>
      </c>
      <c r="H38" s="45" t="s">
        <v>133</v>
      </c>
      <c r="I38" s="46" t="n">
        <f aca="false" t="array" ref="I38:I38">INDEX($C$38:$F$38,MATCH($C$5,$C$7:$F$7,0))</f>
        <v>0.3</v>
      </c>
      <c r="J38" s="48" t="s">
        <v>144</v>
      </c>
    </row>
    <row r="39" customFormat="false" ht="15" hidden="false" customHeight="true" outlineLevel="0" collapsed="false">
      <c r="A39" s="15" t="s">
        <v>217</v>
      </c>
      <c r="B39" s="41" t="s">
        <v>218</v>
      </c>
      <c r="C39" s="43" t="n">
        <v>0.25</v>
      </c>
      <c r="D39" s="43" t="n">
        <v>0.25</v>
      </c>
      <c r="E39" s="43" t="n">
        <v>0.25</v>
      </c>
      <c r="F39" s="43" t="n">
        <v>0.25</v>
      </c>
      <c r="G39" s="44" t="s">
        <v>219</v>
      </c>
      <c r="H39" s="45" t="s">
        <v>133</v>
      </c>
      <c r="I39" s="46" t="n">
        <f aca="false" t="array" ref="I39:I39">INDEX($C$39:$F$39,MATCH($C$5,$C$7:$F$7,0))</f>
        <v>0.25</v>
      </c>
      <c r="J39" s="48" t="s">
        <v>144</v>
      </c>
    </row>
    <row r="40" customFormat="false" ht="15" hidden="false" customHeight="true" outlineLevel="0" collapsed="false">
      <c r="A40" s="15" t="s">
        <v>220</v>
      </c>
      <c r="B40" s="41" t="s">
        <v>221</v>
      </c>
      <c r="C40" s="43" t="n">
        <v>0.05</v>
      </c>
      <c r="D40" s="43" t="n">
        <v>0.05</v>
      </c>
      <c r="E40" s="43" t="n">
        <v>0.05</v>
      </c>
      <c r="F40" s="43" t="n">
        <v>0.05</v>
      </c>
      <c r="G40" s="44" t="s">
        <v>222</v>
      </c>
      <c r="H40" s="45" t="s">
        <v>133</v>
      </c>
      <c r="I40" s="46" t="n">
        <f aca="false" t="array" ref="I40:I40">INDEX($C$40:$F$40,MATCH($C$5,$C$7:$F$7,0))</f>
        <v>0.05</v>
      </c>
      <c r="J40" s="48" t="s">
        <v>144</v>
      </c>
    </row>
    <row r="41" customFormat="false" ht="15" hidden="false" customHeight="true" outlineLevel="0" collapsed="false">
      <c r="A41" s="15" t="s">
        <v>223</v>
      </c>
      <c r="B41" s="41" t="s">
        <v>224</v>
      </c>
      <c r="C41" s="43" t="n">
        <v>0.025</v>
      </c>
      <c r="D41" s="43" t="n">
        <v>0.025</v>
      </c>
      <c r="E41" s="43" t="n">
        <v>0.025</v>
      </c>
      <c r="F41" s="43" t="n">
        <v>0.025</v>
      </c>
      <c r="G41" s="44" t="s">
        <v>225</v>
      </c>
      <c r="H41" s="45" t="s">
        <v>133</v>
      </c>
      <c r="I41" s="46" t="n">
        <f aca="false" t="array" ref="I41:I41">INDEX($C$41:$F$41,MATCH($C$5,$C$7:$F$7,0))</f>
        <v>0.025</v>
      </c>
      <c r="J41" s="48" t="s">
        <v>144</v>
      </c>
    </row>
    <row r="42" customFormat="false" ht="23.25" hidden="false" customHeight="true" outlineLevel="0" collapsed="false">
      <c r="A42" s="15" t="s">
        <v>226</v>
      </c>
      <c r="B42" s="41" t="s">
        <v>227</v>
      </c>
      <c r="C42" s="43" t="n">
        <v>0</v>
      </c>
      <c r="D42" s="43" t="n">
        <v>0</v>
      </c>
      <c r="E42" s="43" t="n">
        <v>0</v>
      </c>
      <c r="F42" s="43" t="n">
        <v>0</v>
      </c>
      <c r="G42" s="44" t="s">
        <v>228</v>
      </c>
      <c r="H42" s="45" t="s">
        <v>133</v>
      </c>
      <c r="I42" s="46" t="n">
        <f aca="false" t="array" ref="I42:I42">INDEX($C$42:$F$42,MATCH($C$5,$C$7:$F$7,0))</f>
        <v>0</v>
      </c>
      <c r="J42" s="48" t="s">
        <v>144</v>
      </c>
    </row>
    <row r="43" customFormat="false" ht="23.25" hidden="false" customHeight="true" outlineLevel="0" collapsed="false">
      <c r="A43" s="15" t="s">
        <v>229</v>
      </c>
      <c r="B43" s="41" t="s">
        <v>230</v>
      </c>
      <c r="C43" s="43" t="n">
        <v>0.1</v>
      </c>
      <c r="D43" s="43" t="n">
        <v>0.1</v>
      </c>
      <c r="E43" s="43" t="n">
        <v>0.1</v>
      </c>
      <c r="F43" s="43" t="n">
        <v>0.1</v>
      </c>
      <c r="G43" s="14" t="s">
        <v>231</v>
      </c>
      <c r="H43" s="45" t="s">
        <v>133</v>
      </c>
      <c r="I43" s="46" t="n">
        <f aca="false" t="array" ref="I43:I43">INDEX($C$43:$F$43,MATCH($C$5,$C$7:$F$7,0))</f>
        <v>0.1</v>
      </c>
      <c r="J43" s="47" t="s">
        <v>134</v>
      </c>
    </row>
    <row r="44" customFormat="false" ht="15" hidden="false" customHeight="true" outlineLevel="0" collapsed="false">
      <c r="A44" s="15" t="s">
        <v>232</v>
      </c>
      <c r="B44" s="41" t="s">
        <v>233</v>
      </c>
      <c r="C44" s="43" t="n">
        <v>0.1</v>
      </c>
      <c r="D44" s="43" t="n">
        <v>0.1</v>
      </c>
      <c r="E44" s="43" t="n">
        <v>0.1</v>
      </c>
      <c r="F44" s="43" t="n">
        <v>0.13</v>
      </c>
      <c r="G44" s="44" t="s">
        <v>234</v>
      </c>
      <c r="H44" s="45" t="s">
        <v>133</v>
      </c>
      <c r="I44" s="46" t="n">
        <f aca="false" t="array" ref="I44:I44">INDEX($C$44:$F$44,MATCH($C$5,$C$7:$F$7,0))</f>
        <v>0.1</v>
      </c>
      <c r="J44" s="48" t="s">
        <v>144</v>
      </c>
    </row>
    <row r="45" customFormat="false" ht="15" hidden="false" customHeight="true" outlineLevel="0" collapsed="false">
      <c r="A45" s="15" t="s">
        <v>235</v>
      </c>
      <c r="B45" s="41" t="s">
        <v>236</v>
      </c>
      <c r="C45" s="52" t="n">
        <v>65</v>
      </c>
      <c r="D45" s="52" t="n">
        <v>65</v>
      </c>
      <c r="E45" s="52" t="n">
        <v>65</v>
      </c>
      <c r="F45" s="52" t="n">
        <v>65</v>
      </c>
      <c r="G45" s="44" t="s">
        <v>237</v>
      </c>
      <c r="H45" s="45" t="s">
        <v>133</v>
      </c>
      <c r="I45" s="53" t="n">
        <f aca="false" t="array" ref="I45:I45">INDEX($C$45:$F$45,MATCH($C$5,$C$7:$F$7,0))</f>
        <v>65</v>
      </c>
      <c r="J45" s="47" t="s">
        <v>134</v>
      </c>
    </row>
    <row r="46" customFormat="false" ht="15" hidden="false" customHeight="true" outlineLevel="0" collapsed="false">
      <c r="A46" s="15" t="s">
        <v>238</v>
      </c>
      <c r="B46" s="41" t="s">
        <v>239</v>
      </c>
      <c r="C46" s="52" t="n">
        <v>60</v>
      </c>
      <c r="D46" s="52" t="n">
        <v>60</v>
      </c>
      <c r="E46" s="52" t="n">
        <v>60</v>
      </c>
      <c r="F46" s="52" t="n">
        <v>65</v>
      </c>
      <c r="G46" s="44" t="s">
        <v>240</v>
      </c>
      <c r="H46" s="45" t="s">
        <v>133</v>
      </c>
      <c r="I46" s="53" t="n">
        <f aca="false" t="array" ref="I46:I46">INDEX($C$46:$F$46,MATCH($C$5,$C$7:$F$7,0))</f>
        <v>60</v>
      </c>
      <c r="J46" s="47" t="s">
        <v>134</v>
      </c>
    </row>
    <row r="47" customFormat="false" ht="23.25" hidden="false" customHeight="true" outlineLevel="0" collapsed="false">
      <c r="A47" s="15" t="s">
        <v>241</v>
      </c>
      <c r="B47" s="41" t="s">
        <v>242</v>
      </c>
      <c r="C47" s="43" t="n">
        <v>0.075</v>
      </c>
      <c r="D47" s="43" t="n">
        <v>0.06</v>
      </c>
      <c r="E47" s="43" t="n">
        <v>0.045</v>
      </c>
      <c r="F47" s="43" t="n">
        <v>0.09</v>
      </c>
      <c r="G47" s="44" t="s">
        <v>243</v>
      </c>
      <c r="H47" s="45" t="s">
        <v>133</v>
      </c>
      <c r="I47" s="46" t="n">
        <f aca="false" t="array" ref="I47:I47">INDEX($C$47:$F$47,MATCH($C$5,$C$7:$F$7,0))</f>
        <v>0.075</v>
      </c>
      <c r="J47" s="48" t="s">
        <v>144</v>
      </c>
    </row>
    <row r="48" customFormat="false" ht="23.25" hidden="false" customHeight="true" outlineLevel="0" collapsed="false">
      <c r="A48" s="15" t="s">
        <v>244</v>
      </c>
      <c r="B48" s="41" t="s">
        <v>245</v>
      </c>
      <c r="C48" s="43" t="n">
        <v>0.7</v>
      </c>
      <c r="D48" s="43" t="n">
        <v>0.7</v>
      </c>
      <c r="E48" s="43" t="n">
        <v>0.6</v>
      </c>
      <c r="F48" s="43" t="n">
        <v>0.8</v>
      </c>
      <c r="G48" s="44" t="s">
        <v>246</v>
      </c>
      <c r="H48" s="45" t="s">
        <v>133</v>
      </c>
      <c r="I48" s="46" t="n">
        <f aca="false" t="array" ref="I48:I48">INDEX($C$48:$F$48,MATCH($C$5,$C$7:$F$7,0))</f>
        <v>0.7</v>
      </c>
      <c r="J48" s="48" t="s">
        <v>144</v>
      </c>
    </row>
    <row r="49" customFormat="false" ht="23.25" hidden="false" customHeight="true" outlineLevel="0" collapsed="false">
      <c r="A49" s="15" t="s">
        <v>247</v>
      </c>
      <c r="B49" s="41" t="s">
        <v>248</v>
      </c>
      <c r="C49" s="43" t="n">
        <v>1</v>
      </c>
      <c r="D49" s="43" t="n">
        <v>1</v>
      </c>
      <c r="E49" s="43" t="n">
        <v>0.85</v>
      </c>
      <c r="F49" s="43" t="n">
        <v>1</v>
      </c>
      <c r="G49" s="44" t="s">
        <v>249</v>
      </c>
      <c r="H49" s="45" t="s">
        <v>133</v>
      </c>
      <c r="I49" s="46" t="n">
        <f aca="false" t="array" ref="I49:I49">INDEX($C$49:$F$49,MATCH($C$5,$C$7:$F$7,0))</f>
        <v>1</v>
      </c>
      <c r="J49" s="48" t="s">
        <v>144</v>
      </c>
    </row>
    <row r="50" customFormat="false" ht="34.5" hidden="true" customHeight="true" outlineLevel="0" collapsed="false">
      <c r="A50" s="15"/>
      <c r="B50" s="41"/>
      <c r="C50" s="43" t="n">
        <v>0</v>
      </c>
      <c r="D50" s="43" t="n">
        <v>0</v>
      </c>
      <c r="E50" s="43" t="n">
        <v>0</v>
      </c>
      <c r="F50" s="43" t="n">
        <v>0</v>
      </c>
      <c r="G50" s="44"/>
      <c r="H50" s="45"/>
      <c r="I50" s="46" t="n">
        <v>0</v>
      </c>
      <c r="J50" s="48"/>
    </row>
    <row r="51" customFormat="false" ht="23.25" hidden="true" customHeight="true" outlineLevel="0" collapsed="false">
      <c r="A51" s="15"/>
      <c r="B51" s="41"/>
      <c r="C51" s="43" t="n">
        <v>0</v>
      </c>
      <c r="D51" s="43" t="n">
        <v>0</v>
      </c>
      <c r="E51" s="43" t="n">
        <v>0</v>
      </c>
      <c r="F51" s="43" t="n">
        <v>0</v>
      </c>
      <c r="G51" s="44"/>
      <c r="H51" s="45"/>
      <c r="I51" s="46" t="n">
        <v>0</v>
      </c>
      <c r="J51" s="48"/>
    </row>
    <row r="52" customFormat="false" ht="23.25" hidden="true" customHeight="true" outlineLevel="0" collapsed="false">
      <c r="A52" s="15"/>
      <c r="B52" s="41"/>
      <c r="C52" s="43" t="n">
        <v>0</v>
      </c>
      <c r="D52" s="43" t="n">
        <v>0</v>
      </c>
      <c r="E52" s="43" t="n">
        <v>0</v>
      </c>
      <c r="F52" s="43" t="n">
        <v>0</v>
      </c>
      <c r="G52" s="44"/>
      <c r="H52" s="45"/>
      <c r="I52" s="46" t="n">
        <v>0</v>
      </c>
      <c r="J52" s="48"/>
    </row>
    <row r="53" customFormat="false" ht="23.25" hidden="true" customHeight="true" outlineLevel="0" collapsed="false">
      <c r="A53" s="15"/>
      <c r="B53" s="41"/>
      <c r="C53" s="43" t="n">
        <v>0</v>
      </c>
      <c r="D53" s="43" t="n">
        <v>0</v>
      </c>
      <c r="E53" s="43" t="n">
        <v>0</v>
      </c>
      <c r="F53" s="43" t="n">
        <v>0</v>
      </c>
      <c r="G53" s="44"/>
      <c r="H53" s="45"/>
      <c r="I53" s="46" t="n">
        <v>0</v>
      </c>
      <c r="J53" s="48"/>
    </row>
    <row r="54" customFormat="false" ht="15" hidden="false" customHeight="true" outlineLevel="0" collapsed="false">
      <c r="A54" s="40"/>
      <c r="B54" s="40" t="s">
        <v>250</v>
      </c>
      <c r="C54" s="40"/>
      <c r="D54" s="40"/>
      <c r="E54" s="40"/>
      <c r="F54" s="40"/>
      <c r="G54" s="40"/>
      <c r="H54" s="40"/>
    </row>
    <row r="55" customFormat="false" ht="23.25" hidden="false" customHeight="true" outlineLevel="0" collapsed="false">
      <c r="A55" s="15" t="s">
        <v>251</v>
      </c>
      <c r="B55" s="41" t="s">
        <v>252</v>
      </c>
      <c r="C55" s="52" t="n">
        <v>176536</v>
      </c>
      <c r="D55" s="60"/>
      <c r="E55" s="60"/>
      <c r="F55" s="60"/>
      <c r="G55" s="44" t="s">
        <v>253</v>
      </c>
      <c r="H55" s="45" t="s">
        <v>133</v>
      </c>
      <c r="I55" s="53" t="n">
        <f aca="false">$C$55</f>
        <v>176536</v>
      </c>
      <c r="J55" s="47" t="s">
        <v>134</v>
      </c>
    </row>
    <row r="56" customFormat="false" ht="15" hidden="false" customHeight="true" outlineLevel="0" collapsed="false">
      <c r="A56" s="15" t="s">
        <v>254</v>
      </c>
      <c r="B56" s="41" t="s">
        <v>255</v>
      </c>
      <c r="C56" s="58" t="n">
        <f aca="false">2838702000000/(C55*12)*240</f>
        <v>321600353.468981</v>
      </c>
      <c r="D56" s="60"/>
      <c r="E56" s="60"/>
      <c r="F56" s="60"/>
      <c r="G56" s="44" t="s">
        <v>256</v>
      </c>
      <c r="H56" s="45" t="s">
        <v>133</v>
      </c>
      <c r="I56" s="59" t="n">
        <f aca="false">$C$56</f>
        <v>321600353.468981</v>
      </c>
      <c r="J56" s="47" t="s">
        <v>134</v>
      </c>
    </row>
    <row r="57" customFormat="false" ht="15" hidden="false" customHeight="true" outlineLevel="0" collapsed="false">
      <c r="A57" s="15" t="s">
        <v>257</v>
      </c>
      <c r="B57" s="41" t="s">
        <v>258</v>
      </c>
      <c r="C57" s="52" t="n">
        <v>200000</v>
      </c>
      <c r="D57" s="60"/>
      <c r="E57" s="60"/>
      <c r="F57" s="60"/>
      <c r="G57" s="44" t="s">
        <v>259</v>
      </c>
      <c r="H57" s="45" t="s">
        <v>133</v>
      </c>
      <c r="I57" s="53" t="n">
        <f aca="false">$C$57</f>
        <v>200000</v>
      </c>
      <c r="J57" s="47" t="s">
        <v>144</v>
      </c>
    </row>
    <row r="58" customFormat="false" ht="23.25" hidden="false" customHeight="true" outlineLevel="0" collapsed="false">
      <c r="A58" s="15" t="s">
        <v>260</v>
      </c>
      <c r="B58" s="41" t="s">
        <v>261</v>
      </c>
      <c r="C58" s="58" t="n">
        <v>96000000</v>
      </c>
      <c r="D58" s="60"/>
      <c r="E58" s="60"/>
      <c r="F58" s="60"/>
      <c r="G58" s="44" t="s">
        <v>262</v>
      </c>
      <c r="H58" s="45" t="s">
        <v>133</v>
      </c>
      <c r="I58" s="59" t="n">
        <f aca="false">$C$58</f>
        <v>96000000</v>
      </c>
      <c r="J58" s="48" t="s">
        <v>144</v>
      </c>
    </row>
    <row r="59" customFormat="false" ht="15" hidden="false" customHeight="true" outlineLevel="0" collapsed="false">
      <c r="A59" s="15" t="s">
        <v>263</v>
      </c>
      <c r="B59" s="41" t="s">
        <v>264</v>
      </c>
      <c r="C59" s="52" t="n">
        <v>100000</v>
      </c>
      <c r="D59" s="60"/>
      <c r="E59" s="60"/>
      <c r="F59" s="60"/>
      <c r="G59" s="44" t="s">
        <v>259</v>
      </c>
      <c r="H59" s="45" t="s">
        <v>133</v>
      </c>
      <c r="I59" s="53" t="n">
        <f aca="false">$C$59</f>
        <v>100000</v>
      </c>
      <c r="J59" s="47" t="s">
        <v>144</v>
      </c>
    </row>
    <row r="60" customFormat="false" ht="23.25" hidden="false" customHeight="true" outlineLevel="0" collapsed="false">
      <c r="A60" s="15" t="s">
        <v>265</v>
      </c>
      <c r="B60" s="41" t="s">
        <v>266</v>
      </c>
      <c r="C60" s="58" t="n">
        <v>96000000</v>
      </c>
      <c r="D60" s="60"/>
      <c r="E60" s="60"/>
      <c r="F60" s="60"/>
      <c r="G60" s="44" t="s">
        <v>262</v>
      </c>
      <c r="H60" s="45" t="s">
        <v>133</v>
      </c>
      <c r="I60" s="59" t="n">
        <f aca="false">$C$60</f>
        <v>96000000</v>
      </c>
      <c r="J60" s="48" t="s">
        <v>144</v>
      </c>
    </row>
    <row r="61" customFormat="false" ht="15" hidden="false" customHeight="true" outlineLevel="0" collapsed="false">
      <c r="A61" s="15" t="s">
        <v>267</v>
      </c>
      <c r="B61" s="41" t="s">
        <v>268</v>
      </c>
      <c r="C61" s="52" t="n">
        <v>1200000</v>
      </c>
      <c r="D61" s="60"/>
      <c r="E61" s="60"/>
      <c r="F61" s="60"/>
      <c r="G61" s="44" t="s">
        <v>269</v>
      </c>
      <c r="H61" s="45" t="s">
        <v>270</v>
      </c>
      <c r="I61" s="53" t="n">
        <f aca="false">$C$61</f>
        <v>1200000</v>
      </c>
      <c r="J61" s="47" t="s">
        <v>134</v>
      </c>
    </row>
    <row r="62" customFormat="false" ht="23.25" hidden="false" customHeight="true" outlineLevel="0" collapsed="false">
      <c r="A62" s="15" t="s">
        <v>271</v>
      </c>
      <c r="B62" s="41" t="s">
        <v>272</v>
      </c>
      <c r="C62" s="52" t="n">
        <v>804385</v>
      </c>
      <c r="D62" s="60"/>
      <c r="E62" s="60"/>
      <c r="F62" s="60"/>
      <c r="G62" s="44" t="s">
        <v>273</v>
      </c>
      <c r="H62" s="45" t="s">
        <v>133</v>
      </c>
      <c r="I62" s="53" t="n">
        <f aca="false">$C$62</f>
        <v>804385</v>
      </c>
      <c r="J62" s="47" t="s">
        <v>134</v>
      </c>
    </row>
    <row r="63" customFormat="false" ht="23.25" hidden="false" customHeight="true" outlineLevel="0" collapsed="false">
      <c r="A63" s="15" t="s">
        <v>274</v>
      </c>
      <c r="B63" s="41" t="s">
        <v>275</v>
      </c>
      <c r="C63" s="58" t="n">
        <f aca="false">(C35-C30)*240-C64+75_Bonos_AFJ!$G$35</f>
        <v>54703485</v>
      </c>
      <c r="D63" s="60"/>
      <c r="E63" s="60"/>
      <c r="F63" s="60"/>
      <c r="G63" s="44" t="s">
        <v>276</v>
      </c>
      <c r="H63" s="45" t="s">
        <v>133</v>
      </c>
      <c r="I63" s="59" t="n">
        <f aca="false">$C$63</f>
        <v>54703485</v>
      </c>
      <c r="J63" s="48" t="s">
        <v>144</v>
      </c>
    </row>
    <row r="64" customFormat="false" ht="23.25" hidden="false" customHeight="true" outlineLevel="0" collapsed="false">
      <c r="A64" s="15" t="s">
        <v>277</v>
      </c>
      <c r="B64" s="41" t="s">
        <v>278</v>
      </c>
      <c r="C64" s="58" t="n">
        <v>22000000</v>
      </c>
      <c r="D64" s="60"/>
      <c r="E64" s="60"/>
      <c r="F64" s="60"/>
      <c r="G64" s="44" t="s">
        <v>279</v>
      </c>
      <c r="H64" s="45" t="s">
        <v>133</v>
      </c>
      <c r="I64" s="59" t="n">
        <f aca="false">$C$64</f>
        <v>22000000</v>
      </c>
      <c r="J64" s="47" t="s">
        <v>134</v>
      </c>
    </row>
    <row r="65" customFormat="false" ht="23.25" hidden="false" customHeight="true" outlineLevel="0" collapsed="false">
      <c r="A65" s="15" t="s">
        <v>280</v>
      </c>
      <c r="B65" s="41" t="s">
        <v>281</v>
      </c>
      <c r="C65" s="52" t="n">
        <v>456100</v>
      </c>
      <c r="D65" s="60"/>
      <c r="E65" s="60"/>
      <c r="F65" s="60"/>
      <c r="G65" s="44" t="s">
        <v>282</v>
      </c>
      <c r="H65" s="45" t="s">
        <v>133</v>
      </c>
      <c r="I65" s="53" t="n">
        <f aca="false">$C$65</f>
        <v>456100</v>
      </c>
      <c r="J65" s="47" t="s">
        <v>144</v>
      </c>
    </row>
    <row r="66" customFormat="false" ht="23.25" hidden="false" customHeight="true" outlineLevel="0" collapsed="false">
      <c r="A66" s="15" t="s">
        <v>283</v>
      </c>
      <c r="B66" s="41" t="s">
        <v>284</v>
      </c>
      <c r="C66" s="54" t="n">
        <v>1.68</v>
      </c>
      <c r="D66" s="60"/>
      <c r="E66" s="60"/>
      <c r="F66" s="60"/>
      <c r="G66" s="44" t="s">
        <v>285</v>
      </c>
      <c r="H66" s="45" t="s">
        <v>133</v>
      </c>
      <c r="I66" s="55" t="n">
        <f aca="false">$C$66</f>
        <v>1.68</v>
      </c>
      <c r="J66" s="48" t="s">
        <v>144</v>
      </c>
    </row>
    <row r="67" customFormat="false" ht="23.25" hidden="false" customHeight="true" outlineLevel="0" collapsed="false">
      <c r="A67" s="15" t="s">
        <v>286</v>
      </c>
      <c r="B67" s="41" t="s">
        <v>287</v>
      </c>
      <c r="C67" s="54" t="n">
        <v>26.4</v>
      </c>
      <c r="D67" s="60"/>
      <c r="E67" s="60"/>
      <c r="F67" s="60"/>
      <c r="G67" s="44" t="s">
        <v>288</v>
      </c>
      <c r="H67" s="45" t="s">
        <v>270</v>
      </c>
      <c r="I67" s="55" t="n">
        <f aca="false">$C$67</f>
        <v>26.4</v>
      </c>
      <c r="J67" s="47" t="s">
        <v>134</v>
      </c>
    </row>
    <row r="68" customFormat="false" ht="15.75" hidden="false" customHeight="true" outlineLevel="0" collapsed="false"/>
    <row r="69" customFormat="false" ht="15" hidden="false" customHeight="true" outlineLevel="0" collapsed="false">
      <c r="B69" s="5" t="s">
        <v>289</v>
      </c>
    </row>
    <row r="70" customFormat="false" ht="15" hidden="false" customHeight="true" outlineLevel="0" collapsed="false">
      <c r="B70" s="61" t="s">
        <v>290</v>
      </c>
      <c r="C70" s="62" t="s">
        <v>291</v>
      </c>
      <c r="D70" s="63" t="s">
        <v>292</v>
      </c>
      <c r="E70" s="64" t="s">
        <v>293</v>
      </c>
    </row>
    <row r="71" customFormat="false" ht="15.75" hidden="false" customHeight="true" outlineLevel="0" collapsed="false"/>
    <row r="72" customFormat="false" ht="15" hidden="false" customHeight="true" outlineLevel="0" collapsed="false">
      <c r="B72" s="65" t="s">
        <v>294</v>
      </c>
    </row>
    <row r="73" customFormat="false" ht="82.5" hidden="false" customHeight="true" outlineLevel="0" collapsed="false">
      <c r="A73" s="66" t="s">
        <v>295</v>
      </c>
      <c r="B73" s="1" t="s">
        <v>296</v>
      </c>
      <c r="C73" s="67" t="n">
        <v>1</v>
      </c>
      <c r="D73" s="67" t="n">
        <v>1</v>
      </c>
      <c r="E73" s="67" t="n">
        <v>1</v>
      </c>
      <c r="F73" s="67" t="n">
        <v>0</v>
      </c>
      <c r="G73" s="68" t="s">
        <v>297</v>
      </c>
      <c r="H73" s="69" t="s">
        <v>133</v>
      </c>
      <c r="I73" s="70" t="n">
        <f aca="false" t="array" ref="I73:I73">INDEX($C$73:$F$73,MATCH($C$5,$C$7:$F$7,0))</f>
        <v>1</v>
      </c>
      <c r="J73" s="48" t="s">
        <v>144</v>
      </c>
    </row>
    <row r="74" customFormat="false" ht="15.75" hidden="false" customHeight="true" outlineLevel="0" collapsed="false"/>
    <row r="75" customFormat="false" ht="15" hidden="false" customHeight="true" outlineLevel="0" collapsed="false">
      <c r="B75" s="71" t="s">
        <v>298</v>
      </c>
    </row>
    <row r="76" customFormat="false" ht="66" hidden="false" customHeight="true" outlineLevel="0" collapsed="false">
      <c r="A76" s="66" t="s">
        <v>299</v>
      </c>
      <c r="B76" s="1" t="s">
        <v>300</v>
      </c>
      <c r="C76" s="72" t="n">
        <v>0.12</v>
      </c>
      <c r="D76" s="72" t="n">
        <v>0.1</v>
      </c>
      <c r="E76" s="72" t="n">
        <v>0.08</v>
      </c>
      <c r="F76" s="72" t="n">
        <v>0.12</v>
      </c>
      <c r="G76" s="73" t="s">
        <v>301</v>
      </c>
      <c r="H76" s="74" t="s">
        <v>133</v>
      </c>
      <c r="I76" s="75" t="n">
        <f aca="false" t="array" ref="I76:I76">INDEX($C$76:$F$76,MATCH($C$5,$C$7:$F$7,0))</f>
        <v>0.12</v>
      </c>
      <c r="J76" s="48" t="s">
        <v>144</v>
      </c>
    </row>
    <row r="77" customFormat="false" ht="45.75" hidden="false" customHeight="true" outlineLevel="0" collapsed="false">
      <c r="A77" s="66" t="s">
        <v>302</v>
      </c>
      <c r="B77" s="1" t="s">
        <v>303</v>
      </c>
      <c r="C77" s="76" t="n">
        <v>10</v>
      </c>
      <c r="D77" s="76" t="n">
        <v>10</v>
      </c>
      <c r="E77" s="76" t="n">
        <v>15</v>
      </c>
      <c r="F77" s="76" t="n">
        <v>10</v>
      </c>
      <c r="G77" s="77" t="s">
        <v>304</v>
      </c>
      <c r="H77" s="74" t="s">
        <v>133</v>
      </c>
      <c r="I77" s="66" t="n">
        <f aca="false" t="array" ref="I77:I77">INDEX($C$77:$F$77,MATCH($C$5,$C$7:$F$7,0))</f>
        <v>10</v>
      </c>
      <c r="J77" s="48" t="s">
        <v>144</v>
      </c>
    </row>
    <row r="78" customFormat="false" ht="15.75" hidden="false" customHeight="true" outlineLevel="0" collapsed="false">
      <c r="B78" s="71" t="s">
        <v>305</v>
      </c>
    </row>
    <row r="79" customFormat="false" ht="15.75" hidden="false" customHeight="true" outlineLevel="0" collapsed="false">
      <c r="A79" s="15" t="s">
        <v>306</v>
      </c>
      <c r="B79" s="41" t="s">
        <v>307</v>
      </c>
      <c r="C79" s="58" t="n">
        <v>0</v>
      </c>
      <c r="D79" s="60" t="n">
        <v>0</v>
      </c>
      <c r="E79" s="60" t="n">
        <v>0</v>
      </c>
      <c r="F79" s="60" t="n">
        <v>0</v>
      </c>
      <c r="G79" s="44" t="s">
        <v>308</v>
      </c>
      <c r="H79" s="45" t="s">
        <v>133</v>
      </c>
      <c r="I79" s="59" t="n">
        <f aca="false">$C$79</f>
        <v>0</v>
      </c>
      <c r="J79" s="48" t="s">
        <v>144</v>
      </c>
    </row>
    <row r="80" customFormat="false" ht="15.75" hidden="false" customHeight="true" outlineLevel="0" collapsed="false">
      <c r="A80" s="15" t="s">
        <v>309</v>
      </c>
      <c r="B80" s="41" t="s">
        <v>310</v>
      </c>
      <c r="C80" s="58" t="n">
        <v>15</v>
      </c>
      <c r="D80" s="60" t="n">
        <v>15</v>
      </c>
      <c r="E80" s="60" t="n">
        <v>15</v>
      </c>
      <c r="F80" s="60" t="n">
        <v>15</v>
      </c>
      <c r="G80" s="44" t="s">
        <v>311</v>
      </c>
      <c r="H80" s="45" t="s">
        <v>133</v>
      </c>
      <c r="I80" s="59" t="n">
        <f aca="false">$C$80</f>
        <v>15</v>
      </c>
      <c r="J80" s="48" t="s">
        <v>144</v>
      </c>
    </row>
    <row r="81" customFormat="false" ht="15.75" hidden="false" customHeight="true" outlineLevel="0" collapsed="false">
      <c r="A81" s="15" t="s">
        <v>312</v>
      </c>
      <c r="B81" s="41" t="s">
        <v>313</v>
      </c>
      <c r="C81" s="58" t="n">
        <v>30</v>
      </c>
      <c r="D81" s="60" t="n">
        <v>30</v>
      </c>
      <c r="E81" s="60" t="n">
        <v>30</v>
      </c>
      <c r="F81" s="60" t="n">
        <v>30</v>
      </c>
      <c r="G81" s="44" t="s">
        <v>314</v>
      </c>
      <c r="H81" s="45" t="s">
        <v>133</v>
      </c>
      <c r="I81" s="59" t="n">
        <f aca="false">$C$81</f>
        <v>30</v>
      </c>
      <c r="J81" s="48" t="s">
        <v>144</v>
      </c>
    </row>
    <row r="82" customFormat="false" ht="15.75" hidden="false" customHeight="true" outlineLevel="0" collapsed="false">
      <c r="A82" s="15" t="s">
        <v>315</v>
      </c>
      <c r="B82" s="41" t="s">
        <v>316</v>
      </c>
      <c r="C82" s="78" t="n">
        <v>0.8</v>
      </c>
      <c r="D82" s="79" t="n">
        <v>0.8</v>
      </c>
      <c r="E82" s="79" t="n">
        <v>0.8</v>
      </c>
      <c r="F82" s="79" t="n">
        <v>0.8</v>
      </c>
      <c r="G82" s="44" t="s">
        <v>317</v>
      </c>
      <c r="H82" s="45" t="s">
        <v>133</v>
      </c>
      <c r="I82" s="80" t="n">
        <f aca="false">$C$82</f>
        <v>0.8</v>
      </c>
      <c r="J82" s="48" t="s">
        <v>144</v>
      </c>
    </row>
    <row r="83" customFormat="false" ht="15.75" hidden="false" customHeight="true" outlineLevel="0" collapsed="false"/>
    <row r="84" customFormat="false" ht="15.75" hidden="false" customHeight="true" outlineLevel="0" collapsed="false">
      <c r="B84" s="71" t="s">
        <v>318</v>
      </c>
    </row>
    <row r="85" customFormat="false" ht="15.75" hidden="false" customHeight="true" outlineLevel="0" collapsed="false">
      <c r="A85" s="15" t="s">
        <v>319</v>
      </c>
      <c r="B85" s="41" t="s">
        <v>320</v>
      </c>
      <c r="C85" s="52" t="n">
        <v>476181</v>
      </c>
      <c r="D85" s="60"/>
      <c r="E85" s="60"/>
      <c r="F85" s="60"/>
      <c r="G85" s="44" t="s">
        <v>321</v>
      </c>
      <c r="H85" s="45" t="s">
        <v>133</v>
      </c>
      <c r="I85" s="53" t="n">
        <f aca="false">$C$85</f>
        <v>476181</v>
      </c>
      <c r="J85" s="47" t="s">
        <v>134</v>
      </c>
    </row>
    <row r="86" customFormat="false" ht="15.75" hidden="false" customHeight="true" outlineLevel="0" collapsed="false">
      <c r="A86" s="15" t="s">
        <v>322</v>
      </c>
      <c r="B86" s="41" t="s">
        <v>323</v>
      </c>
      <c r="C86" s="52" t="n">
        <f aca="false">(C35-C30)*240+75_Bonos_AFJ!$G$34</f>
        <v>77271052</v>
      </c>
      <c r="D86" s="60"/>
      <c r="E86" s="60"/>
      <c r="F86" s="60"/>
      <c r="G86" s="44" t="s">
        <v>324</v>
      </c>
      <c r="H86" s="45" t="s">
        <v>270</v>
      </c>
      <c r="I86" s="53" t="n">
        <f aca="false">$C$86</f>
        <v>77271052</v>
      </c>
      <c r="J86" s="47" t="s">
        <v>144</v>
      </c>
    </row>
    <row r="87" customFormat="false" ht="15.75" hidden="false" customHeight="true" outlineLevel="0" collapsed="false">
      <c r="A87" s="15" t="s">
        <v>325</v>
      </c>
      <c r="B87" s="41" t="s">
        <v>326</v>
      </c>
      <c r="C87" s="52" t="n">
        <v>328204</v>
      </c>
      <c r="D87" s="60"/>
      <c r="E87" s="60"/>
      <c r="F87" s="60"/>
      <c r="G87" s="44" t="s">
        <v>327</v>
      </c>
      <c r="H87" s="45" t="s">
        <v>133</v>
      </c>
      <c r="I87" s="53" t="n">
        <f aca="false">$C$87</f>
        <v>328204</v>
      </c>
      <c r="J87" s="47" t="s">
        <v>134</v>
      </c>
    </row>
    <row r="88" customFormat="false" ht="15.75" hidden="false" customHeight="true" outlineLevel="0" collapsed="false">
      <c r="A88" s="15" t="s">
        <v>328</v>
      </c>
      <c r="B88" s="41" t="s">
        <v>329</v>
      </c>
      <c r="C88" s="52" t="n">
        <v>297000</v>
      </c>
      <c r="D88" s="60"/>
      <c r="E88" s="60"/>
      <c r="F88" s="60"/>
      <c r="G88" s="44" t="s">
        <v>330</v>
      </c>
      <c r="H88" s="45" t="s">
        <v>133</v>
      </c>
      <c r="I88" s="53" t="n">
        <f aca="false">$C$88</f>
        <v>297000</v>
      </c>
      <c r="J88" s="47" t="s">
        <v>144</v>
      </c>
    </row>
    <row r="89" customFormat="false" ht="15.75" hidden="false" customHeight="true" outlineLevel="0" collapsed="false">
      <c r="A89" s="15" t="s">
        <v>331</v>
      </c>
      <c r="B89" s="41" t="s">
        <v>332</v>
      </c>
      <c r="C89" s="52" t="n">
        <f aca="false">C161*240</f>
        <v>89400000</v>
      </c>
      <c r="D89" s="60"/>
      <c r="E89" s="60"/>
      <c r="F89" s="60"/>
      <c r="G89" s="44" t="s">
        <v>333</v>
      </c>
      <c r="H89" s="45" t="s">
        <v>270</v>
      </c>
      <c r="I89" s="53" t="n">
        <f aca="false">$C$89</f>
        <v>89400000</v>
      </c>
      <c r="J89" s="47" t="s">
        <v>144</v>
      </c>
    </row>
    <row r="90" customFormat="false" ht="15.75" hidden="false" customHeight="true" outlineLevel="0" collapsed="false">
      <c r="A90" s="15" t="s">
        <v>334</v>
      </c>
      <c r="B90" s="41" t="s">
        <v>335</v>
      </c>
      <c r="C90" s="52" t="n">
        <f aca="false">C87*C64/1000000000000</f>
        <v>7.220488</v>
      </c>
      <c r="D90" s="60"/>
      <c r="E90" s="60"/>
      <c r="F90" s="60"/>
      <c r="G90" s="44" t="s">
        <v>336</v>
      </c>
      <c r="H90" s="45" t="s">
        <v>133</v>
      </c>
      <c r="I90" s="53" t="n">
        <f aca="false">$C$90</f>
        <v>7.220488</v>
      </c>
      <c r="J90" s="47" t="s">
        <v>134</v>
      </c>
    </row>
    <row r="91" customFormat="false" ht="15.75" hidden="false" customHeight="true" outlineLevel="0" collapsed="false">
      <c r="A91" s="15" t="s">
        <v>337</v>
      </c>
      <c r="B91" s="41" t="s">
        <v>338</v>
      </c>
      <c r="C91" s="78" t="n">
        <v>0.1</v>
      </c>
      <c r="D91" s="60"/>
      <c r="E91" s="60"/>
      <c r="F91" s="60"/>
      <c r="G91" s="44" t="s">
        <v>339</v>
      </c>
      <c r="H91" s="45" t="s">
        <v>133</v>
      </c>
      <c r="I91" s="53" t="n">
        <f aca="false">$C$91</f>
        <v>0.1</v>
      </c>
      <c r="J91" s="47" t="s">
        <v>144</v>
      </c>
    </row>
    <row r="92" customFormat="false" ht="15.75" hidden="false" customHeight="true" outlineLevel="0" collapsed="false"/>
    <row r="93" customFormat="false" ht="15.75" hidden="false" customHeight="true" outlineLevel="0" collapsed="false">
      <c r="B93" s="81" t="s">
        <v>340</v>
      </c>
    </row>
    <row r="94" customFormat="false" ht="15.75" hidden="false" customHeight="true" outlineLevel="0" collapsed="false">
      <c r="A94" s="1" t="s">
        <v>341</v>
      </c>
      <c r="B94" s="1" t="s">
        <v>342</v>
      </c>
      <c r="C94" s="82" t="s">
        <v>343</v>
      </c>
      <c r="G94" s="83" t="s">
        <v>344</v>
      </c>
      <c r="H94" s="1" t="s">
        <v>345</v>
      </c>
      <c r="I94" s="84" t="str">
        <f aca="false">$C$94</f>
        <v>45/30/25</v>
      </c>
      <c r="J94" s="1" t="s">
        <v>346</v>
      </c>
    </row>
    <row r="95" customFormat="false" ht="15.75" hidden="false" customHeight="true" outlineLevel="0" collapsed="false">
      <c r="A95" s="1" t="s">
        <v>347</v>
      </c>
      <c r="B95" s="1" t="s">
        <v>348</v>
      </c>
      <c r="C95" s="82" t="n">
        <v>0.035</v>
      </c>
      <c r="G95" s="83" t="s">
        <v>349</v>
      </c>
      <c r="H95" s="1" t="s">
        <v>345</v>
      </c>
      <c r="I95" s="84" t="n">
        <f aca="false">$C$95</f>
        <v>0.035</v>
      </c>
      <c r="J95" s="1" t="s">
        <v>346</v>
      </c>
    </row>
    <row r="96" customFormat="false" ht="15.75" hidden="false" customHeight="true" outlineLevel="0" collapsed="false">
      <c r="A96" s="1" t="s">
        <v>350</v>
      </c>
      <c r="B96" s="1" t="s">
        <v>351</v>
      </c>
      <c r="C96" s="82" t="s">
        <v>352</v>
      </c>
      <c r="G96" s="83" t="s">
        <v>353</v>
      </c>
      <c r="H96" s="1" t="s">
        <v>345</v>
      </c>
      <c r="I96" s="84" t="str">
        <f aca="false">$C$96</f>
        <v>No</v>
      </c>
      <c r="J96" s="1" t="s">
        <v>346</v>
      </c>
    </row>
    <row r="97" customFormat="false" ht="15.75" hidden="false" customHeight="true" outlineLevel="0" collapsed="false">
      <c r="A97" s="1" t="s">
        <v>354</v>
      </c>
      <c r="B97" s="1" t="s">
        <v>355</v>
      </c>
      <c r="C97" s="82" t="s">
        <v>352</v>
      </c>
      <c r="G97" s="83" t="s">
        <v>356</v>
      </c>
      <c r="H97" s="1" t="s">
        <v>345</v>
      </c>
      <c r="I97" s="84" t="str">
        <f aca="false">$C$97</f>
        <v>No</v>
      </c>
      <c r="J97" s="1" t="s">
        <v>346</v>
      </c>
    </row>
    <row r="98" customFormat="false" ht="15.75" hidden="false" customHeight="true" outlineLevel="0" collapsed="false">
      <c r="A98" s="1" t="s">
        <v>357</v>
      </c>
      <c r="B98" s="1" t="s">
        <v>358</v>
      </c>
      <c r="C98" s="82" t="n">
        <v>0.002</v>
      </c>
      <c r="G98" s="83" t="s">
        <v>359</v>
      </c>
      <c r="H98" s="1" t="s">
        <v>345</v>
      </c>
      <c r="I98" s="84" t="n">
        <f aca="false">$C$98</f>
        <v>0.002</v>
      </c>
      <c r="J98" s="1" t="s">
        <v>144</v>
      </c>
    </row>
    <row r="99" customFormat="false" ht="15.75" hidden="false" customHeight="true" outlineLevel="0" collapsed="false">
      <c r="A99" s="1" t="s">
        <v>360</v>
      </c>
      <c r="B99" s="1" t="s">
        <v>361</v>
      </c>
      <c r="C99" s="82" t="n">
        <v>0.01</v>
      </c>
      <c r="G99" s="83" t="s">
        <v>362</v>
      </c>
      <c r="H99" s="1" t="s">
        <v>345</v>
      </c>
      <c r="I99" s="84" t="n">
        <f aca="false">$C$99</f>
        <v>0.01</v>
      </c>
      <c r="J99" s="1" t="s">
        <v>144</v>
      </c>
    </row>
    <row r="100" customFormat="false" ht="15.75" hidden="false" customHeight="true" outlineLevel="0" collapsed="false">
      <c r="A100" s="1" t="s">
        <v>363</v>
      </c>
      <c r="B100" s="1" t="s">
        <v>364</v>
      </c>
      <c r="C100" s="82" t="n">
        <v>0.04</v>
      </c>
      <c r="G100" s="83" t="s">
        <v>365</v>
      </c>
      <c r="H100" s="1" t="s">
        <v>345</v>
      </c>
      <c r="I100" s="84" t="n">
        <f aca="false">$C$100</f>
        <v>0.04</v>
      </c>
      <c r="J100" s="1" t="s">
        <v>144</v>
      </c>
    </row>
    <row r="101" customFormat="false" ht="15.75" hidden="false" customHeight="true" outlineLevel="0" collapsed="false">
      <c r="A101" s="1" t="s">
        <v>366</v>
      </c>
      <c r="B101" s="1" t="s">
        <v>367</v>
      </c>
      <c r="C101" s="82" t="n">
        <v>0.027</v>
      </c>
      <c r="G101" s="83" t="s">
        <v>368</v>
      </c>
      <c r="H101" s="1" t="s">
        <v>345</v>
      </c>
      <c r="I101" s="84" t="n">
        <f aca="false">$C$101</f>
        <v>0.027</v>
      </c>
      <c r="J101" s="1" t="s">
        <v>144</v>
      </c>
    </row>
    <row r="102" customFormat="false" ht="15.75" hidden="false" customHeight="true" outlineLevel="0" collapsed="false">
      <c r="A102" s="1" t="s">
        <v>369</v>
      </c>
      <c r="B102" s="1" t="s">
        <v>370</v>
      </c>
      <c r="C102" s="82" t="n">
        <v>0.0015</v>
      </c>
      <c r="G102" s="83" t="s">
        <v>371</v>
      </c>
      <c r="H102" s="1" t="s">
        <v>345</v>
      </c>
      <c r="I102" s="84" t="n">
        <f aca="false">$C$102</f>
        <v>0.0015</v>
      </c>
      <c r="J102" s="1" t="s">
        <v>144</v>
      </c>
    </row>
    <row r="103" customFormat="false" ht="15.75" hidden="false" customHeight="true" outlineLevel="0" collapsed="false">
      <c r="A103" s="1" t="s">
        <v>372</v>
      </c>
      <c r="B103" s="1" t="s">
        <v>373</v>
      </c>
      <c r="C103" s="82" t="n">
        <v>0.05</v>
      </c>
      <c r="G103" s="83" t="s">
        <v>374</v>
      </c>
      <c r="H103" s="1" t="s">
        <v>345</v>
      </c>
      <c r="I103" s="84" t="n">
        <f aca="false">$C$103</f>
        <v>0.05</v>
      </c>
      <c r="J103" s="1" t="s">
        <v>144</v>
      </c>
    </row>
    <row r="104" customFormat="false" ht="15.75" hidden="false" customHeight="true" outlineLevel="0" collapsed="false">
      <c r="A104" s="1" t="s">
        <v>375</v>
      </c>
      <c r="B104" s="1" t="s">
        <v>376</v>
      </c>
      <c r="C104" s="82" t="n">
        <v>0.015</v>
      </c>
      <c r="G104" s="83" t="s">
        <v>377</v>
      </c>
      <c r="H104" s="1" t="s">
        <v>345</v>
      </c>
      <c r="I104" s="84" t="n">
        <f aca="false">$C$104</f>
        <v>0.015</v>
      </c>
      <c r="J104" s="1" t="s">
        <v>144</v>
      </c>
    </row>
    <row r="105" customFormat="false" ht="15.75" hidden="false" customHeight="true" outlineLevel="0" collapsed="false">
      <c r="A105" s="1" t="s">
        <v>378</v>
      </c>
      <c r="B105" s="1" t="s">
        <v>379</v>
      </c>
      <c r="C105" s="82" t="n">
        <v>0</v>
      </c>
      <c r="G105" s="83" t="s">
        <v>380</v>
      </c>
      <c r="H105" s="1" t="s">
        <v>345</v>
      </c>
      <c r="I105" s="84" t="n">
        <f aca="false">$C$105</f>
        <v>0</v>
      </c>
      <c r="J105" s="1" t="s">
        <v>144</v>
      </c>
    </row>
    <row r="106" customFormat="false" ht="15.75" hidden="false" customHeight="true" outlineLevel="0" collapsed="false">
      <c r="A106" s="1" t="s">
        <v>381</v>
      </c>
      <c r="B106" s="1" t="s">
        <v>382</v>
      </c>
      <c r="C106" s="82" t="n">
        <v>0.018</v>
      </c>
      <c r="G106" s="83" t="s">
        <v>383</v>
      </c>
      <c r="H106" s="1" t="s">
        <v>345</v>
      </c>
      <c r="I106" s="84" t="n">
        <f aca="false">$C$106</f>
        <v>0.018</v>
      </c>
      <c r="J106" s="1" t="s">
        <v>144</v>
      </c>
    </row>
    <row r="107" customFormat="false" ht="15.75" hidden="false" customHeight="true" outlineLevel="0" collapsed="false">
      <c r="A107" s="1" t="s">
        <v>384</v>
      </c>
      <c r="B107" s="1" t="s">
        <v>385</v>
      </c>
      <c r="C107" s="82" t="n">
        <f aca="false">12/240</f>
        <v>0.05</v>
      </c>
      <c r="G107" s="83" t="s">
        <v>386</v>
      </c>
      <c r="H107" s="1" t="s">
        <v>345</v>
      </c>
      <c r="I107" s="84" t="n">
        <f aca="false">$C$107</f>
        <v>0.05</v>
      </c>
      <c r="J107" s="1" t="s">
        <v>144</v>
      </c>
    </row>
    <row r="108" customFormat="false" ht="15.75" hidden="false" customHeight="true" outlineLevel="0" collapsed="false">
      <c r="A108" s="1" t="s">
        <v>387</v>
      </c>
      <c r="B108" s="1" t="s">
        <v>388</v>
      </c>
      <c r="C108" s="82" t="n">
        <v>0.5</v>
      </c>
      <c r="G108" s="83" t="s">
        <v>389</v>
      </c>
      <c r="H108" s="1" t="s">
        <v>345</v>
      </c>
      <c r="I108" s="84" t="n">
        <f aca="false">$C$108</f>
        <v>0.5</v>
      </c>
      <c r="J108" s="1" t="s">
        <v>144</v>
      </c>
    </row>
    <row r="109" customFormat="false" ht="15.75" hidden="false" customHeight="true" outlineLevel="0" collapsed="false">
      <c r="A109" s="1" t="s">
        <v>390</v>
      </c>
      <c r="B109" s="1" t="s">
        <v>391</v>
      </c>
      <c r="C109" s="82" t="n">
        <v>0.15</v>
      </c>
      <c r="G109" s="83" t="s">
        <v>392</v>
      </c>
      <c r="H109" s="1" t="s">
        <v>345</v>
      </c>
      <c r="I109" s="84" t="n">
        <f aca="false">$C$109</f>
        <v>0.15</v>
      </c>
      <c r="J109" s="1" t="s">
        <v>144</v>
      </c>
    </row>
    <row r="110" customFormat="false" ht="15.75" hidden="false" customHeight="true" outlineLevel="0" collapsed="false">
      <c r="A110" s="1" t="s">
        <v>393</v>
      </c>
      <c r="B110" s="1" t="s">
        <v>394</v>
      </c>
      <c r="C110" s="82" t="n">
        <v>1</v>
      </c>
      <c r="G110" s="83" t="s">
        <v>395</v>
      </c>
      <c r="H110" s="1" t="s">
        <v>345</v>
      </c>
      <c r="I110" s="84" t="n">
        <f aca="false">$C$110</f>
        <v>1</v>
      </c>
      <c r="J110" s="1" t="s">
        <v>346</v>
      </c>
    </row>
    <row r="111" customFormat="false" ht="15.75" hidden="false" customHeight="true" outlineLevel="0" collapsed="false">
      <c r="A111" s="1" t="s">
        <v>396</v>
      </c>
      <c r="B111" s="1" t="s">
        <v>397</v>
      </c>
      <c r="C111" s="82" t="s">
        <v>398</v>
      </c>
      <c r="G111" s="83" t="s">
        <v>399</v>
      </c>
      <c r="H111" s="1" t="s">
        <v>345</v>
      </c>
      <c r="I111" s="84" t="str">
        <f aca="false">$C$111</f>
        <v>Sí</v>
      </c>
      <c r="J111" s="1" t="s">
        <v>346</v>
      </c>
    </row>
    <row r="112" customFormat="false" ht="15.75" hidden="false" customHeight="true" outlineLevel="0" collapsed="false"/>
    <row r="113" customFormat="false" ht="15.75" hidden="false" customHeight="true" outlineLevel="0" collapsed="false">
      <c r="B113" s="81" t="s">
        <v>400</v>
      </c>
    </row>
    <row r="114" customFormat="false" ht="15.75" hidden="false" customHeight="true" outlineLevel="0" collapsed="false">
      <c r="A114" s="1" t="s">
        <v>401</v>
      </c>
      <c r="B114" s="1" t="s">
        <v>402</v>
      </c>
      <c r="C114" s="82" t="s">
        <v>403</v>
      </c>
      <c r="G114" s="83" t="s">
        <v>404</v>
      </c>
      <c r="H114" s="1" t="s">
        <v>405</v>
      </c>
      <c r="I114" s="84" t="str">
        <f aca="false">$C$114</f>
        <v>Intocable</v>
      </c>
      <c r="J114" s="1" t="s">
        <v>346</v>
      </c>
    </row>
    <row r="115" customFormat="false" ht="15.75" hidden="false" customHeight="true" outlineLevel="0" collapsed="false">
      <c r="A115" s="1" t="s">
        <v>406</v>
      </c>
      <c r="B115" s="1" t="s">
        <v>407</v>
      </c>
      <c r="C115" s="82" t="n">
        <v>0.01</v>
      </c>
      <c r="G115" s="83" t="s">
        <v>408</v>
      </c>
      <c r="H115" s="1" t="s">
        <v>405</v>
      </c>
      <c r="I115" s="84" t="n">
        <f aca="false">$C$115</f>
        <v>0.01</v>
      </c>
      <c r="J115" s="1" t="s">
        <v>144</v>
      </c>
    </row>
    <row r="116" customFormat="false" ht="15.75" hidden="false" customHeight="true" outlineLevel="0" collapsed="false">
      <c r="A116" s="1" t="s">
        <v>409</v>
      </c>
      <c r="B116" s="1" t="s">
        <v>410</v>
      </c>
      <c r="C116" s="82" t="n">
        <v>0.01</v>
      </c>
      <c r="G116" s="83" t="s">
        <v>411</v>
      </c>
      <c r="H116" s="1" t="s">
        <v>405</v>
      </c>
      <c r="I116" s="84" t="n">
        <f aca="false">$C$116</f>
        <v>0.01</v>
      </c>
      <c r="J116" s="1" t="s">
        <v>144</v>
      </c>
    </row>
    <row r="117" customFormat="false" ht="15.75" hidden="false" customHeight="true" outlineLevel="0" collapsed="false">
      <c r="A117" s="1" t="s">
        <v>412</v>
      </c>
      <c r="B117" s="1" t="s">
        <v>413</v>
      </c>
      <c r="C117" s="82" t="n">
        <v>0.25</v>
      </c>
      <c r="G117" s="83" t="s">
        <v>414</v>
      </c>
      <c r="H117" s="1" t="s">
        <v>405</v>
      </c>
      <c r="I117" s="84" t="n">
        <f aca="false">$C$117</f>
        <v>0.25</v>
      </c>
      <c r="J117" s="1" t="s">
        <v>144</v>
      </c>
    </row>
    <row r="118" customFormat="false" ht="15.75" hidden="false" customHeight="true" outlineLevel="0" collapsed="false">
      <c r="A118" s="1" t="s">
        <v>415</v>
      </c>
      <c r="B118" s="1" t="s">
        <v>416</v>
      </c>
      <c r="C118" s="82" t="n">
        <v>0.04</v>
      </c>
      <c r="G118" s="83" t="s">
        <v>417</v>
      </c>
      <c r="H118" s="1" t="s">
        <v>405</v>
      </c>
      <c r="I118" s="84" t="n">
        <f aca="false">$C$118</f>
        <v>0.04</v>
      </c>
      <c r="J118" s="1" t="s">
        <v>144</v>
      </c>
    </row>
    <row r="119" customFormat="false" ht="15.75" hidden="false" customHeight="true" outlineLevel="0" collapsed="false">
      <c r="A119" s="1" t="s">
        <v>418</v>
      </c>
      <c r="B119" s="1" t="s">
        <v>419</v>
      </c>
      <c r="C119" s="82" t="n">
        <v>0.05</v>
      </c>
      <c r="G119" s="83" t="s">
        <v>420</v>
      </c>
      <c r="H119" s="1" t="s">
        <v>405</v>
      </c>
      <c r="I119" s="84" t="n">
        <f aca="false">$C$119</f>
        <v>0.05</v>
      </c>
      <c r="J119" s="1" t="s">
        <v>144</v>
      </c>
    </row>
    <row r="120" customFormat="false" ht="15.75" hidden="false" customHeight="true" outlineLevel="0" collapsed="false">
      <c r="A120" s="1" t="s">
        <v>421</v>
      </c>
      <c r="B120" s="1" t="s">
        <v>422</v>
      </c>
      <c r="C120" s="82" t="n">
        <v>0.01</v>
      </c>
      <c r="G120" s="83" t="s">
        <v>423</v>
      </c>
      <c r="H120" s="1" t="s">
        <v>405</v>
      </c>
      <c r="I120" s="84" t="n">
        <f aca="false">$C$120</f>
        <v>0.01</v>
      </c>
      <c r="J120" s="1" t="s">
        <v>144</v>
      </c>
    </row>
    <row r="121" customFormat="false" ht="15.75" hidden="false" customHeight="true" outlineLevel="0" collapsed="false">
      <c r="A121" s="1" t="s">
        <v>424</v>
      </c>
      <c r="B121" s="1" t="s">
        <v>425</v>
      </c>
      <c r="C121" s="82" t="n">
        <v>0.08</v>
      </c>
      <c r="G121" s="83" t="s">
        <v>426</v>
      </c>
      <c r="H121" s="1" t="s">
        <v>405</v>
      </c>
      <c r="I121" s="84" t="n">
        <f aca="false">$C$121</f>
        <v>0.08</v>
      </c>
      <c r="J121" s="1" t="s">
        <v>144</v>
      </c>
    </row>
    <row r="122" customFormat="false" ht="15.75" hidden="false" customHeight="true" outlineLevel="0" collapsed="false">
      <c r="A122" s="1" t="s">
        <v>427</v>
      </c>
      <c r="B122" s="1" t="s">
        <v>428</v>
      </c>
      <c r="C122" s="82" t="n">
        <v>30</v>
      </c>
      <c r="G122" s="83" t="s">
        <v>429</v>
      </c>
      <c r="H122" s="1" t="s">
        <v>405</v>
      </c>
      <c r="I122" s="84" t="n">
        <f aca="false">$C$122</f>
        <v>30</v>
      </c>
      <c r="J122" s="1" t="s">
        <v>144</v>
      </c>
    </row>
    <row r="123" customFormat="false" ht="15.75" hidden="false" customHeight="true" outlineLevel="0" collapsed="false"/>
    <row r="124" customFormat="false" ht="15.75" hidden="false" customHeight="true" outlineLevel="0" collapsed="false">
      <c r="B124" s="81" t="s">
        <v>430</v>
      </c>
    </row>
    <row r="125" customFormat="false" ht="15.75" hidden="false" customHeight="true" outlineLevel="0" collapsed="false">
      <c r="A125" s="1" t="s">
        <v>431</v>
      </c>
      <c r="B125" s="1" t="s">
        <v>432</v>
      </c>
      <c r="C125" s="82" t="n">
        <v>1.34</v>
      </c>
      <c r="G125" s="83" t="s">
        <v>433</v>
      </c>
      <c r="H125" s="1" t="s">
        <v>434</v>
      </c>
      <c r="I125" s="1" t="n">
        <f aca="false">$C$125</f>
        <v>1.34</v>
      </c>
    </row>
    <row r="126" customFormat="false" ht="15.75" hidden="false" customHeight="true" outlineLevel="0" collapsed="false">
      <c r="A126" s="1" t="s">
        <v>435</v>
      </c>
      <c r="B126" s="1" t="s">
        <v>416</v>
      </c>
      <c r="C126" s="82" t="n">
        <v>0.04</v>
      </c>
      <c r="G126" s="83" t="s">
        <v>436</v>
      </c>
      <c r="H126" s="1" t="s">
        <v>434</v>
      </c>
      <c r="I126" s="1" t="n">
        <f aca="false">$C$126</f>
        <v>0.04</v>
      </c>
    </row>
    <row r="127" customFormat="false" ht="15.75" hidden="false" customHeight="true" outlineLevel="0" collapsed="false">
      <c r="A127" s="1" t="s">
        <v>437</v>
      </c>
      <c r="B127" s="1" t="s">
        <v>419</v>
      </c>
      <c r="C127" s="82" t="n">
        <v>0.05</v>
      </c>
      <c r="G127" s="83" t="s">
        <v>438</v>
      </c>
      <c r="H127" s="1" t="s">
        <v>434</v>
      </c>
      <c r="I127" s="1" t="n">
        <f aca="false">$C$127</f>
        <v>0.05</v>
      </c>
    </row>
    <row r="128" customFormat="false" ht="15.75" hidden="false" customHeight="true" outlineLevel="0" collapsed="false">
      <c r="A128" s="1" t="s">
        <v>439</v>
      </c>
      <c r="B128" s="1" t="s">
        <v>440</v>
      </c>
      <c r="C128" s="82" t="n">
        <v>0.5</v>
      </c>
      <c r="G128" s="83" t="s">
        <v>441</v>
      </c>
      <c r="H128" s="1" t="s">
        <v>434</v>
      </c>
      <c r="I128" s="1" t="n">
        <f aca="false">$C$128</f>
        <v>0.5</v>
      </c>
    </row>
    <row r="129" customFormat="false" ht="15.75" hidden="false" customHeight="true" outlineLevel="0" collapsed="false">
      <c r="A129" s="1" t="s">
        <v>442</v>
      </c>
      <c r="B129" s="1" t="s">
        <v>443</v>
      </c>
      <c r="C129" s="82" t="n">
        <v>0.125</v>
      </c>
      <c r="G129" s="83" t="s">
        <v>444</v>
      </c>
      <c r="H129" s="1" t="s">
        <v>434</v>
      </c>
      <c r="I129" s="1" t="n">
        <f aca="false">$C$129</f>
        <v>0.125</v>
      </c>
    </row>
    <row r="130" customFormat="false" ht="15.75" hidden="false" customHeight="true" outlineLevel="0" collapsed="false">
      <c r="A130" s="1" t="s">
        <v>445</v>
      </c>
      <c r="B130" s="1" t="s">
        <v>446</v>
      </c>
      <c r="C130" s="82" t="n">
        <v>0.27</v>
      </c>
      <c r="G130" s="83" t="s">
        <v>447</v>
      </c>
      <c r="H130" s="1" t="s">
        <v>434</v>
      </c>
      <c r="I130" s="1" t="n">
        <f aca="false">$C$130</f>
        <v>0.27</v>
      </c>
    </row>
    <row r="131" customFormat="false" ht="15.75" hidden="false" customHeight="true" outlineLevel="0" collapsed="false">
      <c r="A131" s="1" t="s">
        <v>448</v>
      </c>
      <c r="B131" s="1" t="s">
        <v>449</v>
      </c>
      <c r="C131" s="82" t="n">
        <v>0.3</v>
      </c>
      <c r="G131" s="83" t="s">
        <v>450</v>
      </c>
      <c r="H131" s="1" t="s">
        <v>434</v>
      </c>
      <c r="I131" s="1" t="n">
        <f aca="false">$C$131</f>
        <v>0.3</v>
      </c>
    </row>
    <row r="132" customFormat="false" ht="15.75" hidden="false" customHeight="true" outlineLevel="0" collapsed="false">
      <c r="A132" s="1" t="s">
        <v>451</v>
      </c>
      <c r="B132" s="1" t="s">
        <v>452</v>
      </c>
      <c r="C132" s="82" t="n">
        <v>10.7</v>
      </c>
      <c r="G132" s="83" t="s">
        <v>453</v>
      </c>
      <c r="H132" s="1" t="s">
        <v>434</v>
      </c>
      <c r="I132" s="1" t="n">
        <f aca="false">$C$132</f>
        <v>10.7</v>
      </c>
    </row>
    <row r="133" customFormat="false" ht="15.75" hidden="false" customHeight="true" outlineLevel="0" collapsed="false">
      <c r="A133" s="1" t="s">
        <v>454</v>
      </c>
      <c r="B133" s="1" t="s">
        <v>455</v>
      </c>
      <c r="C133" s="82" t="n">
        <v>0.025</v>
      </c>
      <c r="G133" s="83" t="s">
        <v>456</v>
      </c>
      <c r="H133" s="1" t="s">
        <v>434</v>
      </c>
      <c r="I133" s="1" t="n">
        <f aca="false">$C$133</f>
        <v>0.025</v>
      </c>
    </row>
    <row r="134" customFormat="false" ht="15.75" hidden="false" customHeight="true" outlineLevel="0" collapsed="false">
      <c r="A134" s="1" t="s">
        <v>457</v>
      </c>
      <c r="B134" s="1" t="s">
        <v>458</v>
      </c>
      <c r="C134" s="82" t="n">
        <v>0.01</v>
      </c>
      <c r="G134" s="83" t="s">
        <v>377</v>
      </c>
      <c r="H134" s="1" t="s">
        <v>434</v>
      </c>
      <c r="I134" s="1" t="n">
        <f aca="false">$C$134</f>
        <v>0.01</v>
      </c>
    </row>
    <row r="135" customFormat="false" ht="15.75" hidden="false" customHeight="true" outlineLevel="0" collapsed="false">
      <c r="A135" s="1" t="s">
        <v>459</v>
      </c>
      <c r="B135" s="1" t="s">
        <v>460</v>
      </c>
      <c r="C135" s="82" t="n">
        <v>0.05</v>
      </c>
      <c r="G135" s="83" t="s">
        <v>461</v>
      </c>
      <c r="H135" s="1" t="s">
        <v>434</v>
      </c>
      <c r="I135" s="1" t="n">
        <f aca="false">$C$135</f>
        <v>0.05</v>
      </c>
    </row>
    <row r="136" customFormat="false" ht="15.75" hidden="false" customHeight="true" outlineLevel="0" collapsed="false">
      <c r="A136" s="1" t="s">
        <v>462</v>
      </c>
      <c r="B136" s="1" t="s">
        <v>463</v>
      </c>
      <c r="C136" s="82" t="n">
        <v>0.12</v>
      </c>
      <c r="G136" s="83" t="s">
        <v>464</v>
      </c>
      <c r="H136" s="1" t="s">
        <v>434</v>
      </c>
      <c r="I136" s="1" t="n">
        <f aca="false">$C$136</f>
        <v>0.12</v>
      </c>
    </row>
    <row r="137" customFormat="false" ht="15.75" hidden="false" customHeight="true" outlineLevel="0" collapsed="false">
      <c r="A137" s="1" t="s">
        <v>465</v>
      </c>
      <c r="B137" s="1" t="s">
        <v>466</v>
      </c>
      <c r="C137" s="82" t="n">
        <v>0.075</v>
      </c>
      <c r="G137" s="83" t="s">
        <v>464</v>
      </c>
      <c r="H137" s="1" t="s">
        <v>434</v>
      </c>
      <c r="I137" s="1" t="n">
        <f aca="false">$C$137</f>
        <v>0.075</v>
      </c>
    </row>
    <row r="138" customFormat="false" ht="15.75" hidden="false" customHeight="true" outlineLevel="0" collapsed="false">
      <c r="A138" s="1" t="s">
        <v>467</v>
      </c>
      <c r="B138" s="1" t="s">
        <v>468</v>
      </c>
      <c r="C138" s="82" t="n">
        <v>0.15</v>
      </c>
      <c r="G138" s="83" t="s">
        <v>469</v>
      </c>
      <c r="H138" s="1" t="s">
        <v>434</v>
      </c>
      <c r="I138" s="1" t="n">
        <f aca="false">$C$138</f>
        <v>0.15</v>
      </c>
    </row>
    <row r="139" customFormat="false" ht="15.75" hidden="false" customHeight="true" outlineLevel="0" collapsed="false">
      <c r="A139" s="1" t="s">
        <v>470</v>
      </c>
      <c r="B139" s="1" t="s">
        <v>471</v>
      </c>
      <c r="C139" s="82" t="n">
        <v>0.04</v>
      </c>
      <c r="G139" s="83" t="s">
        <v>472</v>
      </c>
      <c r="H139" s="1" t="s">
        <v>434</v>
      </c>
      <c r="I139" s="1" t="n">
        <f aca="false">$C$139</f>
        <v>0.04</v>
      </c>
    </row>
    <row r="140" customFormat="false" ht="15.75" hidden="false" customHeight="true" outlineLevel="0" collapsed="false">
      <c r="A140" s="1" t="s">
        <v>473</v>
      </c>
      <c r="B140" s="1" t="s">
        <v>474</v>
      </c>
      <c r="C140" s="82" t="n">
        <v>0.3</v>
      </c>
      <c r="G140" s="83" t="s">
        <v>475</v>
      </c>
      <c r="H140" s="1" t="s">
        <v>434</v>
      </c>
      <c r="I140" s="1" t="n">
        <f aca="false">$C$140</f>
        <v>0.3</v>
      </c>
    </row>
    <row r="141" customFormat="false" ht="15.75" hidden="false" customHeight="true" outlineLevel="0" collapsed="false">
      <c r="A141" s="1" t="s">
        <v>476</v>
      </c>
      <c r="B141" s="1" t="s">
        <v>477</v>
      </c>
      <c r="C141" s="82" t="n">
        <v>0.1</v>
      </c>
      <c r="G141" s="83" t="s">
        <v>478</v>
      </c>
      <c r="H141" s="1" t="s">
        <v>434</v>
      </c>
      <c r="I141" s="1" t="n">
        <f aca="false">$C$141</f>
        <v>0.1</v>
      </c>
    </row>
    <row r="142" customFormat="false" ht="15.75" hidden="false" customHeight="true" outlineLevel="0" collapsed="false">
      <c r="A142" s="1" t="s">
        <v>479</v>
      </c>
      <c r="B142" s="1" t="s">
        <v>480</v>
      </c>
      <c r="C142" s="82" t="s">
        <v>398</v>
      </c>
      <c r="G142" s="83" t="s">
        <v>481</v>
      </c>
      <c r="H142" s="1" t="s">
        <v>434</v>
      </c>
      <c r="I142" s="1" t="str">
        <f aca="false">$C$142</f>
        <v>Sí</v>
      </c>
    </row>
    <row r="143" customFormat="false" ht="15.75" hidden="false" customHeight="true" outlineLevel="0" collapsed="false">
      <c r="A143" s="1" t="s">
        <v>482</v>
      </c>
      <c r="B143" s="1" t="s">
        <v>483</v>
      </c>
      <c r="C143" s="82" t="s">
        <v>398</v>
      </c>
      <c r="G143" s="83" t="s">
        <v>484</v>
      </c>
      <c r="H143" s="1" t="s">
        <v>434</v>
      </c>
      <c r="I143" s="1" t="str">
        <f aca="false">$C$143</f>
        <v>Sí</v>
      </c>
    </row>
    <row r="144" customFormat="false" ht="15.75" hidden="false" customHeight="true" outlineLevel="0" collapsed="false">
      <c r="A144" s="1" t="s">
        <v>485</v>
      </c>
      <c r="B144" s="1" t="s">
        <v>486</v>
      </c>
      <c r="C144" s="82" t="n">
        <v>0.08</v>
      </c>
      <c r="G144" s="83" t="s">
        <v>487</v>
      </c>
      <c r="H144" s="1" t="s">
        <v>434</v>
      </c>
      <c r="I144" s="1" t="n">
        <f aca="false">$C$144</f>
        <v>0.08</v>
      </c>
    </row>
    <row r="145" customFormat="false" ht="15.75" hidden="false" customHeight="true" outlineLevel="0" collapsed="false">
      <c r="A145" s="1" t="s">
        <v>488</v>
      </c>
      <c r="B145" s="1" t="s">
        <v>489</v>
      </c>
      <c r="C145" s="82" t="n">
        <v>30</v>
      </c>
      <c r="G145" s="83" t="s">
        <v>436</v>
      </c>
      <c r="H145" s="1" t="s">
        <v>434</v>
      </c>
      <c r="I145" s="1" t="n">
        <f aca="false">$C$145</f>
        <v>30</v>
      </c>
    </row>
    <row r="146" customFormat="false" ht="15.75" hidden="false" customHeight="true" outlineLevel="0" collapsed="false">
      <c r="A146" s="1" t="s">
        <v>490</v>
      </c>
      <c r="B146" s="1" t="s">
        <v>491</v>
      </c>
      <c r="C146" s="82" t="n">
        <v>0.94</v>
      </c>
      <c r="G146" s="83" t="s">
        <v>492</v>
      </c>
      <c r="H146" s="1" t="s">
        <v>434</v>
      </c>
      <c r="I146" s="1" t="n">
        <f aca="false">$C$146</f>
        <v>0.94</v>
      </c>
    </row>
    <row r="147" customFormat="false" ht="15.75" hidden="false" customHeight="true" outlineLevel="0" collapsed="false">
      <c r="A147" s="1" t="s">
        <v>493</v>
      </c>
      <c r="B147" s="1" t="s">
        <v>494</v>
      </c>
      <c r="C147" s="82" t="n">
        <v>2.8387</v>
      </c>
      <c r="G147" s="83" t="s">
        <v>495</v>
      </c>
      <c r="H147" s="1" t="s">
        <v>434</v>
      </c>
      <c r="I147" s="1" t="n">
        <f aca="false">$C$147</f>
        <v>2.8387</v>
      </c>
    </row>
    <row r="148" customFormat="false" ht="15.75" hidden="false" customHeight="true" outlineLevel="0" collapsed="false">
      <c r="A148" s="1" t="s">
        <v>496</v>
      </c>
      <c r="B148" s="1" t="s">
        <v>497</v>
      </c>
      <c r="C148" s="82" t="n">
        <v>0.429</v>
      </c>
      <c r="G148" s="83" t="s">
        <v>498</v>
      </c>
      <c r="H148" s="1" t="s">
        <v>434</v>
      </c>
      <c r="I148" s="1" t="n">
        <f aca="false">$C$148</f>
        <v>0.429</v>
      </c>
    </row>
    <row r="149" customFormat="false" ht="15.75" hidden="false" customHeight="true" outlineLevel="0" collapsed="false">
      <c r="A149" s="1" t="s">
        <v>499</v>
      </c>
      <c r="B149" s="1" t="s">
        <v>500</v>
      </c>
      <c r="C149" s="82"/>
      <c r="G149" s="83" t="s">
        <v>501</v>
      </c>
      <c r="H149" s="1" t="s">
        <v>434</v>
      </c>
      <c r="I149" s="1" t="n">
        <f aca="false">$C$149</f>
        <v>0</v>
      </c>
    </row>
    <row r="150" customFormat="false" ht="15.75" hidden="false" customHeight="true" outlineLevel="0" collapsed="false">
      <c r="A150" s="1" t="s">
        <v>502</v>
      </c>
      <c r="B150" s="1" t="s">
        <v>503</v>
      </c>
      <c r="C150" s="82" t="n">
        <v>0</v>
      </c>
      <c r="G150" s="83" t="s">
        <v>504</v>
      </c>
      <c r="H150" s="1" t="s">
        <v>434</v>
      </c>
      <c r="I150" s="1" t="n">
        <f aca="false">$C$150</f>
        <v>0</v>
      </c>
    </row>
    <row r="151" customFormat="false" ht="15.75" hidden="false" customHeight="true" outlineLevel="0" collapsed="false">
      <c r="B151" s="85" t="s">
        <v>505</v>
      </c>
    </row>
    <row r="152" customFormat="false" ht="15.75" hidden="false" customHeight="true" outlineLevel="0" collapsed="false">
      <c r="A152" s="1" t="s">
        <v>506</v>
      </c>
      <c r="B152" s="1" t="s">
        <v>507</v>
      </c>
      <c r="C152" s="86" t="n">
        <v>0.1</v>
      </c>
      <c r="G152" s="1" t="s">
        <v>508</v>
      </c>
      <c r="H152" s="1" t="s">
        <v>509</v>
      </c>
    </row>
    <row r="153" customFormat="false" ht="15.75" hidden="false" customHeight="true" outlineLevel="0" collapsed="false">
      <c r="A153" s="1" t="s">
        <v>510</v>
      </c>
      <c r="B153" s="1" t="s">
        <v>511</v>
      </c>
      <c r="C153" s="86" t="n">
        <v>4.22</v>
      </c>
      <c r="G153" s="1" t="s">
        <v>512</v>
      </c>
      <c r="H153" s="1" t="s">
        <v>509</v>
      </c>
    </row>
    <row r="154" customFormat="false" ht="15.75" hidden="false" customHeight="true" outlineLevel="0" collapsed="false">
      <c r="A154" s="1" t="s">
        <v>513</v>
      </c>
      <c r="B154" s="1" t="s">
        <v>514</v>
      </c>
      <c r="C154" s="86" t="n">
        <v>0.94</v>
      </c>
      <c r="G154" s="1" t="s">
        <v>515</v>
      </c>
      <c r="H154" s="1" t="s">
        <v>509</v>
      </c>
    </row>
    <row r="155" customFormat="false" ht="15.75" hidden="false" customHeight="true" outlineLevel="0" collapsed="false">
      <c r="A155" s="1" t="s">
        <v>516</v>
      </c>
      <c r="B155" s="1" t="s">
        <v>517</v>
      </c>
      <c r="C155" s="86" t="n">
        <v>15</v>
      </c>
      <c r="G155" s="1" t="s">
        <v>518</v>
      </c>
      <c r="H155" s="1" t="s">
        <v>509</v>
      </c>
    </row>
    <row r="156" customFormat="false" ht="15.75" hidden="false" customHeight="true" outlineLevel="0" collapsed="false">
      <c r="A156" s="1" t="s">
        <v>519</v>
      </c>
      <c r="B156" s="1" t="s">
        <v>520</v>
      </c>
      <c r="C156" s="86" t="n">
        <v>10</v>
      </c>
      <c r="G156" s="1" t="s">
        <v>521</v>
      </c>
      <c r="H156" s="1" t="s">
        <v>509</v>
      </c>
    </row>
    <row r="157" customFormat="false" ht="15.75" hidden="false" customHeight="true" outlineLevel="0" collapsed="false">
      <c r="A157" s="1" t="s">
        <v>522</v>
      </c>
      <c r="B157" s="1" t="s">
        <v>523</v>
      </c>
      <c r="C157" s="86" t="n">
        <v>0.5</v>
      </c>
      <c r="G157" s="1" t="s">
        <v>524</v>
      </c>
      <c r="H157" s="1" t="s">
        <v>509</v>
      </c>
    </row>
    <row r="158" customFormat="false" ht="15.75" hidden="false" customHeight="true" outlineLevel="0" collapsed="false">
      <c r="A158" s="1" t="s">
        <v>525</v>
      </c>
      <c r="B158" s="1" t="s">
        <v>526</v>
      </c>
      <c r="C158" s="86" t="n">
        <v>0.2</v>
      </c>
      <c r="G158" s="1" t="s">
        <v>527</v>
      </c>
      <c r="H158" s="1" t="s">
        <v>509</v>
      </c>
    </row>
    <row r="159" customFormat="false" ht="15.75" hidden="false" customHeight="true" outlineLevel="0" collapsed="false">
      <c r="A159" s="1" t="s">
        <v>528</v>
      </c>
      <c r="B159" s="1" t="s">
        <v>529</v>
      </c>
      <c r="C159" s="87" t="n">
        <v>0.25</v>
      </c>
      <c r="G159" s="1" t="s">
        <v>530</v>
      </c>
      <c r="H159" s="1" t="s">
        <v>531</v>
      </c>
    </row>
    <row r="160" customFormat="false" ht="15.75" hidden="false" customHeight="true" outlineLevel="0" collapsed="false">
      <c r="A160" s="1" t="s">
        <v>532</v>
      </c>
      <c r="B160" s="1" t="s">
        <v>533</v>
      </c>
      <c r="C160" s="87" t="n">
        <v>0.02</v>
      </c>
      <c r="G160" s="1" t="s">
        <v>534</v>
      </c>
      <c r="H160" s="1" t="s">
        <v>531</v>
      </c>
    </row>
    <row r="161" customFormat="false" ht="15.75" hidden="false" customHeight="true" outlineLevel="0" collapsed="false">
      <c r="A161" s="1" t="s">
        <v>535</v>
      </c>
      <c r="B161" s="1" t="s">
        <v>536</v>
      </c>
      <c r="C161" s="88" t="n">
        <v>372500</v>
      </c>
      <c r="G161" s="1" t="s">
        <v>537</v>
      </c>
      <c r="H161" s="1" t="s">
        <v>531</v>
      </c>
    </row>
    <row r="162" customFormat="false" ht="15.75" hidden="false" customHeight="true" outlineLevel="0" collapsed="false">
      <c r="B162" s="1" t="s">
        <v>538</v>
      </c>
      <c r="C162" s="1" t="n">
        <v>0</v>
      </c>
      <c r="G162" s="1" t="s">
        <v>539</v>
      </c>
    </row>
    <row r="163" customFormat="false" ht="15.75" hidden="false" customHeight="true" outlineLevel="0" collapsed="false">
      <c r="B163" s="1" t="s">
        <v>540</v>
      </c>
      <c r="C163" s="1" t="n">
        <v>0</v>
      </c>
      <c r="G163" s="1" t="s">
        <v>541</v>
      </c>
    </row>
    <row r="164" customFormat="false" ht="15.75" hidden="false" customHeight="true" outlineLevel="0" collapsed="false">
      <c r="B164" s="1" t="s">
        <v>542</v>
      </c>
      <c r="C164" s="1" t="n">
        <v>-0.1</v>
      </c>
    </row>
    <row r="165" customFormat="false" ht="15.75" hidden="false" customHeight="true" outlineLevel="0" collapsed="false">
      <c r="B165" s="1" t="s">
        <v>543</v>
      </c>
      <c r="C165" s="1" t="n">
        <v>12</v>
      </c>
      <c r="G165" s="1" t="s">
        <v>544</v>
      </c>
    </row>
    <row r="166" customFormat="false" ht="15.75" hidden="false" customHeight="true" outlineLevel="0" collapsed="false">
      <c r="B166" s="1" t="s">
        <v>545</v>
      </c>
      <c r="C166" s="1" t="s">
        <v>352</v>
      </c>
      <c r="G166" s="1" t="s">
        <v>546</v>
      </c>
    </row>
    <row r="167" customFormat="false" ht="15.75" hidden="false" customHeight="true" outlineLevel="0" collapsed="false">
      <c r="B167" s="1" t="s">
        <v>547</v>
      </c>
      <c r="C167" s="1" t="n">
        <v>0.2</v>
      </c>
      <c r="G167" s="1" t="s">
        <v>548</v>
      </c>
    </row>
    <row r="168" customFormat="false" ht="15.75" hidden="false" customHeight="true" outlineLevel="0" collapsed="false">
      <c r="B168" s="1" t="s">
        <v>549</v>
      </c>
      <c r="C168" s="1" t="n">
        <v>1</v>
      </c>
    </row>
    <row r="169" customFormat="false" ht="15.75" hidden="false" customHeight="true" outlineLevel="0" collapsed="false">
      <c r="B169" s="1" t="s">
        <v>550</v>
      </c>
      <c r="C169" s="1" t="n">
        <v>0.05</v>
      </c>
      <c r="G169" s="1" t="s">
        <v>551</v>
      </c>
    </row>
    <row r="170" customFormat="false" ht="15.75" hidden="false" customHeight="true" outlineLevel="0" collapsed="false">
      <c r="B170" s="1" t="s">
        <v>552</v>
      </c>
      <c r="C170" s="1" t="n">
        <v>5</v>
      </c>
      <c r="G170" s="1" t="s">
        <v>553</v>
      </c>
    </row>
    <row r="171" customFormat="false" ht="15.75" hidden="false" customHeight="true" outlineLevel="0" collapsed="false">
      <c r="B171" s="1" t="s">
        <v>554</v>
      </c>
      <c r="C171" s="1" t="n">
        <v>0</v>
      </c>
      <c r="G171" s="1" t="s">
        <v>555</v>
      </c>
    </row>
    <row r="172" customFormat="false" ht="15.75" hidden="false" customHeight="true" outlineLevel="0" collapsed="false">
      <c r="B172" s="1" t="s">
        <v>556</v>
      </c>
      <c r="C172" s="1" t="n">
        <v>0</v>
      </c>
      <c r="G172" s="1" t="s">
        <v>557</v>
      </c>
    </row>
    <row r="173" customFormat="false" ht="15.75" hidden="false" customHeight="true" outlineLevel="0" collapsed="false">
      <c r="B173" s="1" t="s">
        <v>558</v>
      </c>
      <c r="C173" s="1" t="n">
        <v>0.05</v>
      </c>
      <c r="G173" s="1" t="s">
        <v>559</v>
      </c>
    </row>
    <row r="174" customFormat="false" ht="15.75" hidden="false" customHeight="true" outlineLevel="0" collapsed="false">
      <c r="B174" s="1" t="s">
        <v>560</v>
      </c>
      <c r="C174" s="89" t="s">
        <v>352</v>
      </c>
      <c r="G174" s="1" t="s">
        <v>561</v>
      </c>
    </row>
    <row r="175" customFormat="false" ht="15.75" hidden="false" customHeight="true" outlineLevel="0" collapsed="false">
      <c r="B175" s="1" t="s">
        <v>562</v>
      </c>
      <c r="C175" s="90" t="n">
        <v>0.42</v>
      </c>
      <c r="G175" s="1" t="s">
        <v>563</v>
      </c>
    </row>
    <row r="176" customFormat="false" ht="15.75" hidden="false" customHeight="true" outlineLevel="0" collapsed="false">
      <c r="B176" s="1" t="s">
        <v>564</v>
      </c>
      <c r="C176" s="89" t="n">
        <v>20</v>
      </c>
      <c r="G176" s="1" t="s">
        <v>565</v>
      </c>
    </row>
    <row r="177" customFormat="false" ht="15.75" hidden="false" customHeight="true" outlineLevel="0" collapsed="false">
      <c r="B177" s="1" t="s">
        <v>566</v>
      </c>
      <c r="C177" s="89" t="n">
        <v>5</v>
      </c>
      <c r="G177" s="1" t="s">
        <v>567</v>
      </c>
    </row>
    <row r="178" customFormat="false" ht="15.75" hidden="false" customHeight="true" outlineLevel="0" collapsed="false">
      <c r="B178" s="1" t="s">
        <v>568</v>
      </c>
      <c r="C178" s="89" t="n">
        <v>10</v>
      </c>
      <c r="G178" s="1" t="s">
        <v>569</v>
      </c>
    </row>
    <row r="179" customFormat="false" ht="15.75" hidden="false" customHeight="true" outlineLevel="0" collapsed="false">
      <c r="B179" s="1" t="s">
        <v>570</v>
      </c>
      <c r="C179" s="90" t="n">
        <v>0.3</v>
      </c>
      <c r="G179" s="1" t="s">
        <v>571</v>
      </c>
    </row>
    <row r="180" customFormat="false" ht="15.75" hidden="false" customHeight="true" outlineLevel="0" collapsed="false">
      <c r="B180" s="1" t="s">
        <v>572</v>
      </c>
      <c r="C180" s="1" t="s">
        <v>573</v>
      </c>
      <c r="G180" s="1" t="s">
        <v>574</v>
      </c>
    </row>
    <row r="181" customFormat="false" ht="15.75" hidden="false" customHeight="true" outlineLevel="0" collapsed="false">
      <c r="B181" s="1" t="s">
        <v>575</v>
      </c>
      <c r="C181" s="90" t="n">
        <v>0.05</v>
      </c>
      <c r="G181" s="1" t="s">
        <v>576</v>
      </c>
    </row>
    <row r="182" customFormat="false" ht="15.75" hidden="false" customHeight="true" outlineLevel="0" collapsed="false">
      <c r="B182" s="1" t="s">
        <v>577</v>
      </c>
      <c r="C182" s="89" t="n">
        <v>0</v>
      </c>
      <c r="G182" s="1" t="s">
        <v>578</v>
      </c>
    </row>
    <row r="183" customFormat="false" ht="15.75" hidden="false" customHeight="true" outlineLevel="0" collapsed="false"/>
    <row r="184" customFormat="false" ht="15.75" hidden="false" customHeight="true" outlineLevel="0" collapsed="false">
      <c r="B184" s="1" t="s">
        <v>579</v>
      </c>
      <c r="C184" s="91" t="s">
        <v>398</v>
      </c>
      <c r="D184" s="1" t="s">
        <v>580</v>
      </c>
    </row>
    <row r="185" customFormat="false" ht="15.75" hidden="false" customHeight="true" outlineLevel="0" collapsed="false">
      <c r="B185" s="1" t="s">
        <v>581</v>
      </c>
      <c r="C185" s="91" t="n">
        <v>0.3</v>
      </c>
      <c r="D185" s="1" t="s">
        <v>582</v>
      </c>
    </row>
    <row r="186" customFormat="false" ht="15.75" hidden="false" customHeight="true" outlineLevel="0" collapsed="false">
      <c r="B186" s="1" t="s">
        <v>583</v>
      </c>
      <c r="C186" s="91" t="n">
        <v>0.2</v>
      </c>
      <c r="D186" s="1" t="s">
        <v>584</v>
      </c>
    </row>
    <row r="187" customFormat="false" ht="15.75" hidden="false" customHeight="true" outlineLevel="0" collapsed="false">
      <c r="B187" s="1" t="s">
        <v>585</v>
      </c>
      <c r="C187" s="1" t="n">
        <f aca="false">IF(C185&gt;0,MIN(1,C186/C185),0)</f>
        <v>0.666666666666667</v>
      </c>
      <c r="D187" s="1" t="s">
        <v>586</v>
      </c>
    </row>
    <row r="188" customFormat="false" ht="15.75" hidden="false" customHeight="true" outlineLevel="0" collapsed="false">
      <c r="B188" s="1" t="s">
        <v>587</v>
      </c>
      <c r="C188" s="1" t="n">
        <f aca="false">MAX(0,C186-C185)</f>
        <v>0</v>
      </c>
    </row>
    <row r="189" customFormat="false" ht="15.75" hidden="false" customHeight="true" outlineLevel="0" collapsed="false">
      <c r="B189" s="1" t="s">
        <v>588</v>
      </c>
      <c r="C189" s="91" t="n">
        <v>0</v>
      </c>
      <c r="D189" s="1" t="s">
        <v>589</v>
      </c>
    </row>
    <row r="190" customFormat="false" ht="15.75" hidden="false" customHeight="true" outlineLevel="0" collapsed="false">
      <c r="B190" s="1" t="s">
        <v>590</v>
      </c>
      <c r="C190" s="91" t="n">
        <v>0.3</v>
      </c>
    </row>
    <row r="191" customFormat="false" ht="15.75" hidden="false" customHeight="true" outlineLevel="0" collapsed="false">
      <c r="B191" s="1" t="s">
        <v>591</v>
      </c>
      <c r="C191" s="91" t="n">
        <v>0.35</v>
      </c>
      <c r="D191" s="1" t="s">
        <v>592</v>
      </c>
    </row>
    <row r="192" customFormat="false" ht="15.75" hidden="false" customHeight="true" outlineLevel="0" collapsed="false">
      <c r="B192" s="1" t="s">
        <v>593</v>
      </c>
      <c r="C192" s="91" t="n">
        <v>0</v>
      </c>
      <c r="D192" s="1" t="s">
        <v>594</v>
      </c>
    </row>
    <row r="193" customFormat="false" ht="15.75" hidden="false" customHeight="true" outlineLevel="0" collapsed="false">
      <c r="B193" s="1" t="s">
        <v>595</v>
      </c>
      <c r="C193" s="91" t="n">
        <v>1</v>
      </c>
      <c r="D193" s="1" t="s">
        <v>596</v>
      </c>
    </row>
    <row r="194" customFormat="false" ht="15.75" hidden="false" customHeight="true" outlineLevel="0" collapsed="false">
      <c r="B194" s="1" t="s">
        <v>597</v>
      </c>
      <c r="C194" s="91" t="n">
        <v>0.001</v>
      </c>
      <c r="D194" s="1" t="s">
        <v>598</v>
      </c>
    </row>
    <row r="195" customFormat="false" ht="15.75" hidden="false" customHeight="true" outlineLevel="0" collapsed="false"/>
    <row r="196" customFormat="false" ht="15.75" hidden="false" customHeight="true" outlineLevel="0" collapsed="false">
      <c r="B196" s="1" t="s">
        <v>599</v>
      </c>
      <c r="D196" s="1" t="s">
        <v>600</v>
      </c>
    </row>
    <row r="197" customFormat="false" ht="15.75" hidden="false" customHeight="true" outlineLevel="0" collapsed="false">
      <c r="B197" s="1" t="s">
        <v>601</v>
      </c>
      <c r="C197" s="1" t="n">
        <v>7000</v>
      </c>
      <c r="D197" s="1" t="s">
        <v>602</v>
      </c>
    </row>
    <row r="198" customFormat="false" ht="15.75" hidden="false" customHeight="true" outlineLevel="0" collapsed="false">
      <c r="B198" s="1" t="s">
        <v>603</v>
      </c>
      <c r="C198" s="1" t="n">
        <v>6000</v>
      </c>
      <c r="D198" s="1" t="s">
        <v>604</v>
      </c>
    </row>
    <row r="199" customFormat="false" ht="15.75" hidden="false" customHeight="true" outlineLevel="0" collapsed="false">
      <c r="B199" s="1" t="s">
        <v>605</v>
      </c>
      <c r="C199" s="1" t="n">
        <v>0.27</v>
      </c>
      <c r="D199" s="1" t="s">
        <v>606</v>
      </c>
    </row>
    <row r="200" customFormat="false" ht="15.75" hidden="false" customHeight="true" outlineLevel="0" collapsed="false">
      <c r="B200" s="1" t="s">
        <v>607</v>
      </c>
      <c r="C200" s="1" t="s">
        <v>398</v>
      </c>
      <c r="D200" s="1" t="s">
        <v>608</v>
      </c>
    </row>
    <row r="201" customFormat="false" ht="15.75" hidden="false" customHeight="true" outlineLevel="0" collapsed="false">
      <c r="B201" s="1" t="s">
        <v>609</v>
      </c>
      <c r="C201" s="1" t="n">
        <v>0.15</v>
      </c>
      <c r="D201" s="1" t="s">
        <v>610</v>
      </c>
    </row>
    <row r="202" customFormat="false" ht="15.75" hidden="false" customHeight="true" outlineLevel="0" collapsed="false">
      <c r="B202" s="1" t="s">
        <v>611</v>
      </c>
      <c r="C202" s="1" t="n">
        <f aca="false">(C21-C197-C198)*C199</f>
        <v>12690</v>
      </c>
      <c r="D202" s="1" t="s">
        <v>612</v>
      </c>
    </row>
    <row r="203" customFormat="false" ht="15.75" hidden="false" customHeight="true" outlineLevel="0" collapsed="false">
      <c r="B203" s="1" t="s">
        <v>613</v>
      </c>
      <c r="C203" s="1" t="n">
        <f aca="false">(C21-C197-C198)*(1-C199)*C63/C21</f>
        <v>31281276.1725</v>
      </c>
      <c r="D203" s="1" t="s">
        <v>614</v>
      </c>
    </row>
    <row r="204" customFormat="false" ht="15.75" hidden="false" customHeight="true" outlineLevel="0" collapsed="false">
      <c r="B204" s="1" t="s">
        <v>615</v>
      </c>
      <c r="C204" s="1" t="n">
        <f aca="false">(C197*(C58+75_Bonos_AFJ!G31)+C198*(C60+75_Bonos_AFJ!G32)+C202*75_Bonos_AFJ!G36)/C21</f>
        <v>22002676.1926667</v>
      </c>
      <c r="D204" s="1" t="s">
        <v>616</v>
      </c>
    </row>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B2:G2"/>
    <mergeCell ref="B3:G3"/>
  </mergeCells>
  <dataValidations count="3">
    <dataValidation allowBlank="true" errorStyle="stop" operator="between" showDropDown="false" showErrorMessage="false" showInputMessage="false" sqref="C5" type="list">
      <formula1>"Base,Prudente,Estrés,Optimista"</formula1>
      <formula2>0</formula2>
    </dataValidation>
    <dataValidation allowBlank="true" errorStyle="stop" operator="between" showDropDown="false" showErrorMessage="false" showInputMessage="false" sqref="E5" type="list">
      <formula1>"20,30,40,50,70"</formula1>
      <formula2>0</formula2>
    </dataValidation>
    <dataValidation allowBlank="true" errorStyle="stop" operator="between" showDropDown="false" showErrorMessage="false" showInputMessage="false" sqref="G5" type="list">
      <formula1>"Modo único (base editorial)"</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V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52"/>
    <col collapsed="false" customWidth="true" hidden="false" outlineLevel="0" max="22" min="3" style="1" width="13"/>
  </cols>
  <sheetData>
    <row r="2" customFormat="false" ht="17.25" hidden="false" customHeight="true" outlineLevel="0" collapsed="false">
      <c r="B2" s="92" t="s">
        <v>617</v>
      </c>
    </row>
    <row r="3" customFormat="false" ht="48" hidden="false" customHeight="true" outlineLevel="0" collapsed="false">
      <c r="B3" s="93" t="s">
        <v>618</v>
      </c>
      <c r="C3" s="93"/>
      <c r="D3" s="93"/>
      <c r="E3" s="93"/>
      <c r="F3" s="93"/>
      <c r="G3" s="93"/>
      <c r="H3" s="93"/>
      <c r="I3" s="93"/>
      <c r="J3" s="93"/>
      <c r="K3" s="93"/>
      <c r="L3" s="93"/>
      <c r="M3" s="93"/>
      <c r="N3" s="93"/>
      <c r="O3" s="93"/>
      <c r="P3" s="93"/>
      <c r="Q3" s="93"/>
      <c r="R3" s="93"/>
      <c r="S3" s="93"/>
      <c r="T3" s="93"/>
    </row>
    <row r="5" customFormat="false" ht="48" hidden="false" customHeight="true" outlineLevel="0" collapsed="false">
      <c r="B5" s="94" t="s">
        <v>619</v>
      </c>
      <c r="C5" s="95" t="s">
        <v>620</v>
      </c>
      <c r="D5" s="95" t="s">
        <v>621</v>
      </c>
      <c r="E5" s="95" t="s">
        <v>622</v>
      </c>
      <c r="F5" s="95" t="s">
        <v>623</v>
      </c>
      <c r="G5" s="95" t="s">
        <v>624</v>
      </c>
      <c r="H5" s="95" t="s">
        <v>625</v>
      </c>
      <c r="I5" s="95" t="s">
        <v>626</v>
      </c>
      <c r="J5" s="95" t="s">
        <v>627</v>
      </c>
      <c r="K5" s="95" t="s">
        <v>628</v>
      </c>
      <c r="L5" s="95" t="s">
        <v>629</v>
      </c>
      <c r="M5" s="95" t="s">
        <v>630</v>
      </c>
      <c r="N5" s="95" t="s">
        <v>631</v>
      </c>
      <c r="O5" s="95" t="s">
        <v>632</v>
      </c>
      <c r="P5" s="95" t="s">
        <v>633</v>
      </c>
      <c r="Q5" s="95" t="s">
        <v>634</v>
      </c>
      <c r="R5" s="95" t="s">
        <v>635</v>
      </c>
      <c r="S5" s="95" t="s">
        <v>636</v>
      </c>
      <c r="T5" s="95" t="s">
        <v>637</v>
      </c>
      <c r="U5" s="95" t="s">
        <v>638</v>
      </c>
      <c r="V5" s="95" t="s">
        <v>639</v>
      </c>
    </row>
    <row r="6" customFormat="false" ht="14.25" hidden="false" customHeight="true" outlineLevel="0" collapsed="false">
      <c r="B6" s="96" t="s">
        <v>640</v>
      </c>
      <c r="C6" s="97"/>
      <c r="D6" s="97"/>
      <c r="E6" s="97"/>
      <c r="F6" s="97"/>
      <c r="G6" s="97"/>
      <c r="H6" s="97"/>
      <c r="I6" s="97"/>
      <c r="J6" s="97"/>
      <c r="K6" s="97"/>
      <c r="L6" s="97"/>
      <c r="M6" s="97"/>
      <c r="N6" s="97"/>
      <c r="O6" s="97"/>
      <c r="P6" s="97"/>
      <c r="Q6" s="97"/>
      <c r="R6" s="97"/>
      <c r="S6" s="97"/>
      <c r="T6" s="97"/>
      <c r="U6" s="97"/>
      <c r="V6" s="97"/>
    </row>
    <row r="7" customFormat="false" ht="14.25" hidden="false" customHeight="true" outlineLevel="0" collapsed="false">
      <c r="B7" s="98" t="s">
        <v>641</v>
      </c>
      <c r="C7" s="99" t="n">
        <f aca="false">38_v69_E1!V124</f>
        <v>0</v>
      </c>
      <c r="D7" s="99" t="n">
        <f aca="false">39_v69_E2!V124</f>
        <v>0</v>
      </c>
      <c r="E7" s="99" t="n">
        <f aca="false">40_v69_E3!V124</f>
        <v>0</v>
      </c>
      <c r="F7" s="99" t="n">
        <f aca="false">41_v69_E4!V124</f>
        <v>0</v>
      </c>
      <c r="G7" s="99" t="n">
        <f aca="false">45_v69_E1_10!V124</f>
        <v>0</v>
      </c>
      <c r="H7" s="99" t="n">
        <f aca="false">46_v69_E3_10!V124</f>
        <v>0</v>
      </c>
      <c r="I7" s="99" t="n">
        <f aca="false">44_v69_E6!V124</f>
        <v>0</v>
      </c>
      <c r="J7" s="99" t="n">
        <f aca="false">49_v69_E1_Ref!V124</f>
        <v>0</v>
      </c>
      <c r="K7" s="99" t="n">
        <f aca="false">50_v69_E3_Ref!V124</f>
        <v>0</v>
      </c>
      <c r="L7" s="99" t="n">
        <f aca="false">42_v69_Diablo!V124</f>
        <v>0</v>
      </c>
      <c r="M7" s="99" t="n">
        <f aca="false">43_Diablo_Defensas!V124</f>
        <v>0</v>
      </c>
      <c r="N7" s="99" t="n">
        <f aca="false">52_v69_E3_Freno!V124</f>
        <v>0</v>
      </c>
      <c r="O7" s="99" t="n">
        <f aca="false">54_v69_E1_Tope!V124</f>
        <v>0</v>
      </c>
      <c r="P7" s="99" t="n">
        <f aca="false">55_E1_Crec022!V124</f>
        <v>0</v>
      </c>
      <c r="Q7" s="99" t="n">
        <f aca="false">56_E1_Crec049!V124</f>
        <v>0</v>
      </c>
      <c r="R7" s="99" t="n">
        <f aca="false">57_E1_AE25!V124</f>
        <v>0</v>
      </c>
      <c r="S7" s="99" t="n">
        <f aca="false">58_E1_AE50!V124</f>
        <v>0</v>
      </c>
      <c r="T7" s="99" t="n">
        <f aca="false">59_E1_Crec022_AE25!V124</f>
        <v>0</v>
      </c>
      <c r="U7" s="99" t="n">
        <f aca="false">42N_Diablo_circuito_nuevo!V124</f>
        <v>0</v>
      </c>
      <c r="V7" s="99" t="n">
        <f aca="false">43N_Defensas_circuito_nuevo!V124</f>
        <v>0</v>
      </c>
    </row>
    <row r="8" customFormat="false" ht="14.25" hidden="false" customHeight="true" outlineLevel="0" collapsed="false">
      <c r="B8" s="98" t="s">
        <v>642</v>
      </c>
      <c r="C8" s="99" t="n">
        <f aca="false">38_v69_E1!AF124</f>
        <v>0</v>
      </c>
      <c r="D8" s="99" t="n">
        <f aca="false">39_v69_E2!AF124</f>
        <v>0</v>
      </c>
      <c r="E8" s="99" t="n">
        <f aca="false">40_v69_E3!AF124</f>
        <v>0</v>
      </c>
      <c r="F8" s="99" t="n">
        <f aca="false">41_v69_E4!AF124</f>
        <v>0</v>
      </c>
      <c r="G8" s="99" t="n">
        <f aca="false">45_v69_E1_10!AF124</f>
        <v>0</v>
      </c>
      <c r="H8" s="99" t="n">
        <f aca="false">46_v69_E3_10!AF124</f>
        <v>0</v>
      </c>
      <c r="I8" s="99" t="n">
        <f aca="false">44_v69_E6!AF124</f>
        <v>0</v>
      </c>
      <c r="J8" s="99" t="n">
        <f aca="false">49_v69_E1_Ref!AF124</f>
        <v>0</v>
      </c>
      <c r="K8" s="99" t="n">
        <f aca="false">50_v69_E3_Ref!AF124</f>
        <v>0</v>
      </c>
      <c r="L8" s="99" t="n">
        <f aca="false">42_v69_Diablo!AF124</f>
        <v>0</v>
      </c>
      <c r="M8" s="99" t="n">
        <f aca="false">43_Diablo_Defensas!AF124</f>
        <v>0</v>
      </c>
      <c r="N8" s="99" t="n">
        <f aca="false">52_v69_E3_Freno!AF124</f>
        <v>0</v>
      </c>
      <c r="O8" s="99" t="n">
        <f aca="false">54_v69_E1_Tope!AF124</f>
        <v>0</v>
      </c>
      <c r="P8" s="99" t="n">
        <f aca="false">55_E1_Crec022!AF124</f>
        <v>0</v>
      </c>
      <c r="Q8" s="99" t="n">
        <f aca="false">56_E1_Crec049!AF124</f>
        <v>0</v>
      </c>
      <c r="R8" s="99" t="n">
        <f aca="false">57_E1_AE25!AF124</f>
        <v>0</v>
      </c>
      <c r="S8" s="99" t="n">
        <f aca="false">58_E1_AE50!AF124</f>
        <v>0</v>
      </c>
      <c r="T8" s="99" t="n">
        <f aca="false">59_E1_Crec022_AE25!AF124</f>
        <v>0</v>
      </c>
      <c r="U8" s="99" t="n">
        <f aca="false">42N_Diablo_circuito_nuevo!AF124</f>
        <v>0</v>
      </c>
      <c r="V8" s="99" t="n">
        <f aca="false">43N_Defensas_circuito_nuevo!AF124</f>
        <v>0</v>
      </c>
    </row>
    <row r="9" customFormat="false" ht="14.25" hidden="false" customHeight="true" outlineLevel="0" collapsed="false">
      <c r="B9" s="98" t="s">
        <v>643</v>
      </c>
      <c r="C9" s="100" t="str">
        <f aca="false">IF(MIN(38_v69_E1!C125:AF125)=999,"No requiere",MIN(38_v69_E1!C125:AF125))</f>
        <v>No requiere</v>
      </c>
      <c r="D9" s="100" t="str">
        <f aca="false">IF(MIN(39_v69_E2!C125:AF125)=999,"No requiere",MIN(39_v69_E2!C125:AF125))</f>
        <v>No requiere</v>
      </c>
      <c r="E9" s="100" t="str">
        <f aca="false">IF(MIN(40_v69_E3!C125:AF125)=999,"No requiere",MIN(40_v69_E3!C125:AF125))</f>
        <v>No requiere</v>
      </c>
      <c r="F9" s="100" t="str">
        <f aca="false">IF(MIN(41_v69_E4!C125:AF125)=999,"No requiere",MIN(41_v69_E4!C125:AF125))</f>
        <v>No requiere</v>
      </c>
      <c r="G9" s="100" t="str">
        <f aca="false">IF(MIN(45_v69_E1_10!C125:AF125)=999,"No requiere",MIN(45_v69_E1_10!C125:AF125))</f>
        <v>No requiere</v>
      </c>
      <c r="H9" s="100" t="str">
        <f aca="false">IF(MIN(46_v69_E3_10!C125:AF125)=999,"No requiere",MIN(46_v69_E3_10!C125:AF125))</f>
        <v>No requiere</v>
      </c>
      <c r="I9" s="100" t="str">
        <f aca="false">IF(MIN(44_v69_E6!C125:AF125)=999,"No requiere",MIN(44_v69_E6!C125:AF125))</f>
        <v>No requiere</v>
      </c>
      <c r="J9" s="100" t="str">
        <f aca="false">IF(MIN(49_v69_E1_Ref!C125:AF125)=999,"No requiere",MIN(49_v69_E1_Ref!C125:AF125))</f>
        <v>No requiere</v>
      </c>
      <c r="K9" s="100" t="str">
        <f aca="false">IF(MIN(50_v69_E3_Ref!C125:AF125)=999,"No requiere",MIN(50_v69_E3_Ref!C125:AF125))</f>
        <v>No requiere</v>
      </c>
      <c r="L9" s="100" t="str">
        <f aca="false">IF(MIN(42_v69_Diablo!C125:AF125)=999,"No requiere",MIN(42_v69_Diablo!C125:AF125))</f>
        <v>No requiere</v>
      </c>
      <c r="M9" s="100" t="str">
        <f aca="false">IF(MIN(43_Diablo_Defensas!C125:AF125)=999,"No requiere",MIN(43_Diablo_Defensas!C125:AF125))</f>
        <v>No requiere</v>
      </c>
      <c r="N9" s="100" t="str">
        <f aca="false">IF(MIN(52_v69_E3_Freno!C125:AF125)=999,"No requiere",MIN(52_v69_E3_Freno!C125:AF125))</f>
        <v>No requiere</v>
      </c>
      <c r="O9" s="100" t="str">
        <f aca="false">IF(MIN(54_v69_E1_Tope!C125:AF125)=999,"No requiere",MIN(54_v69_E1_Tope!C125:AF125))</f>
        <v>No requiere</v>
      </c>
      <c r="P9" s="100" t="str">
        <f aca="false">IF(MIN(55_E1_Crec022!C125:AF125)=999,"No requiere",MIN(55_E1_Crec022!C125:AF125))</f>
        <v>No requiere</v>
      </c>
      <c r="Q9" s="100" t="str">
        <f aca="false">IF(MIN(56_E1_Crec049!C125:AF125)=999,"No requiere",MIN(56_E1_Crec049!C125:AF125))</f>
        <v>No requiere</v>
      </c>
      <c r="R9" s="100" t="str">
        <f aca="false">IF(MIN(57_E1_AE25!C125:AF125)=999,"No requiere",MIN(57_E1_AE25!C125:AF125))</f>
        <v>No requiere</v>
      </c>
      <c r="S9" s="100" t="str">
        <f aca="false">IF(MIN(58_E1_AE50!C125:AF125)=999,"No requiere",MIN(58_E1_AE50!C125:AF125))</f>
        <v>No requiere</v>
      </c>
      <c r="T9" s="100" t="str">
        <f aca="false">IF(MIN(59_E1_Crec022_AE25!C125:AF125)=999,"No requiere",MIN(59_E1_Crec022_AE25!C125:AF125))</f>
        <v>No requiere</v>
      </c>
      <c r="U9" s="100" t="str">
        <f aca="false">IF(MIN(42N_Diablo_circuito_nuevo!C125:AF125)=999,"No requiere",MIN(42N_Diablo_circuito_nuevo!C125:AF125))</f>
        <v>No requiere</v>
      </c>
      <c r="V9" s="100" t="str">
        <f aca="false">IF(MIN(43N_Defensas_circuito_nuevo!C125:AF125)=999,"No requiere",MIN(43N_Defensas_circuito_nuevo!C125:AF125))</f>
        <v>No requiere</v>
      </c>
    </row>
    <row r="10" customFormat="false" ht="14.25" hidden="false" customHeight="true" outlineLevel="0" collapsed="false">
      <c r="B10" s="98" t="s">
        <v>644</v>
      </c>
      <c r="C10" s="99" t="n">
        <f aca="false">38_v69_E1!L120</f>
        <v>149.676541722361</v>
      </c>
      <c r="D10" s="99" t="n">
        <f aca="false">39_v69_E2!L120</f>
        <v>169.727574460482</v>
      </c>
      <c r="E10" s="99" t="n">
        <f aca="false">40_v69_E3!L120</f>
        <v>139.655873621496</v>
      </c>
      <c r="F10" s="99" t="n">
        <f aca="false">41_v69_E4!L120</f>
        <v>162.581768842554</v>
      </c>
      <c r="G10" s="99" t="n">
        <f aca="false">45_v69_E1_10!L120</f>
        <v>149.676541722361</v>
      </c>
      <c r="H10" s="99" t="n">
        <f aca="false">46_v69_E3_10!L120</f>
        <v>139.655873621496</v>
      </c>
      <c r="I10" s="99" t="n">
        <f aca="false">44_v69_E6!L120</f>
        <v>155.719694294305</v>
      </c>
      <c r="J10" s="99" t="n">
        <f aca="false">49_v69_E1_Ref!L120</f>
        <v>149.858639918606</v>
      </c>
      <c r="K10" s="99" t="n">
        <f aca="false">50_v69_E3_Ref!L120</f>
        <v>139.824185035635</v>
      </c>
      <c r="L10" s="99" t="n">
        <f aca="false">42_v69_Diablo!L120</f>
        <v>114.11836372558</v>
      </c>
      <c r="M10" s="99" t="n">
        <f aca="false">43_Diablo_Defensas!L120</f>
        <v>115.417176883034</v>
      </c>
      <c r="N10" s="99" t="n">
        <f aca="false">52_v69_E3_Freno!L120</f>
        <v>145.325577931944</v>
      </c>
      <c r="O10" s="99" t="n">
        <f aca="false">54_v69_E1_Tope!L120</f>
        <v>151.413529911077</v>
      </c>
      <c r="P10" s="99" t="n">
        <f aca="false">55_E1_Crec022!L120</f>
        <v>149.806571593554</v>
      </c>
      <c r="Q10" s="99" t="n">
        <f aca="false">56_E1_Crec049!L120</f>
        <v>149.968252626468</v>
      </c>
      <c r="R10" s="99" t="n">
        <f aca="false">57_E1_AE25!L120</f>
        <v>149.676541722361</v>
      </c>
      <c r="S10" s="99" t="n">
        <f aca="false">58_E1_AE50!L120</f>
        <v>149.676541722361</v>
      </c>
      <c r="T10" s="99" t="n">
        <f aca="false">59_E1_Crec022_AE25!L120</f>
        <v>149.806571593554</v>
      </c>
      <c r="U10" s="99" t="n">
        <f aca="false">42N_Diablo_circuito_nuevo!L120</f>
        <v>153.32802072706</v>
      </c>
      <c r="V10" s="99" t="n">
        <f aca="false">43N_Defensas_circuito_nuevo!L120</f>
        <v>154.639072794466</v>
      </c>
    </row>
    <row r="11" customFormat="false" ht="14.25" hidden="false" customHeight="true" outlineLevel="0" collapsed="false">
      <c r="B11" s="98" t="s">
        <v>645</v>
      </c>
      <c r="C11" s="99" t="n">
        <f aca="false">38_v69_E1!V120</f>
        <v>161.859438668867</v>
      </c>
      <c r="D11" s="99" t="n">
        <f aca="false">39_v69_E2!V120</f>
        <v>181.723211159161</v>
      </c>
      <c r="E11" s="99" t="n">
        <f aca="false">40_v69_E3!V120</f>
        <v>150.750319165238</v>
      </c>
      <c r="F11" s="99" t="n">
        <f aca="false">41_v69_E4!V120</f>
        <v>173.67213982805</v>
      </c>
      <c r="G11" s="99" t="n">
        <f aca="false">45_v69_E1_10!V120</f>
        <v>161.859438668867</v>
      </c>
      <c r="H11" s="99" t="n">
        <f aca="false">46_v69_E3_10!V120</f>
        <v>150.750319165238</v>
      </c>
      <c r="I11" s="99" t="n">
        <f aca="false">44_v69_E6!V120</f>
        <v>166.981266786061</v>
      </c>
      <c r="J11" s="99" t="n">
        <f aca="false">49_v69_E1_Ref!V120</f>
        <v>162.041714497165</v>
      </c>
      <c r="K11" s="99" t="n">
        <f aca="false">50_v69_E3_Ref!V120</f>
        <v>150.92603406692</v>
      </c>
      <c r="L11" s="99" t="n">
        <f aca="false">42_v69_Diablo!V120</f>
        <v>83.9997455597508</v>
      </c>
      <c r="M11" s="99" t="n">
        <f aca="false">43_Diablo_Defensas!V120</f>
        <v>91.1196820337369</v>
      </c>
      <c r="N11" s="99" t="n">
        <f aca="false">52_v69_E3_Freno!V120</f>
        <v>157.428189283134</v>
      </c>
      <c r="O11" s="99" t="n">
        <f aca="false">54_v69_E1_Tope!V120</f>
        <v>163.242962843484</v>
      </c>
      <c r="P11" s="99" t="n">
        <f aca="false">55_E1_Crec022!V120</f>
        <v>162.491511089125</v>
      </c>
      <c r="Q11" s="99" t="n">
        <f aca="false">56_E1_Crec049!V120</f>
        <v>163.291275567237</v>
      </c>
      <c r="R11" s="99" t="n">
        <f aca="false">57_E1_AE25!V120</f>
        <v>159.824600340447</v>
      </c>
      <c r="S11" s="99" t="n">
        <f aca="false">58_E1_AE50!V120</f>
        <v>157.789762012027</v>
      </c>
      <c r="T11" s="99" t="n">
        <f aca="false">59_E1_Crec022_AE25!V120</f>
        <v>160.378971066545</v>
      </c>
      <c r="U11" s="99" t="n">
        <f aca="false">42N_Diablo_circuito_nuevo!V120</f>
        <v>158.542023191104</v>
      </c>
      <c r="V11" s="99" t="n">
        <f aca="false">43N_Defensas_circuito_nuevo!V120</f>
        <v>164.801559283896</v>
      </c>
    </row>
    <row r="12" customFormat="false" ht="14.25" hidden="false" customHeight="true" outlineLevel="0" collapsed="false">
      <c r="B12" s="98" t="s">
        <v>646</v>
      </c>
      <c r="C12" s="99" t="n">
        <f aca="false">38_v69_E1!AF120</f>
        <v>177.798782171659</v>
      </c>
      <c r="D12" s="99" t="n">
        <f aca="false">39_v69_E2!AF120</f>
        <v>198.486036820406</v>
      </c>
      <c r="E12" s="99" t="n">
        <f aca="false">40_v69_E3!AF120</f>
        <v>163.047142766117</v>
      </c>
      <c r="F12" s="99" t="n">
        <f aca="false">41_v69_E4!AF120</f>
        <v>191.904158044044</v>
      </c>
      <c r="G12" s="99" t="n">
        <f aca="false">45_v69_E1_10!AF120</f>
        <v>177.798782171659</v>
      </c>
      <c r="H12" s="99" t="n">
        <f aca="false">46_v69_E3_10!AF120</f>
        <v>163.047142766117</v>
      </c>
      <c r="I12" s="99" t="n">
        <f aca="false">44_v69_E6!AF120</f>
        <v>182.854182840061</v>
      </c>
      <c r="J12" s="99" t="n">
        <f aca="false">49_v69_E1_Ref!AF120</f>
        <v>177.981353342207</v>
      </c>
      <c r="K12" s="99" t="n">
        <f aca="false">50_v69_E3_Ref!AF120</f>
        <v>163.840820577103</v>
      </c>
      <c r="L12" s="99" t="n">
        <f aca="false">42_v69_Diablo!AF120</f>
        <v>50.7019736672074</v>
      </c>
      <c r="M12" s="99" t="n">
        <f aca="false">43_Diablo_Defensas!AF120</f>
        <v>58.3010451033792</v>
      </c>
      <c r="N12" s="99" t="n">
        <f aca="false">52_v69_E3_Freno!AF120</f>
        <v>174.125166427436</v>
      </c>
      <c r="O12" s="99" t="n">
        <f aca="false">54_v69_E1_Tope!AF120</f>
        <v>178.1056545971</v>
      </c>
      <c r="P12" s="99" t="n">
        <f aca="false">55_E1_Crec022!AF120</f>
        <v>179.518601338502</v>
      </c>
      <c r="Q12" s="99" t="n">
        <f aca="false">56_E1_Crec049!AF120</f>
        <v>181.734502056911</v>
      </c>
      <c r="R12" s="99" t="n">
        <f aca="false">57_E1_AE25!AF120</f>
        <v>170.883385860031</v>
      </c>
      <c r="S12" s="99" t="n">
        <f aca="false">58_E1_AE50!AF120</f>
        <v>163.967989548403</v>
      </c>
      <c r="T12" s="99" t="n">
        <f aca="false">59_E1_Crec022_AE25!AF120</f>
        <v>172.252738161854</v>
      </c>
      <c r="U12" s="99" t="n">
        <f aca="false">42N_Diablo_circuito_nuevo!AF120</f>
        <v>148.421658753354</v>
      </c>
      <c r="V12" s="99" t="n">
        <f aca="false">43N_Defensas_circuito_nuevo!AF120</f>
        <v>164.233279606156</v>
      </c>
    </row>
    <row r="13" customFormat="false" ht="14.25" hidden="false" customHeight="true" outlineLevel="0" collapsed="false">
      <c r="B13" s="98" t="s">
        <v>647</v>
      </c>
      <c r="C13" s="100" t="n">
        <f aca="false">COUNTIF(38_v69_E1!C123:AF123,"Rojo")</f>
        <v>0</v>
      </c>
      <c r="D13" s="100" t="n">
        <f aca="false">COUNTIF(39_v69_E2!C123:AF123,"Rojo")</f>
        <v>0</v>
      </c>
      <c r="E13" s="100" t="n">
        <f aca="false">COUNTIF(40_v69_E3!C123:AF123,"Rojo")</f>
        <v>0</v>
      </c>
      <c r="F13" s="100" t="n">
        <f aca="false">COUNTIF(41_v69_E4!C123:AF123,"Rojo")</f>
        <v>0</v>
      </c>
      <c r="G13" s="100" t="n">
        <f aca="false">COUNTIF(45_v69_E1_10!C123:AF123,"Rojo")</f>
        <v>0</v>
      </c>
      <c r="H13" s="100" t="n">
        <f aca="false">COUNTIF(46_v69_E3_10!C123:AF123,"Rojo")</f>
        <v>0</v>
      </c>
      <c r="I13" s="100" t="n">
        <f aca="false">COUNTIF(44_v69_E6!C123:AF123,"Rojo")</f>
        <v>0</v>
      </c>
      <c r="J13" s="100" t="n">
        <f aca="false">COUNTIF(49_v69_E1_Ref!C123:AF123,"Rojo")</f>
        <v>0</v>
      </c>
      <c r="K13" s="100" t="n">
        <f aca="false">COUNTIF(50_v69_E3_Ref!C123:AF123,"Rojo")</f>
        <v>0</v>
      </c>
      <c r="L13" s="100" t="n">
        <f aca="false">COUNTIF(42_v69_Diablo!C123:AF123,"Rojo")</f>
        <v>0</v>
      </c>
      <c r="M13" s="100" t="n">
        <f aca="false">COUNTIF(43_Diablo_Defensas!C123:AF123,"Rojo")</f>
        <v>0</v>
      </c>
      <c r="N13" s="100" t="n">
        <f aca="false">COUNTIF(52_v69_E3_Freno!C123:AF123,"Rojo")</f>
        <v>0</v>
      </c>
      <c r="O13" s="100" t="n">
        <f aca="false">COUNTIF(54_v69_E1_Tope!C123:AF123,"Rojo")</f>
        <v>0</v>
      </c>
      <c r="P13" s="100" t="n">
        <f aca="false">COUNTIF(55_E1_Crec022!C123:AF123,"Rojo")</f>
        <v>0</v>
      </c>
      <c r="Q13" s="100" t="n">
        <f aca="false">COUNTIF(56_E1_Crec049!C123:AF123,"Rojo")</f>
        <v>0</v>
      </c>
      <c r="R13" s="100" t="n">
        <f aca="false">COUNTIF(57_E1_AE25!C123:AF123,"Rojo")</f>
        <v>0</v>
      </c>
      <c r="S13" s="100" t="n">
        <f aca="false">COUNTIF(58_E1_AE50!C123:AF123,"Rojo")</f>
        <v>0</v>
      </c>
      <c r="T13" s="100" t="n">
        <f aca="false">COUNTIF(59_E1_Crec022_AE25!C123:AF123,"Rojo")</f>
        <v>0</v>
      </c>
      <c r="U13" s="100" t="n">
        <f aca="false">COUNTIF(42N_Diablo_circuito_nuevo!C123:AF123,"Rojo")</f>
        <v>0</v>
      </c>
      <c r="V13" s="100" t="n">
        <f aca="false">COUNTIF(43N_Defensas_circuito_nuevo!C123:AF123,"Rojo")</f>
        <v>0</v>
      </c>
    </row>
    <row r="14" customFormat="false" ht="14.25" hidden="false" customHeight="true" outlineLevel="0" collapsed="false">
      <c r="B14" s="98" t="s">
        <v>648</v>
      </c>
      <c r="C14" s="100" t="n">
        <f aca="false">100*(38_v69_E1!V107+38_v69_E1!V109+38_v69_E1!V110+38_v69_E1!V184+38_v69_E1!V56)/(38_v69_E1!V111+38_v69_E1!V112+38_v69_E1!V108+38_v69_E1!V97+38_v69_E1!V98+38_v69_E1!V102+38_v69_E1!V190+38_v69_E1!V229+38_v69_E1!V265+38_v69_E1!V268+38_v69_E1!V274)</f>
        <v>123.926178351034</v>
      </c>
      <c r="D14" s="100" t="n">
        <f aca="false">100*(39_v69_E2!V107+39_v69_E2!V109+39_v69_E2!V110+39_v69_E2!V184+39_v69_E2!V56)/(39_v69_E2!V111+39_v69_E2!V112+39_v69_E2!V108+39_v69_E2!V97+39_v69_E2!V98+39_v69_E2!V102+39_v69_E2!V190+39_v69_E2!V229+39_v69_E2!V265+39_v69_E2!V268+39_v69_E2!V274)</f>
        <v>131.811956954124</v>
      </c>
      <c r="E14" s="100" t="n">
        <f aca="false">100*(40_v69_E3!V107+40_v69_E3!V109+40_v69_E3!V110+40_v69_E3!V184+40_v69_E3!V56)/(40_v69_E3!V111+40_v69_E3!V112+40_v69_E3!V108+40_v69_E3!V97+40_v69_E3!V98+40_v69_E3!V102+40_v69_E3!V190+40_v69_E3!V229+40_v69_E3!V265+40_v69_E3!V268+40_v69_E3!V274)</f>
        <v>110.075315922292</v>
      </c>
      <c r="F14" s="100" t="n">
        <f aca="false">100*(41_v69_E4!V107+41_v69_E4!V109+41_v69_E4!V110+41_v69_E4!V184+41_v69_E4!V56)/(41_v69_E4!V111+41_v69_E4!V112+41_v69_E4!V108+41_v69_E4!V97+41_v69_E4!V98+41_v69_E4!V102+41_v69_E4!V190+41_v69_E4!V229+41_v69_E4!V265+41_v69_E4!V268+41_v69_E4!V274)</f>
        <v>117.942536783881</v>
      </c>
      <c r="G14" s="100" t="n">
        <f aca="false">100*(45_v69_E1_10!V107+45_v69_E1_10!V109+45_v69_E1_10!V110+45_v69_E1_10!V184+45_v69_E1_10!V56)/(45_v69_E1_10!V111+45_v69_E1_10!V112+45_v69_E1_10!V108+45_v69_E1_10!V97+45_v69_E1_10!V98+45_v69_E1_10!V102+45_v69_E1_10!V190+45_v69_E1_10!V229+45_v69_E1_10!V265+45_v69_E1_10!V268+45_v69_E1_10!V274)</f>
        <v>123.926178351034</v>
      </c>
      <c r="H14" s="100" t="n">
        <f aca="false">100*(46_v69_E3_10!V107+46_v69_E3_10!V109+46_v69_E3_10!V110+46_v69_E3_10!V184+46_v69_E3_10!V56)/(46_v69_E3_10!V111+46_v69_E3_10!V112+46_v69_E3_10!V108+46_v69_E3_10!V97+46_v69_E3_10!V98+46_v69_E3_10!V102+46_v69_E3_10!V190+46_v69_E3_10!V229+46_v69_E3_10!V265+46_v69_E3_10!V268+46_v69_E3_10!V274)</f>
        <v>110.075315922292</v>
      </c>
      <c r="I14" s="100" t="n">
        <f aca="false">100*(44_v69_E6!V107+44_v69_E6!V109+44_v69_E6!V110+44_v69_E6!V184+44_v69_E6!V56)/(44_v69_E6!V111+44_v69_E6!V112+44_v69_E6!V108+44_v69_E6!V97+44_v69_E6!V98+44_v69_E6!V102+44_v69_E6!V190+44_v69_E6!V229+44_v69_E6!V265+44_v69_E6!V268+44_v69_E6!V274)</f>
        <v>125.546042325523</v>
      </c>
      <c r="J14" s="100" t="n">
        <f aca="false">100*(49_v69_E1_Ref!V107+49_v69_E1_Ref!V109+49_v69_E1_Ref!V110+49_v69_E1_Ref!V184+49_v69_E1_Ref!V56)/(49_v69_E1_Ref!V111+49_v69_E1_Ref!V112+49_v69_E1_Ref!V108+49_v69_E1_Ref!V97+49_v69_E1_Ref!V98+49_v69_E1_Ref!V102+49_v69_E1_Ref!V190+49_v69_E1_Ref!V229+49_v69_E1_Ref!V265+49_v69_E1_Ref!V268+49_v69_E1_Ref!V274)</f>
        <v>124.169108125279</v>
      </c>
      <c r="K14" s="100" t="n">
        <f aca="false">100*(50_v69_E3_Ref!V107+50_v69_E3_Ref!V109+50_v69_E3_Ref!V110+50_v69_E3_Ref!V184+50_v69_E3_Ref!V56)/(50_v69_E3_Ref!V111+50_v69_E3_Ref!V112+50_v69_E3_Ref!V108+50_v69_E3_Ref!V97+50_v69_E3_Ref!V98+50_v69_E3_Ref!V102+50_v69_E3_Ref!V190+50_v69_E3_Ref!V229+50_v69_E3_Ref!V265+50_v69_E3_Ref!V268+50_v69_E3_Ref!V274)</f>
        <v>110.260752692278</v>
      </c>
      <c r="L14" s="100" t="n">
        <f aca="false">100*(42_v69_Diablo!V107+42_v69_Diablo!V109+42_v69_Diablo!V110+42_v69_Diablo!V184+42_v69_Diablo!V56)/(42_v69_Diablo!V111+42_v69_Diablo!V112+42_v69_Diablo!V108+42_v69_Diablo!V97+42_v69_Diablo!V98+42_v69_Diablo!V102+42_v69_Diablo!V190+42_v69_Diablo!V229+42_v69_Diablo!V265+42_v69_Diablo!V268+42_v69_Diablo!V274)</f>
        <v>87.4329084534133</v>
      </c>
      <c r="M14" s="100" t="n">
        <f aca="false">100*(43_Diablo_Defensas!V107+43_Diablo_Defensas!V109+43_Diablo_Defensas!V110+43_Diablo_Defensas!V184+43_Diablo_Defensas!V56)/(43_Diablo_Defensas!V111+43_Diablo_Defensas!V112+43_Diablo_Defensas!V108+43_Diablo_Defensas!V97+43_Diablo_Defensas!V98+43_Diablo_Defensas!V102+43_Diablo_Defensas!V190+43_Diablo_Defensas!V229+43_Diablo_Defensas!V265+43_Diablo_Defensas!V268+43_Diablo_Defensas!V274)</f>
        <v>91.3922415561404</v>
      </c>
      <c r="N14" s="100" t="n">
        <f aca="false">100*(52_v69_E3_Freno!V107+52_v69_E3_Freno!V109+52_v69_E3_Freno!V110+52_v69_E3_Freno!V184+52_v69_E3_Freno!V56)/(52_v69_E3_Freno!V111+52_v69_E3_Freno!V112+52_v69_E3_Freno!V108+52_v69_E3_Freno!V97+52_v69_E3_Freno!V98+52_v69_E3_Freno!V102+52_v69_E3_Freno!V190+52_v69_E3_Freno!V229+52_v69_E3_Freno!V265+52_v69_E3_Freno!V268+52_v69_E3_Freno!V274)</f>
        <v>112.158290994113</v>
      </c>
      <c r="O14" s="100" t="n">
        <f aca="false">100*(54_v69_E1_Tope!V107+54_v69_E1_Tope!V109+54_v69_E1_Tope!V110+54_v69_E1_Tope!V184+54_v69_E1_Tope!V56)/(54_v69_E1_Tope!V111+54_v69_E1_Tope!V112+54_v69_E1_Tope!V108+54_v69_E1_Tope!V97+54_v69_E1_Tope!V98+54_v69_E1_Tope!V102+54_v69_E1_Tope!V190+54_v69_E1_Tope!V229+54_v69_E1_Tope!V265+54_v69_E1_Tope!V268+54_v69_E1_Tope!V274)</f>
        <v>111.371669341465</v>
      </c>
      <c r="P14" s="100" t="n">
        <f aca="false">100*(55_E1_Crec022!V107+55_E1_Crec022!V109+55_E1_Crec022!V110+55_E1_Crec022!V184+55_E1_Crec022!V56)/(55_E1_Crec022!V111+55_E1_Crec022!V112+55_E1_Crec022!V108+55_E1_Crec022!V97+55_E1_Crec022!V98+55_E1_Crec022!V102+55_E1_Crec022!V190+55_E1_Crec022!V229+55_E1_Crec022!V265+55_E1_Crec022!V268+55_E1_Crec022!V274)</f>
        <v>124.502231234195</v>
      </c>
      <c r="Q14" s="100" t="n">
        <f aca="false">100*(56_E1_Crec049!V107+56_E1_Crec049!V109+56_E1_Crec049!V110+56_E1_Crec049!V184+56_E1_Crec049!V56)/(56_E1_Crec049!V111+56_E1_Crec049!V112+56_E1_Crec049!V108+56_E1_Crec049!V97+56_E1_Crec049!V98+56_E1_Crec049!V102+56_E1_Crec049!V190+56_E1_Crec049!V229+56_E1_Crec049!V265+56_E1_Crec049!V268+56_E1_Crec049!V274)</f>
        <v>125.238283063618</v>
      </c>
      <c r="R14" s="100" t="n">
        <f aca="false">100*(57_E1_AE25!V107+57_E1_AE25!V109+57_E1_AE25!V110+57_E1_AE25!V184+57_E1_AE25!V56)/(57_E1_AE25!V111+57_E1_AE25!V112+57_E1_AE25!V108+57_E1_AE25!V97+57_E1_AE25!V98+57_E1_AE25!V102+57_E1_AE25!V190+57_E1_AE25!V229+57_E1_AE25!V265+57_E1_AE25!V268+57_E1_AE25!V274)</f>
        <v>120.976203715138</v>
      </c>
      <c r="S14" s="100" t="n">
        <f aca="false">100*(58_E1_AE50!V107+58_E1_AE50!V109+58_E1_AE50!V110+58_E1_AE50!V184+58_E1_AE50!V56)/(58_E1_AE50!V111+58_E1_AE50!V112+58_E1_AE50!V108+58_E1_AE50!V97+58_E1_AE50!V98+58_E1_AE50!V102+58_E1_AE50!V190+58_E1_AE50!V229+58_E1_AE50!V265+58_E1_AE50!V268+58_E1_AE50!V274)</f>
        <v>118.02619853785</v>
      </c>
      <c r="T14" s="100" t="n">
        <f aca="false">100*(59_E1_Crec022_AE25!V107+59_E1_Crec022_AE25!V109+59_E1_Crec022_AE25!V110+59_E1_Crec022_AE25!V184+59_E1_Crec022_AE25!V56)/(59_E1_Crec022_AE25!V111+59_E1_Crec022_AE25!V112+59_E1_Crec022_AE25!V108+59_E1_Crec022_AE25!V97+59_E1_Crec022_AE25!V98+59_E1_Crec022_AE25!V102+59_E1_Crec022_AE25!V190+59_E1_Crec022_AE25!V229+59_E1_Crec022_AE25!V265+59_E1_Crec022_AE25!V268+59_E1_Crec022_AE25!V274)</f>
        <v>121.428510744057</v>
      </c>
      <c r="U14" s="100" t="n">
        <f aca="false">100*(42N_Diablo_circuito_nuevo!V107+42N_Diablo_circuito_nuevo!V109+42N_Diablo_circuito_nuevo!V110+42N_Diablo_circuito_nuevo!V184+42N_Diablo_circuito_nuevo!V56)/(42N_Diablo_circuito_nuevo!V111+42N_Diablo_circuito_nuevo!V112+42N_Diablo_circuito_nuevo!V108+42N_Diablo_circuito_nuevo!V97+42N_Diablo_circuito_nuevo!V98+42N_Diablo_circuito_nuevo!V102+42N_Diablo_circuito_nuevo!V190+42N_Diablo_circuito_nuevo!V229+42N_Diablo_circuito_nuevo!V265+42N_Diablo_circuito_nuevo!V268+42N_Diablo_circuito_nuevo!V274)</f>
        <v>101.356906811294</v>
      </c>
      <c r="V14" s="100" t="n">
        <f aca="false">100*(43N_Defensas_circuito_nuevo!V107+43N_Defensas_circuito_nuevo!V109+43N_Defensas_circuito_nuevo!V110+43N_Defensas_circuito_nuevo!V184+43N_Defensas_circuito_nuevo!V56)/(43N_Defensas_circuito_nuevo!V111+43N_Defensas_circuito_nuevo!V112+43N_Defensas_circuito_nuevo!V108+43N_Defensas_circuito_nuevo!V97+43N_Defensas_circuito_nuevo!V98+43N_Defensas_circuito_nuevo!V102+43N_Defensas_circuito_nuevo!V190+43N_Defensas_circuito_nuevo!V229+43N_Defensas_circuito_nuevo!V265+43N_Defensas_circuito_nuevo!V268+43N_Defensas_circuito_nuevo!V274)</f>
        <v>105.743817149582</v>
      </c>
    </row>
    <row r="15" customFormat="false" ht="14.25" hidden="false" customHeight="true" outlineLevel="0" collapsed="false">
      <c r="B15" s="98" t="s">
        <v>649</v>
      </c>
      <c r="C15" s="100" t="n">
        <f aca="false">100*(38_v69_E1!AF107+38_v69_E1!AF109+38_v69_E1!AF110+38_v69_E1!AF184+38_v69_E1!AF56)/(38_v69_E1!AF111+38_v69_E1!AF112+38_v69_E1!AF108+38_v69_E1!AF97+38_v69_E1!AF98+38_v69_E1!AF102+38_v69_E1!AF190+38_v69_E1!AF229+38_v69_E1!AF265+38_v69_E1!AF268+38_v69_E1!AF274)</f>
        <v>124.439259940845</v>
      </c>
      <c r="D15" s="100" t="n">
        <f aca="false">100*(39_v69_E2!AF107+39_v69_E2!AF109+39_v69_E2!AF110+39_v69_E2!AF184+39_v69_E2!AF56)/(39_v69_E2!AF111+39_v69_E2!AF112+39_v69_E2!AF108+39_v69_E2!AF97+39_v69_E2!AF98+39_v69_E2!AF102+39_v69_E2!AF190+39_v69_E2!AF229+39_v69_E2!AF265+39_v69_E2!AF268+39_v69_E2!AF274)</f>
        <v>131.773563831312</v>
      </c>
      <c r="E15" s="100" t="n">
        <f aca="false">100*(40_v69_E3!AF107+40_v69_E3!AF109+40_v69_E3!AF110+40_v69_E3!AF184+40_v69_E3!AF56)/(40_v69_E3!AF111+40_v69_E3!AF112+40_v69_E3!AF108+40_v69_E3!AF97+40_v69_E3!AF98+40_v69_E3!AF102+40_v69_E3!AF190+40_v69_E3!AF229+40_v69_E3!AF265+40_v69_E3!AF268+40_v69_E3!AF274)</f>
        <v>106.115238645185</v>
      </c>
      <c r="F15" s="100" t="n">
        <f aca="false">100*(41_v69_E4!AF107+41_v69_E4!AF109+41_v69_E4!AF110+41_v69_E4!AF184+41_v69_E4!AF56)/(41_v69_E4!AF111+41_v69_E4!AF112+41_v69_E4!AF108+41_v69_E4!AF97+41_v69_E4!AF98+41_v69_E4!AF102+41_v69_E4!AF190+41_v69_E4!AF229+41_v69_E4!AF265+41_v69_E4!AF268+41_v69_E4!AF274)</f>
        <v>115.600543753296</v>
      </c>
      <c r="G15" s="100" t="n">
        <f aca="false">100*(45_v69_E1_10!AF107+45_v69_E1_10!AF109+45_v69_E1_10!AF110+45_v69_E1_10!AF184+45_v69_E1_10!AF56)/(45_v69_E1_10!AF111+45_v69_E1_10!AF112+45_v69_E1_10!AF108+45_v69_E1_10!AF97+45_v69_E1_10!AF98+45_v69_E1_10!AF102+45_v69_E1_10!AF190+45_v69_E1_10!AF229+45_v69_E1_10!AF265+45_v69_E1_10!AF268+45_v69_E1_10!AF274)</f>
        <v>124.439259940845</v>
      </c>
      <c r="H15" s="100" t="n">
        <f aca="false">100*(46_v69_E3_10!AF107+46_v69_E3_10!AF109+46_v69_E3_10!AF110+46_v69_E3_10!AF184+46_v69_E3_10!AF56)/(46_v69_E3_10!AF111+46_v69_E3_10!AF112+46_v69_E3_10!AF108+46_v69_E3_10!AF97+46_v69_E3_10!AF98+46_v69_E3_10!AF102+46_v69_E3_10!AF190+46_v69_E3_10!AF229+46_v69_E3_10!AF265+46_v69_E3_10!AF268+46_v69_E3_10!AF274)</f>
        <v>106.115238645185</v>
      </c>
      <c r="I15" s="100" t="n">
        <f aca="false">100*(44_v69_E6!AF107+44_v69_E6!AF109+44_v69_E6!AF110+44_v69_E6!AF184+44_v69_E6!AF56)/(44_v69_E6!AF111+44_v69_E6!AF112+44_v69_E6!AF108+44_v69_E6!AF97+44_v69_E6!AF98+44_v69_E6!AF102+44_v69_E6!AF190+44_v69_E6!AF229+44_v69_E6!AF265+44_v69_E6!AF268+44_v69_E6!AF274)</f>
        <v>126.057711728604</v>
      </c>
      <c r="J15" s="100" t="n">
        <f aca="false">100*(49_v69_E1_Ref!AF107+49_v69_E1_Ref!AF109+49_v69_E1_Ref!AF110+49_v69_E1_Ref!AF184+49_v69_E1_Ref!AF56)/(49_v69_E1_Ref!AF111+49_v69_E1_Ref!AF112+49_v69_E1_Ref!AF108+49_v69_E1_Ref!AF97+49_v69_E1_Ref!AF98+49_v69_E1_Ref!AF102+49_v69_E1_Ref!AF190+49_v69_E1_Ref!AF229+49_v69_E1_Ref!AF265+49_v69_E1_Ref!AF268+49_v69_E1_Ref!AF274)</f>
        <v>125.099047004319</v>
      </c>
      <c r="K15" s="100" t="n">
        <f aca="false">100*(50_v69_E3_Ref!AF107+50_v69_E3_Ref!AF109+50_v69_E3_Ref!AF110+50_v69_E3_Ref!AF184+50_v69_E3_Ref!AF56)/(50_v69_E3_Ref!AF111+50_v69_E3_Ref!AF112+50_v69_E3_Ref!AF108+50_v69_E3_Ref!AF97+50_v69_E3_Ref!AF98+50_v69_E3_Ref!AF102+50_v69_E3_Ref!AF190+50_v69_E3_Ref!AF229+50_v69_E3_Ref!AF265+50_v69_E3_Ref!AF268+50_v69_E3_Ref!AF274)</f>
        <v>106.545570633021</v>
      </c>
      <c r="L15" s="100" t="n">
        <f aca="false">100*(42_v69_Diablo!AF107+42_v69_Diablo!AF109+42_v69_Diablo!AF110+42_v69_Diablo!AF184+42_v69_Diablo!AF56)/(42_v69_Diablo!AF111+42_v69_Diablo!AF112+42_v69_Diablo!AF108+42_v69_Diablo!AF97+42_v69_Diablo!AF98+42_v69_Diablo!AF102+42_v69_Diablo!AF190+42_v69_Diablo!AF229+42_v69_Diablo!AF265+42_v69_Diablo!AF268+42_v69_Diablo!AF274)</f>
        <v>98.5599304770616</v>
      </c>
      <c r="M15" s="100" t="n">
        <f aca="false">100*(43_Diablo_Defensas!AF107+43_Diablo_Defensas!AF109+43_Diablo_Defensas!AF110+43_Diablo_Defensas!AF184+43_Diablo_Defensas!AF56)/(43_Diablo_Defensas!AF111+43_Diablo_Defensas!AF112+43_Diablo_Defensas!AF108+43_Diablo_Defensas!AF97+43_Diablo_Defensas!AF98+43_Diablo_Defensas!AF102+43_Diablo_Defensas!AF190+43_Diablo_Defensas!AF229+43_Diablo_Defensas!AF265+43_Diablo_Defensas!AF268+43_Diablo_Defensas!AF274)</f>
        <v>93.8234435379442</v>
      </c>
      <c r="N15" s="100" t="n">
        <f aca="false">100*(52_v69_E3_Freno!AF107+52_v69_E3_Freno!AF109+52_v69_E3_Freno!AF110+52_v69_E3_Freno!AF184+52_v69_E3_Freno!AF56)/(52_v69_E3_Freno!AF111+52_v69_E3_Freno!AF112+52_v69_E3_Freno!AF108+52_v69_E3_Freno!AF97+52_v69_E3_Freno!AF98+52_v69_E3_Freno!AF102+52_v69_E3_Freno!AF190+52_v69_E3_Freno!AF229+52_v69_E3_Freno!AF265+52_v69_E3_Freno!AF268+52_v69_E3_Freno!AF274)</f>
        <v>109.131677192954</v>
      </c>
      <c r="O15" s="100" t="n">
        <f aca="false">100*(54_v69_E1_Tope!AF107+54_v69_E1_Tope!AF109+54_v69_E1_Tope!AF110+54_v69_E1_Tope!AF184+54_v69_E1_Tope!AF56)/(54_v69_E1_Tope!AF111+54_v69_E1_Tope!AF112+54_v69_E1_Tope!AF108+54_v69_E1_Tope!AF97+54_v69_E1_Tope!AF98+54_v69_E1_Tope!AF102+54_v69_E1_Tope!AF190+54_v69_E1_Tope!AF229+54_v69_E1_Tope!AF265+54_v69_E1_Tope!AF268+54_v69_E1_Tope!AF274)</f>
        <v>109.411863021103</v>
      </c>
      <c r="P15" s="100" t="n">
        <f aca="false">100*(55_E1_Crec022!AF107+55_E1_Crec022!AF109+55_E1_Crec022!AF110+55_E1_Crec022!AF184+55_E1_Crec022!AF56)/(55_E1_Crec022!AF111+55_E1_Crec022!AF112+55_E1_Crec022!AF108+55_E1_Crec022!AF97+55_E1_Crec022!AF98+55_E1_Crec022!AF102+55_E1_Crec022!AF190+55_E1_Crec022!AF229+55_E1_Crec022!AF265+55_E1_Crec022!AF268+55_E1_Crec022!AF274)</f>
        <v>125.471248785678</v>
      </c>
      <c r="Q15" s="100" t="n">
        <f aca="false">100*(56_E1_Crec049!AF107+56_E1_Crec049!AF109+56_E1_Crec049!AF110+56_E1_Crec049!AF184+56_E1_Crec049!AF56)/(56_E1_Crec049!AF111+56_E1_Crec049!AF112+56_E1_Crec049!AF108+56_E1_Crec049!AF97+56_E1_Crec049!AF98+56_E1_Crec049!AF102+56_E1_Crec049!AF190+56_E1_Crec049!AF229+56_E1_Crec049!AF265+56_E1_Crec049!AF268+56_E1_Crec049!AF274)</f>
        <v>126.817434260897</v>
      </c>
      <c r="R15" s="100" t="n">
        <f aca="false">100*(57_E1_AE25!AF107+57_E1_AE25!AF109+57_E1_AE25!AF110+57_E1_AE25!AF184+57_E1_AE25!AF56)/(57_E1_AE25!AF111+57_E1_AE25!AF112+57_E1_AE25!AF108+57_E1_AE25!AF97+57_E1_AE25!AF98+57_E1_AE25!AF102+57_E1_AE25!AF190+57_E1_AE25!AF229+57_E1_AE25!AF265+57_E1_AE25!AF268+57_E1_AE25!AF274)</f>
        <v>120.496164233266</v>
      </c>
      <c r="S15" s="100" t="n">
        <f aca="false">100*(58_E1_AE50!AF107+58_E1_AE50!AF109+58_E1_AE50!AF110+58_E1_AE50!AF184+58_E1_AE50!AF56)/(58_E1_AE50!AF111+58_E1_AE50!AF112+58_E1_AE50!AF108+58_E1_AE50!AF97+58_E1_AE50!AF98+58_E1_AE50!AF102+58_E1_AE50!AF190+58_E1_AE50!AF229+58_E1_AE50!AF265+58_E1_AE50!AF268+58_E1_AE50!AF274)</f>
        <v>116.55247900587</v>
      </c>
      <c r="T15" s="100" t="n">
        <f aca="false">100*(59_E1_Crec022_AE25!AF107+59_E1_Crec022_AE25!AF109+59_E1_Crec022_AE25!AF110+59_E1_Crec022_AE25!AF184+59_E1_Crec022_AE25!AF56)/(59_E1_Crec022_AE25!AF111+59_E1_Crec022_AE25!AF112+59_E1_Crec022_AE25!AF108+59_E1_Crec022_AE25!AF97+59_E1_Crec022_AE25!AF98+59_E1_Crec022_AE25!AF102+59_E1_Crec022_AE25!AF190+59_E1_Crec022_AE25!AF229+59_E1_Crec022_AE25!AF265+59_E1_Crec022_AE25!AF268+59_E1_Crec022_AE25!AF274)</f>
        <v>121.290527118271</v>
      </c>
      <c r="U15" s="100" t="n">
        <f aca="false">100*(42N_Diablo_circuito_nuevo!AF107+42N_Diablo_circuito_nuevo!AF109+42N_Diablo_circuito_nuevo!AF110+42N_Diablo_circuito_nuevo!AF184+42N_Diablo_circuito_nuevo!AF56)/(42N_Diablo_circuito_nuevo!AF111+42N_Diablo_circuito_nuevo!AF112+42N_Diablo_circuito_nuevo!AF108+42N_Diablo_circuito_nuevo!AF97+42N_Diablo_circuito_nuevo!AF98+42N_Diablo_circuito_nuevo!AF102+42N_Diablo_circuito_nuevo!AF190+42N_Diablo_circuito_nuevo!AF229+42N_Diablo_circuito_nuevo!AF265+42N_Diablo_circuito_nuevo!AF268+42N_Diablo_circuito_nuevo!AF274)</f>
        <v>92.7829312958703</v>
      </c>
      <c r="V15" s="100" t="n">
        <f aca="false">100*(43N_Defensas_circuito_nuevo!AF107+43N_Defensas_circuito_nuevo!AF109+43N_Defensas_circuito_nuevo!AF110+43N_Defensas_circuito_nuevo!AF184+43N_Defensas_circuito_nuevo!AF56)/(43N_Defensas_circuito_nuevo!AF111+43N_Defensas_circuito_nuevo!AF112+43N_Defensas_circuito_nuevo!AF108+43N_Defensas_circuito_nuevo!AF97+43N_Defensas_circuito_nuevo!AF98+43N_Defensas_circuito_nuevo!AF102+43N_Defensas_circuito_nuevo!AF190+43N_Defensas_circuito_nuevo!AF229+43N_Defensas_circuito_nuevo!AF265+43N_Defensas_circuito_nuevo!AF268+43N_Defensas_circuito_nuevo!AF274)</f>
        <v>98.0368686400863</v>
      </c>
    </row>
    <row r="16" customFormat="false" ht="14.25" hidden="false" customHeight="true" outlineLevel="0" collapsed="false">
      <c r="B16" s="98" t="s">
        <v>650</v>
      </c>
      <c r="C16" s="99" t="n">
        <f aca="false">38_v69_E1!AF81</f>
        <v>547.418183116313</v>
      </c>
      <c r="D16" s="99" t="n">
        <f aca="false">39_v69_E2!AF81</f>
        <v>567.385535438893</v>
      </c>
      <c r="E16" s="99" t="n">
        <f aca="false">40_v69_E3!AF81</f>
        <v>486.081341053221</v>
      </c>
      <c r="F16" s="99" t="n">
        <f aca="false">41_v69_E4!AF81</f>
        <v>505.373853968524</v>
      </c>
      <c r="G16" s="99" t="n">
        <f aca="false">45_v69_E1_10!AF81</f>
        <v>547.418183116313</v>
      </c>
      <c r="H16" s="99" t="n">
        <f aca="false">46_v69_E3_10!AF81</f>
        <v>486.081341053221</v>
      </c>
      <c r="I16" s="99" t="n">
        <f aca="false">44_v69_E6!AF81</f>
        <v>554.316352545308</v>
      </c>
      <c r="J16" s="99" t="n">
        <f aca="false">49_v69_E1_Ref!AF81</f>
        <v>547.402640284587</v>
      </c>
      <c r="K16" s="99" t="n">
        <f aca="false">50_v69_E3_Ref!AF81</f>
        <v>485.553696616389</v>
      </c>
      <c r="L16" s="99" t="n">
        <f aca="false">42_v69_Diablo!AF81</f>
        <v>477.012872389862</v>
      </c>
      <c r="M16" s="99" t="n">
        <f aca="false">43_Diablo_Defensas!AF81</f>
        <v>479.25675097765</v>
      </c>
      <c r="N16" s="99" t="n">
        <f aca="false">52_v69_E3_Freno!AF81</f>
        <v>493.377311853384</v>
      </c>
      <c r="O16" s="99" t="n">
        <f aca="false">54_v69_E1_Tope!AF81</f>
        <v>507.973667253791</v>
      </c>
      <c r="P16" s="99" t="n">
        <f aca="false">55_E1_Crec022!AF81</f>
        <v>547.915515020609</v>
      </c>
      <c r="Q16" s="99" t="n">
        <f aca="false">56_E1_Crec049!AF81</f>
        <v>548.546655790981</v>
      </c>
      <c r="R16" s="99" t="n">
        <f aca="false">57_E1_AE25!AF81</f>
        <v>545.929259147628</v>
      </c>
      <c r="S16" s="99" t="n">
        <f aca="false">58_E1_AE50!AF81</f>
        <v>544.440335178943</v>
      </c>
      <c r="T16" s="99" t="n">
        <f aca="false">59_E1_Crec022_AE25!AF81</f>
        <v>546.362596256517</v>
      </c>
      <c r="U16" s="99" t="n">
        <f aca="false">42N_Diablo_circuito_nuevo!AF81</f>
        <v>482.72430743665</v>
      </c>
      <c r="V16" s="99" t="n">
        <f aca="false">43N_Defensas_circuito_nuevo!AF81</f>
        <v>483.475696803537</v>
      </c>
    </row>
    <row r="17" customFormat="false" ht="14.25" hidden="false" customHeight="true" outlineLevel="0" collapsed="false">
      <c r="B17" s="98" t="s">
        <v>651</v>
      </c>
      <c r="C17" s="99" t="n">
        <f aca="false">38_v69_E1!AF83</f>
        <v>244.062969768443</v>
      </c>
      <c r="D17" s="99" t="n">
        <f aca="false">39_v69_E2!AF83</f>
        <v>244.062969768443</v>
      </c>
      <c r="E17" s="99" t="n">
        <f aca="false">40_v69_E3!AF83</f>
        <v>220.731137584789</v>
      </c>
      <c r="F17" s="99" t="n">
        <f aca="false">41_v69_E4!AF83</f>
        <v>229.412768396675</v>
      </c>
      <c r="G17" s="99" t="n">
        <f aca="false">45_v69_E1_10!AF83</f>
        <v>244.062969768443</v>
      </c>
      <c r="H17" s="99" t="n">
        <f aca="false">46_v69_E3_10!AF83</f>
        <v>220.731137584789</v>
      </c>
      <c r="I17" s="99" t="n">
        <f aca="false">44_v69_E6!AF83</f>
        <v>244.062969768443</v>
      </c>
      <c r="J17" s="99" t="n">
        <f aca="false">49_v69_E1_Ref!AF83</f>
        <v>244.062969768443</v>
      </c>
      <c r="K17" s="99" t="n">
        <f aca="false">50_v69_E3_Ref!AF83</f>
        <v>220.324396539815</v>
      </c>
      <c r="L17" s="99" t="n">
        <f aca="false">42_v69_Diablo!AF83</f>
        <v>216.042809433278</v>
      </c>
      <c r="M17" s="99" t="n">
        <f aca="false">43_Diablo_Defensas!AF83</f>
        <v>217.243488791582</v>
      </c>
      <c r="N17" s="99" t="n">
        <f aca="false">52_v69_E3_Freno!AF83</f>
        <v>224.014324444862</v>
      </c>
      <c r="O17" s="99" t="n">
        <f aca="false">54_v69_E1_Tope!AF83</f>
        <v>189.826754264345</v>
      </c>
      <c r="P17" s="99" t="n">
        <f aca="false">55_E1_Crec022!AF83</f>
        <v>244.062969768443</v>
      </c>
      <c r="Q17" s="99" t="n">
        <f aca="false">56_E1_Crec049!AF83</f>
        <v>244.062969768443</v>
      </c>
      <c r="R17" s="99" t="n">
        <f aca="false">57_E1_AE25!AF83</f>
        <v>244.062969768443</v>
      </c>
      <c r="S17" s="99" t="n">
        <f aca="false">58_E1_AE50!AF83</f>
        <v>244.062969768443</v>
      </c>
      <c r="T17" s="99" t="n">
        <f aca="false">59_E1_Crec022_AE25!AF83</f>
        <v>244.062969768443</v>
      </c>
      <c r="U17" s="99" t="n">
        <f aca="false">42N_Diablo_circuito_nuevo!AF83</f>
        <v>219.220472457332</v>
      </c>
      <c r="V17" s="99" t="n">
        <f aca="false">43N_Defensas_circuito_nuevo!AF83</f>
        <v>219.558597672431</v>
      </c>
    </row>
    <row r="18" customFormat="false" ht="14.25" hidden="false" customHeight="true" outlineLevel="0" collapsed="false">
      <c r="B18" s="98" t="s">
        <v>652</v>
      </c>
      <c r="C18" s="99" t="n">
        <f aca="false">MAX(38_v69_E1!C96:AF96)</f>
        <v>0</v>
      </c>
      <c r="D18" s="99" t="n">
        <f aca="false">MAX(39_v69_E2!C96:AF96)</f>
        <v>0</v>
      </c>
      <c r="E18" s="99" t="n">
        <f aca="false">MAX(40_v69_E3!C96:AF96)</f>
        <v>0</v>
      </c>
      <c r="F18" s="99" t="n">
        <f aca="false">MAX(41_v69_E4!C96:AF96)</f>
        <v>0</v>
      </c>
      <c r="G18" s="99" t="n">
        <f aca="false">MAX(45_v69_E1_10!C96:AF96)</f>
        <v>0</v>
      </c>
      <c r="H18" s="99" t="n">
        <f aca="false">MAX(46_v69_E3_10!C96:AF96)</f>
        <v>0</v>
      </c>
      <c r="I18" s="99" t="n">
        <f aca="false">MAX(44_v69_E6!C96:AF96)</f>
        <v>0</v>
      </c>
      <c r="J18" s="99" t="n">
        <f aca="false">MAX(49_v69_E1_Ref!C96:AF96)</f>
        <v>0</v>
      </c>
      <c r="K18" s="99" t="n">
        <f aca="false">MAX(50_v69_E3_Ref!C96:AF96)</f>
        <v>0</v>
      </c>
      <c r="L18" s="99" t="n">
        <f aca="false">MAX(42_v69_Diablo!C96:AF96)</f>
        <v>0</v>
      </c>
      <c r="M18" s="99" t="n">
        <f aca="false">MAX(43_Diablo_Defensas!C96:AF96)</f>
        <v>0</v>
      </c>
      <c r="N18" s="99" t="n">
        <f aca="false">MAX(52_v69_E3_Freno!C96:AF96)</f>
        <v>0</v>
      </c>
      <c r="O18" s="99" t="n">
        <f aca="false">MAX(54_v69_E1_Tope!C96:AF96)</f>
        <v>0</v>
      </c>
      <c r="P18" s="99" t="n">
        <f aca="false">MAX(55_E1_Crec022!C96:AF96)</f>
        <v>0</v>
      </c>
      <c r="Q18" s="99" t="n">
        <f aca="false">MAX(56_E1_Crec049!C96:AF96)</f>
        <v>0</v>
      </c>
      <c r="R18" s="99" t="n">
        <f aca="false">MAX(57_E1_AE25!C96:AF96)</f>
        <v>0</v>
      </c>
      <c r="S18" s="99" t="n">
        <f aca="false">MAX(58_E1_AE50!C96:AF96)</f>
        <v>0</v>
      </c>
      <c r="T18" s="99" t="n">
        <f aca="false">MAX(59_E1_Crec022_AE25!C96:AF96)</f>
        <v>0</v>
      </c>
      <c r="U18" s="99" t="n">
        <f aca="false">MAX(42N_Diablo_circuito_nuevo!C96:AF96)</f>
        <v>0</v>
      </c>
      <c r="V18" s="99" t="n">
        <f aca="false">MAX(43N_Defensas_circuito_nuevo!C96:AF96)</f>
        <v>0</v>
      </c>
    </row>
    <row r="19" customFormat="false" ht="26.25" hidden="false" customHeight="true" outlineLevel="0" collapsed="false">
      <c r="B19" s="98" t="s">
        <v>653</v>
      </c>
      <c r="C19" s="101" t="n">
        <f aca="false">SUMPRODUCT(MAX(38_v69_E1!C83:AF83/(64_Inflacion!$C$5*38_v69_E1!C41:AF41/38_v69_E1!$C$41+38_v69_E1!C83:AF83)))</f>
        <v>0.3</v>
      </c>
      <c r="D19" s="101" t="n">
        <f aca="false">SUMPRODUCT(MAX(39_v69_E2!C83:AF83/(64_Inflacion!$C$5*39_v69_E2!C41:AF41/39_v69_E2!$C$41+39_v69_E2!C83:AF83)))</f>
        <v>0.3</v>
      </c>
      <c r="E19" s="101" t="n">
        <f aca="false">SUMPRODUCT(MAX(40_v69_E3!C83:AF83/(64_Inflacion!$C$5*40_v69_E3!C41:AF41/40_v69_E3!$C$41+40_v69_E3!C83:AF83)))</f>
        <v>0.3</v>
      </c>
      <c r="F19" s="101" t="n">
        <f aca="false">SUMPRODUCT(MAX(41_v69_E4!C83:AF83/(64_Inflacion!$C$5*41_v69_E4!C41:AF41/41_v69_E4!$C$41+41_v69_E4!C83:AF83)))</f>
        <v>0.3</v>
      </c>
      <c r="G19" s="101" t="n">
        <f aca="false">SUMPRODUCT(MAX(45_v69_E1_10!C83:AF83/(64_Inflacion!$C$5*45_v69_E1_10!C41:AF41/45_v69_E1_10!$C$41+45_v69_E1_10!C83:AF83)))</f>
        <v>0.3</v>
      </c>
      <c r="H19" s="101" t="n">
        <f aca="false">SUMPRODUCT(MAX(46_v69_E3_10!C83:AF83/(64_Inflacion!$C$5*46_v69_E3_10!C41:AF41/46_v69_E3_10!$C$41+46_v69_E3_10!C83:AF83)))</f>
        <v>0.3</v>
      </c>
      <c r="I19" s="101" t="n">
        <f aca="false">SUMPRODUCT(MAX(44_v69_E6!C83:AF83/(64_Inflacion!$C$5*44_v69_E6!C41:AF41/44_v69_E6!$C$41+44_v69_E6!C83:AF83)))</f>
        <v>0.3</v>
      </c>
      <c r="J19" s="101" t="n">
        <f aca="false">SUMPRODUCT(MAX(49_v69_E1_Ref!C83:AF83/(64_Inflacion!$C$5*49_v69_E1_Ref!C41:AF41/49_v69_E1_Ref!$C$41+49_v69_E1_Ref!C83:AF83)))</f>
        <v>0.3</v>
      </c>
      <c r="K19" s="101" t="n">
        <f aca="false">SUMPRODUCT(MAX(50_v69_E3_Ref!C83:AF83/(64_Inflacion!$C$5*50_v69_E3_Ref!C41:AF41/50_v69_E3_Ref!$C$41+50_v69_E3_Ref!C83:AF83)))</f>
        <v>0.3</v>
      </c>
      <c r="L19" s="101" t="n">
        <f aca="false">SUMPRODUCT(MAX(42_v69_Diablo!C83:AF83/(64_Inflacion!$C$5*42_v69_Diablo!C41:AF41/42_v69_Diablo!$C$41+42_v69_Diablo!C83:AF83)))</f>
        <v>0.3</v>
      </c>
      <c r="M19" s="101" t="n">
        <f aca="false">SUMPRODUCT(MAX(43_Diablo_Defensas!C83:AF83/(64_Inflacion!$C$5*43_Diablo_Defensas!C41:AF41/43_Diablo_Defensas!$C$41+43_Diablo_Defensas!C83:AF83)))</f>
        <v>0.3</v>
      </c>
      <c r="N19" s="101" t="n">
        <f aca="false">SUMPRODUCT(MAX(52_v69_E3_Freno!C83:AF83/(64_Inflacion!$C$5*52_v69_E3_Freno!C41:AF41/52_v69_E3_Freno!$C$41+52_v69_E3_Freno!C83:AF83)))</f>
        <v>0.3</v>
      </c>
      <c r="O19" s="101" t="n">
        <f aca="false">SUMPRODUCT(MAX(54_v69_E1_Tope!C83:AF83/(64_Inflacion!$C$5*54_v69_E1_Tope!C41:AF41/54_v69_E1_Tope!$C$41+54_v69_E1_Tope!C83:AF83)))</f>
        <v>0.25</v>
      </c>
      <c r="P19" s="101" t="n">
        <f aca="false">SUMPRODUCT(MAX(55_E1_Crec022!C83:AF83/(64_Inflacion!$C$5*55_E1_Crec022!C41:AF41/55_E1_Crec022!$C$41+55_E1_Crec022!C83:AF83)))</f>
        <v>0.3</v>
      </c>
      <c r="Q19" s="101" t="n">
        <f aca="false">SUMPRODUCT(MAX(56_E1_Crec049!C83:AF83/(64_Inflacion!$C$5*56_E1_Crec049!C41:AF41/56_E1_Crec049!$C$41+56_E1_Crec049!C83:AF83)))</f>
        <v>0.3</v>
      </c>
      <c r="R19" s="101" t="n">
        <f aca="false">SUMPRODUCT(MAX(57_E1_AE25!C83:AF83/(64_Inflacion!$C$5*57_E1_AE25!C41:AF41/57_E1_AE25!$C$41+57_E1_AE25!C83:AF83)))</f>
        <v>0.3</v>
      </c>
      <c r="S19" s="101" t="n">
        <f aca="false">SUMPRODUCT(MAX(58_E1_AE50!C83:AF83/(64_Inflacion!$C$5*58_E1_AE50!C41:AF41/58_E1_AE50!$C$41+58_E1_AE50!C83:AF83)))</f>
        <v>0.3</v>
      </c>
      <c r="T19" s="101" t="n">
        <f aca="false">SUMPRODUCT(MAX(59_E1_Crec022_AE25!C83:AF83/(64_Inflacion!$C$5*59_E1_Crec022_AE25!C41:AF41/59_E1_Crec022_AE25!$C$41+59_E1_Crec022_AE25!C83:AF83)))</f>
        <v>0.3</v>
      </c>
      <c r="U19" s="101" t="n">
        <f aca="false">SUMPRODUCT(MAX(42N_Diablo_circuito_nuevo!C83:AF83/(64_Inflacion!$C$5*42N_Diablo_circuito_nuevo!C41:AF41/42N_Diablo_circuito_nuevo!$C$41+42N_Diablo_circuito_nuevo!C83:AF83)))</f>
        <v>0.3</v>
      </c>
      <c r="V19" s="101" t="n">
        <f aca="false">SUMPRODUCT(MAX(43N_Defensas_circuito_nuevo!C83:AF83/(64_Inflacion!$C$5*43N_Defensas_circuito_nuevo!C41:AF41/43N_Defensas_circuito_nuevo!$C$41+43N_Defensas_circuito_nuevo!C83:AF83)))</f>
        <v>0.3</v>
      </c>
    </row>
    <row r="20" customFormat="false" ht="14.25" hidden="false" customHeight="true" outlineLevel="0" collapsed="false">
      <c r="B20" s="96" t="s">
        <v>654</v>
      </c>
      <c r="C20" s="97"/>
      <c r="D20" s="97"/>
      <c r="E20" s="97"/>
      <c r="F20" s="97"/>
      <c r="G20" s="97"/>
      <c r="H20" s="97"/>
      <c r="I20" s="97"/>
      <c r="J20" s="97"/>
      <c r="K20" s="97"/>
      <c r="L20" s="97"/>
      <c r="M20" s="97"/>
      <c r="N20" s="97"/>
      <c r="O20" s="97"/>
      <c r="P20" s="97"/>
      <c r="Q20" s="97"/>
      <c r="R20" s="97"/>
      <c r="S20" s="97"/>
      <c r="T20" s="97"/>
      <c r="U20" s="97"/>
      <c r="V20" s="97"/>
    </row>
    <row r="21" customFormat="false" ht="14.25" hidden="false" customHeight="true" outlineLevel="0" collapsed="false">
      <c r="B21" s="98" t="s">
        <v>655</v>
      </c>
      <c r="C21" s="99" t="n">
        <f aca="false">SUM(38_v69_E1!C133:AF133)</f>
        <v>-206</v>
      </c>
      <c r="D21" s="99" t="n">
        <f aca="false">SUM(39_v69_E2!C133:AF133)</f>
        <v>-206</v>
      </c>
      <c r="E21" s="99" t="n">
        <f aca="false">SUM(40_v69_E3!C133:AF133)</f>
        <v>-206</v>
      </c>
      <c r="F21" s="99" t="n">
        <f aca="false">SUM(41_v69_E4!C133:AF133)</f>
        <v>-206</v>
      </c>
      <c r="G21" s="99" t="n">
        <f aca="false">SUM(45_v69_E1_10!C133:AF133)</f>
        <v>-206</v>
      </c>
      <c r="H21" s="99" t="n">
        <f aca="false">SUM(46_v69_E3_10!C133:AF133)</f>
        <v>-206</v>
      </c>
      <c r="I21" s="99" t="n">
        <f aca="false">SUM(44_v69_E6!C133:AF133)</f>
        <v>-206</v>
      </c>
      <c r="J21" s="99" t="n">
        <f aca="false">SUM(49_v69_E1_Ref!C133:AF133)</f>
        <v>-206</v>
      </c>
      <c r="K21" s="99" t="n">
        <f aca="false">SUM(50_v69_E3_Ref!C133:AF133)</f>
        <v>-206</v>
      </c>
      <c r="L21" s="99" t="n">
        <f aca="false">SUM(42_v69_Diablo!C133:AF133)</f>
        <v>-206</v>
      </c>
      <c r="M21" s="99" t="n">
        <f aca="false">SUM(43_Diablo_Defensas!C133:AF133)</f>
        <v>-206</v>
      </c>
      <c r="N21" s="99" t="n">
        <f aca="false">SUM(52_v69_E3_Freno!C133:AF133)</f>
        <v>-206</v>
      </c>
      <c r="O21" s="99" t="n">
        <f aca="false">SUM(54_v69_E1_Tope!C133:AF133)</f>
        <v>-206</v>
      </c>
      <c r="P21" s="99" t="n">
        <f aca="false">SUM(55_E1_Crec022!C133:AF133)</f>
        <v>-206</v>
      </c>
      <c r="Q21" s="99" t="n">
        <f aca="false">SUM(56_E1_Crec049!C133:AF133)</f>
        <v>-206</v>
      </c>
      <c r="R21" s="99" t="n">
        <f aca="false">SUM(57_E1_AE25!C133:AF133)</f>
        <v>-206</v>
      </c>
      <c r="S21" s="99" t="n">
        <f aca="false">SUM(58_E1_AE50!C133:AF133)</f>
        <v>-206</v>
      </c>
      <c r="T21" s="99" t="n">
        <f aca="false">SUM(59_E1_Crec022_AE25!C133:AF133)</f>
        <v>-206</v>
      </c>
      <c r="U21" s="99" t="n">
        <f aca="false">SUM(42N_Diablo_circuito_nuevo!C133:AF133)</f>
        <v>-206</v>
      </c>
      <c r="V21" s="99" t="n">
        <f aca="false">SUM(43N_Defensas_circuito_nuevo!C133:AF133)</f>
        <v>-206</v>
      </c>
    </row>
    <row r="22" customFormat="false" ht="14.25" hidden="false" customHeight="true" outlineLevel="0" collapsed="false">
      <c r="B22" s="98" t="s">
        <v>656</v>
      </c>
      <c r="C22" s="99" t="n">
        <f aca="false">SUM(38_v69_E1!C134:AF134)</f>
        <v>-46.9758923847006</v>
      </c>
      <c r="D22" s="99" t="n">
        <f aca="false">SUM(39_v69_E2!C134:AF134)</f>
        <v>-48.7012060506072</v>
      </c>
      <c r="E22" s="99" t="n">
        <f aca="false">SUM(40_v69_E3!C134:AF134)</f>
        <v>-46.9758923847006</v>
      </c>
      <c r="F22" s="99" t="n">
        <f aca="false">SUM(41_v69_E4!C134:AF134)</f>
        <v>-48.7012060506072</v>
      </c>
      <c r="G22" s="99" t="n">
        <f aca="false">SUM(45_v69_E1_10!C134:AF134)</f>
        <v>-46.9758923847006</v>
      </c>
      <c r="H22" s="99" t="n">
        <f aca="false">SUM(46_v69_E3_10!C134:AF134)</f>
        <v>-46.9758923847006</v>
      </c>
      <c r="I22" s="99" t="n">
        <f aca="false">SUM(44_v69_E6!C134:AF134)</f>
        <v>-46.9758923847006</v>
      </c>
      <c r="J22" s="99" t="n">
        <f aca="false">SUM(49_v69_E1_Ref!C134:AF134)</f>
        <v>-46.9758923847006</v>
      </c>
      <c r="K22" s="99" t="n">
        <f aca="false">SUM(50_v69_E3_Ref!C134:AF134)</f>
        <v>-46.9758923847006</v>
      </c>
      <c r="L22" s="99" t="n">
        <f aca="false">SUM(42_v69_Diablo!C134:AF134)</f>
        <v>-59.6943175299034</v>
      </c>
      <c r="M22" s="99" t="n">
        <f aca="false">SUM(43_Diablo_Defensas!C134:AF134)</f>
        <v>-52.1461376227754</v>
      </c>
      <c r="N22" s="99" t="n">
        <f aca="false">SUM(52_v69_E3_Freno!C134:AF134)</f>
        <v>-46.9758923847006</v>
      </c>
      <c r="O22" s="99" t="n">
        <f aca="false">SUM(54_v69_E1_Tope!C134:AF134)</f>
        <v>-46.9758923847006</v>
      </c>
      <c r="P22" s="99" t="n">
        <f aca="false">SUM(55_E1_Crec022!C134:AF134)</f>
        <v>-48.7012060506072</v>
      </c>
      <c r="Q22" s="99" t="n">
        <f aca="false">SUM(56_E1_Crec049!C134:AF134)</f>
        <v>-50.9242539040144</v>
      </c>
      <c r="R22" s="99" t="n">
        <f aca="false">SUM(57_E1_AE25!C134:AF134)</f>
        <v>-40.0287096700552</v>
      </c>
      <c r="S22" s="99" t="n">
        <f aca="false">SUM(58_E1_AE50!C134:AF134)</f>
        <v>-33.0815269554099</v>
      </c>
      <c r="T22" s="99" t="n">
        <f aca="false">SUM(59_E1_Crec022_AE25!C134:AF134)</f>
        <v>-41.4021983467921</v>
      </c>
      <c r="U22" s="99" t="n">
        <f aca="false">SUM(42N_Diablo_circuito_nuevo!C134:AF134)</f>
        <v>-46.9758923847006</v>
      </c>
      <c r="V22" s="99" t="n">
        <f aca="false">SUM(43N_Defensas_circuito_nuevo!C134:AF134)</f>
        <v>-46.9758923847006</v>
      </c>
    </row>
    <row r="23" customFormat="false" ht="14.25" hidden="false" customHeight="true" outlineLevel="0" collapsed="false">
      <c r="B23" s="98" t="s">
        <v>657</v>
      </c>
      <c r="C23" s="99" t="n">
        <f aca="false">SUM(38_v69_E1!C141:AF141)</f>
        <v>-39.5660556761994</v>
      </c>
      <c r="D23" s="99" t="n">
        <f aca="false">SUM(39_v69_E2!C141:AF141)</f>
        <v>-37.1220762537546</v>
      </c>
      <c r="E23" s="99" t="n">
        <f aca="false">SUM(40_v69_E3!C141:AF141)</f>
        <v>-37.720998252305</v>
      </c>
      <c r="F23" s="99" t="n">
        <f aca="false">SUM(41_v69_E4!C141:AF141)</f>
        <v>-35.2769854418806</v>
      </c>
      <c r="G23" s="99" t="n">
        <f aca="false">SUM(45_v69_E1_10!C141:AF141)</f>
        <v>-39.5660556761994</v>
      </c>
      <c r="H23" s="99" t="n">
        <f aca="false">SUM(46_v69_E3_10!C141:AF141)</f>
        <v>-37.720998252305</v>
      </c>
      <c r="I23" s="99" t="n">
        <f aca="false">SUM(44_v69_E6!C141:AF141)</f>
        <v>-39.8201894985952</v>
      </c>
      <c r="J23" s="99" t="n">
        <f aca="false">SUM(49_v69_E1_Ref!C141:AF141)</f>
        <v>-39.5653866823008</v>
      </c>
      <c r="K23" s="99" t="n">
        <f aca="false">SUM(50_v69_E3_Ref!C141:AF141)</f>
        <v>-37.7134823560714</v>
      </c>
      <c r="L23" s="99" t="n">
        <f aca="false">SUM(42_v69_Diablo!C141:AF141)</f>
        <v>-34.507034876872</v>
      </c>
      <c r="M23" s="99" t="n">
        <f aca="false">SUM(43_Diablo_Defensas!C141:AF141)</f>
        <v>-34.5379527614801</v>
      </c>
      <c r="N23" s="99" t="n">
        <f aca="false">SUM(52_v69_E3_Freno!C141:AF141)</f>
        <v>-38.0501896890676</v>
      </c>
      <c r="O23" s="99" t="n">
        <f aca="false">SUM(54_v69_E1_Tope!C141:AF141)</f>
        <v>-38.468136404642</v>
      </c>
      <c r="P23" s="99" t="n">
        <f aca="false">SUM(55_E1_Crec022!C141:AF141)</f>
        <v>-39.5760032715868</v>
      </c>
      <c r="Q23" s="99" t="n">
        <f aca="false">SUM(56_E1_Crec049!C141:AF141)</f>
        <v>-39.5885536542625</v>
      </c>
      <c r="R23" s="99" t="n">
        <f aca="false">SUM(57_E1_AE25!C141:AF141)</f>
        <v>-39.5447309262915</v>
      </c>
      <c r="S23" s="99" t="n">
        <f aca="false">SUM(58_E1_AE50!C141:AF141)</f>
        <v>-39.5234061763836</v>
      </c>
      <c r="T23" s="99" t="n">
        <f aca="false">SUM(59_E1_Crec022_AE25!C141:AF141)</f>
        <v>-39.553811488935</v>
      </c>
      <c r="U23" s="99" t="n">
        <f aca="false">SUM(42N_Diablo_circuito_nuevo!C141:AF141)</f>
        <v>-34.5588585022451</v>
      </c>
      <c r="V23" s="99" t="n">
        <f aca="false">SUM(43N_Defensas_circuito_nuevo!C141:AF141)</f>
        <v>-34.5956712558895</v>
      </c>
    </row>
    <row r="24" customFormat="false" ht="14.25" hidden="false" customHeight="true" outlineLevel="0" collapsed="false">
      <c r="B24" s="98" t="s">
        <v>658</v>
      </c>
      <c r="C24" s="99" t="n">
        <f aca="false">(SUM(38_v69_E1!C135:AF139)+SUM(38_v69_E1!C142:AF142)+SUM(38_v69_E1!C144:AF145))</f>
        <v>150.562377324934</v>
      </c>
      <c r="D24" s="99" t="n">
        <f aca="false">(SUM(39_v69_E2!C135:AF139)+SUM(39_v69_E2!C142:AF142)+SUM(39_v69_E2!C144:AF145))</f>
        <v>259.457914731864</v>
      </c>
      <c r="E24" s="99" t="n">
        <f aca="false">(SUM(40_v69_E3!C135:AF139)+SUM(40_v69_E3!C142:AF142)+SUM(40_v69_E3!C144:AF145))</f>
        <v>148.543241323508</v>
      </c>
      <c r="F24" s="99" t="n">
        <f aca="false">(SUM(41_v69_E4!C135:AF139)+SUM(41_v69_E4!C142:AF142)+SUM(41_v69_E4!C144:AF145))</f>
        <v>257.704595728347</v>
      </c>
      <c r="G24" s="99" t="n">
        <f aca="false">(SUM(45_v69_E1_10!C135:AF139)+SUM(45_v69_E1_10!C142:AF142)+SUM(45_v69_E1_10!C144:AF145))</f>
        <v>150.562377324934</v>
      </c>
      <c r="H24" s="99" t="n">
        <f aca="false">(SUM(46_v69_E3_10!C135:AF139)+SUM(46_v69_E3_10!C142:AF142)+SUM(46_v69_E3_10!C144:AF145))</f>
        <v>148.543241323508</v>
      </c>
      <c r="I24" s="99" t="n">
        <f aca="false">(SUM(44_v69_E6!C135:AF139)+SUM(44_v69_E6!C142:AF142)+SUM(44_v69_E6!C144:AF145))</f>
        <v>151.1315713679</v>
      </c>
      <c r="J24" s="99" t="n">
        <f aca="false">(SUM(49_v69_E1_Ref!C135:AF139)+SUM(49_v69_E1_Ref!C142:AF142)+SUM(49_v69_E1_Ref!C144:AF145))</f>
        <v>150.373225037032</v>
      </c>
      <c r="K24" s="99" t="n">
        <f aca="false">(SUM(50_v69_E3_Ref!C135:AF139)+SUM(50_v69_E3_Ref!C142:AF142)+SUM(50_v69_E3_Ref!C144:AF145))</f>
        <v>148.388672573637</v>
      </c>
      <c r="L24" s="99" t="n">
        <f aca="false">(SUM(42_v69_Diablo!C135:AF139)+SUM(42_v69_Diablo!C142:AF142)+SUM(42_v69_Diablo!C144:AF145))</f>
        <v>144.862201365657</v>
      </c>
      <c r="M24" s="99" t="n">
        <f aca="false">(SUM(43_Diablo_Defensas!C135:AF139)+SUM(43_Diablo_Defensas!C142:AF142)+SUM(43_Diablo_Defensas!C144:AF145))</f>
        <v>145.159079436231</v>
      </c>
      <c r="N24" s="99" t="n">
        <f aca="false">(SUM(52_v69_E3_Freno!C135:AF139)+SUM(52_v69_E3_Freno!C142:AF142)+SUM(52_v69_E3_Freno!C144:AF145))</f>
        <v>149.553341300362</v>
      </c>
      <c r="O24" s="99" t="n">
        <f aca="false">(SUM(54_v69_E1_Tope!C135:AF139)+SUM(54_v69_E1_Tope!C142:AF142)+SUM(54_v69_E1_Tope!C144:AF145))</f>
        <v>147.502720270589</v>
      </c>
      <c r="P24" s="99" t="n">
        <f aca="false">(SUM(55_E1_Crec022!C135:AF139)+SUM(55_E1_Crec022!C142:AF142)+SUM(55_E1_Crec022!C144:AF145))</f>
        <v>262.855069788276</v>
      </c>
      <c r="Q24" s="99" t="n">
        <f aca="false">(SUM(56_E1_Crec049!C135:AF139)+SUM(56_E1_Crec049!C142:AF142)+SUM(56_E1_Crec049!C144:AF145))</f>
        <v>407.776719243438</v>
      </c>
      <c r="R24" s="99" t="n">
        <f aca="false">(SUM(57_E1_AE25!C135:AF139)+SUM(57_E1_AE25!C142:AF142)+SUM(57_E1_AE25!C144:AF145))</f>
        <v>150.547983118746</v>
      </c>
      <c r="S24" s="99" t="n">
        <f aca="false">(SUM(58_E1_AE50!C135:AF139)+SUM(58_E1_AE50!C142:AF142)+SUM(58_E1_AE50!C144:AF145))</f>
        <v>150.533588912558</v>
      </c>
      <c r="T24" s="99" t="n">
        <f aca="false">(SUM(59_E1_Crec022_AE25!C135:AF139)+SUM(59_E1_Crec022_AE25!C142:AF142)+SUM(59_E1_Crec022_AE25!C144:AF145))</f>
        <v>262.840090334986</v>
      </c>
      <c r="U24" s="99" t="n">
        <f aca="false">(SUM(42N_Diablo_circuito_nuevo!C135:AF139)+SUM(42N_Diablo_circuito_nuevo!C142:AF142)+SUM(42N_Diablo_circuito_nuevo!C144:AF145))</f>
        <v>145.362108070641</v>
      </c>
      <c r="V24" s="99" t="n">
        <f aca="false">(SUM(43N_Defensas_circuito_nuevo!C135:AF139)+SUM(43N_Defensas_circuito_nuevo!C142:AF142)+SUM(43N_Defensas_circuito_nuevo!C144:AF145))</f>
        <v>145.396371353309</v>
      </c>
    </row>
    <row r="25" customFormat="false" ht="14.25" hidden="false" customHeight="true" outlineLevel="0" collapsed="false">
      <c r="B25" s="98" t="s">
        <v>659</v>
      </c>
      <c r="C25" s="99" t="n">
        <f aca="false">SUM(38_v69_E1!C146:AF147)</f>
        <v>0</v>
      </c>
      <c r="D25" s="99" t="n">
        <f aca="false">SUM(39_v69_E2!C146:AF147)</f>
        <v>0</v>
      </c>
      <c r="E25" s="99" t="n">
        <f aca="false">SUM(40_v69_E3!C146:AF147)</f>
        <v>0</v>
      </c>
      <c r="F25" s="99" t="n">
        <f aca="false">SUM(41_v69_E4!C146:AF147)</f>
        <v>0</v>
      </c>
      <c r="G25" s="99" t="n">
        <f aca="false">SUM(45_v69_E1_10!C146:AF147)</f>
        <v>0</v>
      </c>
      <c r="H25" s="99" t="n">
        <f aca="false">SUM(46_v69_E3_10!C146:AF147)</f>
        <v>0</v>
      </c>
      <c r="I25" s="99" t="n">
        <f aca="false">SUM(44_v69_E6!C146:AF147)</f>
        <v>0</v>
      </c>
      <c r="J25" s="99" t="n">
        <f aca="false">SUM(49_v69_E1_Ref!C146:AF147)</f>
        <v>0</v>
      </c>
      <c r="K25" s="99" t="n">
        <f aca="false">SUM(50_v69_E3_Ref!C146:AF147)</f>
        <v>0</v>
      </c>
      <c r="L25" s="99" t="n">
        <f aca="false">SUM(42_v69_Diablo!C146:AF147)</f>
        <v>0</v>
      </c>
      <c r="M25" s="99" t="n">
        <f aca="false">SUM(43_Diablo_Defensas!C146:AF147)</f>
        <v>0</v>
      </c>
      <c r="N25" s="99" t="n">
        <f aca="false">SUM(52_v69_E3_Freno!C146:AF147)</f>
        <v>0</v>
      </c>
      <c r="O25" s="99" t="n">
        <f aca="false">SUM(54_v69_E1_Tope!C146:AF147)</f>
        <v>0</v>
      </c>
      <c r="P25" s="99" t="n">
        <f aca="false">SUM(55_E1_Crec022!C146:AF147)</f>
        <v>0</v>
      </c>
      <c r="Q25" s="99" t="n">
        <f aca="false">SUM(56_E1_Crec049!C146:AF147)</f>
        <v>0</v>
      </c>
      <c r="R25" s="99" t="n">
        <f aca="false">SUM(57_E1_AE25!C146:AF147)</f>
        <v>0</v>
      </c>
      <c r="S25" s="99" t="n">
        <f aca="false">SUM(58_E1_AE50!C146:AF147)</f>
        <v>0</v>
      </c>
      <c r="T25" s="99" t="n">
        <f aca="false">SUM(59_E1_Crec022_AE25!C146:AF147)</f>
        <v>0</v>
      </c>
      <c r="U25" s="99" t="n">
        <f aca="false">SUM(42N_Diablo_circuito_nuevo!C146:AF147)</f>
        <v>0</v>
      </c>
      <c r="V25" s="99" t="n">
        <f aca="false">SUM(43N_Defensas_circuito_nuevo!C146:AF147)</f>
        <v>0</v>
      </c>
    </row>
    <row r="26" customFormat="false" ht="14.25" hidden="false" customHeight="true" outlineLevel="0" collapsed="false">
      <c r="B26" s="98" t="s">
        <v>660</v>
      </c>
      <c r="C26" s="99" t="n">
        <f aca="false">38_v69_E1!AF149</f>
        <v>-141.979570735966</v>
      </c>
      <c r="D26" s="99" t="n">
        <f aca="false">39_v69_E2!AF149</f>
        <v>-32.3653675724978</v>
      </c>
      <c r="E26" s="99" t="n">
        <f aca="false">40_v69_E3!AF149</f>
        <v>-142.153649313498</v>
      </c>
      <c r="F26" s="99" t="n">
        <f aca="false">41_v69_E4!AF149</f>
        <v>-32.2735957641407</v>
      </c>
      <c r="G26" s="99" t="n">
        <f aca="false">45_v69_E1_10!AF149</f>
        <v>-141.979570735966</v>
      </c>
      <c r="H26" s="99" t="n">
        <f aca="false">46_v69_E3_10!AF149</f>
        <v>-142.153649313498</v>
      </c>
      <c r="I26" s="99" t="n">
        <f aca="false">44_v69_E6!AF149</f>
        <v>-141.664510515396</v>
      </c>
      <c r="J26" s="99" t="n">
        <f aca="false">49_v69_E1_Ref!AF149</f>
        <v>-142.168054029969</v>
      </c>
      <c r="K26" s="99" t="n">
        <f aca="false">50_v69_E3_Ref!AF149</f>
        <v>-142.300702167135</v>
      </c>
      <c r="L26" s="99" t="n">
        <f aca="false">42_v69_Diablo!AF149</f>
        <v>-155.339151041119</v>
      </c>
      <c r="M26" s="99" t="n">
        <f aca="false">43_Diablo_Defensas!AF149</f>
        <v>-147.525010948024</v>
      </c>
      <c r="N26" s="99" t="n">
        <f aca="false">52_v69_E3_Freno!AF149</f>
        <v>-141.472740773406</v>
      </c>
      <c r="O26" s="99" t="n">
        <f aca="false">54_v69_E1_Tope!AF149</f>
        <v>-143.941308518754</v>
      </c>
      <c r="P26" s="99" t="n">
        <f aca="false">55_E1_Crec022!AF149</f>
        <v>-31.4221395339179</v>
      </c>
      <c r="Q26" s="99" t="n">
        <f aca="false">56_E1_Crec049!AF149</f>
        <v>111.263911685161</v>
      </c>
      <c r="R26" s="99" t="n">
        <f aca="false">57_E1_AE25!AF149</f>
        <v>-135.025457477601</v>
      </c>
      <c r="S26" s="99" t="n">
        <f aca="false">58_E1_AE50!AF149</f>
        <v>-128.071344219236</v>
      </c>
      <c r="T26" s="99" t="n">
        <f aca="false">59_E1_Crec022_AE25!AF149</f>
        <v>-24.1159195007409</v>
      </c>
      <c r="U26" s="99" t="n">
        <f aca="false">42N_Diablo_circuito_nuevo!AF149</f>
        <v>-142.172642816305</v>
      </c>
      <c r="V26" s="99" t="n">
        <f aca="false">43N_Defensas_circuito_nuevo!AF149</f>
        <v>-142.175192287282</v>
      </c>
    </row>
    <row r="27" customFormat="false" ht="14.25" hidden="false" customHeight="true" outlineLevel="0" collapsed="false">
      <c r="B27" s="98" t="s">
        <v>661</v>
      </c>
      <c r="C27" s="99" t="n">
        <f aca="false">38_v69_E1!AF192</f>
        <v>-278.248570735966</v>
      </c>
      <c r="D27" s="99" t="n">
        <f aca="false">39_v69_E2!AF192</f>
        <v>-168.634367572498</v>
      </c>
      <c r="E27" s="99" t="n">
        <f aca="false">40_v69_E3!AF192</f>
        <v>-278.422649313498</v>
      </c>
      <c r="F27" s="99" t="n">
        <f aca="false">41_v69_E4!AF192</f>
        <v>-168.542595764141</v>
      </c>
      <c r="G27" s="99" t="n">
        <f aca="false">45_v69_E1_10!AF192</f>
        <v>-278.248570735966</v>
      </c>
      <c r="H27" s="99" t="n">
        <f aca="false">46_v69_E3_10!AF192</f>
        <v>-278.422649313498</v>
      </c>
      <c r="I27" s="99" t="n">
        <f aca="false">44_v69_E6!AF192</f>
        <v>-277.933510515396</v>
      </c>
      <c r="J27" s="99" t="n">
        <f aca="false">49_v69_E1_Ref!AF192</f>
        <v>-278.437054029969</v>
      </c>
      <c r="K27" s="99" t="n">
        <f aca="false">50_v69_E3_Ref!AF192</f>
        <v>-278.569702167135</v>
      </c>
      <c r="L27" s="99" t="n">
        <f aca="false">42_v69_Diablo!AF192</f>
        <v>-291.608151041119</v>
      </c>
      <c r="M27" s="99" t="n">
        <f aca="false">43_Diablo_Defensas!AF192</f>
        <v>-283.794010948025</v>
      </c>
      <c r="N27" s="99" t="n">
        <f aca="false">52_v69_E3_Freno!AF192</f>
        <v>-277.741740773406</v>
      </c>
      <c r="O27" s="99" t="n">
        <f aca="false">54_v69_E1_Tope!AF192</f>
        <v>-280.210308518754</v>
      </c>
      <c r="P27" s="99" t="n">
        <f aca="false">55_E1_Crec022!AF192</f>
        <v>-167.691139533918</v>
      </c>
      <c r="Q27" s="99" t="n">
        <f aca="false">56_E1_Crec049!AF192</f>
        <v>-25.0050883148385</v>
      </c>
      <c r="R27" s="99" t="n">
        <f aca="false">57_E1_AE25!AF192</f>
        <v>-271.294457477601</v>
      </c>
      <c r="S27" s="99" t="n">
        <f aca="false">58_E1_AE50!AF192</f>
        <v>-264.340344219236</v>
      </c>
      <c r="T27" s="99" t="n">
        <f aca="false">59_E1_Crec022_AE25!AF192</f>
        <v>-160.384919500741</v>
      </c>
      <c r="U27" s="99" t="n">
        <f aca="false">42N_Diablo_circuito_nuevo!AF192</f>
        <v>-278.441642816305</v>
      </c>
      <c r="V27" s="99" t="n">
        <f aca="false">43N_Defensas_circuito_nuevo!AF192</f>
        <v>-278.444192287282</v>
      </c>
    </row>
    <row r="28" customFormat="false" ht="14.25" hidden="false" customHeight="true" outlineLevel="0" collapsed="false">
      <c r="B28" s="98" t="s">
        <v>662</v>
      </c>
      <c r="C28" s="99" t="n">
        <f aca="false">38_v69_E1!AF104</f>
        <v>13.6854545779078</v>
      </c>
      <c r="D28" s="99" t="n">
        <f aca="false">39_v69_E2!AF104</f>
        <v>14.1846383859723</v>
      </c>
      <c r="E28" s="99" t="n">
        <f aca="false">40_v69_E3!AF104</f>
        <v>12.1520335263305</v>
      </c>
      <c r="F28" s="99" t="n">
        <f aca="false">41_v69_E4!AF104</f>
        <v>12.6343463492131</v>
      </c>
      <c r="G28" s="99" t="n">
        <f aca="false">45_v69_E1_10!AF104</f>
        <v>13.6854545779078</v>
      </c>
      <c r="H28" s="99" t="n">
        <f aca="false">46_v69_E3_10!AF104</f>
        <v>12.1520335263305</v>
      </c>
      <c r="I28" s="99" t="n">
        <f aca="false">44_v69_E6!AF104</f>
        <v>13.8579088136327</v>
      </c>
      <c r="J28" s="99" t="n">
        <f aca="false">49_v69_E1_Ref!AF104</f>
        <v>13.6850660071147</v>
      </c>
      <c r="K28" s="99" t="n">
        <f aca="false">50_v69_E3_Ref!AF104</f>
        <v>12.1388424154097</v>
      </c>
      <c r="L28" s="99" t="n">
        <f aca="false">42_v69_Diablo!AF104</f>
        <v>11.9253218097466</v>
      </c>
      <c r="M28" s="99" t="n">
        <f aca="false">43_Diablo_Defensas!AF104</f>
        <v>11.9814187744412</v>
      </c>
      <c r="N28" s="99" t="n">
        <f aca="false">52_v69_E3_Freno!AF104</f>
        <v>12.3344327963346</v>
      </c>
      <c r="O28" s="99" t="n">
        <f aca="false">54_v69_E1_Tope!AF104</f>
        <v>12.6993416813448</v>
      </c>
      <c r="P28" s="99" t="n">
        <f aca="false">55_E1_Crec022!AF104</f>
        <v>13.6978878755152</v>
      </c>
      <c r="Q28" s="99" t="n">
        <f aca="false">56_E1_Crec049!AF104</f>
        <v>13.7136663947745</v>
      </c>
      <c r="R28" s="99" t="n">
        <f aca="false">57_E1_AE25!AF104</f>
        <v>13.6482314786907</v>
      </c>
      <c r="S28" s="99" t="n">
        <f aca="false">58_E1_AE50!AF104</f>
        <v>13.6110083794736</v>
      </c>
      <c r="T28" s="99" t="n">
        <f aca="false">59_E1_Crec022_AE25!AF104</f>
        <v>13.6590649064129</v>
      </c>
      <c r="U28" s="99" t="n">
        <f aca="false">42N_Diablo_circuito_nuevo!AF104</f>
        <v>12.0681076859162</v>
      </c>
      <c r="V28" s="99" t="n">
        <f aca="false">43N_Defensas_circuito_nuevo!AF104</f>
        <v>12.0868924200884</v>
      </c>
    </row>
    <row r="29" customFormat="false" ht="14.25" hidden="false" customHeight="true" outlineLevel="0" collapsed="false">
      <c r="B29" s="98" t="s">
        <v>663</v>
      </c>
      <c r="C29" s="99" t="n">
        <f aca="false">38_v69_E1!AF149+38_v69_E1!AF104+45</f>
        <v>-83.2941161580586</v>
      </c>
      <c r="D29" s="99" t="n">
        <f aca="false">39_v69_E2!AF149+39_v69_E2!AF104+45</f>
        <v>26.8192708134745</v>
      </c>
      <c r="E29" s="99" t="n">
        <f aca="false">40_v69_E3!AF149+40_v69_E3!AF104+45</f>
        <v>-85.0016157871672</v>
      </c>
      <c r="F29" s="99" t="n">
        <f aca="false">41_v69_E4!AF149+41_v69_E4!AF104+45</f>
        <v>25.3607505850724</v>
      </c>
      <c r="G29" s="99" t="n">
        <f aca="false">45_v69_E1_10!AF149+45_v69_E1_10!AF104+45</f>
        <v>-83.2941161580586</v>
      </c>
      <c r="H29" s="99" t="n">
        <f aca="false">46_v69_E3_10!AF149+46_v69_E3_10!AF104+45</f>
        <v>-85.0016157871672</v>
      </c>
      <c r="I29" s="99" t="n">
        <f aca="false">44_v69_E6!AF149+44_v69_E6!AF104+45</f>
        <v>-82.8066017017629</v>
      </c>
      <c r="J29" s="99" t="n">
        <f aca="false">49_v69_E1_Ref!AF149+49_v69_E1_Ref!AF104+45</f>
        <v>-83.4829880228546</v>
      </c>
      <c r="K29" s="99" t="n">
        <f aca="false">50_v69_E3_Ref!AF149+50_v69_E3_Ref!AF104+45</f>
        <v>-85.1618597517254</v>
      </c>
      <c r="L29" s="99" t="n">
        <f aca="false">42_v69_Diablo!AF149+42_v69_Diablo!AF104+45</f>
        <v>-98.4138292313723</v>
      </c>
      <c r="M29" s="99" t="n">
        <f aca="false">43_Diablo_Defensas!AF149+43_Diablo_Defensas!AF104+45</f>
        <v>-90.5435921735832</v>
      </c>
      <c r="N29" s="99" t="n">
        <f aca="false">52_v69_E3_Freno!AF149+52_v69_E3_Freno!AF104+45</f>
        <v>-84.1383079770717</v>
      </c>
      <c r="O29" s="99" t="n">
        <f aca="false">54_v69_E1_Tope!AF149+54_v69_E1_Tope!AF104+45</f>
        <v>-86.241966837409</v>
      </c>
      <c r="P29" s="99" t="n">
        <f aca="false">55_E1_Crec022!AF149+55_E1_Crec022!AF104+45</f>
        <v>27.2757483415973</v>
      </c>
      <c r="Q29" s="99" t="n">
        <f aca="false">56_E1_Crec049!AF149+56_E1_Crec049!AF104+45</f>
        <v>169.977578079936</v>
      </c>
      <c r="R29" s="99" t="n">
        <f aca="false">57_E1_AE25!AF149+57_E1_AE25!AF104+45</f>
        <v>-76.3772259989103</v>
      </c>
      <c r="S29" s="99" t="n">
        <f aca="false">58_E1_AE50!AF149+58_E1_AE50!AF104+45</f>
        <v>-69.460335839762</v>
      </c>
      <c r="T29" s="99" t="n">
        <f aca="false">59_E1_Crec022_AE25!AF149+59_E1_Crec022_AE25!AF104+45</f>
        <v>34.543145405672</v>
      </c>
      <c r="U29" s="99" t="n">
        <f aca="false">42N_Diablo_circuito_nuevo!AF149+42N_Diablo_circuito_nuevo!AF104+45</f>
        <v>-85.1045351303888</v>
      </c>
      <c r="V29" s="99" t="n">
        <f aca="false">43N_Defensas_circuito_nuevo!AF149+43N_Defensas_circuito_nuevo!AF104+45</f>
        <v>-85.0882998671932</v>
      </c>
    </row>
    <row r="30" customFormat="false" ht="26.25" hidden="false" customHeight="true" outlineLevel="0" collapsed="false">
      <c r="B30" s="96" t="s">
        <v>664</v>
      </c>
      <c r="C30" s="97"/>
      <c r="D30" s="97"/>
      <c r="E30" s="97"/>
      <c r="F30" s="97"/>
      <c r="G30" s="97"/>
      <c r="H30" s="97"/>
      <c r="I30" s="97"/>
      <c r="J30" s="97"/>
      <c r="K30" s="97"/>
      <c r="L30" s="97"/>
      <c r="M30" s="97"/>
      <c r="N30" s="97"/>
      <c r="O30" s="97"/>
      <c r="P30" s="97"/>
      <c r="Q30" s="97"/>
      <c r="R30" s="97"/>
      <c r="S30" s="97"/>
      <c r="T30" s="97"/>
      <c r="U30" s="97"/>
      <c r="V30" s="97"/>
    </row>
    <row r="31" customFormat="false" ht="14.25" hidden="false" customHeight="true" outlineLevel="0" collapsed="false">
      <c r="B31" s="98" t="s">
        <v>665</v>
      </c>
      <c r="C31" s="101" t="n">
        <f aca="false">(SUM(38_v69_E1!C135:AF139)+SUM(38_v69_E1!C142:AF142)+SUM(38_v69_E1!C144:AF145))/206</f>
        <v>0.730885326820066</v>
      </c>
      <c r="D31" s="101" t="n">
        <f aca="false">(SUM(39_v69_E2!C135:AF139)+SUM(39_v69_E2!C142:AF142)+SUM(39_v69_E2!C144:AF145))/206</f>
        <v>1.25950444044594</v>
      </c>
      <c r="E31" s="101" t="n">
        <f aca="false">(SUM(40_v69_E3!C135:AF139)+SUM(40_v69_E3!C142:AF142)+SUM(40_v69_E3!C144:AF145))/206</f>
        <v>0.721083695745184</v>
      </c>
      <c r="F31" s="101" t="n">
        <f aca="false">(SUM(41_v69_E4!C135:AF139)+SUM(41_v69_E4!C142:AF142)+SUM(41_v69_E4!C144:AF145))/206</f>
        <v>1.25099318314732</v>
      </c>
      <c r="G31" s="101" t="n">
        <f aca="false">(SUM(45_v69_E1_10!C135:AF139)+SUM(45_v69_E1_10!C142:AF142)+SUM(45_v69_E1_10!C144:AF145))/206</f>
        <v>0.730885326820066</v>
      </c>
      <c r="H31" s="101" t="n">
        <f aca="false">(SUM(46_v69_E3_10!C135:AF139)+SUM(46_v69_E3_10!C142:AF142)+SUM(46_v69_E3_10!C144:AF145))/206</f>
        <v>0.721083695745184</v>
      </c>
      <c r="I31" s="101" t="n">
        <f aca="false">(SUM(44_v69_E6!C135:AF139)+SUM(44_v69_E6!C142:AF142)+SUM(44_v69_E6!C144:AF145))/206</f>
        <v>0.733648404698545</v>
      </c>
      <c r="J31" s="101" t="n">
        <f aca="false">(SUM(49_v69_E1_Ref!C135:AF139)+SUM(49_v69_E1_Ref!C142:AF142)+SUM(49_v69_E1_Ref!C144:AF145))/206</f>
        <v>0.729967111830253</v>
      </c>
      <c r="K31" s="101" t="n">
        <f aca="false">(SUM(50_v69_E3_Ref!C135:AF139)+SUM(50_v69_E3_Ref!C142:AF142)+SUM(50_v69_E3_Ref!C144:AF145))/206</f>
        <v>0.720333362007946</v>
      </c>
      <c r="L31" s="101" t="n">
        <f aca="false">(SUM(42_v69_Diablo!C135:AF139)+SUM(42_v69_Diablo!C142:AF142)+SUM(42_v69_Diablo!C144:AF145))/206</f>
        <v>0.703214569736197</v>
      </c>
      <c r="M31" s="101" t="n">
        <f aca="false">(SUM(43_Diablo_Defensas!C135:AF139)+SUM(43_Diablo_Defensas!C142:AF142)+SUM(43_Diablo_Defensas!C144:AF145))/206</f>
        <v>0.704655725418597</v>
      </c>
      <c r="N31" s="101" t="n">
        <f aca="false">(SUM(52_v69_E3_Freno!C135:AF139)+SUM(52_v69_E3_Freno!C142:AF142)+SUM(52_v69_E3_Freno!C144:AF145))/206</f>
        <v>0.725987093691077</v>
      </c>
      <c r="O31" s="101" t="n">
        <f aca="false">(SUM(54_v69_E1_Tope!C135:AF139)+SUM(54_v69_E1_Tope!C142:AF142)+SUM(54_v69_E1_Tope!C144:AF145))/206</f>
        <v>0.716032622672762</v>
      </c>
      <c r="P31" s="101" t="n">
        <f aca="false">(SUM(55_E1_Crec022!C135:AF139)+SUM(55_E1_Crec022!C142:AF142)+SUM(55_E1_Crec022!C144:AF145))/206</f>
        <v>1.27599548440911</v>
      </c>
      <c r="Q31" s="101" t="n">
        <f aca="false">(SUM(56_E1_Crec049!C135:AF139)+SUM(56_E1_Crec049!C142:AF142)+SUM(56_E1_Crec049!C144:AF145))/206</f>
        <v>1.97949863710407</v>
      </c>
      <c r="R31" s="101" t="n">
        <f aca="false">(SUM(57_E1_AE25!C135:AF139)+SUM(57_E1_AE25!C142:AF142)+SUM(57_E1_AE25!C144:AF145))/206</f>
        <v>0.730815452032746</v>
      </c>
      <c r="S31" s="101" t="n">
        <f aca="false">(SUM(58_E1_AE50!C135:AF139)+SUM(58_E1_AE50!C142:AF142)+SUM(58_E1_AE50!C144:AF145))/206</f>
        <v>0.730745577245427</v>
      </c>
      <c r="T31" s="101" t="n">
        <f aca="false">(SUM(59_E1_Crec022_AE25!C135:AF139)+SUM(59_E1_Crec022_AE25!C142:AF142)+SUM(59_E1_Crec022_AE25!C144:AF145))/206</f>
        <v>1.27592276861644</v>
      </c>
      <c r="U31" s="101" t="n">
        <f aca="false">(SUM(42N_Diablo_circuito_nuevo!C135:AF139)+SUM(42N_Diablo_circuito_nuevo!C142:AF142)+SUM(42N_Diablo_circuito_nuevo!C144:AF145))/206</f>
        <v>0.70564130131379</v>
      </c>
      <c r="V31" s="101" t="n">
        <f aca="false">(SUM(43N_Defensas_circuito_nuevo!C135:AF139)+SUM(43N_Defensas_circuito_nuevo!C142:AF142)+SUM(43N_Defensas_circuito_nuevo!C144:AF145))/206</f>
        <v>0.705807627928682</v>
      </c>
    </row>
    <row r="32" customFormat="false" ht="14.25" hidden="false" customHeight="true" outlineLevel="0" collapsed="false">
      <c r="B32" s="98" t="s">
        <v>666</v>
      </c>
      <c r="C32" s="101" t="n">
        <f aca="false">((SUM(38_v69_E1!C135:AF139)+SUM(38_v69_E1!C142:AF142)+SUM(38_v69_E1!C144:AF145))+38_v69_E1!AF104)/206</f>
        <v>0.79731957234389</v>
      </c>
      <c r="D32" s="101" t="n">
        <f aca="false">((SUM(39_v69_E2!C135:AF139)+SUM(39_v69_E2!C142:AF142)+SUM(39_v69_E2!C144:AF145))+39_v69_E2!AF104)/206</f>
        <v>1.32836190833901</v>
      </c>
      <c r="E32" s="101" t="n">
        <f aca="false">((SUM(40_v69_E3!C135:AF139)+SUM(40_v69_E3!C142:AF142)+SUM(40_v69_E3!C144:AF145))+40_v69_E3!AF104)/206</f>
        <v>0.780074149756497</v>
      </c>
      <c r="F32" s="101" t="n">
        <f aca="false">((SUM(41_v69_E4!C135:AF139)+SUM(41_v69_E4!C142:AF142)+SUM(41_v69_E4!C144:AF145))+41_v69_E4!AF104)/206</f>
        <v>1.31232496154155</v>
      </c>
      <c r="G32" s="101" t="n">
        <f aca="false">((SUM(45_v69_E1_10!C135:AF139)+SUM(45_v69_E1_10!C142:AF142)+SUM(45_v69_E1_10!C144:AF145))+45_v69_E1_10!AF104)/206</f>
        <v>0.79731957234389</v>
      </c>
      <c r="H32" s="101" t="n">
        <f aca="false">((SUM(46_v69_E3_10!C135:AF139)+SUM(46_v69_E3_10!C142:AF142)+SUM(46_v69_E3_10!C144:AF145))+46_v69_E3_10!AF104)/206</f>
        <v>0.780074149756497</v>
      </c>
      <c r="I32" s="101" t="n">
        <f aca="false">((SUM(44_v69_E6!C135:AF139)+SUM(44_v69_E6!C142:AF142)+SUM(44_v69_E6!C144:AF145))+44_v69_E6!AF104)/206</f>
        <v>0.800919806706471</v>
      </c>
      <c r="J32" s="101" t="n">
        <f aca="false">((SUM(49_v69_E1_Ref!C135:AF139)+SUM(49_v69_E1_Ref!C142:AF142)+SUM(49_v69_E1_Ref!C144:AF145))+49_v69_E1_Ref!AF104)/206</f>
        <v>0.796399471088091</v>
      </c>
      <c r="K32" s="101" t="n">
        <f aca="false">((SUM(50_v69_E3_Ref!C135:AF139)+SUM(50_v69_E3_Ref!C142:AF142)+SUM(50_v69_E3_Ref!C144:AF145))+50_v69_E3_Ref!AF104)/206</f>
        <v>0.779259781500227</v>
      </c>
      <c r="L32" s="101" t="n">
        <f aca="false">((SUM(42_v69_Diablo!C135:AF139)+SUM(42_v69_Diablo!C142:AF142)+SUM(42_v69_Diablo!C144:AF145))+42_v69_Diablo!AF104)/206</f>
        <v>0.761104481433996</v>
      </c>
      <c r="M32" s="101" t="n">
        <f aca="false">((SUM(43_Diablo_Defensas!C135:AF139)+SUM(43_Diablo_Defensas!C142:AF142)+SUM(43_Diablo_Defensas!C144:AF145))+43_Diablo_Defensas!AF104)/206</f>
        <v>0.762817952478992</v>
      </c>
      <c r="N32" s="101" t="n">
        <f aca="false">((SUM(52_v69_E3_Freno!C135:AF139)+SUM(52_v69_E3_Freno!C142:AF142)+SUM(52_v69_E3_Freno!C144:AF145))+52_v69_E3_Freno!AF104)/206</f>
        <v>0.785862981051925</v>
      </c>
      <c r="O32" s="101" t="n">
        <f aca="false">((SUM(54_v69_E1_Tope!C135:AF139)+SUM(54_v69_E1_Tope!C142:AF142)+SUM(54_v69_E1_Tope!C144:AF145))+54_v69_E1_Tope!AF104)/206</f>
        <v>0.777679912388027</v>
      </c>
      <c r="P32" s="101" t="n">
        <f aca="false">((SUM(55_E1_Crec022!C135:AF139)+SUM(55_E1_Crec022!C142:AF142)+SUM(55_E1_Crec022!C144:AF145))+55_E1_Crec022!AF104)/206</f>
        <v>1.34249008574656</v>
      </c>
      <c r="Q32" s="101" t="n">
        <f aca="false">((SUM(56_E1_Crec049!C135:AF139)+SUM(56_E1_Crec049!C142:AF142)+SUM(56_E1_Crec049!C144:AF145))+56_E1_Crec049!AF104)/206</f>
        <v>2.04606983319521</v>
      </c>
      <c r="R32" s="101" t="n">
        <f aca="false">((SUM(57_E1_AE25!C135:AF139)+SUM(57_E1_AE25!C142:AF142)+SUM(57_E1_AE25!C144:AF145))+57_E1_AE25!AF104)/206</f>
        <v>0.797069002900177</v>
      </c>
      <c r="S32" s="101" t="n">
        <f aca="false">((SUM(58_E1_AE50!C135:AF139)+SUM(58_E1_AE50!C142:AF142)+SUM(58_E1_AE50!C144:AF145))+58_E1_AE50!AF104)/206</f>
        <v>0.796818433456464</v>
      </c>
      <c r="T32" s="101" t="n">
        <f aca="false">((SUM(59_E1_Crec022_AE25!C135:AF139)+SUM(59_E1_Crec022_AE25!C142:AF142)+SUM(59_E1_Crec022_AE25!C144:AF145))+59_E1_Crec022_AE25!AF104)/206</f>
        <v>1.34222890893883</v>
      </c>
      <c r="U32" s="101" t="n">
        <f aca="false">((SUM(42N_Diablo_circuito_nuevo!C135:AF139)+SUM(42N_Diablo_circuito_nuevo!C142:AF142)+SUM(42N_Diablo_circuito_nuevo!C144:AF145))+42N_Diablo_circuito_nuevo!AF104)/206</f>
        <v>0.764224348332801</v>
      </c>
      <c r="V32" s="101" t="n">
        <f aca="false">((SUM(43N_Defensas_circuito_nuevo!C135:AF139)+SUM(43N_Defensas_circuito_nuevo!C142:AF142)+SUM(43N_Defensas_circuito_nuevo!C144:AF145))+43N_Defensas_circuito_nuevo!AF104)/206</f>
        <v>0.764481862977655</v>
      </c>
    </row>
    <row r="33" customFormat="false" ht="14.25" hidden="false" customHeight="true" outlineLevel="0" collapsed="false">
      <c r="B33" s="98" t="s">
        <v>667</v>
      </c>
      <c r="C33" s="101" t="n">
        <f aca="false">((SUM(38_v69_E1!C135:AF139)+SUM(38_v69_E1!C142:AF142)+SUM(38_v69_E1!C144:AF145))+38_v69_E1!AF104+45)/206</f>
        <v>1.01576617428564</v>
      </c>
      <c r="D33" s="101" t="n">
        <f aca="false">((SUM(39_v69_E2!C135:AF139)+SUM(39_v69_E2!C142:AF142)+SUM(39_v69_E2!C144:AF145))+39_v69_E2!AF104+45)/206</f>
        <v>1.54680851028076</v>
      </c>
      <c r="E33" s="101" t="n">
        <f aca="false">((SUM(40_v69_E3!C135:AF139)+SUM(40_v69_E3!C142:AF142)+SUM(40_v69_E3!C144:AF145))+40_v69_E3!AF104+45)/206</f>
        <v>0.998520751698245</v>
      </c>
      <c r="F33" s="101" t="n">
        <f aca="false">((SUM(41_v69_E4!C135:AF139)+SUM(41_v69_E4!C142:AF142)+SUM(41_v69_E4!C144:AF145))+41_v69_E4!AF104+45)/206</f>
        <v>1.5307715634833</v>
      </c>
      <c r="G33" s="101" t="n">
        <f aca="false">((SUM(45_v69_E1_10!C135:AF139)+SUM(45_v69_E1_10!C142:AF142)+SUM(45_v69_E1_10!C144:AF145))+45_v69_E1_10!AF104+45)/206</f>
        <v>1.01576617428564</v>
      </c>
      <c r="H33" s="101" t="n">
        <f aca="false">((SUM(46_v69_E3_10!C135:AF139)+SUM(46_v69_E3_10!C142:AF142)+SUM(46_v69_E3_10!C144:AF145))+46_v69_E3_10!AF104+45)/206</f>
        <v>0.998520751698245</v>
      </c>
      <c r="I33" s="101" t="n">
        <f aca="false">((SUM(44_v69_E6!C135:AF139)+SUM(44_v69_E6!C142:AF142)+SUM(44_v69_E6!C144:AF145))+44_v69_E6!AF104+45)/206</f>
        <v>1.01936640864822</v>
      </c>
      <c r="J33" s="101" t="n">
        <f aca="false">((SUM(49_v69_E1_Ref!C135:AF139)+SUM(49_v69_E1_Ref!C142:AF142)+SUM(49_v69_E1_Ref!C144:AF145))+49_v69_E1_Ref!AF104+45)/206</f>
        <v>1.01484607302984</v>
      </c>
      <c r="K33" s="101" t="n">
        <f aca="false">((SUM(50_v69_E3_Ref!C135:AF139)+SUM(50_v69_E3_Ref!C142:AF142)+SUM(50_v69_E3_Ref!C144:AF145))+50_v69_E3_Ref!AF104+45)/206</f>
        <v>0.997706383441974</v>
      </c>
      <c r="L33" s="101" t="n">
        <f aca="false">((SUM(42_v69_Diablo!C135:AF139)+SUM(42_v69_Diablo!C142:AF142)+SUM(42_v69_Diablo!C144:AF145))+42_v69_Diablo!AF104+45)/206</f>
        <v>0.979551083375744</v>
      </c>
      <c r="M33" s="101" t="n">
        <f aca="false">((SUM(43_Diablo_Defensas!C135:AF139)+SUM(43_Diablo_Defensas!C142:AF142)+SUM(43_Diablo_Defensas!C144:AF145))+43_Diablo_Defensas!AF104+45)/206</f>
        <v>0.981264554420739</v>
      </c>
      <c r="N33" s="101" t="n">
        <f aca="false">((SUM(52_v69_E3_Freno!C135:AF139)+SUM(52_v69_E3_Freno!C142:AF142)+SUM(52_v69_E3_Freno!C144:AF145))+52_v69_E3_Freno!AF104+45)/206</f>
        <v>1.00430958299367</v>
      </c>
      <c r="O33" s="101" t="n">
        <f aca="false">((SUM(54_v69_E1_Tope!C135:AF139)+SUM(54_v69_E1_Tope!C142:AF142)+SUM(54_v69_E1_Tope!C144:AF145))+54_v69_E1_Tope!AF104+45)/206</f>
        <v>0.996126514329775</v>
      </c>
      <c r="P33" s="101" t="n">
        <f aca="false">((SUM(55_E1_Crec022!C135:AF139)+SUM(55_E1_Crec022!C142:AF142)+SUM(55_E1_Crec022!C144:AF145))+55_E1_Crec022!AF104+45)/206</f>
        <v>1.56093668768831</v>
      </c>
      <c r="Q33" s="101" t="n">
        <f aca="false">((SUM(56_E1_Crec049!C135:AF139)+SUM(56_E1_Crec049!C142:AF142)+SUM(56_E1_Crec049!C144:AF145))+56_E1_Crec049!AF104+45)/206</f>
        <v>2.26451643513696</v>
      </c>
      <c r="R33" s="101" t="n">
        <f aca="false">((SUM(57_E1_AE25!C135:AF139)+SUM(57_E1_AE25!C142:AF142)+SUM(57_E1_AE25!C144:AF145))+57_E1_AE25!AF104+45)/206</f>
        <v>1.01551560484192</v>
      </c>
      <c r="S33" s="101" t="n">
        <f aca="false">((SUM(58_E1_AE50!C135:AF139)+SUM(58_E1_AE50!C142:AF142)+SUM(58_E1_AE50!C144:AF145))+58_E1_AE50!AF104+45)/206</f>
        <v>1.01526503539821</v>
      </c>
      <c r="T33" s="101" t="n">
        <f aca="false">((SUM(59_E1_Crec022_AE25!C135:AF139)+SUM(59_E1_Crec022_AE25!C142:AF142)+SUM(59_E1_Crec022_AE25!C144:AF145))+59_E1_Crec022_AE25!AF104+45)/206</f>
        <v>1.56067551088058</v>
      </c>
      <c r="U33" s="101" t="n">
        <f aca="false">((SUM(42N_Diablo_circuito_nuevo!C135:AF139)+SUM(42N_Diablo_circuito_nuevo!C142:AF142)+SUM(42N_Diablo_circuito_nuevo!C144:AF145))+42N_Diablo_circuito_nuevo!AF104+45)/206</f>
        <v>0.982670950274548</v>
      </c>
      <c r="V33" s="101" t="n">
        <f aca="false">((SUM(43N_Defensas_circuito_nuevo!C135:AF139)+SUM(43N_Defensas_circuito_nuevo!C142:AF142)+SUM(43N_Defensas_circuito_nuevo!C144:AF145))+43N_Defensas_circuito_nuevo!AF104+45)/206</f>
        <v>0.982928464919403</v>
      </c>
    </row>
    <row r="35" customFormat="false" ht="14.25" hidden="false" customHeight="true" outlineLevel="0" collapsed="false">
      <c r="B35" s="83" t="s">
        <v>668</v>
      </c>
    </row>
    <row r="37" customFormat="false" ht="14.25" hidden="false" customHeight="true" outlineLevel="0" collapsed="false">
      <c r="B37" s="1" t="s">
        <v>669</v>
      </c>
    </row>
    <row r="38" customFormat="false" ht="14.25" hidden="false" customHeight="true" outlineLevel="0" collapsed="false">
      <c r="B38" s="1" t="s">
        <v>670</v>
      </c>
    </row>
    <row r="39" customFormat="false" ht="14.25" hidden="false" customHeight="true" outlineLevel="0" collapsed="false">
      <c r="B39" s="1" t="s">
        <v>671</v>
      </c>
    </row>
    <row r="40" customFormat="false" ht="14.25" hidden="false" customHeight="true" outlineLevel="0" collapsed="false">
      <c r="B40" s="1" t="s">
        <v>672</v>
      </c>
    </row>
    <row r="41" customFormat="false" ht="14.25" hidden="false" customHeight="true" outlineLevel="0" collapsed="false">
      <c r="B41" s="1" t="s">
        <v>673</v>
      </c>
    </row>
    <row r="42" customFormat="false" ht="14.25" hidden="false" customHeight="true" outlineLevel="0" collapsed="false">
      <c r="B42" s="1" t="s">
        <v>674</v>
      </c>
    </row>
    <row r="43" customFormat="false" ht="14.25" hidden="false" customHeight="true" outlineLevel="0" collapsed="false">
      <c r="B43" s="1" t="s">
        <v>675</v>
      </c>
    </row>
    <row r="45" customFormat="false" ht="14.25" hidden="false" customHeight="true" outlineLevel="0" collapsed="false">
      <c r="B45" s="1" t="s">
        <v>676</v>
      </c>
    </row>
  </sheetData>
  <mergeCells count="1">
    <mergeCell ref="B3:T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K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52"/>
    <col collapsed="false" customWidth="true" hidden="false" outlineLevel="0" max="3" min="3" style="1" width="15"/>
    <col collapsed="false" customWidth="true" hidden="false" outlineLevel="0" max="11" min="4" style="1" width="13"/>
  </cols>
  <sheetData>
    <row r="2" customFormat="false" ht="17.25" hidden="false" customHeight="true" outlineLevel="0" collapsed="false">
      <c r="B2" s="92" t="s">
        <v>677</v>
      </c>
    </row>
    <row r="3" customFormat="false" ht="45" hidden="false" customHeight="true" outlineLevel="0" collapsed="false">
      <c r="B3" s="93" t="s">
        <v>678</v>
      </c>
      <c r="C3" s="93"/>
      <c r="D3" s="93"/>
      <c r="E3" s="93"/>
      <c r="F3" s="93"/>
      <c r="G3" s="93"/>
      <c r="H3" s="93"/>
      <c r="I3" s="93"/>
      <c r="J3" s="93"/>
    </row>
    <row r="5" customFormat="false" ht="54.75" hidden="false" customHeight="true" outlineLevel="0" collapsed="false">
      <c r="B5" s="102" t="s">
        <v>679</v>
      </c>
      <c r="C5" s="102" t="s">
        <v>680</v>
      </c>
      <c r="D5" s="102" t="s">
        <v>681</v>
      </c>
      <c r="E5" s="102" t="s">
        <v>682</v>
      </c>
      <c r="F5" s="102" t="s">
        <v>683</v>
      </c>
      <c r="G5" s="102" t="s">
        <v>684</v>
      </c>
      <c r="H5" s="102"/>
      <c r="I5" s="102"/>
      <c r="J5" s="102"/>
      <c r="K5" s="102"/>
    </row>
    <row r="6" customFormat="false" ht="15" hidden="false" customHeight="true" outlineLevel="0" collapsed="false">
      <c r="B6" s="7" t="s">
        <v>685</v>
      </c>
    </row>
    <row r="7" customFormat="false" ht="15" hidden="false" customHeight="true" outlineLevel="0" collapsed="false">
      <c r="B7" s="103" t="s">
        <v>686</v>
      </c>
      <c r="C7" s="103" t="s">
        <v>687</v>
      </c>
      <c r="D7" s="104" t="n">
        <f aca="false">SUM(38_v69_E1!C133:AF133)</f>
        <v>-206</v>
      </c>
      <c r="E7" s="104" t="n">
        <f aca="false">SUM(39_v69_E2!C133:AF133)</f>
        <v>-206</v>
      </c>
      <c r="F7" s="104" t="n">
        <f aca="false">SUM(40_v69_E3!C133:AF133)</f>
        <v>-206</v>
      </c>
      <c r="G7" s="104" t="n">
        <f aca="false">SUM(45_v69_E1_10!C133:AF133)</f>
        <v>-206</v>
      </c>
      <c r="H7" s="104"/>
      <c r="I7" s="104"/>
      <c r="J7" s="104"/>
      <c r="K7" s="104"/>
    </row>
    <row r="8" customFormat="false" ht="15" hidden="false" customHeight="true" outlineLevel="0" collapsed="false">
      <c r="B8" s="103" t="s">
        <v>688</v>
      </c>
      <c r="C8" s="103" t="s">
        <v>687</v>
      </c>
      <c r="D8" s="104" t="n">
        <f aca="false">SUM(38_v69_E1!C134:AF134)</f>
        <v>-46.9758923847006</v>
      </c>
      <c r="E8" s="104" t="n">
        <f aca="false">SUM(39_v69_E2!C134:AF134)</f>
        <v>-48.7012060506072</v>
      </c>
      <c r="F8" s="104" t="n">
        <f aca="false">SUM(40_v69_E3!C134:AF134)</f>
        <v>-46.9758923847006</v>
      </c>
      <c r="G8" s="104" t="n">
        <f aca="false">SUM(45_v69_E1_10!C134:AF134)</f>
        <v>-46.9758923847006</v>
      </c>
      <c r="H8" s="104"/>
      <c r="I8" s="104"/>
      <c r="J8" s="104"/>
      <c r="K8" s="104"/>
    </row>
    <row r="9" customFormat="false" ht="15" hidden="false" customHeight="true" outlineLevel="0" collapsed="false">
      <c r="B9" s="103" t="s">
        <v>689</v>
      </c>
      <c r="C9" s="103" t="s">
        <v>687</v>
      </c>
      <c r="D9" s="104" t="n">
        <f aca="false">SUM(38_v69_E1!C141:AF141)</f>
        <v>-39.5660556761994</v>
      </c>
      <c r="E9" s="104" t="n">
        <f aca="false">SUM(39_v69_E2!C141:AF141)</f>
        <v>-37.1220762537546</v>
      </c>
      <c r="F9" s="104" t="n">
        <f aca="false">SUM(40_v69_E3!C141:AF141)</f>
        <v>-37.720998252305</v>
      </c>
      <c r="G9" s="104" t="n">
        <f aca="false">SUM(45_v69_E1_10!C141:AF141)</f>
        <v>-39.5660556761994</v>
      </c>
      <c r="H9" s="104"/>
      <c r="I9" s="104"/>
      <c r="J9" s="104"/>
      <c r="K9" s="104"/>
    </row>
    <row r="10" customFormat="false" ht="15" hidden="false" customHeight="true" outlineLevel="0" collapsed="false">
      <c r="B10" s="103" t="s">
        <v>690</v>
      </c>
      <c r="C10" s="103" t="s">
        <v>687</v>
      </c>
      <c r="D10" s="104" t="n">
        <f aca="false">SUM(38_v69_E1!C146:AF146)</f>
        <v>0</v>
      </c>
      <c r="E10" s="104" t="n">
        <f aca="false">SUM(39_v69_E2!C146:AF146)</f>
        <v>0</v>
      </c>
      <c r="F10" s="104" t="n">
        <f aca="false">SUM(40_v69_E3!C146:AF146)</f>
        <v>0</v>
      </c>
      <c r="G10" s="104" t="n">
        <f aca="false">SUM(45_v69_E1_10!C146:AF146)</f>
        <v>0</v>
      </c>
      <c r="H10" s="104"/>
      <c r="I10" s="104"/>
      <c r="J10" s="104"/>
      <c r="K10" s="104"/>
    </row>
    <row r="11" customFormat="false" ht="15" hidden="false" customHeight="true" outlineLevel="0" collapsed="false">
      <c r="B11" s="103" t="s">
        <v>691</v>
      </c>
      <c r="C11" s="103" t="s">
        <v>692</v>
      </c>
      <c r="D11" s="104" t="n">
        <f aca="false">SUM(38_v69_E1!C147:AF147)</f>
        <v>0</v>
      </c>
      <c r="E11" s="104" t="n">
        <f aca="false">SUM(39_v69_E2!C147:AF147)</f>
        <v>0</v>
      </c>
      <c r="F11" s="104" t="n">
        <f aca="false">SUM(40_v69_E3!C147:AF147)</f>
        <v>0</v>
      </c>
      <c r="G11" s="104" t="n">
        <f aca="false">SUM(45_v69_E1_10!C147:AF147)</f>
        <v>0</v>
      </c>
      <c r="H11" s="104"/>
      <c r="I11" s="104"/>
      <c r="J11" s="104"/>
      <c r="K11" s="104"/>
    </row>
    <row r="12" customFormat="false" ht="15" hidden="false" customHeight="true" outlineLevel="0" collapsed="false">
      <c r="B12" s="7" t="s">
        <v>693</v>
      </c>
    </row>
    <row r="13" customFormat="false" ht="15" hidden="false" customHeight="true" outlineLevel="0" collapsed="false">
      <c r="B13" s="103" t="s">
        <v>694</v>
      </c>
      <c r="C13" s="103" t="s">
        <v>695</v>
      </c>
      <c r="D13" s="104" t="n">
        <f aca="false">SUM(38_v69_E1!C135:AF135)</f>
        <v>85.161</v>
      </c>
      <c r="E13" s="104" t="n">
        <f aca="false">SUM(39_v69_E2!C135:AF135)</f>
        <v>85.161</v>
      </c>
      <c r="F13" s="104" t="n">
        <f aca="false">SUM(40_v69_E3!C135:AF135)</f>
        <v>85.161</v>
      </c>
      <c r="G13" s="104" t="n">
        <f aca="false">SUM(45_v69_E1_10!C135:AF135)</f>
        <v>85.161</v>
      </c>
      <c r="H13" s="104"/>
      <c r="I13" s="104"/>
      <c r="J13" s="104"/>
      <c r="K13" s="104"/>
    </row>
    <row r="14" customFormat="false" ht="15" hidden="false" customHeight="true" outlineLevel="0" collapsed="false">
      <c r="B14" s="103" t="s">
        <v>696</v>
      </c>
      <c r="C14" s="103" t="s">
        <v>695</v>
      </c>
      <c r="D14" s="104" t="n">
        <f aca="false">SUM(38_v69_E1!C138:AF138)</f>
        <v>0</v>
      </c>
      <c r="E14" s="104" t="n">
        <f aca="false">SUM(39_v69_E2!C138:AF138)</f>
        <v>0</v>
      </c>
      <c r="F14" s="104" t="n">
        <f aca="false">SUM(40_v69_E3!C138:AF138)</f>
        <v>0</v>
      </c>
      <c r="G14" s="104" t="n">
        <f aca="false">SUM(45_v69_E1_10!C138:AF138)</f>
        <v>0</v>
      </c>
      <c r="H14" s="104"/>
      <c r="I14" s="104"/>
      <c r="J14" s="104"/>
      <c r="K14" s="104"/>
    </row>
    <row r="15" customFormat="false" ht="15" hidden="false" customHeight="true" outlineLevel="0" collapsed="false">
      <c r="B15" s="103" t="s">
        <v>697</v>
      </c>
      <c r="C15" s="103" t="s">
        <v>695</v>
      </c>
      <c r="D15" s="104" t="n">
        <f aca="false">SUM(38_v69_E1!C137:AF137)</f>
        <v>6.43266740352282</v>
      </c>
      <c r="E15" s="104" t="n">
        <f aca="false">SUM(39_v69_E2!C137:AF137)</f>
        <v>6.43266740352282</v>
      </c>
      <c r="F15" s="104" t="n">
        <f aca="false">SUM(40_v69_E3!C137:AF137)</f>
        <v>6.43266740352282</v>
      </c>
      <c r="G15" s="104" t="n">
        <f aca="false">SUM(45_v69_E1_10!C137:AF137)</f>
        <v>6.43266740352282</v>
      </c>
      <c r="H15" s="104"/>
      <c r="I15" s="104"/>
      <c r="J15" s="104"/>
      <c r="K15" s="104"/>
    </row>
    <row r="16" customFormat="false" ht="15" hidden="false" customHeight="true" outlineLevel="0" collapsed="false">
      <c r="B16" s="103" t="s">
        <v>698</v>
      </c>
      <c r="C16" s="103" t="s">
        <v>695</v>
      </c>
      <c r="D16" s="104" t="n">
        <f aca="false">SUM(38_v69_E1!C142:AF142)</f>
        <v>26.7070875814346</v>
      </c>
      <c r="E16" s="104" t="n">
        <f aca="false">SUM(39_v69_E2!C142:AF142)</f>
        <v>25.0574014712844</v>
      </c>
      <c r="F16" s="104" t="n">
        <f aca="false">SUM(40_v69_E3!C142:AF142)</f>
        <v>25.4616738203059</v>
      </c>
      <c r="G16" s="104" t="n">
        <f aca="false">SUM(45_v69_E1_10!C142:AF142)</f>
        <v>26.7070875814346</v>
      </c>
      <c r="H16" s="104"/>
      <c r="I16" s="104"/>
      <c r="J16" s="104"/>
      <c r="K16" s="104"/>
    </row>
    <row r="17" customFormat="false" ht="15" hidden="false" customHeight="true" outlineLevel="0" collapsed="false">
      <c r="B17" s="7" t="s">
        <v>699</v>
      </c>
    </row>
    <row r="18" customFormat="false" ht="15" hidden="false" customHeight="true" outlineLevel="0" collapsed="false">
      <c r="B18" s="103" t="s">
        <v>700</v>
      </c>
      <c r="C18" s="103" t="s">
        <v>701</v>
      </c>
      <c r="D18" s="104" t="n">
        <f aca="false">SUM(38_v69_E1!C136:AF136)</f>
        <v>20.2800018333029</v>
      </c>
      <c r="E18" s="104" t="n">
        <f aca="false">SUM(39_v69_E2!C136:AF136)</f>
        <v>18.7595121757463</v>
      </c>
      <c r="F18" s="104" t="n">
        <f aca="false">SUM(40_v69_E3!C136:AF136)</f>
        <v>20.5280803603928</v>
      </c>
      <c r="G18" s="104" t="n">
        <f aca="false">SUM(45_v69_E1_10!C136:AF136)</f>
        <v>20.2800018333029</v>
      </c>
      <c r="H18" s="104"/>
      <c r="I18" s="104"/>
      <c r="J18" s="104"/>
      <c r="K18" s="104"/>
    </row>
    <row r="19" customFormat="false" ht="15" hidden="false" customHeight="true" outlineLevel="0" collapsed="false">
      <c r="B19" s="103" t="s">
        <v>702</v>
      </c>
      <c r="C19" s="103" t="s">
        <v>701</v>
      </c>
      <c r="D19" s="104" t="n">
        <f aca="false">SUM(38_v69_E1!C139:AF139)</f>
        <v>11.9816205066734</v>
      </c>
      <c r="E19" s="104" t="n">
        <f aca="false">SUM(39_v69_E2!C139:AF139)</f>
        <v>11.7613558448546</v>
      </c>
      <c r="F19" s="104" t="n">
        <f aca="false">SUM(40_v69_E3!C139:AF139)</f>
        <v>10.9598197392865</v>
      </c>
      <c r="G19" s="104" t="n">
        <f aca="false">SUM(45_v69_E1_10!C139:AF139)</f>
        <v>11.9816205066734</v>
      </c>
      <c r="H19" s="104"/>
      <c r="I19" s="104"/>
      <c r="J19" s="104"/>
      <c r="K19" s="104"/>
    </row>
    <row r="20" customFormat="false" ht="15" hidden="false" customHeight="true" outlineLevel="0" collapsed="false">
      <c r="B20" s="7" t="s">
        <v>703</v>
      </c>
    </row>
    <row r="21" customFormat="false" ht="15" hidden="false" customHeight="true" outlineLevel="0" collapsed="false">
      <c r="B21" s="103" t="s">
        <v>704</v>
      </c>
      <c r="C21" s="103" t="s">
        <v>692</v>
      </c>
      <c r="D21" s="104" t="n">
        <f aca="false">SUM(38_v69_E1!C144:AF144)</f>
        <v>0</v>
      </c>
      <c r="E21" s="104" t="n">
        <f aca="false">SUM(39_v69_E2!C144:AF144)</f>
        <v>112.285977836456</v>
      </c>
      <c r="F21" s="104" t="n">
        <f aca="false">SUM(40_v69_E3!C144:AF144)</f>
        <v>0</v>
      </c>
      <c r="G21" s="104" t="n">
        <f aca="false">SUM(45_v69_E1_10!C144:AF144)</f>
        <v>0</v>
      </c>
      <c r="H21" s="104"/>
      <c r="I21" s="104"/>
      <c r="J21" s="104"/>
      <c r="K21" s="104"/>
    </row>
    <row r="22" customFormat="false" ht="15" hidden="false" customHeight="true" outlineLevel="0" collapsed="false">
      <c r="B22" s="103" t="s">
        <v>705</v>
      </c>
      <c r="C22" s="103" t="s">
        <v>692</v>
      </c>
      <c r="D22" s="104" t="n">
        <f aca="false">SUM(38_v69_E1!C145:AF145)</f>
        <v>0</v>
      </c>
      <c r="E22" s="104" t="n">
        <f aca="false">SUM(39_v69_E2!C145:AF145)</f>
        <v>0</v>
      </c>
      <c r="F22" s="104" t="n">
        <f aca="false">SUM(40_v69_E3!C145:AF145)</f>
        <v>0</v>
      </c>
      <c r="G22" s="104" t="n">
        <f aca="false">SUM(45_v69_E1_10!C145:AF145)</f>
        <v>0</v>
      </c>
      <c r="H22" s="104"/>
      <c r="I22" s="104"/>
      <c r="J22" s="104"/>
      <c r="K22" s="104"/>
    </row>
    <row r="23" customFormat="false" ht="15" hidden="false" customHeight="true" outlineLevel="0" collapsed="false">
      <c r="B23" s="7" t="s">
        <v>706</v>
      </c>
      <c r="C23" s="103" t="s">
        <v>707</v>
      </c>
      <c r="D23" s="105" t="n">
        <f aca="false">SUM(38_v69_E1!C148:AF148)</f>
        <v>-141.979570735966</v>
      </c>
      <c r="E23" s="105" t="n">
        <f aca="false">SUM(39_v69_E2!C148:AF148)</f>
        <v>-32.3653675724978</v>
      </c>
      <c r="F23" s="105" t="n">
        <f aca="false">SUM(40_v69_E3!C148:AF148)</f>
        <v>-142.153649313498</v>
      </c>
      <c r="G23" s="105" t="n">
        <f aca="false">SUM(45_v69_E1_10!C148:AF148)</f>
        <v>-141.979570735966</v>
      </c>
      <c r="H23" s="105"/>
      <c r="I23" s="105"/>
      <c r="J23" s="105"/>
      <c r="K23" s="105"/>
    </row>
    <row r="25" customFormat="false" ht="15" hidden="false" customHeight="true" outlineLevel="0" collapsed="false">
      <c r="B25" s="7" t="s">
        <v>708</v>
      </c>
    </row>
    <row r="26" customFormat="false" ht="15" hidden="false" customHeight="true" outlineLevel="0" collapsed="false">
      <c r="B26" s="103" t="s">
        <v>709</v>
      </c>
      <c r="D26" s="106" t="n">
        <f aca="false">38_v69_E1!AF104</f>
        <v>13.6854545779078</v>
      </c>
      <c r="E26" s="106" t="n">
        <f aca="false">39_v69_E2!AF104</f>
        <v>14.1846383859723</v>
      </c>
      <c r="F26" s="106" t="n">
        <f aca="false">40_v69_E3!AF104</f>
        <v>12.1520335263305</v>
      </c>
      <c r="G26" s="106" t="n">
        <f aca="false">45_v69_E1_10!AF104</f>
        <v>13.6854545779078</v>
      </c>
      <c r="H26" s="106"/>
      <c r="I26" s="106"/>
      <c r="J26" s="106"/>
      <c r="K26" s="106"/>
    </row>
    <row r="27" customFormat="false" ht="30" hidden="false" customHeight="true" outlineLevel="0" collapsed="false">
      <c r="B27" s="107" t="s">
        <v>710</v>
      </c>
      <c r="C27" s="107"/>
      <c r="D27" s="107"/>
      <c r="E27" s="107"/>
      <c r="F27" s="107"/>
      <c r="G27" s="107"/>
      <c r="H27" s="107"/>
      <c r="I27" s="107"/>
      <c r="J27" s="107"/>
      <c r="K27" s="107"/>
    </row>
    <row r="28" customFormat="false" ht="30" hidden="false" customHeight="true" outlineLevel="0" collapsed="false">
      <c r="B28" s="107" t="s">
        <v>711</v>
      </c>
      <c r="C28" s="107"/>
      <c r="D28" s="107"/>
      <c r="E28" s="107"/>
      <c r="F28" s="107"/>
      <c r="G28" s="107"/>
      <c r="H28" s="107"/>
      <c r="I28" s="107"/>
      <c r="J28" s="107"/>
      <c r="K28" s="107"/>
    </row>
    <row r="29" customFormat="false" ht="14.25" hidden="false" customHeight="true" outlineLevel="0" collapsed="false">
      <c r="B29" s="1" t="s">
        <v>712</v>
      </c>
      <c r="D29" s="1" t="n">
        <f aca="false">01_Supuestos!$I$62*01_Supuestos!$I$30*12/1000000000000*0.7*13</f>
        <v>20.355070534344</v>
      </c>
      <c r="E29" s="1" t="n">
        <f aca="false">01_Supuestos!$I$62*01_Supuestos!$I$30*12/1000000000000*0.7*13</f>
        <v>20.355070534344</v>
      </c>
      <c r="F29" s="1" t="n">
        <f aca="false">01_Supuestos!$I$62*01_Supuestos!$I$30*12/1000000000000*0.7*13</f>
        <v>20.355070534344</v>
      </c>
      <c r="G29" s="1" t="n">
        <f aca="false">01_Supuestos!$I$62*01_Supuestos!$I$30*12/1000000000000*0.7*13</f>
        <v>20.355070534344</v>
      </c>
    </row>
    <row r="30" customFormat="false" ht="14.25" hidden="false" customHeight="true" outlineLevel="0" collapsed="false">
      <c r="B30" s="1" t="s">
        <v>713</v>
      </c>
      <c r="D30" s="1" t="n">
        <f aca="false">D23+D29</f>
        <v>-121.624500201622</v>
      </c>
      <c r="E30" s="1" t="n">
        <f aca="false">E23+E29</f>
        <v>-12.0102970381538</v>
      </c>
      <c r="F30" s="1" t="n">
        <f aca="false">F23+F29</f>
        <v>-121.798578779154</v>
      </c>
      <c r="G30" s="1" t="n">
        <f aca="false">G23+G29</f>
        <v>-121.624500201622</v>
      </c>
    </row>
  </sheetData>
  <mergeCells count="3">
    <mergeCell ref="B3:J3"/>
    <mergeCell ref="B27:K27"/>
    <mergeCell ref="B28:K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M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58"/>
    <col collapsed="false" customWidth="true" hidden="false" outlineLevel="0" max="13" min="3" style="1" width="11"/>
  </cols>
  <sheetData>
    <row r="2" customFormat="false" ht="17.25" hidden="false" customHeight="true" outlineLevel="0" collapsed="false">
      <c r="B2" s="92" t="s">
        <v>714</v>
      </c>
    </row>
    <row r="3" customFormat="false" ht="54.75" hidden="false" customHeight="true" outlineLevel="0" collapsed="false">
      <c r="B3" s="93" t="s">
        <v>715</v>
      </c>
      <c r="C3" s="93"/>
      <c r="D3" s="93"/>
      <c r="E3" s="93"/>
      <c r="F3" s="93"/>
      <c r="G3" s="93"/>
      <c r="H3" s="93"/>
      <c r="I3" s="93"/>
      <c r="J3" s="93"/>
      <c r="K3" s="93"/>
      <c r="L3" s="93"/>
      <c r="M3" s="93"/>
    </row>
    <row r="5" customFormat="false" ht="15" hidden="false" customHeight="true" outlineLevel="0" collapsed="false">
      <c r="B5" s="102" t="s">
        <v>716</v>
      </c>
      <c r="C5" s="102" t="s">
        <v>717</v>
      </c>
      <c r="D5" s="102" t="s">
        <v>718</v>
      </c>
      <c r="E5" s="102" t="s">
        <v>719</v>
      </c>
      <c r="F5" s="102" t="s">
        <v>720</v>
      </c>
      <c r="G5" s="102" t="s">
        <v>721</v>
      </c>
      <c r="H5" s="102" t="s">
        <v>722</v>
      </c>
      <c r="I5" s="102" t="s">
        <v>723</v>
      </c>
      <c r="J5" s="102" t="s">
        <v>724</v>
      </c>
      <c r="K5" s="102" t="s">
        <v>725</v>
      </c>
      <c r="L5" s="102" t="s">
        <v>726</v>
      </c>
      <c r="M5" s="102" t="s">
        <v>727</v>
      </c>
    </row>
    <row r="6" customFormat="false" ht="15" hidden="false" customHeight="true" outlineLevel="0" collapsed="false">
      <c r="B6" s="7" t="s">
        <v>728</v>
      </c>
      <c r="C6" s="108" t="n">
        <f aca="false">0</f>
        <v>0</v>
      </c>
      <c r="D6" s="108" t="n">
        <f aca="false">38_v69_E1!C120</f>
        <v>18.9190487037173</v>
      </c>
      <c r="E6" s="108" t="n">
        <f aca="false">38_v69_E1!D120</f>
        <v>35.1038595527686</v>
      </c>
      <c r="F6" s="108" t="n">
        <f aca="false">38_v69_E1!E120</f>
        <v>53.0720061406802</v>
      </c>
      <c r="G6" s="108" t="n">
        <f aca="false">38_v69_E1!F120</f>
        <v>61.8615311429605</v>
      </c>
      <c r="H6" s="108" t="n">
        <f aca="false">38_v69_E1!G120</f>
        <v>72.8447858473724</v>
      </c>
      <c r="I6" s="108" t="n">
        <f aca="false">38_v69_E1!H120</f>
        <v>85.489047213793</v>
      </c>
      <c r="J6" s="108" t="n">
        <f aca="false">38_v69_E1!I120</f>
        <v>99.8859200684854</v>
      </c>
      <c r="K6" s="108" t="n">
        <f aca="false">38_v69_E1!J120</f>
        <v>115.612055639854</v>
      </c>
      <c r="L6" s="108" t="n">
        <f aca="false">38_v69_E1!K120</f>
        <v>132.626319710305</v>
      </c>
    </row>
    <row r="7" customFormat="false" ht="15" hidden="false" customHeight="true" outlineLevel="0" collapsed="false">
      <c r="B7" s="7" t="s">
        <v>729</v>
      </c>
    </row>
    <row r="8" customFormat="false" ht="15" hidden="false" customHeight="true" outlineLevel="0" collapsed="false">
      <c r="B8" s="103" t="s">
        <v>655</v>
      </c>
      <c r="C8" s="108" t="n">
        <f aca="false">38_v69_E1!C53</f>
        <v>20.6</v>
      </c>
      <c r="D8" s="108" t="n">
        <f aca="false">38_v69_E1!D53</f>
        <v>20.6</v>
      </c>
      <c r="E8" s="108" t="n">
        <f aca="false">38_v69_E1!E53</f>
        <v>20.6</v>
      </c>
      <c r="F8" s="108" t="n">
        <f aca="false">38_v69_E1!F53</f>
        <v>20.6</v>
      </c>
      <c r="G8" s="108" t="n">
        <f aca="false">38_v69_E1!G53</f>
        <v>20.6</v>
      </c>
      <c r="H8" s="108" t="n">
        <f aca="false">38_v69_E1!H53</f>
        <v>20.6</v>
      </c>
      <c r="I8" s="108" t="n">
        <f aca="false">38_v69_E1!I53</f>
        <v>20.6</v>
      </c>
      <c r="J8" s="108" t="n">
        <f aca="false">38_v69_E1!J53</f>
        <v>20.6</v>
      </c>
      <c r="K8" s="108" t="n">
        <f aca="false">38_v69_E1!K53</f>
        <v>20.6</v>
      </c>
      <c r="L8" s="108" t="n">
        <f aca="false">38_v69_E1!L53</f>
        <v>20.6</v>
      </c>
      <c r="M8" s="109" t="n">
        <f aca="false">SUM(C8:L8)</f>
        <v>206</v>
      </c>
    </row>
    <row r="9" customFormat="false" ht="15" hidden="false" customHeight="true" outlineLevel="0" collapsed="false">
      <c r="B9" s="103" t="s">
        <v>730</v>
      </c>
      <c r="C9" s="108" t="n">
        <f aca="false">38_v69_E1!C56</f>
        <v>1.07</v>
      </c>
      <c r="D9" s="108" t="n">
        <f aca="false">38_v69_E1!D56</f>
        <v>1.09675</v>
      </c>
      <c r="E9" s="108" t="n">
        <f aca="false">38_v69_E1!E56</f>
        <v>1.12416875</v>
      </c>
      <c r="F9" s="108" t="n">
        <f aca="false">38_v69_E1!F56</f>
        <v>1.15227296875</v>
      </c>
      <c r="G9" s="108" t="n">
        <f aca="false">38_v69_E1!G56</f>
        <v>1.18107979296875</v>
      </c>
      <c r="H9" s="108" t="n">
        <f aca="false">38_v69_E1!H56</f>
        <v>1.21060678779297</v>
      </c>
      <c r="I9" s="108" t="n">
        <f aca="false">38_v69_E1!I56</f>
        <v>1.24087195748779</v>
      </c>
      <c r="J9" s="108" t="n">
        <f aca="false">38_v69_E1!J56</f>
        <v>1.27189375642499</v>
      </c>
      <c r="K9" s="108" t="n">
        <f aca="false">38_v69_E1!K56</f>
        <v>1.30369110033561</v>
      </c>
      <c r="L9" s="108" t="n">
        <f aca="false">38_v69_E1!L56</f>
        <v>1.336283377844</v>
      </c>
      <c r="M9" s="109" t="n">
        <f aca="false">SUM(C9:L9)</f>
        <v>11.9876184916041</v>
      </c>
    </row>
    <row r="10" customFormat="false" ht="15" hidden="false" customHeight="true" outlineLevel="0" collapsed="false">
      <c r="B10" s="103" t="s">
        <v>731</v>
      </c>
      <c r="C10" s="108" t="n">
        <f aca="false">38_v69_E1!C58-38_v69_E1!C65</f>
        <v>0</v>
      </c>
      <c r="D10" s="108" t="n">
        <f aca="false">38_v69_E1!D58-38_v69_E1!D65</f>
        <v>0</v>
      </c>
      <c r="E10" s="108" t="n">
        <f aca="false">38_v69_E1!E58-38_v69_E1!E65</f>
        <v>0</v>
      </c>
      <c r="F10" s="108" t="n">
        <f aca="false">38_v69_E1!F58-38_v69_E1!F65</f>
        <v>0</v>
      </c>
      <c r="G10" s="108" t="n">
        <f aca="false">38_v69_E1!G58-38_v69_E1!G65</f>
        <v>0.091908323251863</v>
      </c>
      <c r="H10" s="108" t="n">
        <f aca="false">38_v69_E1!H58-38_v69_E1!H65</f>
        <v>0.0951526870626538</v>
      </c>
      <c r="I10" s="108" t="n">
        <f aca="false">38_v69_E1!I58-38_v69_E1!I65</f>
        <v>0.0985115769159654</v>
      </c>
      <c r="J10" s="108" t="n">
        <f aca="false">38_v69_E1!J58-38_v69_E1!J65</f>
        <v>0.101989035581099</v>
      </c>
      <c r="K10" s="108" t="n">
        <f aca="false">38_v69_E1!K58-38_v69_E1!K65</f>
        <v>0.105589248537112</v>
      </c>
      <c r="L10" s="108" t="n">
        <f aca="false">38_v69_E1!L58-38_v69_E1!L65</f>
        <v>0.109316549010472</v>
      </c>
      <c r="M10" s="109" t="n">
        <f aca="false">SUM(C10:L10)</f>
        <v>0.602467420359165</v>
      </c>
    </row>
    <row r="11" customFormat="false" ht="15" hidden="false" customHeight="true" outlineLevel="0" collapsed="false">
      <c r="B11" s="103" t="s">
        <v>732</v>
      </c>
      <c r="C11" s="108" t="n">
        <f aca="false">38_v69_E1!C107</f>
        <v>0.513188403282038</v>
      </c>
      <c r="D11" s="108" t="n">
        <f aca="false">38_v69_E1!D107</f>
        <v>1.04613222441358</v>
      </c>
      <c r="E11" s="108" t="n">
        <f aca="false">38_v69_E1!E107</f>
        <v>1.59314289850282</v>
      </c>
      <c r="F11" s="108" t="n">
        <f aca="false">38_v69_E1!F107</f>
        <v>2.11473397918087</v>
      </c>
      <c r="G11" s="108" t="n">
        <f aca="false">38_v69_E1!G107</f>
        <v>2.69526791638556</v>
      </c>
      <c r="H11" s="108" t="n">
        <f aca="false">38_v69_E1!H107</f>
        <v>3.2892423100506</v>
      </c>
      <c r="I11" s="108" t="n">
        <f aca="false">38_v69_E1!I107</f>
        <v>3.89696670266486</v>
      </c>
      <c r="J11" s="108" t="n">
        <f aca="false">38_v69_E1!J107</f>
        <v>4.51875774134226</v>
      </c>
      <c r="K11" s="108" t="n">
        <f aca="false">38_v69_E1!K107</f>
        <v>5.15493934205706</v>
      </c>
      <c r="L11" s="108" t="n">
        <f aca="false">38_v69_E1!L107</f>
        <v>5.80581329777888</v>
      </c>
      <c r="M11" s="109" t="n">
        <f aca="false">SUM(C11:L11)</f>
        <v>30.6281848156585</v>
      </c>
    </row>
    <row r="12" customFormat="false" ht="15" hidden="false" customHeight="true" outlineLevel="0" collapsed="false">
      <c r="B12" s="103" t="s">
        <v>733</v>
      </c>
      <c r="C12" s="108" t="n">
        <f aca="false">38_v69_E1!C109</f>
        <v>0.00189090909090909</v>
      </c>
      <c r="D12" s="108" t="n">
        <f aca="false">38_v69_E1!D109</f>
        <v>0.00384856727272727</v>
      </c>
      <c r="E12" s="108" t="n">
        <f aca="false">38_v69_E1!E109</f>
        <v>0.00587533078836364</v>
      </c>
      <c r="F12" s="108" t="n">
        <f aca="false">38_v69_E1!F109</f>
        <v>1.25532630043128</v>
      </c>
      <c r="G12" s="108" t="n">
        <f aca="false">38_v69_E1!G109</f>
        <v>1.42463103268586</v>
      </c>
      <c r="H12" s="108" t="n">
        <f aca="false">38_v69_E1!H109</f>
        <v>1.59467199608304</v>
      </c>
      <c r="I12" s="108" t="n">
        <f aca="false">38_v69_E1!I109</f>
        <v>1.76546023408995</v>
      </c>
      <c r="J12" s="108" t="n">
        <f aca="false">38_v69_E1!J109</f>
        <v>1.93700695582574</v>
      </c>
      <c r="K12" s="108" t="n">
        <f aca="false">38_v69_E1!K109</f>
        <v>2.10932353854635</v>
      </c>
      <c r="L12" s="108" t="n">
        <f aca="false">38_v69_E1!L109</f>
        <v>2.28439055019087</v>
      </c>
      <c r="M12" s="109" t="n">
        <f aca="false">SUM(C12:L12)</f>
        <v>12.3824254150051</v>
      </c>
    </row>
    <row r="13" customFormat="false" ht="15" hidden="false" customHeight="true" outlineLevel="0" collapsed="false">
      <c r="B13" s="103" t="s">
        <v>734</v>
      </c>
      <c r="C13" s="108" t="n">
        <f aca="false">38_v69_E1!C110</f>
        <v>0</v>
      </c>
      <c r="D13" s="108" t="n">
        <f aca="false">38_v69_E1!D110</f>
        <v>0.662166704630107</v>
      </c>
      <c r="E13" s="108" t="n">
        <f aca="false">38_v69_E1!E110</f>
        <v>1.2286350843469</v>
      </c>
      <c r="F13" s="108" t="n">
        <f aca="false">38_v69_E1!F110</f>
        <v>1.85752021492381</v>
      </c>
      <c r="G13" s="108" t="n">
        <f aca="false">38_v69_E1!G110</f>
        <v>2.16515359000362</v>
      </c>
      <c r="H13" s="108" t="n">
        <f aca="false">38_v69_E1!H110</f>
        <v>2.54956750465803</v>
      </c>
      <c r="I13" s="108" t="n">
        <f aca="false">38_v69_E1!I110</f>
        <v>2.99211665248276</v>
      </c>
      <c r="J13" s="108" t="n">
        <f aca="false">38_v69_E1!J110</f>
        <v>3.49600720239699</v>
      </c>
      <c r="K13" s="108" t="n">
        <f aca="false">38_v69_E1!K110</f>
        <v>4.0464219473949</v>
      </c>
      <c r="L13" s="108" t="n">
        <f aca="false">38_v69_E1!L110</f>
        <v>4.64192118986067</v>
      </c>
      <c r="M13" s="109" t="n">
        <f aca="false">SUM(C13:L13)</f>
        <v>23.6395100906978</v>
      </c>
    </row>
    <row r="14" customFormat="false" ht="15" hidden="false" customHeight="true" outlineLevel="0" collapsed="false">
      <c r="B14" s="103" t="s">
        <v>735</v>
      </c>
      <c r="C14" s="108" t="n">
        <f aca="false">38_v69_E1!C184</f>
        <v>0.195</v>
      </c>
      <c r="D14" s="108" t="n">
        <f aca="false">38_v69_E1!D184</f>
        <v>0.39897</v>
      </c>
      <c r="E14" s="108" t="n">
        <f aca="false">38_v69_E1!E184</f>
        <v>0.612219465</v>
      </c>
      <c r="F14" s="108" t="n">
        <f aca="false">38_v69_E1!F184</f>
        <v>0.83506735026</v>
      </c>
      <c r="G14" s="108" t="n">
        <f aca="false">38_v69_E1!G184</f>
        <v>1.06784237414497</v>
      </c>
      <c r="H14" s="108" t="n">
        <f aca="false">38_v69_E1!H184</f>
        <v>1.09240274875031</v>
      </c>
      <c r="I14" s="108" t="n">
        <f aca="false">38_v69_E1!I184</f>
        <v>1.11752801197157</v>
      </c>
      <c r="J14" s="108" t="n">
        <f aca="false">38_v69_E1!J184</f>
        <v>1.14323115624691</v>
      </c>
      <c r="K14" s="108" t="n">
        <f aca="false">38_v69_E1!K184</f>
        <v>1.16952547284059</v>
      </c>
      <c r="L14" s="108" t="n">
        <f aca="false">38_v69_E1!L184</f>
        <v>1.19642455871592</v>
      </c>
      <c r="M14" s="109" t="n">
        <f aca="false">SUM(C14:L14)</f>
        <v>8.82821113793028</v>
      </c>
    </row>
    <row r="15" customFormat="false" ht="15" hidden="false" customHeight="true" outlineLevel="0" collapsed="false">
      <c r="B15" s="103" t="s">
        <v>736</v>
      </c>
      <c r="C15" s="108" t="n">
        <f aca="false">38_v69_E1!C60</f>
        <v>0</v>
      </c>
      <c r="D15" s="108" t="n">
        <f aca="false">38_v69_E1!D60</f>
        <v>0</v>
      </c>
      <c r="E15" s="108" t="n">
        <f aca="false">38_v69_E1!E60</f>
        <v>0</v>
      </c>
      <c r="F15" s="108" t="n">
        <f aca="false">38_v69_E1!F60</f>
        <v>0</v>
      </c>
      <c r="G15" s="108" t="n">
        <f aca="false">38_v69_E1!G60</f>
        <v>0</v>
      </c>
      <c r="H15" s="108" t="n">
        <f aca="false">38_v69_E1!H60</f>
        <v>0</v>
      </c>
      <c r="I15" s="108" t="n">
        <f aca="false">38_v69_E1!I60</f>
        <v>0</v>
      </c>
      <c r="J15" s="108" t="n">
        <f aca="false">38_v69_E1!J60</f>
        <v>0</v>
      </c>
      <c r="K15" s="108" t="n">
        <f aca="false">38_v69_E1!K60</f>
        <v>0</v>
      </c>
      <c r="L15" s="108" t="n">
        <f aca="false">38_v69_E1!L60</f>
        <v>0</v>
      </c>
      <c r="M15" s="109" t="n">
        <f aca="false">SUM(C15:L15)</f>
        <v>0</v>
      </c>
    </row>
    <row r="16" customFormat="false" ht="15" hidden="false" customHeight="true" outlineLevel="0" collapsed="false">
      <c r="B16" s="103" t="s">
        <v>737</v>
      </c>
      <c r="C16" s="108" t="n">
        <f aca="false">38_v69_E1!C94</f>
        <v>0</v>
      </c>
      <c r="D16" s="108" t="n">
        <f aca="false">38_v69_E1!D94</f>
        <v>0</v>
      </c>
      <c r="E16" s="108" t="n">
        <f aca="false">38_v69_E1!E94</f>
        <v>0</v>
      </c>
      <c r="F16" s="108" t="n">
        <f aca="false">38_v69_E1!F94</f>
        <v>1.1672920895094</v>
      </c>
      <c r="G16" s="108" t="n">
        <f aca="false">38_v69_E1!G94</f>
        <v>0</v>
      </c>
      <c r="H16" s="108" t="n">
        <f aca="false">38_v69_E1!H94</f>
        <v>0</v>
      </c>
      <c r="I16" s="108" t="n">
        <f aca="false">38_v69_E1!I94</f>
        <v>0</v>
      </c>
      <c r="J16" s="108" t="n">
        <f aca="false">38_v69_E1!J94</f>
        <v>0</v>
      </c>
      <c r="K16" s="108" t="n">
        <f aca="false">38_v69_E1!K94</f>
        <v>0</v>
      </c>
      <c r="L16" s="108" t="n">
        <f aca="false">38_v69_E1!L94</f>
        <v>0</v>
      </c>
      <c r="M16" s="109" t="n">
        <f aca="false">SUM(C16:L16)</f>
        <v>1.1672920895094</v>
      </c>
    </row>
    <row r="17" customFormat="false" ht="15" hidden="false" customHeight="true" outlineLevel="0" collapsed="false">
      <c r="B17" s="103" t="s">
        <v>738</v>
      </c>
      <c r="C17" s="108" t="n">
        <f aca="false">38_v69_E1!C118</f>
        <v>0</v>
      </c>
      <c r="D17" s="108" t="n">
        <f aca="false">38_v69_E1!D118</f>
        <v>0</v>
      </c>
      <c r="E17" s="108" t="n">
        <f aca="false">38_v69_E1!E118</f>
        <v>0</v>
      </c>
      <c r="F17" s="108" t="n">
        <f aca="false">38_v69_E1!F118</f>
        <v>0</v>
      </c>
      <c r="G17" s="108" t="n">
        <f aca="false">38_v69_E1!G118</f>
        <v>0</v>
      </c>
      <c r="H17" s="108" t="n">
        <f aca="false">38_v69_E1!H118</f>
        <v>0</v>
      </c>
      <c r="I17" s="108" t="n">
        <f aca="false">38_v69_E1!I118</f>
        <v>0</v>
      </c>
      <c r="J17" s="108" t="n">
        <f aca="false">38_v69_E1!J118</f>
        <v>0</v>
      </c>
      <c r="K17" s="108" t="n">
        <f aca="false">38_v69_E1!K118</f>
        <v>0</v>
      </c>
      <c r="L17" s="108" t="n">
        <f aca="false">38_v69_E1!L118</f>
        <v>0</v>
      </c>
      <c r="M17" s="109" t="n">
        <f aca="false">SUM(C17:L17)</f>
        <v>0</v>
      </c>
    </row>
    <row r="18" customFormat="false" ht="15" hidden="false" customHeight="true" outlineLevel="0" collapsed="false">
      <c r="B18" s="7" t="s">
        <v>739</v>
      </c>
    </row>
    <row r="19" customFormat="false" ht="15" hidden="false" customHeight="true" outlineLevel="0" collapsed="false">
      <c r="B19" s="103" t="s">
        <v>740</v>
      </c>
      <c r="C19" s="108" t="n">
        <f aca="false">-38_v69_E1!C111</f>
        <v>-2.7678832694438</v>
      </c>
      <c r="D19" s="108" t="n">
        <f aca="false">-38_v69_E1!D111</f>
        <v>-4.3735351761424</v>
      </c>
      <c r="E19" s="108" t="n">
        <f aca="false">-38_v69_E1!E111</f>
        <v>-5.67892317111064</v>
      </c>
      <c r="F19" s="108" t="n">
        <f aca="false">-38_v69_E1!F111</f>
        <v>-12.0443998036171</v>
      </c>
      <c r="G19" s="108" t="n">
        <f aca="false">-38_v69_E1!G111</f>
        <v>-11.9819731818688</v>
      </c>
      <c r="H19" s="108" t="n">
        <f aca="false">-38_v69_E1!H111</f>
        <v>-11.9443885205307</v>
      </c>
      <c r="I19" s="108" t="n">
        <f aca="false">-38_v69_E1!I111</f>
        <v>-11.9301765419694</v>
      </c>
      <c r="J19" s="108" t="n">
        <f aca="false">-38_v69_E1!J111</f>
        <v>-11.9379641311511</v>
      </c>
      <c r="K19" s="108" t="n">
        <f aca="false">-38_v69_E1!K111</f>
        <v>-11.9664681843108</v>
      </c>
      <c r="L19" s="108" t="n">
        <f aca="false">-38_v69_E1!L111</f>
        <v>-12.0144898536262</v>
      </c>
      <c r="M19" s="109" t="n">
        <f aca="false">SUM(C19:L19)</f>
        <v>-96.6402018337709</v>
      </c>
    </row>
    <row r="20" customFormat="false" ht="15" hidden="false" customHeight="true" outlineLevel="0" collapsed="false">
      <c r="B20" s="103" t="s">
        <v>741</v>
      </c>
      <c r="C20" s="108" t="n">
        <f aca="false">-38_v69_E1!C57</f>
        <v>-0</v>
      </c>
      <c r="D20" s="108" t="n">
        <f aca="false">-38_v69_E1!D57</f>
        <v>-0</v>
      </c>
      <c r="E20" s="108" t="n">
        <f aca="false">-38_v69_E1!E57</f>
        <v>-0</v>
      </c>
      <c r="F20" s="108" t="n">
        <f aca="false">-38_v69_E1!F57</f>
        <v>-4.28520470662724</v>
      </c>
      <c r="G20" s="108" t="n">
        <f aca="false">-38_v69_E1!G57</f>
        <v>-4.273187630098</v>
      </c>
      <c r="H20" s="108" t="n">
        <f aca="false">-38_v69_E1!H57</f>
        <v>-4.26099029742082</v>
      </c>
      <c r="I20" s="108" t="n">
        <f aca="false">-38_v69_E1!I57</f>
        <v>-4.24861000475348</v>
      </c>
      <c r="J20" s="108" t="n">
        <f aca="false">-38_v69_E1!J57</f>
        <v>-4.23604400769613</v>
      </c>
      <c r="K20" s="108" t="n">
        <f aca="false">-38_v69_E1!K57</f>
        <v>-4.22328952068292</v>
      </c>
      <c r="L20" s="108" t="n">
        <f aca="false">-38_v69_E1!L57</f>
        <v>-4.21034371636452</v>
      </c>
      <c r="M20" s="109" t="n">
        <f aca="false">SUM(C20:L20)</f>
        <v>-29.7376698836431</v>
      </c>
    </row>
    <row r="21" customFormat="false" ht="15" hidden="false" customHeight="true" outlineLevel="0" collapsed="false">
      <c r="B21" s="103" t="s">
        <v>742</v>
      </c>
      <c r="C21" s="108" t="n">
        <f aca="false">-38_v69_E1!C112</f>
        <v>-0.0591443938619143</v>
      </c>
      <c r="D21" s="108" t="n">
        <f aca="false">-38_v69_E1!D112</f>
        <v>-0.0972387701116566</v>
      </c>
      <c r="E21" s="108" t="n">
        <f aca="false">-38_v69_E1!E112</f>
        <v>-0.131110835807634</v>
      </c>
      <c r="F21" s="108" t="n">
        <f aca="false">-38_v69_E1!F112</f>
        <v>-0.272854842892533</v>
      </c>
      <c r="G21" s="108" t="n">
        <f aca="false">-38_v69_E1!G112</f>
        <v>-0.2855563421679</v>
      </c>
      <c r="H21" s="108" t="n">
        <f aca="false">-38_v69_E1!H112</f>
        <v>-0.298301481098916</v>
      </c>
      <c r="I21" s="108" t="n">
        <f aca="false">-38_v69_E1!I112</f>
        <v>-0.31109010233844</v>
      </c>
      <c r="J21" s="108" t="n">
        <f aca="false">-38_v69_E1!J112</f>
        <v>-0.323922086776223</v>
      </c>
      <c r="K21" s="108" t="n">
        <f aca="false">-38_v69_E1!K112</f>
        <v>-0.336797352082607</v>
      </c>
      <c r="L21" s="108" t="n">
        <f aca="false">-38_v69_E1!L112</f>
        <v>-0.349799156025208</v>
      </c>
      <c r="M21" s="109" t="n">
        <f aca="false">SUM(C21:L21)</f>
        <v>-2.46581536316303</v>
      </c>
    </row>
    <row r="22" customFormat="false" ht="15" hidden="false" customHeight="true" outlineLevel="0" collapsed="false">
      <c r="B22" s="103" t="s">
        <v>743</v>
      </c>
      <c r="C22" s="108" t="n">
        <f aca="false">-38_v69_E1!C108</f>
        <v>-0</v>
      </c>
      <c r="D22" s="108" t="n">
        <f aca="false">-38_v69_E1!D108</f>
        <v>-0</v>
      </c>
      <c r="E22" s="108" t="n">
        <f aca="false">-38_v69_E1!E108</f>
        <v>-0</v>
      </c>
      <c r="F22" s="108" t="n">
        <f aca="false">-38_v69_E1!F108</f>
        <v>-0</v>
      </c>
      <c r="G22" s="108" t="n">
        <f aca="false">-38_v69_E1!G108</f>
        <v>-0</v>
      </c>
      <c r="H22" s="108" t="n">
        <f aca="false">-38_v69_E1!H108</f>
        <v>-0</v>
      </c>
      <c r="I22" s="108" t="n">
        <f aca="false">-38_v69_E1!I108</f>
        <v>-0</v>
      </c>
      <c r="J22" s="108" t="n">
        <f aca="false">-38_v69_E1!J108</f>
        <v>-0</v>
      </c>
      <c r="K22" s="108" t="n">
        <f aca="false">-38_v69_E1!K108</f>
        <v>-0</v>
      </c>
      <c r="L22" s="108" t="n">
        <f aca="false">-38_v69_E1!L108</f>
        <v>-0</v>
      </c>
      <c r="M22" s="109" t="n">
        <f aca="false">SUM(C22:L22)</f>
        <v>0</v>
      </c>
    </row>
    <row r="23" customFormat="false" ht="15" hidden="false" customHeight="true" outlineLevel="0" collapsed="false">
      <c r="B23" s="103" t="s">
        <v>744</v>
      </c>
      <c r="C23" s="108" t="n">
        <f aca="false">-38_v69_E1!C97</f>
        <v>-0</v>
      </c>
      <c r="D23" s="108" t="n">
        <f aca="false">-38_v69_E1!D97</f>
        <v>-0</v>
      </c>
      <c r="E23" s="108" t="n">
        <f aca="false">-38_v69_E1!E97</f>
        <v>-0</v>
      </c>
      <c r="F23" s="108" t="n">
        <f aca="false">-38_v69_E1!F97</f>
        <v>-0</v>
      </c>
      <c r="G23" s="108" t="n">
        <f aca="false">-38_v69_E1!G97</f>
        <v>-0</v>
      </c>
      <c r="H23" s="108" t="n">
        <f aca="false">-38_v69_E1!H97</f>
        <v>-0</v>
      </c>
      <c r="I23" s="108" t="n">
        <f aca="false">-38_v69_E1!I97</f>
        <v>-0</v>
      </c>
      <c r="J23" s="108" t="n">
        <f aca="false">-38_v69_E1!J97</f>
        <v>-0</v>
      </c>
      <c r="K23" s="108" t="n">
        <f aca="false">-38_v69_E1!K97</f>
        <v>-0</v>
      </c>
      <c r="L23" s="108" t="n">
        <f aca="false">-38_v69_E1!L97</f>
        <v>-0</v>
      </c>
      <c r="M23" s="109" t="n">
        <f aca="false">SUM(C23:L23)</f>
        <v>0</v>
      </c>
    </row>
    <row r="24" customFormat="false" ht="15" hidden="false" customHeight="true" outlineLevel="0" collapsed="false">
      <c r="B24" s="103" t="s">
        <v>745</v>
      </c>
      <c r="C24" s="108" t="n">
        <f aca="false">-38_v69_E1!C98-38_v69_E1!C268</f>
        <v>-0</v>
      </c>
      <c r="D24" s="108" t="n">
        <f aca="false">-38_v69_E1!D98-38_v69_E1!D268</f>
        <v>-0</v>
      </c>
      <c r="E24" s="108" t="n">
        <f aca="false">-38_v69_E1!E98-38_v69_E1!E268</f>
        <v>-0</v>
      </c>
      <c r="F24" s="108" t="n">
        <f aca="false">-38_v69_E1!F98-38_v69_E1!F268</f>
        <v>-0</v>
      </c>
      <c r="G24" s="108" t="n">
        <f aca="false">-38_v69_E1!G98-38_v69_E1!G268</f>
        <v>-0</v>
      </c>
      <c r="H24" s="108" t="n">
        <f aca="false">-38_v69_E1!H98-38_v69_E1!H268</f>
        <v>-0</v>
      </c>
      <c r="I24" s="108" t="n">
        <f aca="false">-38_v69_E1!I98-38_v69_E1!I268</f>
        <v>-0</v>
      </c>
      <c r="J24" s="108" t="n">
        <f aca="false">-38_v69_E1!J98-38_v69_E1!J268</f>
        <v>-0</v>
      </c>
      <c r="K24" s="108" t="n">
        <f aca="false">-38_v69_E1!K98-38_v69_E1!K268</f>
        <v>-0</v>
      </c>
      <c r="L24" s="108" t="n">
        <f aca="false">-38_v69_E1!L98-38_v69_E1!L268</f>
        <v>-0</v>
      </c>
      <c r="M24" s="109" t="n">
        <f aca="false">SUM(C24:L24)</f>
        <v>0</v>
      </c>
    </row>
    <row r="25" customFormat="false" ht="15" hidden="false" customHeight="true" outlineLevel="0" collapsed="false">
      <c r="B25" s="103" t="s">
        <v>746</v>
      </c>
      <c r="C25" s="108" t="n">
        <f aca="false">-38_v69_E1!C102</f>
        <v>-0</v>
      </c>
      <c r="D25" s="108" t="n">
        <f aca="false">-38_v69_E1!D102</f>
        <v>-0</v>
      </c>
      <c r="E25" s="108" t="n">
        <f aca="false">-38_v69_E1!E102</f>
        <v>-0.00243096925279142</v>
      </c>
      <c r="F25" s="108" t="n">
        <f aca="false">-38_v69_E1!F102</f>
        <v>-0.00327777089519085</v>
      </c>
      <c r="G25" s="108" t="n">
        <f aca="false">-38_v69_E1!G102</f>
        <v>-0.00682137107231332</v>
      </c>
      <c r="H25" s="108" t="n">
        <f aca="false">-38_v69_E1!H102</f>
        <v>-0.00713890855419751</v>
      </c>
      <c r="I25" s="108" t="n">
        <f aca="false">-38_v69_E1!I102</f>
        <v>-0.0074575370274729</v>
      </c>
      <c r="J25" s="108" t="n">
        <f aca="false">-38_v69_E1!J102</f>
        <v>-0.007777252558461</v>
      </c>
      <c r="K25" s="108" t="n">
        <f aca="false">-38_v69_E1!K102</f>
        <v>-0.00809805216940558</v>
      </c>
      <c r="L25" s="108" t="n">
        <f aca="false">-38_v69_E1!L102</f>
        <v>-0.00841993380206518</v>
      </c>
      <c r="M25" s="109" t="n">
        <f aca="false">SUM(C25:L25)</f>
        <v>-0.0514217953318978</v>
      </c>
    </row>
    <row r="26" customFormat="false" ht="15" hidden="false" customHeight="true" outlineLevel="0" collapsed="false">
      <c r="B26" s="103" t="s">
        <v>747</v>
      </c>
      <c r="C26" s="108" t="n">
        <f aca="false">-38_v69_E1!C190-38_v69_E1!C265-38_v69_E1!C274</f>
        <v>-0.0246929079077428</v>
      </c>
      <c r="D26" s="108" t="n">
        <f aca="false">-38_v69_E1!D190-38_v69_E1!D265-38_v69_E1!D274</f>
        <v>-0.0698946017258393</v>
      </c>
      <c r="E26" s="108" t="n">
        <f aca="false">-38_v69_E1!E190-38_v69_E1!E265-38_v69_E1!E274</f>
        <v>-0.106904176234112</v>
      </c>
      <c r="F26" s="108" t="n">
        <f aca="false">-38_v69_E1!F190-38_v69_E1!F265-38_v69_E1!F274</f>
        <v>-0.0433505996205258</v>
      </c>
      <c r="G26" s="108" t="n">
        <f aca="false">-38_v69_E1!G190-38_v69_E1!G265-38_v69_E1!G274</f>
        <v>-0.0544635048526493</v>
      </c>
      <c r="H26" s="108" t="n">
        <f aca="false">-38_v69_E1!H190-38_v69_E1!H265-38_v69_E1!H274</f>
        <v>-0.0617893245051288</v>
      </c>
      <c r="I26" s="108" t="n">
        <f aca="false">-38_v69_E1!I190-38_v69_E1!I265-38_v69_E1!I274</f>
        <v>-0.0695280142412298</v>
      </c>
      <c r="J26" s="108" t="n">
        <f aca="false">-38_v69_E1!J190-38_v69_E1!J265-38_v69_E1!J274</f>
        <v>-0.0774442186840635</v>
      </c>
      <c r="K26" s="108" t="n">
        <f aca="false">-38_v69_E1!K190-38_v69_E1!K265-38_v69_E1!K274</f>
        <v>-0.0855420189390012</v>
      </c>
      <c r="L26" s="108" t="n">
        <f aca="false">-38_v69_E1!L190-38_v69_E1!L265-38_v69_E1!L274</f>
        <v>-0.0938261698313462</v>
      </c>
      <c r="M26" s="109" t="n">
        <f aca="false">SUM(C26:L26)</f>
        <v>-0.687435536541639</v>
      </c>
    </row>
    <row r="27" customFormat="false" ht="15" hidden="false" customHeight="true" outlineLevel="0" collapsed="false">
      <c r="B27" s="103" t="s">
        <v>748</v>
      </c>
      <c r="C27" s="108" t="n">
        <f aca="false">-38_v69_E1!C103</f>
        <v>-0</v>
      </c>
      <c r="D27" s="108" t="n">
        <f aca="false">-38_v69_E1!D103</f>
        <v>-2.43096925279142</v>
      </c>
      <c r="E27" s="108" t="n">
        <f aca="false">-38_v69_E1!E103</f>
        <v>-0.846801642399438</v>
      </c>
      <c r="F27" s="108" t="n">
        <f aca="false">-38_v69_E1!F103</f>
        <v>-3.54360017712247</v>
      </c>
      <c r="G27" s="108" t="n">
        <f aca="false">-38_v69_E1!G103</f>
        <v>-0.317537481884187</v>
      </c>
      <c r="H27" s="108" t="n">
        <f aca="false">-38_v69_E1!H103</f>
        <v>-0.318628473275398</v>
      </c>
      <c r="I27" s="108" t="n">
        <f aca="false">-38_v69_E1!I103</f>
        <v>-0.319715530988097</v>
      </c>
      <c r="J27" s="108" t="n">
        <f aca="false">-38_v69_E1!J103</f>
        <v>-0.320799610944581</v>
      </c>
      <c r="K27" s="108" t="n">
        <f aca="false">-38_v69_E1!K103</f>
        <v>-0.321881632659601</v>
      </c>
      <c r="L27" s="108" t="n">
        <f aca="false">-38_v69_E1!L103</f>
        <v>-0.325045098565004</v>
      </c>
      <c r="M27" s="109" t="n">
        <f aca="false">SUM(C27:L27)</f>
        <v>-8.74497890063019</v>
      </c>
    </row>
    <row r="28" customFormat="false" ht="15" hidden="false" customHeight="true" outlineLevel="0" collapsed="false">
      <c r="B28" s="103" t="s">
        <v>749</v>
      </c>
      <c r="C28" s="108" t="n">
        <f aca="false">-38_v69_E1!C92</f>
        <v>-0.609310037442153</v>
      </c>
      <c r="D28" s="108" t="n">
        <f aca="false">-38_v69_E1!D92</f>
        <v>-0.651418846493865</v>
      </c>
      <c r="E28" s="108" t="n">
        <f aca="false">-38_v69_E1!E92</f>
        <v>-0.429724145921821</v>
      </c>
      <c r="F28" s="108" t="n">
        <f aca="false">-38_v69_E1!F92</f>
        <v>-0</v>
      </c>
      <c r="G28" s="108" t="n">
        <f aca="false">-38_v69_E1!G92</f>
        <v>-1.32308881308492</v>
      </c>
      <c r="H28" s="108" t="n">
        <f aca="false">-38_v69_E1!H92</f>
        <v>-0.896145662591842</v>
      </c>
      <c r="I28" s="108" t="n">
        <f aca="false">-38_v69_E1!I92</f>
        <v>-0.428004549602434</v>
      </c>
      <c r="J28" s="108" t="n">
        <f aca="false">-38_v69_E1!J92</f>
        <v>-0.438798968638608</v>
      </c>
      <c r="K28" s="108" t="n">
        <f aca="false">-38_v69_E1!K92</f>
        <v>-0.449845125079598</v>
      </c>
      <c r="L28" s="108" t="n">
        <f aca="false">-38_v69_E1!L92</f>
        <v>-0.459989099869183</v>
      </c>
      <c r="M28" s="109" t="n">
        <f aca="false">SUM(C28:L28)</f>
        <v>-5.68632524872442</v>
      </c>
    </row>
    <row r="29" customFormat="false" ht="15" hidden="false" customHeight="true" outlineLevel="0" collapsed="false">
      <c r="B29" s="103" t="s">
        <v>750</v>
      </c>
      <c r="C29" s="108" t="n">
        <f aca="false">-38_v69_E1!C95</f>
        <v>-0</v>
      </c>
      <c r="D29" s="108" t="n">
        <f aca="false">-38_v69_E1!D95</f>
        <v>-0</v>
      </c>
      <c r="E29" s="108" t="n">
        <f aca="false">-38_v69_E1!E95</f>
        <v>-0</v>
      </c>
      <c r="F29" s="108" t="n">
        <f aca="false">-38_v69_E1!F95</f>
        <v>-0</v>
      </c>
      <c r="G29" s="108" t="n">
        <f aca="false">-38_v69_E1!G95</f>
        <v>-0</v>
      </c>
      <c r="H29" s="108" t="n">
        <f aca="false">-38_v69_E1!H95</f>
        <v>-0</v>
      </c>
      <c r="I29" s="108" t="n">
        <f aca="false">-38_v69_E1!I95</f>
        <v>-0</v>
      </c>
      <c r="J29" s="108" t="n">
        <f aca="false">-38_v69_E1!J95</f>
        <v>-0</v>
      </c>
      <c r="K29" s="108" t="n">
        <f aca="false">-38_v69_E1!K95</f>
        <v>-0</v>
      </c>
      <c r="L29" s="108" t="n">
        <f aca="false">-38_v69_E1!L95</f>
        <v>-0</v>
      </c>
      <c r="M29" s="109" t="n">
        <f aca="false">SUM(C29:L29)</f>
        <v>0</v>
      </c>
    </row>
    <row r="30" customFormat="false" ht="15" hidden="false" customHeight="true" outlineLevel="0" collapsed="false">
      <c r="B30" s="103" t="s">
        <v>751</v>
      </c>
      <c r="C30" s="108" t="n">
        <f aca="false">-38_v69_E1!C115</f>
        <v>-0</v>
      </c>
      <c r="D30" s="108" t="n">
        <f aca="false">-38_v69_E1!D115</f>
        <v>-0</v>
      </c>
      <c r="E30" s="108" t="n">
        <f aca="false">-38_v69_E1!E115</f>
        <v>-0</v>
      </c>
      <c r="F30" s="108" t="n">
        <f aca="false">-38_v69_E1!F115</f>
        <v>-0</v>
      </c>
      <c r="G30" s="108" t="n">
        <f aca="false">-38_v69_E1!G115</f>
        <v>-0</v>
      </c>
      <c r="H30" s="108" t="n">
        <f aca="false">-38_v69_E1!H115</f>
        <v>-0</v>
      </c>
      <c r="I30" s="108" t="n">
        <f aca="false">-38_v69_E1!I115</f>
        <v>-0</v>
      </c>
      <c r="J30" s="108" t="n">
        <f aca="false">-38_v69_E1!J115</f>
        <v>-0</v>
      </c>
      <c r="K30" s="108" t="n">
        <f aca="false">-38_v69_E1!K115</f>
        <v>-0.0833046933371094</v>
      </c>
      <c r="L30" s="108" t="n">
        <f aca="false">-38_v69_E1!L115</f>
        <v>-1.46201448326148</v>
      </c>
      <c r="M30" s="109" t="n">
        <f aca="false">SUM(C30:L30)</f>
        <v>-1.54531917659859</v>
      </c>
    </row>
    <row r="31" customFormat="false" ht="15" hidden="false" customHeight="true" outlineLevel="0" collapsed="false">
      <c r="B31" s="7" t="s">
        <v>752</v>
      </c>
      <c r="C31" s="108" t="n">
        <f aca="false">SUM(C6:C30)</f>
        <v>18.9190487037173</v>
      </c>
      <c r="D31" s="108" t="n">
        <f aca="false">SUM(D6:D30)</f>
        <v>35.1038595527686</v>
      </c>
      <c r="E31" s="108" t="n">
        <f aca="false">SUM(E6:E30)</f>
        <v>53.0720061406802</v>
      </c>
      <c r="F31" s="108" t="n">
        <f aca="false">SUM(F6:F30)</f>
        <v>61.8615311429605</v>
      </c>
      <c r="G31" s="108" t="n">
        <f aca="false">SUM(G6:G30)</f>
        <v>72.8447858473724</v>
      </c>
      <c r="H31" s="108" t="n">
        <f aca="false">SUM(H6:H30)</f>
        <v>85.489047213793</v>
      </c>
      <c r="I31" s="108" t="n">
        <f aca="false">SUM(I6:I30)</f>
        <v>99.8859200684853</v>
      </c>
      <c r="J31" s="108" t="n">
        <f aca="false">SUM(J6:J30)</f>
        <v>115.612055639854</v>
      </c>
      <c r="K31" s="108" t="n">
        <f aca="false">SUM(K6:K30)</f>
        <v>132.626319710305</v>
      </c>
      <c r="L31" s="108" t="n">
        <f aca="false">SUM(L6:L30)</f>
        <v>149.676541722361</v>
      </c>
    </row>
    <row r="32" customFormat="false" ht="15" hidden="false" customHeight="true" outlineLevel="0" collapsed="false">
      <c r="B32" s="103" t="s">
        <v>753</v>
      </c>
      <c r="C32" s="108" t="n">
        <f aca="false">38_v69_E1!C120</f>
        <v>18.9190487037173</v>
      </c>
      <c r="D32" s="108" t="n">
        <f aca="false">38_v69_E1!D120</f>
        <v>35.1038595527686</v>
      </c>
      <c r="E32" s="108" t="n">
        <f aca="false">38_v69_E1!E120</f>
        <v>53.0720061406802</v>
      </c>
      <c r="F32" s="108" t="n">
        <f aca="false">38_v69_E1!F120</f>
        <v>61.8615311429605</v>
      </c>
      <c r="G32" s="108" t="n">
        <f aca="false">38_v69_E1!G120</f>
        <v>72.8447858473724</v>
      </c>
      <c r="H32" s="108" t="n">
        <f aca="false">38_v69_E1!H120</f>
        <v>85.489047213793</v>
      </c>
      <c r="I32" s="108" t="n">
        <f aca="false">38_v69_E1!I120</f>
        <v>99.8859200684854</v>
      </c>
      <c r="J32" s="108" t="n">
        <f aca="false">38_v69_E1!J120</f>
        <v>115.612055639854</v>
      </c>
      <c r="K32" s="108" t="n">
        <f aca="false">38_v69_E1!K120</f>
        <v>132.626319710305</v>
      </c>
      <c r="L32" s="108" t="n">
        <f aca="false">38_v69_E1!L120</f>
        <v>149.676541722361</v>
      </c>
    </row>
    <row r="33" customFormat="false" ht="15" hidden="false" customHeight="true" outlineLevel="0" collapsed="false">
      <c r="B33" s="7" t="s">
        <v>754</v>
      </c>
      <c r="C33" s="108" t="n">
        <f aca="false">ROUND(C31-C32,6)</f>
        <v>0</v>
      </c>
      <c r="D33" s="108" t="n">
        <f aca="false">ROUND(D31-D32,6)</f>
        <v>0</v>
      </c>
      <c r="E33" s="108" t="n">
        <f aca="false">ROUND(E31-E32,6)</f>
        <v>0</v>
      </c>
      <c r="F33" s="108" t="n">
        <f aca="false">ROUND(F31-F32,6)</f>
        <v>0</v>
      </c>
      <c r="G33" s="108" t="n">
        <f aca="false">ROUND(G31-G32,6)</f>
        <v>0</v>
      </c>
      <c r="H33" s="108" t="n">
        <f aca="false">ROUND(H31-H32,6)</f>
        <v>0</v>
      </c>
      <c r="I33" s="108" t="n">
        <f aca="false">ROUND(I31-I32,6)</f>
        <v>0</v>
      </c>
      <c r="J33" s="108" t="n">
        <f aca="false">ROUND(J31-J32,6)</f>
        <v>0</v>
      </c>
      <c r="K33" s="108" t="n">
        <f aca="false">ROUND(K31-K32,6)</f>
        <v>0</v>
      </c>
      <c r="L33" s="108" t="n">
        <f aca="false">ROUND(L31-L32,6)</f>
        <v>0</v>
      </c>
    </row>
    <row r="34" customFormat="false" ht="14.25" hidden="false" customHeight="true" outlineLevel="0" collapsed="false">
      <c r="B34" s="1" t="s">
        <v>755</v>
      </c>
      <c r="C34" s="1" t="n">
        <f aca="false">SUMPRODUCT(_xlfn.ISFORMULA(C19:L30)*1)</f>
        <v>120</v>
      </c>
    </row>
    <row r="35" customFormat="false" ht="15" hidden="false" customHeight="true" outlineLevel="0" collapsed="false">
      <c r="B35" s="110" t="s">
        <v>756</v>
      </c>
      <c r="C35" s="1" t="n">
        <f aca="false">SUM(C33:L33)</f>
        <v>0</v>
      </c>
    </row>
    <row r="36" customFormat="false" ht="15" hidden="false" customHeight="true" outlineLevel="0" collapsed="false">
      <c r="B36" s="111" t="s">
        <v>757</v>
      </c>
      <c r="C36" s="111" t="s">
        <v>726</v>
      </c>
      <c r="D36" s="111" t="s">
        <v>758</v>
      </c>
      <c r="E36" s="111" t="s">
        <v>759</v>
      </c>
      <c r="F36" s="111"/>
      <c r="G36" s="111"/>
    </row>
    <row r="37" customFormat="false" ht="15" hidden="false" customHeight="true" outlineLevel="0" collapsed="false">
      <c r="B37" s="103" t="s">
        <v>760</v>
      </c>
      <c r="C37" s="112" t="n">
        <f aca="false">38_v69_E1!L157</f>
        <v>351.261170508469</v>
      </c>
      <c r="D37" s="112" t="n">
        <f aca="false">38_v69_E1!V157</f>
        <v>456.340567455</v>
      </c>
      <c r="E37" s="112" t="n">
        <f aca="false">38_v69_E1!AF157</f>
        <v>550.208600879881</v>
      </c>
      <c r="F37" s="112"/>
      <c r="G37" s="112"/>
    </row>
    <row r="38" customFormat="false" ht="15" hidden="false" customHeight="true" outlineLevel="0" collapsed="false">
      <c r="B38" s="103" t="s">
        <v>761</v>
      </c>
      <c r="C38" s="112" t="n">
        <f aca="false">38_v69_E1!L69</f>
        <v>292.048766165385</v>
      </c>
      <c r="D38" s="112" t="n">
        <f aca="false">38_v69_E1!V69</f>
        <v>353.087105760173</v>
      </c>
      <c r="E38" s="112" t="n">
        <f aca="false">38_v69_E1!AF69</f>
        <v>411.445546215926</v>
      </c>
      <c r="F38" s="112"/>
      <c r="G38" s="112"/>
    </row>
    <row r="39" customFormat="false" ht="15" hidden="false" customHeight="true" outlineLevel="0" collapsed="false">
      <c r="B39" s="103" t="s">
        <v>762</v>
      </c>
      <c r="C39" s="112" t="n">
        <f aca="false">38_v69_E1!L80</f>
        <v>57.6670851664857</v>
      </c>
      <c r="D39" s="112" t="n">
        <f aca="false">38_v69_E1!V80</f>
        <v>76.6607695487443</v>
      </c>
      <c r="E39" s="112" t="n">
        <f aca="false">38_v69_E1!AF80</f>
        <v>88.1661006392147</v>
      </c>
      <c r="F39" s="112"/>
      <c r="G39" s="112"/>
    </row>
    <row r="40" customFormat="false" ht="15" hidden="false" customHeight="true" outlineLevel="0" collapsed="false">
      <c r="B40" s="103" t="s">
        <v>763</v>
      </c>
      <c r="C40" s="112" t="n">
        <f aca="false">38_v69_E1!L152</f>
        <v>144.31439047327</v>
      </c>
      <c r="D40" s="112" t="n">
        <f aca="false">38_v69_E1!V152</f>
        <v>194.422066254599</v>
      </c>
      <c r="E40" s="112" t="n">
        <f aca="false">38_v69_E1!AF152</f>
        <v>244.062969768443</v>
      </c>
      <c r="F40" s="112"/>
      <c r="G40" s="112"/>
    </row>
    <row r="41" customFormat="false" ht="15" hidden="false" customHeight="true" outlineLevel="0" collapsed="false">
      <c r="B41" s="103" t="s">
        <v>764</v>
      </c>
      <c r="C41" s="112" t="n">
        <f aca="false">38_v69_E1!L187</f>
        <v>47.856982348637</v>
      </c>
      <c r="D41" s="112" t="n">
        <f aca="false">38_v69_E1!V187</f>
        <v>60.0760883842733</v>
      </c>
      <c r="E41" s="112" t="n">
        <f aca="false">38_v69_E1!AF187</f>
        <v>75.4150432900793</v>
      </c>
      <c r="F41" s="112"/>
      <c r="G41" s="112"/>
    </row>
    <row r="42" customFormat="false" ht="15" hidden="false" customHeight="true" outlineLevel="0" collapsed="false">
      <c r="B42" s="103" t="s">
        <v>765</v>
      </c>
      <c r="C42" s="112" t="n">
        <f aca="false">38_v69_E1!L153</f>
        <v>149.676541722361</v>
      </c>
      <c r="D42" s="112" t="n">
        <f aca="false">38_v69_E1!V153</f>
        <v>161.859438668867</v>
      </c>
      <c r="E42" s="112" t="n">
        <f aca="false">38_v69_E1!AF153</f>
        <v>177.798782171659</v>
      </c>
      <c r="F42" s="112"/>
      <c r="G42" s="112"/>
    </row>
    <row r="43" customFormat="false" ht="15" hidden="false" customHeight="true" outlineLevel="0" collapsed="false">
      <c r="B43" s="103" t="s">
        <v>766</v>
      </c>
      <c r="C43" s="112" t="n">
        <f aca="false">38_v69_E1!L154</f>
        <v>8.74497890063019</v>
      </c>
      <c r="D43" s="112" t="n">
        <f aca="false">38_v69_E1!V154</f>
        <v>11.3527778883732</v>
      </c>
      <c r="E43" s="112" t="n">
        <f aca="false">38_v69_E1!AF154</f>
        <v>13.6854545779078</v>
      </c>
      <c r="F43" s="112"/>
      <c r="G43" s="112"/>
    </row>
    <row r="44" customFormat="false" ht="15" hidden="false" customHeight="true" outlineLevel="0" collapsed="false">
      <c r="B44" s="103" t="s">
        <v>767</v>
      </c>
      <c r="C44" s="112" t="n">
        <f aca="false">38_v69_E1!L155</f>
        <v>98.1093069913369</v>
      </c>
      <c r="D44" s="112" t="n">
        <f aca="false">38_v69_E1!V155</f>
        <v>158.303920632966</v>
      </c>
      <c r="E44" s="112" t="n">
        <f aca="false">38_v69_E1!AF155</f>
        <v>223.435897345849</v>
      </c>
      <c r="F44" s="112"/>
      <c r="G44" s="112"/>
    </row>
    <row r="45" customFormat="false" ht="15" hidden="false" customHeight="true" outlineLevel="0" collapsed="false">
      <c r="B45" s="103" t="s">
        <v>768</v>
      </c>
      <c r="C45" s="112" t="n">
        <f aca="false">38_v69_E1!L158</f>
        <v>0</v>
      </c>
      <c r="D45" s="112" t="n">
        <f aca="false">38_v69_E1!V158</f>
        <v>0</v>
      </c>
      <c r="E45" s="112" t="n">
        <f aca="false">38_v69_E1!AF158</f>
        <v>0</v>
      </c>
      <c r="F45" s="112"/>
      <c r="G45" s="112"/>
    </row>
    <row r="46" customFormat="false" ht="15" hidden="false" customHeight="true" outlineLevel="0" collapsed="false">
      <c r="B46" s="103" t="s">
        <v>769</v>
      </c>
      <c r="C46" s="112" t="n">
        <f aca="false">38_v69_E1!L159</f>
        <v>187.652339662692</v>
      </c>
      <c r="D46" s="112" t="n">
        <f aca="false">38_v69_E1!V159</f>
        <v>249.424652261082</v>
      </c>
      <c r="E46" s="112" t="n">
        <f aca="false">38_v69_E1!AF159</f>
        <v>313.033422132787</v>
      </c>
      <c r="F46" s="112"/>
      <c r="G46" s="112"/>
    </row>
    <row r="47" customFormat="false" ht="15" hidden="false" customHeight="true" outlineLevel="0" collapsed="false">
      <c r="B47" s="7" t="s">
        <v>770</v>
      </c>
      <c r="C47" s="112" t="n">
        <f aca="false">38_v69_E1!L161</f>
        <v>-90.2113097349264</v>
      </c>
      <c r="D47" s="112" t="n">
        <f aca="false">38_v69_E1!V161</f>
        <v>-119.750927887003</v>
      </c>
      <c r="E47" s="112" t="n">
        <f aca="false">38_v69_E1!AF161</f>
        <v>-128.84387585873</v>
      </c>
      <c r="F47" s="112"/>
      <c r="G47" s="112"/>
    </row>
    <row r="48" customFormat="false" ht="15" hidden="false" customHeight="true" outlineLevel="0" collapsed="false">
      <c r="B48" s="7" t="s">
        <v>771</v>
      </c>
      <c r="C48" s="113" t="n">
        <f aca="false">1+C47/C37</f>
        <v>0.74317881590971</v>
      </c>
      <c r="D48" s="113" t="n">
        <f aca="false">1+D47/D37</f>
        <v>0.737584303418715</v>
      </c>
      <c r="E48" s="113" t="n">
        <f aca="false">1+E47/E37</f>
        <v>0.765827223251898</v>
      </c>
      <c r="F48" s="113"/>
      <c r="G48" s="113"/>
    </row>
    <row r="50" customFormat="false" ht="31.5" hidden="false" customHeight="true" outlineLevel="0" collapsed="false">
      <c r="B50" s="107" t="s">
        <v>772</v>
      </c>
      <c r="C50" s="107"/>
      <c r="D50" s="107"/>
      <c r="E50" s="107"/>
      <c r="F50" s="107"/>
      <c r="G50" s="107"/>
      <c r="H50" s="107"/>
      <c r="I50" s="107"/>
      <c r="J50" s="107"/>
      <c r="K50" s="107"/>
      <c r="L50" s="107"/>
      <c r="M50" s="107"/>
    </row>
    <row r="51" customFormat="false" ht="31.5" hidden="false" customHeight="true" outlineLevel="0" collapsed="false">
      <c r="B51" s="107" t="s">
        <v>773</v>
      </c>
      <c r="C51" s="107"/>
      <c r="D51" s="107"/>
      <c r="E51" s="107"/>
      <c r="F51" s="107"/>
      <c r="G51" s="107"/>
      <c r="H51" s="107"/>
      <c r="I51" s="107"/>
      <c r="J51" s="107"/>
      <c r="K51" s="107"/>
      <c r="L51" s="107"/>
      <c r="M51" s="107"/>
    </row>
    <row r="52" customFormat="false" ht="31.5" hidden="false" customHeight="true" outlineLevel="0" collapsed="false">
      <c r="B52" s="107" t="s">
        <v>774</v>
      </c>
      <c r="C52" s="107"/>
      <c r="D52" s="107"/>
      <c r="E52" s="107"/>
      <c r="F52" s="107"/>
      <c r="G52" s="107"/>
      <c r="H52" s="107"/>
      <c r="I52" s="107"/>
      <c r="J52" s="107"/>
      <c r="K52" s="107"/>
      <c r="L52" s="107"/>
      <c r="M52" s="107"/>
    </row>
  </sheetData>
  <mergeCells count="4">
    <mergeCell ref="B3:M3"/>
    <mergeCell ref="B50:M50"/>
    <mergeCell ref="B51:M51"/>
    <mergeCell ref="B52:M5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8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11.24"/>
    <col collapsed="false" customWidth="true" hidden="false" outlineLevel="0" max="9" min="3" style="1" width="18.39"/>
  </cols>
  <sheetData>
    <row r="1" customFormat="false" ht="13.5" hidden="false" customHeight="true" outlineLevel="0" collapsed="false"/>
    <row r="2" customFormat="false" ht="17.25" hidden="false" customHeight="true" outlineLevel="0" collapsed="false">
      <c r="B2" s="114" t="s">
        <v>775</v>
      </c>
    </row>
    <row r="3" customFormat="false" ht="13.5" hidden="false" customHeight="true" outlineLevel="0" collapsed="false">
      <c r="B3" s="1" t="s">
        <v>776</v>
      </c>
    </row>
    <row r="4" customFormat="false" ht="13.5" hidden="false" customHeight="true" outlineLevel="0" collapsed="false"/>
    <row r="5" customFormat="false" ht="15" hidden="false" customHeight="true" outlineLevel="0" collapsed="false">
      <c r="B5" s="115" t="s">
        <v>777</v>
      </c>
    </row>
    <row r="6" customFormat="false" ht="13.5" hidden="false" customHeight="true" outlineLevel="0" collapsed="false">
      <c r="B6" s="1" t="s">
        <v>778</v>
      </c>
    </row>
    <row r="7" customFormat="false" ht="13.5" hidden="false" customHeight="true" outlineLevel="0" collapsed="false">
      <c r="B7" s="1" t="s">
        <v>779</v>
      </c>
    </row>
    <row r="8" customFormat="false" ht="13.5" hidden="false" customHeight="true" outlineLevel="0" collapsed="false">
      <c r="B8" s="1" t="s">
        <v>780</v>
      </c>
    </row>
    <row r="9" customFormat="false" ht="13.5" hidden="false" customHeight="true" outlineLevel="0" collapsed="false">
      <c r="B9" s="1" t="s">
        <v>781</v>
      </c>
    </row>
    <row r="10" customFormat="false" ht="13.5" hidden="false" customHeight="true" outlineLevel="0" collapsed="false">
      <c r="B10" s="1" t="s">
        <v>782</v>
      </c>
    </row>
    <row r="11" customFormat="false" ht="13.5" hidden="false" customHeight="true" outlineLevel="0" collapsed="false"/>
    <row r="12" customFormat="false" ht="15" hidden="false" customHeight="true" outlineLevel="0" collapsed="false">
      <c r="B12" s="115" t="s">
        <v>783</v>
      </c>
    </row>
    <row r="13" customFormat="false" ht="15" hidden="false" customHeight="true" outlineLevel="0" collapsed="false">
      <c r="B13" s="115" t="s">
        <v>784</v>
      </c>
      <c r="C13" s="85" t="s">
        <v>785</v>
      </c>
      <c r="D13" s="85" t="s">
        <v>786</v>
      </c>
      <c r="E13" s="85" t="s">
        <v>787</v>
      </c>
      <c r="F13" s="85" t="s">
        <v>788</v>
      </c>
      <c r="G13" s="85" t="s">
        <v>789</v>
      </c>
      <c r="H13" s="85" t="s">
        <v>790</v>
      </c>
      <c r="I13" s="85" t="s">
        <v>791</v>
      </c>
    </row>
    <row r="14" customFormat="false" ht="13.5" hidden="false" customHeight="true" outlineLevel="0" collapsed="false">
      <c r="B14" s="1" t="n">
        <v>1</v>
      </c>
      <c r="C14" s="116" t="n">
        <f aca="false">38_v69_E1!C83</f>
        <v>13</v>
      </c>
      <c r="D14" s="88" t="n">
        <f aca="false">38_v69_E1!C120+38_v69_E1!C70</f>
        <v>18.9990487037173</v>
      </c>
      <c r="E14" s="116" t="n">
        <f aca="false">38_v69_E1!C104</f>
        <v>0</v>
      </c>
      <c r="F14" s="88" t="n">
        <f aca="false">SUM(38_v69_E1!$C$53:C53)</f>
        <v>20.6</v>
      </c>
      <c r="G14" s="88" t="n">
        <f aca="false">SUM(38_v69_E1!$C$57:C57)</f>
        <v>0</v>
      </c>
      <c r="H14" s="88" t="n">
        <f aca="false">-SUM(38_v69_E1!$C$113:C113)</f>
        <v>2.14164125884051</v>
      </c>
      <c r="I14" s="117" t="n">
        <f aca="false">38_v69_E1!C186</f>
        <v>38.2643938619143</v>
      </c>
    </row>
    <row r="15" customFormat="false" ht="13.5" hidden="false" customHeight="true" outlineLevel="0" collapsed="false">
      <c r="B15" s="85" t="n">
        <v>2</v>
      </c>
      <c r="C15" s="118" t="n">
        <f aca="false">38_v69_E1!D83</f>
        <v>26.299</v>
      </c>
      <c r="D15" s="119" t="n">
        <f aca="false">38_v69_E1!D120+38_v69_E1!D70</f>
        <v>35.2666835527686</v>
      </c>
      <c r="E15" s="118" t="n">
        <f aca="false">38_v69_E1!D104</f>
        <v>2.43096925279142</v>
      </c>
      <c r="F15" s="119" t="n">
        <f aca="false">SUM(38_v69_E1!$C$53:D53)</f>
        <v>41.2</v>
      </c>
      <c r="G15" s="119" t="n">
        <f aca="false">SUM(38_v69_E1!$C$57:D57)</f>
        <v>0</v>
      </c>
      <c r="H15" s="119" t="n">
        <f aca="false">-SUM(38_v69_E1!$C$113:D113)</f>
        <v>4.57119231050399</v>
      </c>
      <c r="I15" s="117" t="n">
        <f aca="false">38_v69_E1!D186</f>
        <v>54.8181461116566</v>
      </c>
    </row>
    <row r="16" customFormat="false" ht="13.5" hidden="false" customHeight="true" outlineLevel="0" collapsed="false">
      <c r="B16" s="1" t="n">
        <v>3</v>
      </c>
      <c r="C16" s="88" t="n">
        <f aca="false">38_v69_E1!E83</f>
        <v>39.903877</v>
      </c>
      <c r="D16" s="88" t="n">
        <f aca="false">38_v69_E1!E120+38_v69_E1!E70</f>
        <v>53.3205778278802</v>
      </c>
      <c r="E16" s="88" t="n">
        <f aca="false">38_v69_E1!E104</f>
        <v>3.27777089519085</v>
      </c>
      <c r="F16" s="88" t="n">
        <f aca="false">SUM(38_v69_E1!$C$53:E53)</f>
        <v>61.8</v>
      </c>
      <c r="G16" s="88" t="n">
        <f aca="false">SUM(38_v69_E1!$C$57:E57)</f>
        <v>0</v>
      </c>
      <c r="H16" s="88" t="n">
        <f aca="false">-SUM(38_v69_E1!$C$113:E113)</f>
        <v>7.05068868427108</v>
      </c>
      <c r="I16" s="117" t="n">
        <f aca="false">38_v69_E1!E186</f>
        <v>66.4696085204342</v>
      </c>
    </row>
    <row r="17" customFormat="false" ht="13.5" hidden="false" customHeight="true" outlineLevel="0" collapsed="false">
      <c r="B17" s="1" t="n">
        <v>4</v>
      </c>
      <c r="C17" s="88" t="n">
        <f aca="false">38_v69_E1!F83</f>
        <v>53.821666171</v>
      </c>
      <c r="D17" s="88" t="n">
        <f aca="false">38_v69_E1!F120+38_v69_E1!F70</f>
        <v>114.971490007361</v>
      </c>
      <c r="E17" s="88" t="n">
        <f aca="false">38_v69_E1!F104</f>
        <v>6.82137107231332</v>
      </c>
      <c r="F17" s="88" t="n">
        <f aca="false">SUM(38_v69_E1!$C$53:F53)</f>
        <v>82.4</v>
      </c>
      <c r="G17" s="88" t="n">
        <f aca="false">SUM(38_v69_E1!$C$57:F57)</f>
        <v>4.28520470662724</v>
      </c>
      <c r="H17" s="88" t="n">
        <f aca="false">-SUM(38_v69_E1!$C$113:F113)</f>
        <v>13.3519238565005</v>
      </c>
      <c r="I17" s="117" t="n">
        <f aca="false">38_v69_E1!F186</f>
        <v>132.520523846733</v>
      </c>
    </row>
    <row r="18" customFormat="false" ht="13.5" hidden="false" customHeight="true" outlineLevel="0" collapsed="false">
      <c r="B18" s="1" t="n">
        <v>5</v>
      </c>
      <c r="C18" s="88" t="n">
        <f aca="false">38_v69_E1!G83</f>
        <v>68.059564492933</v>
      </c>
      <c r="D18" s="88" t="n">
        <f aca="false">38_v69_E1!G120+38_v69_E1!G70</f>
        <v>133.117637230236</v>
      </c>
      <c r="E18" s="88" t="n">
        <f aca="false">38_v69_E1!G104</f>
        <v>7.13890855419751</v>
      </c>
      <c r="F18" s="88" t="n">
        <f aca="false">SUM(38_v69_E1!$C$53:G53)</f>
        <v>103</v>
      </c>
      <c r="G18" s="88" t="n">
        <f aca="false">SUM(38_v69_E1!$C$57:G57)</f>
        <v>8.55839233672523</v>
      </c>
      <c r="H18" s="88" t="n">
        <f aca="false">-SUM(38_v69_E1!$C$113:G113)</f>
        <v>18.3278433432421</v>
      </c>
      <c r="I18" s="117" t="n">
        <f aca="false">38_v69_E1!G186</f>
        <v>114.510231326305</v>
      </c>
    </row>
    <row r="19" customFormat="false" ht="13.5" hidden="false" customHeight="true" outlineLevel="0" collapsed="false">
      <c r="B19" s="1" t="n">
        <v>6</v>
      </c>
      <c r="C19" s="88" t="n">
        <f aca="false">38_v69_E1!H83</f>
        <v>82.6249344762704</v>
      </c>
      <c r="D19" s="88" t="n">
        <f aca="false">38_v69_E1!H120+38_v69_E1!H70</f>
        <v>152.955939355768</v>
      </c>
      <c r="E19" s="88" t="n">
        <f aca="false">38_v69_E1!H104</f>
        <v>7.4575370274729</v>
      </c>
      <c r="F19" s="88" t="n">
        <f aca="false">SUM(38_v69_E1!$C$53:H53)</f>
        <v>123.6</v>
      </c>
      <c r="G19" s="88" t="n">
        <f aca="false">SUM(38_v69_E1!$C$57:H57)</f>
        <v>12.8193826341461</v>
      </c>
      <c r="H19" s="88" t="n">
        <f aca="false">-SUM(38_v69_E1!$C$113:H113)</f>
        <v>22.1135770183891</v>
      </c>
      <c r="I19" s="117" t="n">
        <f aca="false">38_v69_E1!H186</f>
        <v>104.513544530659</v>
      </c>
    </row>
    <row r="20" customFormat="false" ht="13.5" hidden="false" customHeight="true" outlineLevel="0" collapsed="false">
      <c r="B20" s="1" t="n">
        <v>7</v>
      </c>
      <c r="C20" s="88" t="n">
        <f aca="false">38_v69_E1!I83</f>
        <v>97.5253079692246</v>
      </c>
      <c r="D20" s="88" t="n">
        <f aca="false">38_v69_E1!I120+38_v69_E1!I70</f>
        <v>174.578468433829</v>
      </c>
      <c r="E20" s="88" t="n">
        <f aca="false">38_v69_E1!I104</f>
        <v>7.777252558461</v>
      </c>
      <c r="F20" s="88" t="n">
        <f aca="false">SUM(38_v69_E1!$C$53:I53)</f>
        <v>144.2</v>
      </c>
      <c r="G20" s="88" t="n">
        <f aca="false">SUM(38_v69_E1!$C$57:I57)</f>
        <v>17.0679926388995</v>
      </c>
      <c r="H20" s="88" t="n">
        <f aca="false">-SUM(38_v69_E1!$C$113:I113)</f>
        <v>24.6597576127565</v>
      </c>
      <c r="I20" s="117" t="n">
        <f aca="false">38_v69_E1!I186</f>
        <v>94.1711255250088</v>
      </c>
    </row>
    <row r="21" customFormat="false" ht="13.5" hidden="false" customHeight="true" outlineLevel="0" collapsed="false">
      <c r="B21" s="1" t="n">
        <v>8</v>
      </c>
      <c r="C21" s="88" t="n">
        <f aca="false">38_v69_E1!J83</f>
        <v>112.768390052517</v>
      </c>
      <c r="D21" s="88" t="n">
        <f aca="false">38_v69_E1!J120+38_v69_E1!J70</f>
        <v>197.562349924789</v>
      </c>
      <c r="E21" s="88" t="n">
        <f aca="false">38_v69_E1!J104</f>
        <v>8.09805216940558</v>
      </c>
      <c r="F21" s="88" t="n">
        <f aca="false">SUM(38_v69_E1!$C$53:J53)</f>
        <v>164.8</v>
      </c>
      <c r="G21" s="88" t="n">
        <f aca="false">SUM(38_v69_E1!$C$57:J57)</f>
        <v>21.3040366465957</v>
      </c>
      <c r="H21" s="88" t="n">
        <f aca="false">-SUM(38_v69_E1!$C$113:J113)</f>
        <v>25.9118622461144</v>
      </c>
      <c r="I21" s="117" t="n">
        <f aca="false">38_v69_E1!J186</f>
        <v>83.4741561888948</v>
      </c>
    </row>
    <row r="22" customFormat="false" ht="13.5" hidden="false" customHeight="true" outlineLevel="0" collapsed="false">
      <c r="B22" s="1" t="n">
        <v>9</v>
      </c>
      <c r="C22" s="88" t="n">
        <f aca="false">38_v69_E1!K83</f>
        <v>128.362063023725</v>
      </c>
      <c r="D22" s="88" t="n">
        <f aca="false">38_v69_E1!K120+38_v69_E1!K70</f>
        <v>221.866930956496</v>
      </c>
      <c r="E22" s="88" t="n">
        <f aca="false">38_v69_E1!K104</f>
        <v>8.41993380206518</v>
      </c>
      <c r="F22" s="88" t="n">
        <f aca="false">SUM(38_v69_E1!$C$53:K53)</f>
        <v>185.4</v>
      </c>
      <c r="G22" s="88" t="n">
        <f aca="false">SUM(38_v69_E1!$C$57:K57)</f>
        <v>25.5273261672786</v>
      </c>
      <c r="H22" s="88" t="n">
        <f aca="false">-SUM(38_v69_E1!$C$113:K113)</f>
        <v>25.8285575527773</v>
      </c>
      <c r="I22" s="117" t="n">
        <f aca="false">38_v69_E1!K186</f>
        <v>72.4136588990674</v>
      </c>
    </row>
    <row r="23" customFormat="false" ht="13.5" hidden="false" customHeight="true" outlineLevel="0" collapsed="false">
      <c r="B23" s="1" t="n">
        <v>10</v>
      </c>
      <c r="C23" s="88" t="n">
        <f aca="false">38_v69_E1!L83</f>
        <v>144.31439047327</v>
      </c>
      <c r="D23" s="88" t="n">
        <f aca="false">38_v69_E1!L120+38_v69_E1!L70</f>
        <v>246.240529537099</v>
      </c>
      <c r="E23" s="88" t="n">
        <f aca="false">38_v69_E1!L104</f>
        <v>8.74497890063019</v>
      </c>
      <c r="F23" s="88" t="n">
        <f aca="false">SUM(38_v69_E1!$C$53:L53)</f>
        <v>206</v>
      </c>
      <c r="G23" s="88" t="n">
        <f aca="false">SUM(38_v69_E1!$C$57:L57)</f>
        <v>29.7376698836431</v>
      </c>
      <c r="H23" s="88" t="n">
        <f aca="false">-SUM(38_v69_E1!$C$113:L113)</f>
        <v>24.3665430695159</v>
      </c>
      <c r="I23" s="117" t="n">
        <f aca="false">38_v69_E1!L186</f>
        <v>60.9804906952249</v>
      </c>
    </row>
    <row r="24" customFormat="false" ht="13.5" hidden="false" customHeight="true" outlineLevel="0" collapsed="false">
      <c r="B24" s="1" t="n">
        <v>15</v>
      </c>
      <c r="C24" s="88" t="n">
        <f aca="false">38_v69_E1!Q83</f>
        <v>173.527130735518</v>
      </c>
      <c r="D24" s="88" t="n">
        <f aca="false">38_v69_E1!Q120+38_v69_E1!Q70</f>
        <v>268.915901629621</v>
      </c>
      <c r="E24" s="88" t="n">
        <f aca="false">38_v69_E1!Q104</f>
        <v>10.1582175572632</v>
      </c>
      <c r="F24" s="88" t="n">
        <f aca="false">SUM(38_v69_E1!$C$53:Q53)</f>
        <v>206</v>
      </c>
      <c r="G24" s="88" t="n">
        <f aca="false">SUM(38_v69_E1!$C$57:Q57)</f>
        <v>29.7376698836431</v>
      </c>
      <c r="H24" s="88" t="n">
        <f aca="false">-SUM(38_v69_E1!$C$113:Q113)</f>
        <v>10.9858066468881</v>
      </c>
      <c r="I24" s="117" t="n">
        <f aca="false">38_v69_E1!Q186</f>
        <v>53.3782131401956</v>
      </c>
    </row>
    <row r="25" customFormat="false" ht="13.5" hidden="false" customHeight="true" outlineLevel="0" collapsed="false">
      <c r="B25" s="1" t="n">
        <v>20</v>
      </c>
      <c r="C25" s="88" t="n">
        <f aca="false">38_v69_E1!V83</f>
        <v>194.422066254599</v>
      </c>
      <c r="D25" s="88" t="n">
        <f aca="false">38_v69_E1!V120+38_v69_E1!V70</f>
        <v>293.570667155751</v>
      </c>
      <c r="E25" s="88" t="n">
        <f aca="false">38_v69_E1!V104</f>
        <v>11.3527778883732</v>
      </c>
      <c r="F25" s="88" t="n">
        <f aca="false">SUM(38_v69_E1!$C$53:V53)</f>
        <v>206</v>
      </c>
      <c r="G25" s="88" t="n">
        <f aca="false">SUM(38_v69_E1!$C$57:V57)</f>
        <v>29.7376698836431</v>
      </c>
      <c r="H25" s="88" t="n">
        <f aca="false">-SUM(38_v69_E1!$C$113:V113)</f>
        <v>-0.68082989996772</v>
      </c>
      <c r="I25" s="117" t="n">
        <f aca="false">38_v69_E1!V186</f>
        <v>43.5384921831611</v>
      </c>
    </row>
    <row r="26" customFormat="false" ht="13.5" hidden="false" customHeight="true" outlineLevel="0" collapsed="false">
      <c r="B26" s="1" t="n">
        <v>25</v>
      </c>
      <c r="C26" s="116" t="n">
        <f aca="false">38_v69_E1!AA83</f>
        <v>217.83302522486</v>
      </c>
      <c r="D26" s="88" t="n">
        <f aca="false">38_v69_E1!AA120+38_v69_E1!AA70</f>
        <v>320.727319120072</v>
      </c>
      <c r="E26" s="116" t="n">
        <f aca="false">38_v69_E1!AA104</f>
        <v>12.5226287485213</v>
      </c>
      <c r="F26" s="88" t="n">
        <f aca="false">SUM(38_v69_E1!$C$53:AA53)</f>
        <v>206</v>
      </c>
      <c r="G26" s="88" t="n">
        <f aca="false">SUM(38_v69_E1!$C$57:AA57)</f>
        <v>29.7376698836431</v>
      </c>
      <c r="H26" s="88" t="n">
        <f aca="false">-SUM(38_v69_E1!$C$113:AA113)</f>
        <v>-11.8788875584305</v>
      </c>
      <c r="I26" s="117" t="n">
        <f aca="false">38_v69_E1!AA186</f>
        <v>28.8093253432912</v>
      </c>
    </row>
    <row r="27" customFormat="false" ht="13.5" hidden="false" customHeight="true" outlineLevel="0" collapsed="false">
      <c r="B27" s="1" t="n">
        <v>30</v>
      </c>
      <c r="C27" s="116" t="n">
        <f aca="false">38_v69_E1!AF83</f>
        <v>244.062969768443</v>
      </c>
      <c r="D27" s="88" t="n">
        <f aca="false">38_v69_E1!AF120+38_v69_E1!AF70</f>
        <v>350.637725492767</v>
      </c>
      <c r="E27" s="116" t="n">
        <f aca="false">38_v69_E1!AF104</f>
        <v>13.6854545779078</v>
      </c>
      <c r="F27" s="88" t="n">
        <f aca="false">SUM(38_v69_E1!$C$53:AF53)</f>
        <v>206</v>
      </c>
      <c r="G27" s="88" t="n">
        <f aca="false">SUM(38_v69_E1!$C$57:AF57)</f>
        <v>29.7376698836431</v>
      </c>
      <c r="H27" s="88" t="n">
        <f aca="false">-SUM(38_v69_E1!$C$113:AF113)</f>
        <v>-24.6850917786261</v>
      </c>
      <c r="I27" s="117" t="n">
        <f aca="false">38_v69_E1!AF186</f>
        <v>7.29469047550951</v>
      </c>
    </row>
    <row r="28" customFormat="false" ht="15" hidden="false" customHeight="true" outlineLevel="0" collapsed="false">
      <c r="B28" s="115" t="s">
        <v>792</v>
      </c>
    </row>
    <row r="29" customFormat="false" ht="13.5" hidden="false" customHeight="true" outlineLevel="0" collapsed="false">
      <c r="B29" s="85"/>
      <c r="C29" s="85"/>
      <c r="D29" s="85"/>
      <c r="E29" s="85"/>
      <c r="F29" s="85"/>
      <c r="G29" s="85"/>
      <c r="H29" s="85"/>
      <c r="I29" s="85"/>
    </row>
    <row r="30" customFormat="false" ht="15" hidden="false" customHeight="true" outlineLevel="0" collapsed="false">
      <c r="B30" s="115" t="s">
        <v>793</v>
      </c>
      <c r="C30" s="116"/>
      <c r="D30" s="117"/>
      <c r="E30" s="88"/>
      <c r="F30" s="88"/>
      <c r="G30" s="88"/>
      <c r="H30" s="116"/>
      <c r="I30" s="116"/>
    </row>
    <row r="31" customFormat="false" ht="13.5" hidden="false" customHeight="true" outlineLevel="0" collapsed="false">
      <c r="B31" s="1" t="s">
        <v>794</v>
      </c>
      <c r="C31" s="88" t="n">
        <f aca="false">SUM(38_v69_E1!$C$92:$AF$92)</f>
        <v>9.10743689465259</v>
      </c>
      <c r="D31" s="117"/>
      <c r="E31" s="88"/>
      <c r="F31" s="88"/>
      <c r="G31" s="88"/>
      <c r="H31" s="116"/>
      <c r="I31" s="116"/>
    </row>
    <row r="32" customFormat="false" ht="13.5" hidden="false" customHeight="true" outlineLevel="0" collapsed="false">
      <c r="B32" s="1" t="s">
        <v>795</v>
      </c>
      <c r="C32" s="88" t="n">
        <f aca="false">SUM(38_v69_E1!$C$95:$AF$95)</f>
        <v>0</v>
      </c>
      <c r="D32" s="117"/>
      <c r="E32" s="88"/>
      <c r="F32" s="88"/>
      <c r="G32" s="88"/>
      <c r="H32" s="116"/>
      <c r="I32" s="116"/>
    </row>
    <row r="33" customFormat="false" ht="13.5" hidden="false" customHeight="true" outlineLevel="0" collapsed="false">
      <c r="B33" s="1" t="s">
        <v>796</v>
      </c>
      <c r="C33" s="88" t="n">
        <f aca="false">SUM(38_v69_E1!$C$181:$AF$181)</f>
        <v>1578.86306913006</v>
      </c>
      <c r="D33" s="117"/>
      <c r="E33" s="88"/>
      <c r="F33" s="88"/>
      <c r="G33" s="88"/>
      <c r="H33" s="116"/>
      <c r="I33" s="116"/>
    </row>
    <row r="34" customFormat="false" ht="13.5" hidden="false" customHeight="true" outlineLevel="0" collapsed="false">
      <c r="C34" s="116"/>
      <c r="D34" s="117"/>
      <c r="E34" s="88"/>
      <c r="F34" s="88"/>
      <c r="G34" s="88"/>
      <c r="H34" s="116"/>
      <c r="I34" s="116"/>
    </row>
    <row r="35" customFormat="false" ht="13.5" hidden="false" customHeight="true" outlineLevel="0" collapsed="false">
      <c r="C35" s="116"/>
      <c r="D35" s="117"/>
      <c r="E35" s="88"/>
      <c r="F35" s="88"/>
      <c r="G35" s="88"/>
      <c r="H35" s="116"/>
      <c r="I35" s="116"/>
    </row>
    <row r="36" customFormat="false" ht="13.5" hidden="false" customHeight="true" outlineLevel="0" collapsed="false">
      <c r="C36" s="116"/>
      <c r="D36" s="117"/>
      <c r="E36" s="88"/>
      <c r="F36" s="88"/>
      <c r="G36" s="88"/>
      <c r="H36" s="116"/>
      <c r="I36" s="116"/>
    </row>
    <row r="37" customFormat="false" ht="13.5" hidden="false" customHeight="true" outlineLevel="0" collapsed="false">
      <c r="C37" s="116"/>
      <c r="D37" s="117"/>
      <c r="E37" s="88"/>
      <c r="F37" s="88"/>
      <c r="G37" s="88"/>
      <c r="H37" s="116"/>
      <c r="I37" s="116"/>
    </row>
    <row r="38" customFormat="false" ht="13.5" hidden="false" customHeight="true" outlineLevel="0" collapsed="false">
      <c r="C38" s="116"/>
      <c r="D38" s="117"/>
      <c r="E38" s="88"/>
      <c r="F38" s="88"/>
      <c r="G38" s="88"/>
      <c r="H38" s="116"/>
      <c r="I38" s="116"/>
    </row>
    <row r="39" customFormat="false" ht="13.5" hidden="false" customHeight="true" outlineLevel="0" collapsed="false">
      <c r="C39" s="116"/>
      <c r="D39" s="117"/>
      <c r="E39" s="88"/>
      <c r="F39" s="88"/>
      <c r="G39" s="88"/>
      <c r="H39" s="116"/>
      <c r="I39" s="116"/>
    </row>
    <row r="40" customFormat="false" ht="13.5" hidden="false" customHeight="true" outlineLevel="0" collapsed="false"/>
    <row r="41" customFormat="false" ht="15" hidden="false" customHeight="true" outlineLevel="0" collapsed="false">
      <c r="B41" s="115"/>
    </row>
    <row r="42" customFormat="false" ht="13.5" hidden="false" customHeight="true" outlineLevel="0" collapsed="false">
      <c r="F42" s="88"/>
    </row>
    <row r="43" customFormat="false" ht="13.5" hidden="false" customHeight="true" outlineLevel="0" collapsed="false">
      <c r="F43" s="88"/>
    </row>
    <row r="44" customFormat="false" ht="13.5" hidden="false" customHeight="true" outlineLevel="0" collapsed="false"/>
    <row r="45" customFormat="false" ht="13.5" hidden="false" customHeight="true" outlineLevel="0" collapsed="false"/>
    <row r="46" customFormat="false" ht="15" hidden="false" customHeight="true" outlineLevel="0" collapsed="false">
      <c r="B46" s="115"/>
    </row>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48.52"/>
    <col collapsed="false" customWidth="true" hidden="false" outlineLevel="0" max="14" min="3" style="1" width="11.75"/>
  </cols>
  <sheetData>
    <row r="1" customFormat="false" ht="13.5" hidden="false" customHeight="true" outlineLevel="0" collapsed="false"/>
    <row r="2" customFormat="false" ht="17.25" hidden="false" customHeight="true" outlineLevel="0" collapsed="false">
      <c r="B2" s="114" t="s">
        <v>797</v>
      </c>
    </row>
    <row r="3" customFormat="false" ht="13.5" hidden="false" customHeight="true" outlineLevel="0" collapsed="false">
      <c r="B3" s="1" t="s">
        <v>798</v>
      </c>
    </row>
    <row r="4" customFormat="false" ht="13.5" hidden="false" customHeight="true" outlineLevel="0" collapsed="false"/>
    <row r="5" customFormat="false" ht="15" hidden="false" customHeight="true" outlineLevel="0" collapsed="false">
      <c r="B5" s="115" t="s">
        <v>799</v>
      </c>
    </row>
    <row r="6" customFormat="false" ht="13.5" hidden="false" customHeight="true" outlineLevel="0" collapsed="false">
      <c r="B6" s="1" t="s">
        <v>800</v>
      </c>
    </row>
    <row r="7" customFormat="false" ht="13.5" hidden="false" customHeight="true" outlineLevel="0" collapsed="false">
      <c r="B7" s="1" t="s">
        <v>801</v>
      </c>
    </row>
    <row r="8" customFormat="false" ht="13.5" hidden="false" customHeight="true" outlineLevel="0" collapsed="false"/>
    <row r="9" customFormat="false" ht="13.5" hidden="false" customHeight="true" outlineLevel="0" collapsed="false">
      <c r="B9" s="1" t="s">
        <v>802</v>
      </c>
      <c r="C9" s="120" t="n">
        <v>0.015</v>
      </c>
    </row>
    <row r="10" customFormat="false" ht="13.5" hidden="false" customHeight="true" outlineLevel="0" collapsed="false"/>
    <row r="11" customFormat="false" ht="13.5" hidden="false" customHeight="true" outlineLevel="0" collapsed="false">
      <c r="B11" s="85" t="s">
        <v>803</v>
      </c>
      <c r="C11" s="85" t="s">
        <v>717</v>
      </c>
      <c r="D11" s="85" t="s">
        <v>721</v>
      </c>
      <c r="E11" s="85" t="s">
        <v>726</v>
      </c>
      <c r="F11" s="85" t="s">
        <v>804</v>
      </c>
      <c r="G11" s="85" t="s">
        <v>758</v>
      </c>
      <c r="H11" s="85" t="s">
        <v>805</v>
      </c>
      <c r="I11" s="85" t="s">
        <v>759</v>
      </c>
    </row>
    <row r="12" customFormat="false" ht="13.5" hidden="false" customHeight="true" outlineLevel="0" collapsed="false">
      <c r="B12" s="1" t="s">
        <v>806</v>
      </c>
      <c r="C12" s="116" t="n">
        <f aca="false">38_v69_E1!C83</f>
        <v>13</v>
      </c>
      <c r="D12" s="116" t="n">
        <f aca="false">38_v69_E1!G83</f>
        <v>68.059564492933</v>
      </c>
      <c r="E12" s="116" t="n">
        <f aca="false">38_v69_E1!L83</f>
        <v>144.31439047327</v>
      </c>
      <c r="F12" s="116" t="n">
        <f aca="false">38_v69_E1!Q83</f>
        <v>173.527130735518</v>
      </c>
      <c r="G12" s="116" t="n">
        <f aca="false">38_v69_E1!V83</f>
        <v>194.422066254599</v>
      </c>
      <c r="H12" s="116" t="n">
        <f aca="false">38_v69_E1!AA83</f>
        <v>217.83302522486</v>
      </c>
      <c r="I12" s="116" t="n">
        <f aca="false">38_v69_E1!AF83</f>
        <v>244.062969768443</v>
      </c>
    </row>
    <row r="13" customFormat="false" ht="13.5" hidden="false" customHeight="true" outlineLevel="0" collapsed="false">
      <c r="B13" s="1" t="s">
        <v>807</v>
      </c>
      <c r="C13" s="116" t="n">
        <f aca="false">38_v69_E1!C96</f>
        <v>0</v>
      </c>
      <c r="D13" s="116" t="n">
        <f aca="false">38_v69_E1!G96</f>
        <v>0</v>
      </c>
      <c r="E13" s="116" t="n">
        <f aca="false">38_v69_E1!L96</f>
        <v>0</v>
      </c>
      <c r="F13" s="116" t="n">
        <f aca="false">38_v69_E1!Q96</f>
        <v>0</v>
      </c>
      <c r="G13" s="116" t="n">
        <f aca="false">38_v69_E1!V96</f>
        <v>0</v>
      </c>
      <c r="H13" s="116" t="n">
        <f aca="false">38_v69_E1!AA96</f>
        <v>0</v>
      </c>
      <c r="I13" s="116" t="n">
        <f aca="false">38_v69_E1!AF96</f>
        <v>0</v>
      </c>
    </row>
    <row r="14" customFormat="false" ht="13.5" hidden="false" customHeight="true" outlineLevel="0" collapsed="false">
      <c r="B14" s="1" t="s">
        <v>808</v>
      </c>
      <c r="C14" s="87" t="n">
        <f aca="false">38_v69_E1!C130</f>
        <v>0</v>
      </c>
      <c r="D14" s="87" t="n">
        <f aca="false">38_v69_E1!G130</f>
        <v>0</v>
      </c>
      <c r="E14" s="87" t="n">
        <f aca="false">38_v69_E1!L130</f>
        <v>0</v>
      </c>
      <c r="F14" s="87" t="n">
        <f aca="false">38_v69_E1!Q130</f>
        <v>0</v>
      </c>
      <c r="G14" s="87" t="n">
        <f aca="false">38_v69_E1!V130</f>
        <v>0</v>
      </c>
      <c r="H14" s="87" t="n">
        <f aca="false">38_v69_E1!AA130</f>
        <v>0</v>
      </c>
      <c r="I14" s="87" t="n">
        <f aca="false">38_v69_E1!AF130</f>
        <v>0</v>
      </c>
    </row>
    <row r="15" customFormat="false" ht="13.5" hidden="false" customHeight="true" outlineLevel="0" collapsed="false">
      <c r="B15" s="1" t="s">
        <v>809</v>
      </c>
      <c r="C15" s="88" t="n">
        <f aca="false">C13*$C$9</f>
        <v>0</v>
      </c>
      <c r="D15" s="88" t="n">
        <f aca="false">D13*$C$9</f>
        <v>0</v>
      </c>
      <c r="E15" s="88" t="n">
        <f aca="false">E13*$C$9</f>
        <v>0</v>
      </c>
      <c r="F15" s="88" t="n">
        <f aca="false">F13*$C$9</f>
        <v>0</v>
      </c>
      <c r="G15" s="88" t="n">
        <f aca="false">G13*$C$9</f>
        <v>0</v>
      </c>
      <c r="H15" s="88" t="n">
        <f aca="false">H13*$C$9</f>
        <v>0</v>
      </c>
      <c r="I15" s="88" t="n">
        <f aca="false">I13*$C$9</f>
        <v>0</v>
      </c>
    </row>
    <row r="16" customFormat="false" ht="13.5" hidden="false" customHeight="true" outlineLevel="0" collapsed="false">
      <c r="B16" s="1" t="s">
        <v>810</v>
      </c>
      <c r="C16" s="88" t="n">
        <f aca="false">SUM(38_v69_E1!$C$96:$AF$96)*$C$9</f>
        <v>0</v>
      </c>
    </row>
    <row r="17" customFormat="false" ht="13.5" hidden="false" customHeight="true" outlineLevel="0" collapsed="false">
      <c r="B17" s="1" t="s">
        <v>811</v>
      </c>
      <c r="C17" s="88" t="n">
        <f aca="false">SUM(40_v69_E3!$C$96:$AF$96)*$C$9</f>
        <v>0</v>
      </c>
    </row>
    <row r="18" customFormat="false" ht="13.5" hidden="false" customHeight="true" outlineLevel="0" collapsed="false"/>
    <row r="19" customFormat="false" ht="15" hidden="false" customHeight="true" outlineLevel="0" collapsed="false">
      <c r="B19" s="115" t="s">
        <v>812</v>
      </c>
    </row>
    <row r="20" customFormat="false" ht="13.5" hidden="false" customHeight="true" outlineLevel="0" collapsed="false">
      <c r="B20" s="1" t="s">
        <v>813</v>
      </c>
    </row>
    <row r="21" customFormat="false" ht="13.5" hidden="false" customHeight="true" outlineLevel="0" collapsed="false">
      <c r="B21" s="1" t="s">
        <v>814</v>
      </c>
      <c r="C21" s="121" t="n">
        <v>50</v>
      </c>
    </row>
    <row r="22" customFormat="false" ht="13.5" hidden="false" customHeight="true" outlineLevel="0" collapsed="false">
      <c r="B22" s="1" t="s">
        <v>815</v>
      </c>
      <c r="C22" s="120" t="n">
        <v>0.015</v>
      </c>
    </row>
    <row r="23" customFormat="false" ht="13.5" hidden="false" customHeight="true" outlineLevel="0" collapsed="false">
      <c r="B23" s="1" t="s">
        <v>816</v>
      </c>
      <c r="C23" s="120" t="n">
        <v>0.01</v>
      </c>
    </row>
    <row r="24" customFormat="false" ht="13.5" hidden="false" customHeight="true" outlineLevel="0" collapsed="false">
      <c r="B24" s="1" t="s">
        <v>817</v>
      </c>
      <c r="C24" s="88" t="n">
        <f aca="false">C21*C22</f>
        <v>0.75</v>
      </c>
    </row>
    <row r="25" customFormat="false" ht="13.5" hidden="false" customHeight="true" outlineLevel="0" collapsed="false">
      <c r="B25" s="1" t="s">
        <v>818</v>
      </c>
      <c r="C25" s="88" t="n">
        <f aca="false">C21*C23</f>
        <v>0.5</v>
      </c>
    </row>
    <row r="26" customFormat="false" ht="13.5" hidden="false" customHeight="true" outlineLevel="0" collapsed="false">
      <c r="B26" s="1" t="s">
        <v>819</v>
      </c>
      <c r="C26" s="88" t="n">
        <f aca="false">C24-C25</f>
        <v>0.25</v>
      </c>
    </row>
    <row r="27" customFormat="false" ht="13.5" hidden="false" customHeight="true" outlineLevel="0" collapsed="false">
      <c r="B27" s="1" t="s">
        <v>820</v>
      </c>
      <c r="C27" s="88" t="n">
        <f aca="false">C25</f>
        <v>0.5</v>
      </c>
    </row>
    <row r="28" customFormat="false" ht="13.5" hidden="false" customHeight="true" outlineLevel="0" collapsed="false">
      <c r="B28" s="1" t="s">
        <v>821</v>
      </c>
      <c r="C28" s="88" t="n">
        <f aca="false">C26*30</f>
        <v>7.5</v>
      </c>
    </row>
    <row r="29" customFormat="false" ht="13.5" hidden="false" customHeight="true" outlineLevel="0" collapsed="false"/>
    <row r="30" customFormat="false" ht="13.5" hidden="false" customHeight="true" outlineLevel="0" collapsed="false">
      <c r="B30" s="85" t="s">
        <v>822</v>
      </c>
    </row>
    <row r="31" customFormat="false" ht="13.5" hidden="false" customHeight="true" outlineLevel="0" collapsed="false">
      <c r="B31" s="1" t="s">
        <v>823</v>
      </c>
    </row>
    <row r="32" customFormat="false" ht="13.5" hidden="false" customHeight="true" outlineLevel="0" collapsed="false">
      <c r="B32" s="1" t="s">
        <v>824</v>
      </c>
    </row>
    <row r="33" customFormat="false" ht="13.5" hidden="false" customHeight="true" outlineLevel="0" collapsed="false">
      <c r="B33" s="1" t="s">
        <v>825</v>
      </c>
    </row>
    <row r="34" customFormat="false" ht="13.5" hidden="false" customHeight="true" outlineLevel="0" collapsed="false">
      <c r="B34" s="1" t="s">
        <v>826</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48.52"/>
    <col collapsed="false" customWidth="true" hidden="false" outlineLevel="0" max="14" min="3" style="1" width="11.75"/>
  </cols>
  <sheetData>
    <row r="1" customFormat="false" ht="13.5" hidden="false" customHeight="true" outlineLevel="0" collapsed="false"/>
    <row r="2" customFormat="false" ht="17.25" hidden="false" customHeight="true" outlineLevel="0" collapsed="false">
      <c r="B2" s="114" t="s">
        <v>827</v>
      </c>
    </row>
    <row r="3" customFormat="false" ht="13.5" hidden="false" customHeight="true" outlineLevel="0" collapsed="false">
      <c r="B3" s="1" t="s">
        <v>828</v>
      </c>
    </row>
    <row r="4" customFormat="false" ht="13.5" hidden="false" customHeight="true" outlineLevel="0" collapsed="false"/>
    <row r="5" customFormat="false" ht="15" hidden="false" customHeight="true" outlineLevel="0" collapsed="false">
      <c r="B5" s="115" t="s">
        <v>803</v>
      </c>
      <c r="C5" s="85" t="s">
        <v>726</v>
      </c>
      <c r="D5" s="85" t="s">
        <v>758</v>
      </c>
      <c r="E5" s="85" t="s">
        <v>759</v>
      </c>
    </row>
    <row r="6" customFormat="false" ht="13.5" hidden="false" customHeight="true" outlineLevel="0" collapsed="false">
      <c r="B6" s="1" t="s">
        <v>760</v>
      </c>
      <c r="C6" s="116" t="n">
        <f aca="false">38_v69_E1!L157</f>
        <v>351.261170508469</v>
      </c>
      <c r="D6" s="116" t="n">
        <f aca="false">38_v69_E1!V157</f>
        <v>456.340567455</v>
      </c>
      <c r="E6" s="116" t="n">
        <f aca="false">38_v69_E1!AF157</f>
        <v>550.208600879881</v>
      </c>
    </row>
    <row r="7" customFormat="false" ht="13.5" hidden="false" customHeight="true" outlineLevel="0" collapsed="false">
      <c r="B7" s="1" t="s">
        <v>829</v>
      </c>
      <c r="C7" s="116" t="n">
        <f aca="false">38_v69_E1!L152</f>
        <v>144.31439047327</v>
      </c>
      <c r="D7" s="116" t="n">
        <f aca="false">38_v69_E1!V152</f>
        <v>194.422066254599</v>
      </c>
      <c r="E7" s="116" t="n">
        <f aca="false">38_v69_E1!AF152</f>
        <v>244.062969768443</v>
      </c>
    </row>
    <row r="8" customFormat="false" ht="13.5" hidden="false" customHeight="true" outlineLevel="0" collapsed="false">
      <c r="B8" s="1" t="s">
        <v>830</v>
      </c>
      <c r="C8" s="116" t="n">
        <f aca="false">38_v69_E1!L153</f>
        <v>149.676541722361</v>
      </c>
      <c r="D8" s="116" t="n">
        <f aca="false">38_v69_E1!V153</f>
        <v>161.859438668867</v>
      </c>
      <c r="E8" s="116" t="n">
        <f aca="false">38_v69_E1!AF153</f>
        <v>177.798782171659</v>
      </c>
    </row>
    <row r="9" customFormat="false" ht="13.5" hidden="false" customHeight="true" outlineLevel="0" collapsed="false">
      <c r="B9" s="1" t="s">
        <v>831</v>
      </c>
      <c r="C9" s="116" t="n">
        <f aca="false">38_v69_E1!L154</f>
        <v>8.74497890063019</v>
      </c>
      <c r="D9" s="116" t="n">
        <f aca="false">38_v69_E1!V154</f>
        <v>11.3527778883732</v>
      </c>
      <c r="E9" s="116" t="n">
        <f aca="false">38_v69_E1!AF154</f>
        <v>13.6854545779078</v>
      </c>
    </row>
    <row r="10" customFormat="false" ht="13.5" hidden="false" customHeight="true" outlineLevel="0" collapsed="false">
      <c r="B10" s="1" t="s">
        <v>832</v>
      </c>
      <c r="C10" s="116" t="n">
        <f aca="false">38_v69_E1!L155</f>
        <v>98.1093069913369</v>
      </c>
      <c r="D10" s="116" t="n">
        <f aca="false">38_v69_E1!V155</f>
        <v>158.303920632966</v>
      </c>
      <c r="E10" s="116" t="n">
        <f aca="false">38_v69_E1!AF155</f>
        <v>223.435897345849</v>
      </c>
    </row>
    <row r="11" customFormat="false" ht="13.5" hidden="false" customHeight="true" outlineLevel="0" collapsed="false">
      <c r="B11" s="1" t="s">
        <v>764</v>
      </c>
      <c r="C11" s="117" t="n">
        <f aca="false">38_v69_E1!L187</f>
        <v>47.856982348637</v>
      </c>
      <c r="D11" s="117" t="n">
        <f aca="false">38_v69_E1!V187</f>
        <v>60.0760883842733</v>
      </c>
      <c r="E11" s="117" t="n">
        <f aca="false">38_v69_E1!AF187</f>
        <v>75.4150432900793</v>
      </c>
    </row>
    <row r="12" customFormat="false" ht="13.5" hidden="false" customHeight="true" outlineLevel="0" collapsed="false">
      <c r="B12" s="1" t="s">
        <v>833</v>
      </c>
      <c r="C12" s="116" t="n">
        <f aca="false">38_v69_E1!L158</f>
        <v>0</v>
      </c>
      <c r="D12" s="116" t="n">
        <f aca="false">38_v69_E1!V158</f>
        <v>0</v>
      </c>
      <c r="E12" s="116" t="n">
        <f aca="false">38_v69_E1!AF158</f>
        <v>0</v>
      </c>
    </row>
    <row r="13" customFormat="false" ht="13.5" hidden="false" customHeight="true" outlineLevel="0" collapsed="false">
      <c r="B13" s="1" t="s">
        <v>834</v>
      </c>
      <c r="C13" s="116" t="n">
        <f aca="false">38_v69_E1!L159</f>
        <v>187.652339662692</v>
      </c>
      <c r="D13" s="116" t="n">
        <f aca="false">38_v69_E1!V159</f>
        <v>249.424652261082</v>
      </c>
      <c r="E13" s="116" t="n">
        <f aca="false">38_v69_E1!AF159</f>
        <v>313.033422132787</v>
      </c>
    </row>
    <row r="14" customFormat="false" ht="13.5" hidden="false" customHeight="true" outlineLevel="0" collapsed="false">
      <c r="B14" s="85" t="s">
        <v>835</v>
      </c>
      <c r="C14" s="116" t="n">
        <f aca="false">38_v69_E1!L161</f>
        <v>-90.2113097349264</v>
      </c>
      <c r="D14" s="116" t="n">
        <f aca="false">38_v69_E1!V161</f>
        <v>-119.750927887003</v>
      </c>
      <c r="E14" s="116" t="n">
        <f aca="false">38_v69_E1!AF161</f>
        <v>-128.84387585873</v>
      </c>
    </row>
    <row r="15" customFormat="false" ht="13.5" hidden="false" customHeight="true" outlineLevel="0" collapsed="false"/>
    <row r="16" customFormat="false" ht="13.5" hidden="false" customHeight="true" outlineLevel="0" collapsed="false">
      <c r="B16" s="85" t="s">
        <v>836</v>
      </c>
      <c r="C16" s="88" t="n">
        <f aca="false">C6-SUM(C7:C11)</f>
        <v>-97.4410299277659</v>
      </c>
      <c r="D16" s="88" t="n">
        <f aca="false">D6-SUM(D7:D11)</f>
        <v>-129.673724374079</v>
      </c>
      <c r="E16" s="88" t="n">
        <f aca="false">E6-SUM(E7:E11)</f>
        <v>-184.189546274057</v>
      </c>
    </row>
    <row r="17" customFormat="false" ht="13.5" hidden="false" customHeight="true" outlineLevel="0" collapsed="false">
      <c r="B17" s="85" t="s">
        <v>837</v>
      </c>
      <c r="C17" s="88" t="n">
        <f aca="false">C12+C13</f>
        <v>187.652339662692</v>
      </c>
      <c r="D17" s="88" t="n">
        <f aca="false">D12+D13</f>
        <v>249.424652261082</v>
      </c>
      <c r="E17" s="88" t="n">
        <f aca="false">E12+E13</f>
        <v>313.033422132787</v>
      </c>
    </row>
    <row r="18" customFormat="false" ht="13.5" hidden="false" customHeight="true" outlineLevel="0" collapsed="false">
      <c r="B18" s="1" t="s">
        <v>838</v>
      </c>
      <c r="C18" s="88" t="n">
        <f aca="false">-C16-C17</f>
        <v>-90.2113097349264</v>
      </c>
      <c r="D18" s="88" t="n">
        <f aca="false">-D16-D17</f>
        <v>-119.750927887003</v>
      </c>
      <c r="E18" s="88" t="n">
        <f aca="false">-E16-E17</f>
        <v>-128.84387585873</v>
      </c>
    </row>
    <row r="19" customFormat="false" ht="13.5" hidden="false" customHeight="true" outlineLevel="0" collapsed="false"/>
    <row r="20" customFormat="false" ht="13.5" hidden="false" customHeight="true" outlineLevel="0" collapsed="false"/>
    <row r="21" customFormat="false" ht="13.5" hidden="false" customHeight="true" outlineLevel="0" collapsed="false"/>
    <row r="22" customFormat="false" ht="13.5" hidden="false" customHeight="true" outlineLevel="0" collapsed="false"/>
    <row r="23" customFormat="false" ht="13.5" hidden="false" customHeight="true" outlineLevel="0" collapsed="false"/>
    <row r="24" customFormat="false" ht="13.5" hidden="false" customHeight="true" outlineLevel="0" collapsed="false"/>
    <row r="25" customFormat="false" ht="15" hidden="false" customHeight="true" outlineLevel="0" collapsed="false">
      <c r="B25" s="115" t="s">
        <v>839</v>
      </c>
      <c r="C25" s="85" t="s">
        <v>726</v>
      </c>
      <c r="D25" s="85" t="s">
        <v>758</v>
      </c>
      <c r="E25" s="85" t="s">
        <v>759</v>
      </c>
    </row>
    <row r="26" customFormat="false" ht="13.5" hidden="false" customHeight="true" outlineLevel="0" collapsed="false">
      <c r="B26" s="1" t="s">
        <v>760</v>
      </c>
      <c r="C26" s="116" t="n">
        <f aca="false">40_v69_E3!L157</f>
        <v>348.22706857826</v>
      </c>
      <c r="D26" s="116" t="n">
        <f aca="false">40_v69_E3!V157</f>
        <v>426.578612925127</v>
      </c>
      <c r="E26" s="116" t="n">
        <f aca="false">40_v69_E3!AF157</f>
        <v>486.081341053221</v>
      </c>
    </row>
    <row r="27" customFormat="false" ht="13.5" hidden="false" customHeight="true" outlineLevel="0" collapsed="false">
      <c r="B27" s="1" t="s">
        <v>829</v>
      </c>
      <c r="C27" s="116" t="n">
        <f aca="false">40_v69_E3!L152</f>
        <v>108.235792854953</v>
      </c>
      <c r="D27" s="116" t="n">
        <f aca="false">40_v69_E3!V152</f>
        <v>194.422066254599</v>
      </c>
      <c r="E27" s="116" t="n">
        <f aca="false">40_v69_E3!AF152</f>
        <v>220.731137584789</v>
      </c>
    </row>
    <row r="28" customFormat="false" ht="13.5" hidden="false" customHeight="true" outlineLevel="0" collapsed="false">
      <c r="B28" s="1" t="s">
        <v>830</v>
      </c>
      <c r="C28" s="116" t="n">
        <f aca="false">40_v69_E3!L153</f>
        <v>139.655873621496</v>
      </c>
      <c r="D28" s="116" t="n">
        <f aca="false">40_v69_E3!V153</f>
        <v>150.750319165238</v>
      </c>
      <c r="E28" s="116" t="n">
        <f aca="false">40_v69_E3!AF153</f>
        <v>163.047142766117</v>
      </c>
    </row>
    <row r="29" customFormat="false" ht="13.5" hidden="false" customHeight="true" outlineLevel="0" collapsed="false">
      <c r="B29" s="1" t="s">
        <v>831</v>
      </c>
      <c r="C29" s="116" t="n">
        <f aca="false">40_v69_E3!L154</f>
        <v>8.70567671445651</v>
      </c>
      <c r="D29" s="116" t="n">
        <f aca="false">40_v69_E3!V154</f>
        <v>10.6631520394061</v>
      </c>
      <c r="E29" s="116" t="n">
        <f aca="false">40_v69_E3!AF154</f>
        <v>12.1520335263305</v>
      </c>
    </row>
    <row r="30" customFormat="false" ht="13.5" hidden="false" customHeight="true" outlineLevel="0" collapsed="false">
      <c r="B30" s="1" t="s">
        <v>832</v>
      </c>
      <c r="C30" s="116" t="n">
        <f aca="false">40_v69_E3!L155</f>
        <v>95.0752050611281</v>
      </c>
      <c r="D30" s="116" t="n">
        <f aca="false">40_v69_E3!V155</f>
        <v>126.453999374355</v>
      </c>
      <c r="E30" s="116" t="n">
        <f aca="false">40_v69_E3!AF155</f>
        <v>155.158884846368</v>
      </c>
    </row>
    <row r="31" customFormat="false" ht="13.5" hidden="false" customHeight="true" outlineLevel="0" collapsed="false">
      <c r="B31" s="1" t="s">
        <v>764</v>
      </c>
      <c r="C31" s="117" t="n">
        <f aca="false">40_v69_E3!L187</f>
        <v>47.856982348637</v>
      </c>
      <c r="D31" s="117" t="n">
        <f aca="false">40_v69_E3!V187</f>
        <v>60.0760883842733</v>
      </c>
      <c r="E31" s="117" t="n">
        <f aca="false">40_v69_E3!AF187</f>
        <v>75.4150432900793</v>
      </c>
    </row>
    <row r="32" customFormat="false" ht="13.5" hidden="false" customHeight="true" outlineLevel="0" collapsed="false">
      <c r="B32" s="1" t="s">
        <v>833</v>
      </c>
      <c r="C32" s="116" t="n">
        <f aca="false">40_v69_E3!L158</f>
        <v>0</v>
      </c>
      <c r="D32" s="116" t="n">
        <f aca="false">40_v69_E3!V158</f>
        <v>0</v>
      </c>
      <c r="E32" s="116" t="n">
        <f aca="false">40_v69_E3!AF158</f>
        <v>0</v>
      </c>
    </row>
    <row r="33" customFormat="false" ht="13.5" hidden="false" customHeight="true" outlineLevel="0" collapsed="false">
      <c r="B33" s="1" t="s">
        <v>834</v>
      </c>
      <c r="C33" s="116" t="n">
        <f aca="false">40_v69_E3!L159</f>
        <v>153.00009483582</v>
      </c>
      <c r="D33" s="116" t="n">
        <f aca="false">40_v69_E3!V159</f>
        <v>249.154361551258</v>
      </c>
      <c r="E33" s="116" t="n">
        <f aca="false">40_v69_E3!AF159</f>
        <v>290.344635238681</v>
      </c>
    </row>
    <row r="34" customFormat="false" ht="13.5" hidden="false" customHeight="true" outlineLevel="0" collapsed="false">
      <c r="B34" s="85" t="s">
        <v>835</v>
      </c>
      <c r="C34" s="116" t="n">
        <f aca="false">40_v69_E3!L161</f>
        <v>-101.69763281341</v>
      </c>
      <c r="D34" s="116" t="n">
        <f aca="false">40_v69_E3!V161</f>
        <v>-133.367349258514</v>
      </c>
      <c r="E34" s="116" t="n">
        <f aca="false">40_v69_E3!AF161</f>
        <v>-149.921734278219</v>
      </c>
    </row>
    <row r="35" customFormat="false" ht="13.5" hidden="false" customHeight="true" outlineLevel="0" collapsed="false"/>
    <row r="36" customFormat="false" ht="13.5" hidden="false" customHeight="true" outlineLevel="0" collapsed="false">
      <c r="B36" s="85" t="s">
        <v>836</v>
      </c>
      <c r="C36" s="88" t="n">
        <f aca="false">C26-SUM(C27:C31)</f>
        <v>-51.3024620224099</v>
      </c>
      <c r="D36" s="88" t="n">
        <f aca="false">D26-SUM(D27:D31)</f>
        <v>-115.787012292744</v>
      </c>
      <c r="E36" s="88" t="n">
        <f aca="false">E26-SUM(E27:E31)</f>
        <v>-140.422900960462</v>
      </c>
    </row>
    <row r="37" customFormat="false" ht="13.5" hidden="false" customHeight="true" outlineLevel="0" collapsed="false">
      <c r="B37" s="85" t="s">
        <v>837</v>
      </c>
      <c r="C37" s="88" t="n">
        <f aca="false">C32+C33</f>
        <v>153.00009483582</v>
      </c>
      <c r="D37" s="88" t="n">
        <f aca="false">D32+D33</f>
        <v>249.154361551258</v>
      </c>
      <c r="E37" s="88" t="n">
        <f aca="false">E32+E33</f>
        <v>290.344635238681</v>
      </c>
    </row>
    <row r="38" customFormat="false" ht="13.5" hidden="false" customHeight="true" outlineLevel="0" collapsed="false">
      <c r="B38" s="1" t="s">
        <v>838</v>
      </c>
      <c r="C38" s="88" t="n">
        <f aca="false">-C36-C37</f>
        <v>-101.697632813411</v>
      </c>
      <c r="D38" s="88" t="n">
        <f aca="false">-D36-D37</f>
        <v>-133.367349258514</v>
      </c>
      <c r="E38" s="88" t="n">
        <f aca="false">-E36-E37</f>
        <v>-149.921734278219</v>
      </c>
    </row>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5" hidden="false" customHeight="true" outlineLevel="0" collapsed="false">
      <c r="B44" s="115" t="s">
        <v>840</v>
      </c>
    </row>
    <row r="45" customFormat="false" ht="13.5" hidden="false" customHeight="true" outlineLevel="0" collapsed="false">
      <c r="B45" s="1" t="s">
        <v>841</v>
      </c>
    </row>
    <row r="46" customFormat="false" ht="13.5" hidden="false" customHeight="true" outlineLevel="0" collapsed="false">
      <c r="B46" s="1" t="s">
        <v>842</v>
      </c>
    </row>
    <row r="47" customFormat="false" ht="13.5" hidden="false" customHeight="true" outlineLevel="0" collapsed="false">
      <c r="B47" s="1" t="s">
        <v>843</v>
      </c>
    </row>
    <row r="48" customFormat="false" ht="13.5" hidden="false" customHeight="true" outlineLevel="0" collapsed="false">
      <c r="B48" s="1" t="s">
        <v>844</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48.52"/>
    <col collapsed="false" customWidth="true" hidden="false" outlineLevel="0" max="14" min="3" style="1" width="11.75"/>
  </cols>
  <sheetData>
    <row r="1" customFormat="false" ht="13.5" hidden="false" customHeight="true" outlineLevel="0" collapsed="false"/>
    <row r="2" customFormat="false" ht="17.25" hidden="false" customHeight="true" outlineLevel="0" collapsed="false">
      <c r="B2" s="114" t="s">
        <v>845</v>
      </c>
    </row>
    <row r="3" customFormat="false" ht="13.5" hidden="false" customHeight="true" outlineLevel="0" collapsed="false">
      <c r="B3" s="1" t="s">
        <v>846</v>
      </c>
    </row>
    <row r="4" customFormat="false" ht="13.5" hidden="false" customHeight="true" outlineLevel="0" collapsed="false"/>
    <row r="5" customFormat="false" ht="13.5" hidden="false" customHeight="true" outlineLevel="0" collapsed="false">
      <c r="B5" s="1" t="s">
        <v>847</v>
      </c>
      <c r="C5" s="121" t="n">
        <v>294.5</v>
      </c>
    </row>
    <row r="6" customFormat="false" ht="13.5" hidden="false" customHeight="true" outlineLevel="0" collapsed="false">
      <c r="B6" s="1" t="s">
        <v>848</v>
      </c>
      <c r="C6" s="120" t="n">
        <v>-0.0018</v>
      </c>
    </row>
    <row r="7" customFormat="false" ht="13.5" hidden="false" customHeight="true" outlineLevel="0" collapsed="false">
      <c r="B7" s="1" t="s">
        <v>849</v>
      </c>
      <c r="C7" s="120" t="n">
        <v>0.3</v>
      </c>
    </row>
    <row r="8" customFormat="false" ht="13.5" hidden="false" customHeight="true" outlineLevel="0" collapsed="false">
      <c r="B8" s="1" t="s">
        <v>850</v>
      </c>
      <c r="C8" s="120" t="n">
        <v>0.5</v>
      </c>
    </row>
    <row r="9" customFormat="false" ht="13.5" hidden="false" customHeight="true" outlineLevel="0" collapsed="false"/>
    <row r="10" customFormat="false" ht="13.5" hidden="false" customHeight="true" outlineLevel="0" collapsed="false">
      <c r="B10" s="85" t="s">
        <v>803</v>
      </c>
      <c r="C10" s="85" t="s">
        <v>717</v>
      </c>
      <c r="D10" s="85" t="s">
        <v>721</v>
      </c>
      <c r="E10" s="85" t="s">
        <v>726</v>
      </c>
      <c r="F10" s="85" t="s">
        <v>804</v>
      </c>
      <c r="G10" s="85" t="s">
        <v>758</v>
      </c>
      <c r="H10" s="85" t="s">
        <v>805</v>
      </c>
      <c r="I10" s="85" t="s">
        <v>759</v>
      </c>
    </row>
    <row r="11" customFormat="false" ht="13.5" hidden="false" customHeight="true" outlineLevel="0" collapsed="false">
      <c r="B11" s="1" t="s">
        <v>851</v>
      </c>
      <c r="C11" s="116" t="n">
        <f aca="false">38_v69_E1!C41</f>
        <v>325</v>
      </c>
      <c r="D11" s="116" t="n">
        <f aca="false">38_v69_E1!G41</f>
        <v>355.947458048325</v>
      </c>
      <c r="E11" s="116" t="n">
        <f aca="false">38_v69_E1!L41</f>
        <v>398.808186238641</v>
      </c>
      <c r="F11" s="116" t="n">
        <f aca="false">38_v69_E1!Q41</f>
        <v>446.829906534582</v>
      </c>
      <c r="G11" s="116" t="n">
        <f aca="false">38_v69_E1!V41</f>
        <v>500.634069868944</v>
      </c>
      <c r="H11" s="116" t="n">
        <f aca="false">38_v69_E1!AA41</f>
        <v>560.916957992706</v>
      </c>
      <c r="I11" s="116" t="n">
        <f aca="false">38_v69_E1!AF41</f>
        <v>628.458694083994</v>
      </c>
    </row>
    <row r="12" customFormat="false" ht="13.5" hidden="false" customHeight="true" outlineLevel="0" collapsed="false">
      <c r="B12" s="1" t="s">
        <v>852</v>
      </c>
      <c r="C12" s="116" t="n">
        <f aca="false">38_v69_E1!C83</f>
        <v>13</v>
      </c>
      <c r="D12" s="88" t="n">
        <f aca="false">38_v69_E1!G83-38_v69_E1!F83</f>
        <v>14.237898321933</v>
      </c>
      <c r="E12" s="88" t="n">
        <f aca="false">38_v69_E1!L83-38_v69_E1!K83</f>
        <v>15.9523274495457</v>
      </c>
      <c r="F12" s="88" t="n">
        <f aca="false">38_v69_E1!Q83-38_v69_E1!P83</f>
        <v>3.90139199112107</v>
      </c>
      <c r="G12" s="88" t="n">
        <f aca="false">38_v69_E1!V83-38_v69_E1!U83</f>
        <v>4.37117060005454</v>
      </c>
      <c r="H12" s="88" t="n">
        <f aca="false">38_v69_E1!AA83-38_v69_E1!Z83</f>
        <v>4.89751669616007</v>
      </c>
      <c r="I12" s="88" t="n">
        <f aca="false">38_v69_E1!AF83-38_v69_E1!AE83</f>
        <v>5.48724174454955</v>
      </c>
    </row>
    <row r="13" customFormat="false" ht="13.5" hidden="false" customHeight="true" outlineLevel="0" collapsed="false">
      <c r="B13" s="1" t="s">
        <v>853</v>
      </c>
      <c r="C13" s="87" t="n">
        <f aca="false">C12/C11</f>
        <v>0.04</v>
      </c>
      <c r="D13" s="87" t="n">
        <f aca="false">D12/D11</f>
        <v>0.04</v>
      </c>
      <c r="E13" s="87" t="n">
        <f aca="false">E12/E11</f>
        <v>0.04</v>
      </c>
      <c r="F13" s="87" t="n">
        <f aca="false">F12/F11</f>
        <v>0.00873126873126862</v>
      </c>
      <c r="G13" s="87" t="n">
        <f aca="false">G12/G11</f>
        <v>0.00873126873126878</v>
      </c>
      <c r="H13" s="87" t="n">
        <f aca="false">H12/H11</f>
        <v>0.00873126873126869</v>
      </c>
      <c r="I13" s="87" t="n">
        <f aca="false">I12/I11</f>
        <v>0.00873126873126872</v>
      </c>
    </row>
    <row r="14" customFormat="false" ht="13.5" hidden="false" customHeight="true" outlineLevel="0" collapsed="false">
      <c r="B14" s="1" t="s">
        <v>854</v>
      </c>
      <c r="C14" s="87" t="n">
        <f aca="false">C13*(1-$C$7)</f>
        <v>0.028</v>
      </c>
      <c r="D14" s="87" t="n">
        <f aca="false">D13*(1-$C$7)</f>
        <v>0.028</v>
      </c>
      <c r="E14" s="87" t="n">
        <f aca="false">E13*(1-$C$7)</f>
        <v>0.028</v>
      </c>
      <c r="F14" s="87" t="n">
        <f aca="false">F13*(1-$C$7)</f>
        <v>0.00611188811188804</v>
      </c>
      <c r="G14" s="87" t="n">
        <f aca="false">G13*(1-$C$7)</f>
        <v>0.00611188811188814</v>
      </c>
      <c r="H14" s="87" t="n">
        <f aca="false">H13*(1-$C$7)</f>
        <v>0.00611188811188808</v>
      </c>
      <c r="I14" s="87" t="n">
        <f aca="false">I13*(1-$C$7)</f>
        <v>0.0061118881118881</v>
      </c>
    </row>
    <row r="15" customFormat="false" ht="13.5" hidden="false" customHeight="true" outlineLevel="0" collapsed="false">
      <c r="B15" s="1" t="s">
        <v>855</v>
      </c>
      <c r="C15" s="87" t="n">
        <f aca="false">C12/$C$5</f>
        <v>0.0441426146010187</v>
      </c>
      <c r="D15" s="87" t="n">
        <f aca="false">D12/$C$5</f>
        <v>0.0483460044887368</v>
      </c>
      <c r="E15" s="87" t="n">
        <f aca="false">E12/$C$5</f>
        <v>0.0541674955841958</v>
      </c>
      <c r="F15" s="87" t="n">
        <f aca="false">F12/$C$5</f>
        <v>0.0132475110055045</v>
      </c>
      <c r="G15" s="87" t="n">
        <f aca="false">G12/$C$5</f>
        <v>0.0148426845502701</v>
      </c>
      <c r="H15" s="87" t="n">
        <f aca="false">H12/$C$5</f>
        <v>0.0166299378477422</v>
      </c>
      <c r="I15" s="87" t="n">
        <f aca="false">I12/$C$5</f>
        <v>0.0186323998117132</v>
      </c>
    </row>
    <row r="16" customFormat="false" ht="13.5" hidden="false" customHeight="true" outlineLevel="0" collapsed="false">
      <c r="B16" s="1" t="s">
        <v>856</v>
      </c>
      <c r="C16" s="87" t="n">
        <f aca="false">38_v69_E1!C129</f>
        <v>0.04</v>
      </c>
      <c r="D16" s="87" t="n">
        <f aca="false">38_v69_E1!G129</f>
        <v>0.191206772106497</v>
      </c>
      <c r="E16" s="87" t="n">
        <f aca="false">38_v69_E1!L129</f>
        <v>0.36186416290591</v>
      </c>
      <c r="F16" s="87" t="n">
        <f aca="false">38_v69_E1!Q129</f>
        <v>0.388351648351648</v>
      </c>
      <c r="G16" s="87" t="n">
        <f aca="false">38_v69_E1!V129</f>
        <v>0.388351648351648</v>
      </c>
      <c r="H16" s="87" t="n">
        <f aca="false">38_v69_E1!AA129</f>
        <v>0.388351648351648</v>
      </c>
      <c r="I16" s="87" t="n">
        <f aca="false">38_v69_E1!AF129</f>
        <v>0.388351648351648</v>
      </c>
    </row>
    <row r="17" customFormat="false" ht="13.5" hidden="false" customHeight="true" outlineLevel="0" collapsed="false">
      <c r="B17" s="1" t="s">
        <v>857</v>
      </c>
      <c r="C17" s="87" t="n">
        <f aca="false">38_v69_E1!C111/C11</f>
        <v>0.00851656390598093</v>
      </c>
      <c r="D17" s="87" t="n">
        <f aca="false">38_v69_E1!G111/D11</f>
        <v>0.0336621962341478</v>
      </c>
      <c r="E17" s="87" t="n">
        <f aca="false">38_v69_E1!L111/E11</f>
        <v>0.0301259860459257</v>
      </c>
      <c r="F17" s="87" t="n">
        <f aca="false">38_v69_E1!Q111/F11</f>
        <v>0.0305571992046695</v>
      </c>
      <c r="G17" s="87" t="n">
        <f aca="false">38_v69_E1!V111/G11</f>
        <v>0.0317146088660312</v>
      </c>
      <c r="H17" s="87" t="n">
        <f aca="false">38_v69_E1!AA111/H11</f>
        <v>0.0318339067915896</v>
      </c>
      <c r="I17" s="87" t="n">
        <f aca="false">38_v69_E1!AF111/I11</f>
        <v>0.0312828277668187</v>
      </c>
    </row>
    <row r="18" customFormat="false" ht="13.5" hidden="false" customHeight="true" outlineLevel="0" collapsed="false">
      <c r="B18" s="1" t="s">
        <v>858</v>
      </c>
      <c r="C18" s="87" t="n">
        <f aca="false">38_v69_E1!C53/C11</f>
        <v>0.0633846153846154</v>
      </c>
      <c r="D18" s="87" t="n">
        <f aca="false">38_v69_E1!G53/D11</f>
        <v>0.0578737101058417</v>
      </c>
      <c r="E18" s="87" t="n">
        <f aca="false">38_v69_E1!L53/E11</f>
        <v>0.0516539045857831</v>
      </c>
      <c r="F18" s="87" t="n">
        <f aca="false">38_v69_E1!Q53/F11</f>
        <v>0</v>
      </c>
      <c r="G18" s="87" t="n">
        <f aca="false">38_v69_E1!V53/G11</f>
        <v>0</v>
      </c>
      <c r="H18" s="87" t="n">
        <f aca="false">38_v69_E1!AA53/H11</f>
        <v>0</v>
      </c>
      <c r="I18" s="87" t="n">
        <f aca="false">38_v69_E1!AF53/I11</f>
        <v>0</v>
      </c>
    </row>
    <row r="19" customFormat="false" ht="13.5" hidden="false" customHeight="true" outlineLevel="0" collapsed="false">
      <c r="B19" s="1" t="s">
        <v>859</v>
      </c>
      <c r="C19" s="87" t="n">
        <f aca="false">C18*(1-$C$8)</f>
        <v>0.0316923076923077</v>
      </c>
      <c r="D19" s="87" t="n">
        <f aca="false">D18*(1-$C$8)</f>
        <v>0.0289368550529209</v>
      </c>
      <c r="E19" s="87" t="n">
        <f aca="false">E18*(1-$C$8)</f>
        <v>0.0258269522928915</v>
      </c>
      <c r="F19" s="87" t="n">
        <f aca="false">F18*(1-$C$8)</f>
        <v>0</v>
      </c>
      <c r="G19" s="87" t="n">
        <f aca="false">G18*(1-$C$8)</f>
        <v>0</v>
      </c>
      <c r="H19" s="87" t="n">
        <f aca="false">H18*(1-$C$8)</f>
        <v>0</v>
      </c>
      <c r="I19" s="87" t="n">
        <f aca="false">I18*(1-$C$8)</f>
        <v>0</v>
      </c>
    </row>
    <row r="20" customFormat="false" ht="13.5" hidden="false" customHeight="true" outlineLevel="0" collapsed="false"/>
    <row r="21" customFormat="false" ht="15" hidden="false" customHeight="true" outlineLevel="0" collapsed="false">
      <c r="B21" s="115" t="s">
        <v>860</v>
      </c>
    </row>
    <row r="22" customFormat="false" ht="13.5" hidden="false" customHeight="true" outlineLevel="0" collapsed="false">
      <c r="B22" s="1" t="s">
        <v>861</v>
      </c>
    </row>
    <row r="23" customFormat="false" ht="13.5" hidden="false" customHeight="true" outlineLevel="0" collapsed="false">
      <c r="B23" s="1" t="s">
        <v>862</v>
      </c>
    </row>
    <row r="24" customFormat="false" ht="13.5" hidden="false" customHeight="true" outlineLevel="0" collapsed="false">
      <c r="B24" s="1" t="s">
        <v>863</v>
      </c>
    </row>
    <row r="25" customFormat="false" ht="13.5" hidden="false" customHeight="true" outlineLevel="0" collapsed="false">
      <c r="B25" s="1" t="s">
        <v>864</v>
      </c>
    </row>
    <row r="26" customFormat="false" ht="13.5" hidden="false" customHeight="true" outlineLevel="0" collapsed="false">
      <c r="B26" s="1" t="s">
        <v>865</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43.41"/>
    <col collapsed="false" customWidth="true" hidden="false" outlineLevel="0" max="7" min="3" style="1" width="13.28"/>
  </cols>
  <sheetData>
    <row r="1" customFormat="false" ht="13.5" hidden="false" customHeight="true" outlineLevel="0" collapsed="false"/>
    <row r="2" customFormat="false" ht="17.25" hidden="false" customHeight="true" outlineLevel="0" collapsed="false">
      <c r="B2" s="114" t="s">
        <v>866</v>
      </c>
    </row>
    <row r="3" customFormat="false" ht="13.5" hidden="false" customHeight="true" outlineLevel="0" collapsed="false">
      <c r="B3" s="1" t="s">
        <v>867</v>
      </c>
    </row>
    <row r="4" customFormat="false" ht="13.5" hidden="false" customHeight="true" outlineLevel="0" collapsed="false"/>
    <row r="5" customFormat="false" ht="15" hidden="false" customHeight="true" outlineLevel="0" collapsed="false">
      <c r="B5" s="115" t="s">
        <v>868</v>
      </c>
    </row>
    <row r="6" customFormat="false" ht="13.5" hidden="false" customHeight="true" outlineLevel="0" collapsed="false">
      <c r="B6" s="85" t="s">
        <v>869</v>
      </c>
      <c r="C6" s="85" t="s">
        <v>870</v>
      </c>
      <c r="D6" s="85" t="s">
        <v>871</v>
      </c>
      <c r="E6" s="85" t="s">
        <v>872</v>
      </c>
      <c r="F6" s="85" t="s">
        <v>873</v>
      </c>
    </row>
    <row r="7" customFormat="false" ht="13.5" hidden="false" customHeight="true" outlineLevel="0" collapsed="false">
      <c r="B7" s="1" t="s">
        <v>874</v>
      </c>
      <c r="C7" s="1" t="n">
        <v>40</v>
      </c>
      <c r="D7" s="1" t="n">
        <v>0</v>
      </c>
      <c r="E7" s="1" t="n">
        <v>0</v>
      </c>
      <c r="F7" s="1" t="n">
        <v>32.4</v>
      </c>
    </row>
    <row r="8" customFormat="false" ht="13.5" hidden="false" customHeight="true" outlineLevel="0" collapsed="false">
      <c r="B8" s="1" t="s">
        <v>875</v>
      </c>
      <c r="C8" s="1" t="n">
        <v>97</v>
      </c>
      <c r="D8" s="1" t="n">
        <v>0</v>
      </c>
      <c r="E8" s="1" t="n">
        <v>6</v>
      </c>
      <c r="F8" s="1" t="n">
        <v>0</v>
      </c>
    </row>
    <row r="9" customFormat="false" ht="13.5" hidden="false" customHeight="true" outlineLevel="0" collapsed="false">
      <c r="B9" s="1" t="s">
        <v>876</v>
      </c>
      <c r="C9" s="1" t="n">
        <v>97</v>
      </c>
      <c r="D9" s="1" t="n">
        <v>0</v>
      </c>
      <c r="E9" s="1" t="n">
        <v>50</v>
      </c>
      <c r="F9" s="1" t="n">
        <v>0</v>
      </c>
    </row>
    <row r="10" customFormat="false" ht="13.5" hidden="false" customHeight="true" outlineLevel="0" collapsed="false">
      <c r="B10" s="1" t="s">
        <v>877</v>
      </c>
      <c r="C10" s="1" t="n">
        <v>97</v>
      </c>
      <c r="D10" s="1" t="n">
        <v>0</v>
      </c>
      <c r="E10" s="1" t="n">
        <v>64</v>
      </c>
      <c r="F10" s="1" t="n">
        <v>0</v>
      </c>
    </row>
    <row r="11" customFormat="false" ht="13.5" hidden="false" customHeight="true" outlineLevel="0" collapsed="false">
      <c r="B11" s="1" t="s">
        <v>878</v>
      </c>
      <c r="C11" s="1" t="n">
        <v>66</v>
      </c>
      <c r="D11" s="1" t="n">
        <v>0</v>
      </c>
      <c r="E11" s="1" t="n">
        <v>38</v>
      </c>
      <c r="F11" s="1" t="n">
        <v>0</v>
      </c>
    </row>
    <row r="12" customFormat="false" ht="13.5" hidden="false" customHeight="true" outlineLevel="0" collapsed="false">
      <c r="B12" s="1" t="s">
        <v>879</v>
      </c>
      <c r="C12" s="1" t="n">
        <v>66</v>
      </c>
      <c r="D12" s="1" t="n">
        <v>0</v>
      </c>
      <c r="E12" s="1" t="n">
        <v>20</v>
      </c>
      <c r="F12" s="1" t="n">
        <v>0</v>
      </c>
    </row>
    <row r="13" customFormat="false" ht="13.5" hidden="false" customHeight="true" outlineLevel="0" collapsed="false"/>
    <row r="14" customFormat="false" ht="15" hidden="false" customHeight="true" outlineLevel="0" collapsed="false">
      <c r="B14" s="115" t="s">
        <v>880</v>
      </c>
    </row>
    <row r="15" customFormat="false" ht="13.5" hidden="false" customHeight="true" outlineLevel="0" collapsed="false">
      <c r="B15" s="85" t="s">
        <v>869</v>
      </c>
      <c r="C15" s="85" t="s">
        <v>870</v>
      </c>
      <c r="D15" s="85" t="s">
        <v>871</v>
      </c>
      <c r="E15" s="85" t="s">
        <v>872</v>
      </c>
      <c r="F15" s="85" t="s">
        <v>873</v>
      </c>
    </row>
    <row r="16" customFormat="false" ht="13.5" hidden="false" customHeight="true" outlineLevel="0" collapsed="false">
      <c r="B16" s="1" t="s">
        <v>881</v>
      </c>
      <c r="C16" s="1" t="n">
        <v>40</v>
      </c>
      <c r="D16" s="1" t="n">
        <v>0</v>
      </c>
      <c r="E16" s="1" t="n">
        <v>0</v>
      </c>
      <c r="F16" s="1" t="n">
        <v>13.4</v>
      </c>
    </row>
    <row r="17" customFormat="false" ht="13.5" hidden="false" customHeight="true" outlineLevel="0" collapsed="false">
      <c r="B17" s="1" t="s">
        <v>882</v>
      </c>
      <c r="C17" s="1" t="n">
        <v>40</v>
      </c>
      <c r="D17" s="1" t="n">
        <v>0</v>
      </c>
      <c r="E17" s="1" t="n">
        <v>0</v>
      </c>
      <c r="F17" s="1" t="n">
        <v>14.8</v>
      </c>
    </row>
    <row r="18" customFormat="false" ht="13.5" hidden="false" customHeight="true" outlineLevel="0" collapsed="false">
      <c r="B18" s="1" t="s">
        <v>883</v>
      </c>
      <c r="C18" s="1" t="n">
        <v>0</v>
      </c>
      <c r="D18" s="1" t="n">
        <v>0.2</v>
      </c>
      <c r="E18" s="1" t="n">
        <v>0</v>
      </c>
      <c r="F18" s="1" t="n">
        <v>55.9</v>
      </c>
    </row>
    <row r="19" customFormat="false" ht="13.5" hidden="false" customHeight="true" outlineLevel="0" collapsed="false">
      <c r="B19" s="1" t="s">
        <v>884</v>
      </c>
      <c r="C19" s="1" t="n">
        <v>40</v>
      </c>
      <c r="D19" s="1" t="n">
        <v>0</v>
      </c>
      <c r="E19" s="1" t="n">
        <v>0</v>
      </c>
      <c r="F19" s="1" t="n">
        <v>50.6</v>
      </c>
    </row>
    <row r="20" customFormat="false" ht="13.5" hidden="false" customHeight="true" outlineLevel="0" collapsed="false"/>
    <row r="21" customFormat="false" ht="15" hidden="false" customHeight="true" outlineLevel="0" collapsed="false">
      <c r="B21" s="115" t="s">
        <v>885</v>
      </c>
    </row>
    <row r="22" customFormat="false" ht="13.5" hidden="false" customHeight="true" outlineLevel="0" collapsed="false">
      <c r="B22" s="85" t="s">
        <v>869</v>
      </c>
      <c r="C22" s="85" t="s">
        <v>870</v>
      </c>
      <c r="D22" s="85" t="s">
        <v>871</v>
      </c>
      <c r="E22" s="85" t="s">
        <v>872</v>
      </c>
      <c r="F22" s="85" t="s">
        <v>873</v>
      </c>
    </row>
    <row r="23" customFormat="false" ht="13.5" hidden="false" customHeight="true" outlineLevel="0" collapsed="false">
      <c r="B23" s="1" t="s">
        <v>886</v>
      </c>
      <c r="C23" s="1" t="n">
        <v>66</v>
      </c>
      <c r="D23" s="1" t="n">
        <v>0</v>
      </c>
      <c r="E23" s="1" t="n">
        <v>20</v>
      </c>
      <c r="F23" s="1" t="n">
        <v>0</v>
      </c>
    </row>
    <row r="24" customFormat="false" ht="13.5" hidden="false" customHeight="true" outlineLevel="0" collapsed="false">
      <c r="B24" s="1" t="s">
        <v>887</v>
      </c>
      <c r="C24" s="1" t="n">
        <v>7</v>
      </c>
      <c r="D24" s="1" t="n">
        <v>0</v>
      </c>
      <c r="E24" s="1" t="n">
        <v>0</v>
      </c>
      <c r="F24" s="1" t="n">
        <v>45.3</v>
      </c>
    </row>
    <row r="25" customFormat="false" ht="13.5" hidden="false" customHeight="true" outlineLevel="0" collapsed="false">
      <c r="B25" s="1" t="s">
        <v>888</v>
      </c>
      <c r="C25" s="1" t="n">
        <v>14</v>
      </c>
      <c r="D25" s="1" t="n">
        <v>0</v>
      </c>
      <c r="E25" s="1" t="n">
        <v>0</v>
      </c>
      <c r="F25" s="1" t="n">
        <v>34.8</v>
      </c>
    </row>
    <row r="26" customFormat="false" ht="13.5" hidden="false" customHeight="true" outlineLevel="0" collapsed="false">
      <c r="B26" s="1" t="s">
        <v>889</v>
      </c>
      <c r="C26" s="1" t="n">
        <v>18</v>
      </c>
      <c r="D26" s="1" t="n">
        <v>0</v>
      </c>
      <c r="E26" s="1" t="n">
        <v>0</v>
      </c>
      <c r="F26" s="1" t="n">
        <v>26.6</v>
      </c>
    </row>
    <row r="27" customFormat="false" ht="13.5" hidden="false" customHeight="true" outlineLevel="0" collapsed="false">
      <c r="B27" s="1" t="s">
        <v>890</v>
      </c>
      <c r="C27" s="1" t="n">
        <v>40</v>
      </c>
      <c r="D27" s="1" t="n">
        <v>0</v>
      </c>
      <c r="E27" s="1" t="n">
        <v>0</v>
      </c>
      <c r="F27" s="1" t="n">
        <v>8.1</v>
      </c>
    </row>
    <row r="28" customFormat="false" ht="13.5" hidden="false" customHeight="true" outlineLevel="0" collapsed="false">
      <c r="B28" s="1" t="s">
        <v>891</v>
      </c>
      <c r="C28" s="1" t="n">
        <v>41</v>
      </c>
      <c r="D28" s="1" t="n">
        <v>0</v>
      </c>
      <c r="E28" s="1" t="n">
        <v>0</v>
      </c>
      <c r="F28" s="1" t="n">
        <v>1.6</v>
      </c>
    </row>
    <row r="29" customFormat="false" ht="13.5" hidden="false" customHeight="true" outlineLevel="0" collapsed="false"/>
    <row r="30" customFormat="false" ht="15" hidden="false" customHeight="true" outlineLevel="0" collapsed="false">
      <c r="B30" s="115" t="s">
        <v>892</v>
      </c>
    </row>
    <row r="31" customFormat="false" ht="13.5" hidden="false" customHeight="true" outlineLevel="0" collapsed="false">
      <c r="B31" s="85" t="s">
        <v>869</v>
      </c>
      <c r="C31" s="85" t="s">
        <v>870</v>
      </c>
      <c r="D31" s="85" t="s">
        <v>871</v>
      </c>
      <c r="E31" s="85" t="s">
        <v>872</v>
      </c>
      <c r="F31" s="85" t="s">
        <v>873</v>
      </c>
    </row>
    <row r="32" customFormat="false" ht="13.5" hidden="false" customHeight="true" outlineLevel="0" collapsed="false">
      <c r="B32" s="1" t="s">
        <v>893</v>
      </c>
      <c r="C32" s="1" t="n">
        <v>40</v>
      </c>
      <c r="D32" s="1" t="n">
        <v>0</v>
      </c>
      <c r="E32" s="1" t="n">
        <v>0</v>
      </c>
      <c r="F32" s="1" t="n">
        <v>8.1</v>
      </c>
    </row>
    <row r="33" customFormat="false" ht="13.5" hidden="false" customHeight="true" outlineLevel="0" collapsed="false">
      <c r="B33" s="1" t="s">
        <v>894</v>
      </c>
      <c r="C33" s="1" t="n">
        <v>0</v>
      </c>
      <c r="D33" s="1" t="n">
        <v>10</v>
      </c>
      <c r="E33" s="1" t="n">
        <v>0</v>
      </c>
      <c r="F33" s="1" t="n">
        <v>40.5</v>
      </c>
    </row>
    <row r="34" customFormat="false" ht="13.5" hidden="false" customHeight="true" outlineLevel="0" collapsed="false">
      <c r="B34" s="1" t="s">
        <v>895</v>
      </c>
      <c r="C34" s="1" t="n">
        <v>0</v>
      </c>
      <c r="D34" s="1" t="n">
        <v>56.3</v>
      </c>
      <c r="E34" s="1" t="n">
        <v>0</v>
      </c>
      <c r="F34" s="1" t="n">
        <v>80</v>
      </c>
    </row>
    <row r="35" customFormat="false" ht="13.5" hidden="false" customHeight="true" outlineLevel="0" collapsed="false">
      <c r="B35" s="1" t="s">
        <v>896</v>
      </c>
      <c r="C35" s="1" t="n">
        <v>16</v>
      </c>
      <c r="D35" s="1" t="n">
        <v>0</v>
      </c>
      <c r="E35" s="1" t="n">
        <v>0</v>
      </c>
      <c r="F35" s="1" t="n">
        <v>30.2</v>
      </c>
    </row>
    <row r="36" customFormat="false" ht="13.5" hidden="false" customHeight="true" outlineLevel="0" collapsed="false">
      <c r="B36" s="1" t="s">
        <v>897</v>
      </c>
      <c r="C36" s="1" t="n">
        <v>27</v>
      </c>
      <c r="D36" s="1" t="n">
        <v>0</v>
      </c>
      <c r="E36" s="1" t="n">
        <v>0</v>
      </c>
      <c r="F36" s="1" t="n">
        <v>8.1</v>
      </c>
    </row>
    <row r="37" customFormat="false" ht="13.5" hidden="false" customHeight="true" outlineLevel="0" collapsed="false"/>
    <row r="38" customFormat="false" ht="13.5" hidden="false" customHeight="true" outlineLevel="0" collapsed="false">
      <c r="B38" s="1" t="s">
        <v>898</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I6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48.52"/>
    <col collapsed="false" customWidth="true" hidden="false" outlineLevel="0" max="10" min="3" style="1" width="11.75"/>
  </cols>
  <sheetData>
    <row r="1" customFormat="false" ht="13.5" hidden="false" customHeight="true" outlineLevel="0" collapsed="false"/>
    <row r="2" customFormat="false" ht="17.25" hidden="false" customHeight="true" outlineLevel="0" collapsed="false">
      <c r="B2" s="114" t="s">
        <v>899</v>
      </c>
    </row>
    <row r="3" customFormat="false" ht="13.5" hidden="false" customHeight="true" outlineLevel="0" collapsed="false">
      <c r="B3" s="1" t="s">
        <v>900</v>
      </c>
    </row>
    <row r="4" customFormat="false" ht="13.5" hidden="false" customHeight="true" outlineLevel="0" collapsed="false"/>
    <row r="5" customFormat="false" ht="13.5" hidden="false" customHeight="true" outlineLevel="0" collapsed="false">
      <c r="C5" s="85" t="s">
        <v>717</v>
      </c>
      <c r="D5" s="85" t="s">
        <v>721</v>
      </c>
      <c r="E5" s="85" t="s">
        <v>726</v>
      </c>
      <c r="F5" s="85" t="s">
        <v>804</v>
      </c>
      <c r="G5" s="85" t="s">
        <v>758</v>
      </c>
      <c r="H5" s="85" t="s">
        <v>805</v>
      </c>
      <c r="I5" s="85" t="s">
        <v>759</v>
      </c>
    </row>
    <row r="6" customFormat="false" ht="13.5" hidden="false" customHeight="true" outlineLevel="0" collapsed="false">
      <c r="B6" s="85" t="s">
        <v>901</v>
      </c>
    </row>
    <row r="7" customFormat="false" ht="13.5" hidden="false" customHeight="true" outlineLevel="0" collapsed="false">
      <c r="B7" s="1" t="s">
        <v>902</v>
      </c>
      <c r="C7" s="116" t="n">
        <f aca="false">38_v69_E1!C83</f>
        <v>13</v>
      </c>
      <c r="D7" s="116" t="n">
        <f aca="false">38_v69_E1!G83</f>
        <v>68.059564492933</v>
      </c>
      <c r="E7" s="116" t="n">
        <f aca="false">38_v69_E1!L83</f>
        <v>144.31439047327</v>
      </c>
      <c r="F7" s="116" t="n">
        <f aca="false">38_v69_E1!Q83</f>
        <v>173.527130735518</v>
      </c>
      <c r="G7" s="116" t="n">
        <f aca="false">38_v69_E1!V83</f>
        <v>194.422066254599</v>
      </c>
      <c r="H7" s="116" t="n">
        <f aca="false">38_v69_E1!AA83</f>
        <v>217.83302522486</v>
      </c>
      <c r="I7" s="116" t="n">
        <f aca="false">38_v69_E1!AF83</f>
        <v>244.062969768443</v>
      </c>
    </row>
    <row r="8" customFormat="false" ht="13.5" hidden="false" customHeight="true" outlineLevel="0" collapsed="false">
      <c r="B8" s="1" t="s">
        <v>903</v>
      </c>
      <c r="C8" s="88" t="n">
        <f aca="false">38_v69_E1!C83*01_Supuestos!$C$158</f>
        <v>2.6</v>
      </c>
      <c r="D8" s="88" t="n">
        <f aca="false">38_v69_E1!G83*01_Supuestos!$C$158</f>
        <v>13.6119128985866</v>
      </c>
      <c r="E8" s="88" t="n">
        <f aca="false">38_v69_E1!L83*01_Supuestos!$C$158</f>
        <v>28.8628780946541</v>
      </c>
      <c r="F8" s="88" t="n">
        <f aca="false">38_v69_E1!Q83*01_Supuestos!$C$158</f>
        <v>34.7054261471035</v>
      </c>
      <c r="G8" s="88" t="n">
        <f aca="false">38_v69_E1!V83*01_Supuestos!$C$158</f>
        <v>38.8844132509198</v>
      </c>
      <c r="H8" s="88" t="n">
        <f aca="false">38_v69_E1!AA83*01_Supuestos!$C$158</f>
        <v>43.566605044972</v>
      </c>
      <c r="I8" s="88" t="n">
        <f aca="false">38_v69_E1!AF83*01_Supuestos!$C$158</f>
        <v>48.8125939536887</v>
      </c>
    </row>
    <row r="9" customFormat="false" ht="13.5" hidden="false" customHeight="true" outlineLevel="0" collapsed="false">
      <c r="B9" s="1" t="s">
        <v>904</v>
      </c>
      <c r="C9" s="88" t="n">
        <f aca="false">38_v69_E1!C83*(1-01_Supuestos!$C$158)</f>
        <v>10.4</v>
      </c>
      <c r="D9" s="88" t="n">
        <f aca="false">38_v69_E1!G83*(1-01_Supuestos!$C$158)</f>
        <v>54.4476515943464</v>
      </c>
      <c r="E9" s="88" t="n">
        <f aca="false">38_v69_E1!L83*(1-01_Supuestos!$C$158)</f>
        <v>115.451512378616</v>
      </c>
      <c r="F9" s="88" t="n">
        <f aca="false">38_v69_E1!Q83*(1-01_Supuestos!$C$158)</f>
        <v>138.821704588414</v>
      </c>
      <c r="G9" s="88" t="n">
        <f aca="false">38_v69_E1!V83*(1-01_Supuestos!$C$158)</f>
        <v>155.537653003679</v>
      </c>
      <c r="H9" s="88" t="n">
        <f aca="false">38_v69_E1!AA83*(1-01_Supuestos!$C$158)</f>
        <v>174.266420179888</v>
      </c>
      <c r="I9" s="88" t="n">
        <f aca="false">38_v69_E1!AF83*(1-01_Supuestos!$C$158)</f>
        <v>195.250375814755</v>
      </c>
    </row>
    <row r="10" customFormat="false" ht="13.5" hidden="false" customHeight="true" outlineLevel="0" collapsed="false">
      <c r="B10" s="1" t="s">
        <v>905</v>
      </c>
      <c r="C10" s="116" t="n">
        <f aca="false">38_v69_E1!C120</f>
        <v>18.9190487037173</v>
      </c>
      <c r="D10" s="116" t="n">
        <f aca="false">38_v69_E1!G120</f>
        <v>72.8447858473724</v>
      </c>
      <c r="E10" s="116" t="n">
        <f aca="false">38_v69_E1!L120</f>
        <v>149.676541722361</v>
      </c>
      <c r="F10" s="116" t="n">
        <f aca="false">38_v69_E1!Q120</f>
        <v>155.464886594235</v>
      </c>
      <c r="G10" s="116" t="n">
        <f aca="false">38_v69_E1!V120</f>
        <v>161.859438668867</v>
      </c>
      <c r="H10" s="116" t="n">
        <f aca="false">38_v69_E1!AA120</f>
        <v>169.263668950392</v>
      </c>
      <c r="I10" s="116" t="n">
        <f aca="false">38_v69_E1!AF120</f>
        <v>177.798782171659</v>
      </c>
    </row>
    <row r="11" customFormat="false" ht="13.5" hidden="false" customHeight="true" outlineLevel="0" collapsed="false">
      <c r="B11" s="1" t="s">
        <v>906</v>
      </c>
      <c r="C11" s="116" t="n">
        <f aca="false">38_v69_E1!C104</f>
        <v>0</v>
      </c>
      <c r="D11" s="116" t="n">
        <f aca="false">38_v69_E1!G104</f>
        <v>7.13890855419751</v>
      </c>
      <c r="E11" s="116" t="n">
        <f aca="false">38_v69_E1!L104</f>
        <v>8.74497890063019</v>
      </c>
      <c r="F11" s="116" t="n">
        <f aca="false">38_v69_E1!Q104</f>
        <v>10.1582175572632</v>
      </c>
      <c r="G11" s="116" t="n">
        <f aca="false">38_v69_E1!V104</f>
        <v>11.3527778883732</v>
      </c>
      <c r="H11" s="116" t="n">
        <f aca="false">38_v69_E1!AA104</f>
        <v>12.5226287485213</v>
      </c>
      <c r="I11" s="116" t="n">
        <f aca="false">38_v69_E1!AF104</f>
        <v>13.6854545779078</v>
      </c>
    </row>
    <row r="12" customFormat="false" ht="13.5" hidden="false" customHeight="true" outlineLevel="0" collapsed="false">
      <c r="B12" s="1" t="s">
        <v>907</v>
      </c>
      <c r="C12" s="87" t="n">
        <f aca="false">IF(C8&gt;0,C11/C8,0)</f>
        <v>0</v>
      </c>
      <c r="D12" s="87" t="n">
        <f aca="false">IF(D8&gt;0,D11/D8,0)</f>
        <v>0.524460346417496</v>
      </c>
      <c r="E12" s="87" t="n">
        <f aca="false">IF(E8&gt;0,E11/E8,0)</f>
        <v>0.302983606553427</v>
      </c>
      <c r="F12" s="87" t="n">
        <f aca="false">IF(F8&gt;0,F11/F8,0)</f>
        <v>0.292698251685667</v>
      </c>
      <c r="G12" s="87" t="n">
        <f aca="false">IF(G8&gt;0,G11/G8,0)</f>
        <v>0.291962175566702</v>
      </c>
      <c r="H12" s="87" t="n">
        <f aca="false">IF(H8&gt;0,H11/H8,0)</f>
        <v>0.287436414556395</v>
      </c>
      <c r="I12" s="87" t="n">
        <f aca="false">IF(I8&gt;0,I11/I8,0)</f>
        <v>0.280367287812895</v>
      </c>
    </row>
    <row r="13" customFormat="false" ht="13.5" hidden="false" customHeight="true" outlineLevel="0" collapsed="false">
      <c r="B13" s="85" t="s">
        <v>908</v>
      </c>
    </row>
    <row r="14" customFormat="false" ht="13.5" hidden="false" customHeight="true" outlineLevel="0" collapsed="false">
      <c r="B14" s="1" t="s">
        <v>909</v>
      </c>
      <c r="C14" s="116" t="n">
        <f aca="false">38_v69_E1!C111</f>
        <v>2.7678832694438</v>
      </c>
      <c r="D14" s="116" t="n">
        <f aca="false">38_v69_E1!G111</f>
        <v>11.9819731818688</v>
      </c>
      <c r="E14" s="116" t="n">
        <f aca="false">38_v69_E1!L111</f>
        <v>12.0144898536262</v>
      </c>
      <c r="F14" s="116" t="n">
        <f aca="false">38_v69_E1!Q111</f>
        <v>13.653870464581</v>
      </c>
      <c r="G14" s="116" t="n">
        <f aca="false">38_v69_E1!V111</f>
        <v>15.8774137109029</v>
      </c>
      <c r="H14" s="116" t="n">
        <f aca="false">38_v69_E1!AA111</f>
        <v>17.8561781585618</v>
      </c>
      <c r="I14" s="116" t="n">
        <f aca="false">38_v69_E1!AF111</f>
        <v>19.6599650855894</v>
      </c>
    </row>
    <row r="15" customFormat="false" ht="13.5" hidden="false" customHeight="true" outlineLevel="0" collapsed="false">
      <c r="B15" s="1" t="s">
        <v>910</v>
      </c>
      <c r="C15" s="116" t="n">
        <f aca="false">38_v69_E1!C136</f>
        <v>0</v>
      </c>
      <c r="D15" s="116" t="n">
        <f aca="false">38_v69_E1!G136</f>
        <v>0.653513794294979</v>
      </c>
      <c r="E15" s="116" t="n">
        <f aca="false">38_v69_E1!L136</f>
        <v>0.58120616704594</v>
      </c>
      <c r="F15" s="116" t="n">
        <f aca="false">38_v69_E1!Q136</f>
        <v>0.663745408912807</v>
      </c>
      <c r="G15" s="116" t="n">
        <f aca="false">38_v69_E1!V136</f>
        <v>0.798410087654932</v>
      </c>
      <c r="H15" s="116" t="n">
        <f aca="false">38_v69_E1!AA136</f>
        <v>0.901819879597179</v>
      </c>
      <c r="I15" s="116" t="n">
        <f aca="false">38_v69_E1!AF136</f>
        <v>0.980431158312526</v>
      </c>
    </row>
    <row r="16" customFormat="false" ht="13.5" hidden="false" customHeight="true" outlineLevel="0" collapsed="false">
      <c r="B16" s="1" t="s">
        <v>911</v>
      </c>
      <c r="C16" s="88" t="n">
        <f aca="false">01_Supuestos!$I$148</f>
        <v>0.429</v>
      </c>
      <c r="D16" s="88" t="n">
        <f aca="false">01_Supuestos!$I$148</f>
        <v>0.429</v>
      </c>
      <c r="E16" s="88" t="n">
        <f aca="false">01_Supuestos!$I$148</f>
        <v>0.429</v>
      </c>
      <c r="F16" s="88" t="n">
        <f aca="false">01_Supuestos!$I$148</f>
        <v>0.429</v>
      </c>
      <c r="G16" s="88" t="n">
        <f aca="false">01_Supuestos!$I$148</f>
        <v>0.429</v>
      </c>
      <c r="H16" s="88" t="n">
        <f aca="false">01_Supuestos!$I$148</f>
        <v>0.429</v>
      </c>
      <c r="I16" s="88" t="n">
        <f aca="false">01_Supuestos!$I$148</f>
        <v>0.429</v>
      </c>
    </row>
    <row r="17" customFormat="false" ht="13.5" hidden="false" customHeight="true" outlineLevel="0" collapsed="false">
      <c r="B17" s="85" t="s">
        <v>912</v>
      </c>
    </row>
    <row r="18" customFormat="false" ht="13.5" hidden="false" customHeight="true" outlineLevel="0" collapsed="false">
      <c r="B18" s="1" t="s">
        <v>913</v>
      </c>
      <c r="C18" s="88" t="n">
        <f aca="false">38_v69_E1!C216</f>
        <v>57.20223777748</v>
      </c>
      <c r="D18" s="88" t="n">
        <f aca="false">38_v69_E1!G216</f>
        <v>249.593079470832</v>
      </c>
      <c r="E18" s="88" t="n">
        <f aca="false">38_v69_E1!L216</f>
        <v>249.593079470832</v>
      </c>
      <c r="F18" s="88" t="n">
        <f aca="false">38_v69_E1!Q216</f>
        <v>249.593079470832</v>
      </c>
      <c r="G18" s="88" t="n">
        <f aca="false">38_v69_E1!V216</f>
        <v>249.593079470832</v>
      </c>
      <c r="H18" s="88" t="n">
        <f aca="false">38_v69_E1!AA216</f>
        <v>249.593079470832</v>
      </c>
      <c r="I18" s="88" t="n">
        <f aca="false">38_v69_E1!AF216</f>
        <v>249.593079470832</v>
      </c>
    </row>
    <row r="19" customFormat="false" ht="13.5" hidden="false" customHeight="true" outlineLevel="0" collapsed="false">
      <c r="B19" s="1" t="s">
        <v>914</v>
      </c>
      <c r="C19" s="87" t="n">
        <f aca="false">38_v69_E1!C217</f>
        <v>0.0322465074841911</v>
      </c>
      <c r="D19" s="87" t="n">
        <f aca="false">38_v69_E1!G217</f>
        <v>0.0916067011835296</v>
      </c>
      <c r="E19" s="87" t="n">
        <f aca="false">38_v69_E1!L217</f>
        <v>0.207373414369481</v>
      </c>
      <c r="F19" s="87" t="n">
        <f aca="false">38_v69_E1!Q217</f>
        <v>0.198717187905902</v>
      </c>
      <c r="G19" s="87" t="n">
        <f aca="false">38_v69_E1!V217</f>
        <v>0.142387087083754</v>
      </c>
      <c r="H19" s="87" t="n">
        <f aca="false">38_v69_E1!AA217</f>
        <v>0.102024806116906</v>
      </c>
      <c r="I19" s="87" t="n">
        <f aca="false">38_v69_E1!AF217</f>
        <v>0.0731039680379836</v>
      </c>
    </row>
    <row r="20" customFormat="false" ht="13.5" hidden="false" customHeight="true" outlineLevel="0" collapsed="false">
      <c r="B20" s="1" t="s">
        <v>915</v>
      </c>
      <c r="C20" s="88" t="n">
        <f aca="false">38_v69_E1!C218</f>
        <v>0.0922286194301994</v>
      </c>
      <c r="D20" s="88" t="n">
        <f aca="false">38_v69_E1!G218</f>
        <v>1.14321993242807</v>
      </c>
      <c r="E20" s="88" t="n">
        <f aca="false">38_v69_E1!L218</f>
        <v>2.58794845464299</v>
      </c>
      <c r="F20" s="88" t="n">
        <f aca="false">38_v69_E1!Q218</f>
        <v>2.4799217436609</v>
      </c>
      <c r="G20" s="88" t="n">
        <f aca="false">38_v69_E1!V218</f>
        <v>1.77694157710578</v>
      </c>
      <c r="H20" s="88" t="n">
        <f aca="false">38_v69_E1!AA218</f>
        <v>1.27323427705666</v>
      </c>
      <c r="I20" s="88" t="n">
        <f aca="false">38_v69_E1!AF218</f>
        <v>0.91231222520688</v>
      </c>
    </row>
    <row r="21" customFormat="false" ht="13.5" hidden="false" customHeight="true" outlineLevel="0" collapsed="false"/>
    <row r="22" customFormat="false" ht="13.5" hidden="false" customHeight="true" outlineLevel="0" collapsed="false">
      <c r="B22" s="85" t="s">
        <v>916</v>
      </c>
    </row>
    <row r="23" customFormat="false" ht="13.5" hidden="false" customHeight="true" outlineLevel="0" collapsed="false">
      <c r="B23" s="1" t="s">
        <v>917</v>
      </c>
      <c r="C23" s="88" t="n">
        <f aca="false">SUM(38_v69_E1!$C$136:$AF$136)</f>
        <v>20.2800018333029</v>
      </c>
    </row>
    <row r="24" customFormat="false" ht="13.5" hidden="false" customHeight="true" outlineLevel="0" collapsed="false">
      <c r="B24" s="1" t="s">
        <v>918</v>
      </c>
      <c r="C24" s="88" t="n">
        <f aca="false">30*01_Supuestos!$I$148</f>
        <v>12.87</v>
      </c>
    </row>
    <row r="25" customFormat="false" ht="13.5" hidden="false" customHeight="true" outlineLevel="0" collapsed="false">
      <c r="B25" s="1" t="s">
        <v>919</v>
      </c>
      <c r="C25" s="88" t="n">
        <f aca="false">SUM(38_v69_E1!$C$218:$AF$218)</f>
        <v>49.1646745763545</v>
      </c>
    </row>
    <row r="26" customFormat="false" ht="13.5" hidden="false" customHeight="true" outlineLevel="0" collapsed="false">
      <c r="B26" s="1" t="s">
        <v>920</v>
      </c>
      <c r="C26" s="88" t="n">
        <f aca="false">SUM(38_v69_E1!$C$92:$AF$92)</f>
        <v>9.10743689465259</v>
      </c>
    </row>
    <row r="27" customFormat="false" ht="13.5" hidden="false" customHeight="true" outlineLevel="0" collapsed="false"/>
    <row r="28" customFormat="false" ht="15" hidden="false" customHeight="true" outlineLevel="0" collapsed="false">
      <c r="B28" s="115" t="s">
        <v>840</v>
      </c>
    </row>
    <row r="29" customFormat="false" ht="13.5" hidden="false" customHeight="true" outlineLevel="0" collapsed="false">
      <c r="B29" s="1" t="s">
        <v>921</v>
      </c>
    </row>
    <row r="30" customFormat="false" ht="13.5" hidden="false" customHeight="true" outlineLevel="0" collapsed="false">
      <c r="B30" s="1" t="s">
        <v>922</v>
      </c>
    </row>
    <row r="31" customFormat="false" ht="13.5" hidden="false" customHeight="true" outlineLevel="0" collapsed="false">
      <c r="B31" s="1" t="s">
        <v>923</v>
      </c>
    </row>
    <row r="32" customFormat="false" ht="13.5" hidden="false" customHeight="true" outlineLevel="0" collapsed="false">
      <c r="B32" s="1" t="s">
        <v>924</v>
      </c>
    </row>
    <row r="33" customFormat="false" ht="13.5" hidden="false" customHeight="true" outlineLevel="0" collapsed="false">
      <c r="B33" s="1" t="s">
        <v>925</v>
      </c>
    </row>
    <row r="34" customFormat="false" ht="13.5" hidden="false" customHeight="true" outlineLevel="0" collapsed="false">
      <c r="B34" s="1" t="s">
        <v>926</v>
      </c>
    </row>
    <row r="35" customFormat="false" ht="13.5" hidden="false" customHeight="true" outlineLevel="0" collapsed="false"/>
    <row r="36" customFormat="false" ht="13.5" hidden="false" customHeight="true" outlineLevel="0" collapsed="false"/>
    <row r="37" customFormat="false" ht="13.5" hidden="false" customHeight="true" outlineLevel="0" collapsed="false"/>
    <row r="38" customFormat="false" ht="13.5" hidden="false" customHeight="true" outlineLevel="0" collapsed="false"/>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5" hidden="false" customHeight="true" outlineLevel="0" collapsed="false">
      <c r="B42" s="115" t="s">
        <v>927</v>
      </c>
    </row>
    <row r="43" customFormat="false" ht="13.5" hidden="false" customHeight="true" outlineLevel="0" collapsed="false">
      <c r="B43" s="1" t="s">
        <v>928</v>
      </c>
    </row>
    <row r="44" customFormat="false" ht="13.5" hidden="false" customHeight="true" outlineLevel="0" collapsed="false">
      <c r="B44" s="85" t="s">
        <v>929</v>
      </c>
      <c r="C44" s="85" t="s">
        <v>870</v>
      </c>
      <c r="D44" s="85" t="s">
        <v>871</v>
      </c>
      <c r="E44" s="85" t="s">
        <v>872</v>
      </c>
      <c r="F44" s="85" t="s">
        <v>873</v>
      </c>
    </row>
    <row r="45" customFormat="false" ht="13.5" hidden="false" customHeight="true" outlineLevel="0" collapsed="false">
      <c r="B45" s="1" t="s">
        <v>930</v>
      </c>
      <c r="C45" s="1" t="n">
        <v>47</v>
      </c>
      <c r="D45" s="1" t="n">
        <v>0</v>
      </c>
      <c r="E45" s="1" t="n">
        <v>0</v>
      </c>
      <c r="F45" s="1" t="n">
        <v>2.5</v>
      </c>
    </row>
    <row r="46" customFormat="false" ht="13.5" hidden="false" customHeight="true" outlineLevel="0" collapsed="false">
      <c r="B46" s="1" t="s">
        <v>931</v>
      </c>
      <c r="C46" s="1" t="n">
        <v>52</v>
      </c>
      <c r="D46" s="1" t="n">
        <v>0</v>
      </c>
      <c r="E46" s="1" t="n">
        <v>14</v>
      </c>
      <c r="F46" s="1" t="n">
        <v>0</v>
      </c>
    </row>
    <row r="47" customFormat="false" ht="13.5" hidden="false" customHeight="true" outlineLevel="0" collapsed="false">
      <c r="B47" s="1" t="s">
        <v>932</v>
      </c>
      <c r="C47" s="1" t="n">
        <v>71</v>
      </c>
      <c r="D47" s="1" t="n">
        <v>0</v>
      </c>
      <c r="E47" s="1" t="n">
        <v>36</v>
      </c>
      <c r="F47" s="1" t="n">
        <v>0</v>
      </c>
    </row>
    <row r="48" customFormat="false" ht="13.5" hidden="false" customHeight="true" outlineLevel="0" collapsed="false">
      <c r="B48" s="1" t="s">
        <v>933</v>
      </c>
      <c r="C48" s="1" t="n">
        <v>111</v>
      </c>
      <c r="D48" s="1" t="n">
        <v>0</v>
      </c>
      <c r="E48" s="1" t="n">
        <v>60</v>
      </c>
      <c r="F48" s="1" t="n">
        <v>0</v>
      </c>
    </row>
    <row r="49" customFormat="false" ht="13.5" hidden="false" customHeight="true" outlineLevel="0" collapsed="false">
      <c r="B49" s="1" t="s">
        <v>934</v>
      </c>
      <c r="C49" s="1" t="n">
        <v>56</v>
      </c>
      <c r="D49" s="1" t="n">
        <v>0</v>
      </c>
      <c r="E49" s="1" t="n">
        <v>7</v>
      </c>
      <c r="F49" s="1" t="n">
        <v>0</v>
      </c>
    </row>
    <row r="50" customFormat="false" ht="13.5" hidden="false" customHeight="true" outlineLevel="0" collapsed="false">
      <c r="B50" s="1" t="s">
        <v>935</v>
      </c>
      <c r="C50" s="1" t="n">
        <v>40</v>
      </c>
      <c r="D50" s="1" t="n">
        <v>0</v>
      </c>
      <c r="E50" s="1" t="n">
        <v>0</v>
      </c>
      <c r="F50" s="1" t="n">
        <v>12.3</v>
      </c>
    </row>
    <row r="51" customFormat="false" ht="13.5" hidden="false" customHeight="true" outlineLevel="0" collapsed="false">
      <c r="B51" s="1" t="s">
        <v>936</v>
      </c>
      <c r="C51" s="1" t="n">
        <v>24</v>
      </c>
      <c r="D51" s="1" t="n">
        <v>0</v>
      </c>
      <c r="E51" s="1" t="n">
        <v>0</v>
      </c>
      <c r="F51" s="1" t="n">
        <v>31</v>
      </c>
    </row>
    <row r="52" customFormat="false" ht="13.5" hidden="false" customHeight="true" outlineLevel="0" collapsed="false">
      <c r="B52" s="1" t="s">
        <v>937</v>
      </c>
      <c r="C52" s="1" t="n">
        <v>20</v>
      </c>
      <c r="D52" s="1" t="n">
        <v>0</v>
      </c>
      <c r="E52" s="1" t="n">
        <v>0</v>
      </c>
      <c r="F52" s="1" t="n">
        <v>34.8</v>
      </c>
    </row>
    <row r="53" customFormat="false" ht="13.5" hidden="false" customHeight="true" outlineLevel="0" collapsed="false">
      <c r="B53" s="1" t="s">
        <v>938</v>
      </c>
      <c r="C53" s="1" t="n">
        <v>0</v>
      </c>
      <c r="D53" s="1" t="n">
        <v>0.6</v>
      </c>
      <c r="E53" s="1" t="n">
        <v>0</v>
      </c>
      <c r="F53" s="1" t="n">
        <v>54.2</v>
      </c>
    </row>
    <row r="54" customFormat="false" ht="13.5" hidden="false" customHeight="true" outlineLevel="0" collapsed="false"/>
    <row r="55" customFormat="false" ht="13.5" hidden="false" customHeight="true" outlineLevel="0" collapsed="false">
      <c r="B55" s="1" t="s">
        <v>939</v>
      </c>
    </row>
    <row r="56" customFormat="false" ht="13.5" hidden="false" customHeight="true" outlineLevel="0" collapsed="false"/>
    <row r="57" customFormat="false" ht="13.5" hidden="false" customHeight="true" outlineLevel="0" collapsed="false"/>
    <row r="58" customFormat="false" ht="13.5" hidden="false" customHeight="true" outlineLevel="0" collapsed="false">
      <c r="B58" s="85" t="s">
        <v>940</v>
      </c>
    </row>
    <row r="59" customFormat="false" ht="13.5" hidden="false" customHeight="true" outlineLevel="0" collapsed="false">
      <c r="B59" s="85" t="s">
        <v>929</v>
      </c>
      <c r="C59" s="85" t="s">
        <v>870</v>
      </c>
      <c r="D59" s="85" t="s">
        <v>871</v>
      </c>
      <c r="E59" s="85" t="s">
        <v>872</v>
      </c>
      <c r="F59" s="85" t="s">
        <v>873</v>
      </c>
    </row>
    <row r="60" customFormat="false" ht="13.5" hidden="false" customHeight="true" outlineLevel="0" collapsed="false">
      <c r="B60" s="1" t="s">
        <v>941</v>
      </c>
      <c r="C60" s="1" t="n">
        <v>67</v>
      </c>
      <c r="D60" s="1" t="n">
        <v>0</v>
      </c>
      <c r="E60" s="1" t="n">
        <v>39</v>
      </c>
      <c r="F60" s="1" t="n">
        <v>0</v>
      </c>
    </row>
    <row r="61" customFormat="false" ht="13.5" hidden="false" customHeight="true" outlineLevel="0" collapsed="false">
      <c r="B61" s="1" t="s">
        <v>942</v>
      </c>
      <c r="C61" s="1" t="n">
        <v>52</v>
      </c>
      <c r="D61" s="1" t="n">
        <v>0</v>
      </c>
      <c r="E61" s="1" t="n">
        <v>14</v>
      </c>
      <c r="F61" s="1" t="n">
        <v>0</v>
      </c>
    </row>
    <row r="62" customFormat="false" ht="13.5" hidden="false" customHeight="true" outlineLevel="0" collapsed="false">
      <c r="B62" s="1" t="s">
        <v>943</v>
      </c>
      <c r="C62" s="1" t="n">
        <v>62.5</v>
      </c>
      <c r="D62" s="1" t="n">
        <v>0</v>
      </c>
      <c r="E62" s="1" t="n">
        <v>4.8</v>
      </c>
      <c r="F62" s="1" t="n">
        <v>0</v>
      </c>
    </row>
    <row r="63" customFormat="false" ht="13.5" hidden="false" customHeight="true" outlineLevel="0" collapsed="false"/>
    <row r="64" customFormat="false" ht="13.5" hidden="false" customHeight="true" outlineLevel="0" collapsed="false">
      <c r="B64" s="1" t="s">
        <v>944</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M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35.76"/>
    <col collapsed="false" customWidth="true" hidden="false" outlineLevel="0" max="3" min="3" style="1" width="26.56"/>
    <col collapsed="false" customWidth="true" hidden="false" outlineLevel="0" max="13" min="4" style="1" width="9.7"/>
  </cols>
  <sheetData>
    <row r="1" customFormat="false" ht="13.5" hidden="false" customHeight="true" outlineLevel="0" collapsed="false"/>
    <row r="2" customFormat="false" ht="17.25" hidden="false" customHeight="true" outlineLevel="0" collapsed="false">
      <c r="B2" s="114" t="s">
        <v>945</v>
      </c>
    </row>
    <row r="3" customFormat="false" ht="13.5" hidden="false" customHeight="true" outlineLevel="0" collapsed="false">
      <c r="B3" s="1" t="s">
        <v>946</v>
      </c>
    </row>
    <row r="4" customFormat="false" ht="13.5" hidden="false" customHeight="true" outlineLevel="0" collapsed="false"/>
    <row r="5" customFormat="false" ht="68.25" hidden="false" customHeight="true" outlineLevel="0" collapsed="false">
      <c r="B5" s="122" t="s">
        <v>929</v>
      </c>
      <c r="C5" s="122" t="s">
        <v>947</v>
      </c>
      <c r="D5" s="122" t="s">
        <v>870</v>
      </c>
      <c r="E5" s="122" t="s">
        <v>871</v>
      </c>
      <c r="F5" s="122" t="s">
        <v>948</v>
      </c>
      <c r="G5" s="122" t="s">
        <v>949</v>
      </c>
      <c r="H5" s="122" t="s">
        <v>950</v>
      </c>
      <c r="I5" s="122" t="s">
        <v>872</v>
      </c>
      <c r="J5" s="122" t="s">
        <v>873</v>
      </c>
      <c r="K5" s="122" t="s">
        <v>951</v>
      </c>
      <c r="L5" s="122" t="s">
        <v>952</v>
      </c>
      <c r="M5" s="122" t="s">
        <v>953</v>
      </c>
    </row>
    <row r="6" customFormat="false" ht="13.5" hidden="false" customHeight="true" outlineLevel="0" collapsed="false">
      <c r="B6" s="1" t="s">
        <v>954</v>
      </c>
      <c r="C6" s="1" t="s">
        <v>955</v>
      </c>
      <c r="D6" s="1" t="n">
        <v>62</v>
      </c>
      <c r="E6" s="1" t="n">
        <v>0</v>
      </c>
      <c r="F6" s="1" t="n">
        <v>100.5</v>
      </c>
      <c r="G6" s="1" t="n">
        <v>0</v>
      </c>
      <c r="H6" s="1" t="n">
        <v>-167.3</v>
      </c>
      <c r="I6" s="1" t="n">
        <v>41</v>
      </c>
      <c r="J6" s="1" t="n">
        <v>0</v>
      </c>
      <c r="K6" s="1" t="n">
        <v>99.8</v>
      </c>
      <c r="L6" s="1" t="n">
        <v>8</v>
      </c>
      <c r="M6" s="1" t="n">
        <v>-197.1</v>
      </c>
    </row>
    <row r="7" customFormat="false" ht="13.5" hidden="false" customHeight="true" outlineLevel="0" collapsed="false">
      <c r="B7" s="1" t="s">
        <v>956</v>
      </c>
      <c r="C7" s="1" t="s">
        <v>957</v>
      </c>
      <c r="D7" s="1" t="n">
        <v>31.1</v>
      </c>
      <c r="E7" s="1" t="n">
        <v>0</v>
      </c>
      <c r="F7" s="1" t="n">
        <v>93.6</v>
      </c>
      <c r="G7" s="1" t="n">
        <v>8</v>
      </c>
      <c r="H7" s="1" t="n">
        <v>-192.9</v>
      </c>
      <c r="I7" s="1" t="n">
        <v>7.5</v>
      </c>
      <c r="J7" s="1" t="n">
        <v>0</v>
      </c>
      <c r="K7" s="1" t="n">
        <v>86</v>
      </c>
      <c r="L7" s="1" t="n">
        <v>12</v>
      </c>
      <c r="M7" s="1" t="n">
        <v>-200.8</v>
      </c>
    </row>
    <row r="8" customFormat="false" ht="13.5" hidden="false" customHeight="true" outlineLevel="0" collapsed="false">
      <c r="B8" s="1" t="s">
        <v>958</v>
      </c>
      <c r="C8" s="1" t="s">
        <v>959</v>
      </c>
      <c r="D8" s="1" t="n">
        <v>97.1</v>
      </c>
      <c r="E8" s="1" t="n">
        <v>0</v>
      </c>
      <c r="F8" s="1" t="n">
        <v>91.5</v>
      </c>
      <c r="G8" s="1" t="n">
        <v>0</v>
      </c>
      <c r="H8" s="1" t="n">
        <v>-158.2</v>
      </c>
      <c r="I8" s="1" t="n">
        <v>54.2</v>
      </c>
      <c r="J8" s="1" t="n">
        <v>0</v>
      </c>
      <c r="K8" s="1" t="n">
        <v>97.7</v>
      </c>
      <c r="L8" s="1" t="n">
        <v>0</v>
      </c>
      <c r="M8" s="1" t="n">
        <v>-174.1</v>
      </c>
    </row>
    <row r="9" customFormat="false" ht="13.5" hidden="false" customHeight="true" outlineLevel="0" collapsed="false">
      <c r="B9" s="1" t="s">
        <v>960</v>
      </c>
      <c r="C9" s="1" t="s">
        <v>961</v>
      </c>
      <c r="D9" s="1" t="n">
        <v>59.8</v>
      </c>
      <c r="E9" s="1" t="n">
        <v>0</v>
      </c>
      <c r="F9" s="1" t="n">
        <v>108.6</v>
      </c>
      <c r="G9" s="1" t="n">
        <v>0</v>
      </c>
      <c r="H9" s="1" t="n">
        <v>-200.2</v>
      </c>
      <c r="I9" s="1" t="n">
        <v>9.2</v>
      </c>
      <c r="J9" s="1" t="n">
        <v>0</v>
      </c>
      <c r="K9" s="1" t="n">
        <v>92.1</v>
      </c>
      <c r="L9" s="1" t="n">
        <v>15</v>
      </c>
      <c r="M9" s="1" t="n">
        <v>-204.4</v>
      </c>
    </row>
    <row r="10" customFormat="false" ht="13.5" hidden="false" customHeight="true" outlineLevel="0" collapsed="false">
      <c r="B10" s="1" t="s">
        <v>962</v>
      </c>
      <c r="C10" s="1" t="s">
        <v>963</v>
      </c>
      <c r="D10" s="1" t="n">
        <v>38.4</v>
      </c>
      <c r="E10" s="1" t="n">
        <v>0</v>
      </c>
      <c r="F10" s="1" t="n">
        <v>101.3</v>
      </c>
      <c r="G10" s="1" t="n">
        <v>9</v>
      </c>
      <c r="H10" s="1" t="n">
        <v>-192.7</v>
      </c>
      <c r="I10" s="1" t="n">
        <v>0</v>
      </c>
      <c r="J10" s="1" t="n">
        <v>10.9</v>
      </c>
      <c r="K10" s="1" t="n">
        <v>86.2</v>
      </c>
      <c r="L10" s="1" t="n">
        <v>15</v>
      </c>
      <c r="M10" s="1" t="n">
        <v>-211.5</v>
      </c>
    </row>
    <row r="11" customFormat="false" ht="13.5" hidden="false" customHeight="true" outlineLevel="0" collapsed="false">
      <c r="B11" s="1" t="s">
        <v>964</v>
      </c>
      <c r="C11" s="1" t="s">
        <v>965</v>
      </c>
      <c r="D11" s="1" t="n">
        <v>25.2</v>
      </c>
      <c r="E11" s="1" t="n">
        <v>0</v>
      </c>
      <c r="F11" s="1" t="n">
        <v>98.3</v>
      </c>
      <c r="G11" s="1" t="n">
        <v>12</v>
      </c>
      <c r="H11" s="1" t="n">
        <v>-198.5</v>
      </c>
      <c r="I11" s="1" t="n">
        <v>0</v>
      </c>
      <c r="J11" s="1" t="n">
        <v>27.5</v>
      </c>
      <c r="K11" s="1" t="n">
        <v>84.4</v>
      </c>
      <c r="L11" s="1" t="n">
        <v>16</v>
      </c>
      <c r="M11" s="1" t="n">
        <v>-230.4</v>
      </c>
    </row>
    <row r="12" customFormat="false" ht="13.5" hidden="false" customHeight="true" outlineLevel="0" collapsed="false">
      <c r="B12" s="1" t="s">
        <v>966</v>
      </c>
      <c r="C12" s="1" t="s">
        <v>967</v>
      </c>
      <c r="D12" s="1" t="n">
        <v>56.6</v>
      </c>
      <c r="E12" s="1" t="n">
        <v>0</v>
      </c>
      <c r="F12" s="1" t="n">
        <v>104</v>
      </c>
      <c r="G12" s="1" t="n">
        <v>0</v>
      </c>
      <c r="H12" s="1" t="n">
        <v>-187.9</v>
      </c>
      <c r="I12" s="1" t="n">
        <v>9.9</v>
      </c>
      <c r="J12" s="1" t="n">
        <v>0</v>
      </c>
      <c r="K12" s="1" t="n">
        <v>89.3</v>
      </c>
      <c r="L12" s="1" t="n">
        <v>13</v>
      </c>
      <c r="M12" s="1" t="n">
        <v>-199.7</v>
      </c>
    </row>
    <row r="13" customFormat="false" ht="13.5" hidden="false" customHeight="true" outlineLevel="0" collapsed="false">
      <c r="B13" s="1" t="s">
        <v>968</v>
      </c>
      <c r="C13" s="1" t="s">
        <v>969</v>
      </c>
      <c r="D13" s="1" t="n">
        <v>52.4</v>
      </c>
      <c r="E13" s="1" t="n">
        <v>0</v>
      </c>
      <c r="F13" s="1" t="n">
        <v>86.2</v>
      </c>
      <c r="G13" s="1" t="n">
        <v>0</v>
      </c>
      <c r="H13" s="1" t="n">
        <v>-158.2</v>
      </c>
      <c r="I13" s="1" t="n">
        <v>0</v>
      </c>
      <c r="J13" s="1" t="n">
        <v>3.3</v>
      </c>
      <c r="K13" s="1" t="n">
        <v>70.8</v>
      </c>
      <c r="L13" s="1" t="n">
        <v>10</v>
      </c>
      <c r="M13" s="1" t="n">
        <v>-162.1</v>
      </c>
    </row>
    <row r="14" customFormat="false" ht="13.5" hidden="false" customHeight="true" outlineLevel="0" collapsed="false">
      <c r="B14" s="1" t="s">
        <v>970</v>
      </c>
      <c r="C14" s="1" t="s">
        <v>971</v>
      </c>
      <c r="D14" s="1" t="n">
        <v>76.5</v>
      </c>
      <c r="E14" s="1" t="n">
        <v>0</v>
      </c>
      <c r="F14" s="1" t="n">
        <v>111.3</v>
      </c>
      <c r="G14" s="1" t="n">
        <v>0</v>
      </c>
      <c r="H14" s="1" t="n">
        <v>-191</v>
      </c>
      <c r="I14" s="1" t="n">
        <v>27.5</v>
      </c>
      <c r="J14" s="1" t="n">
        <v>0</v>
      </c>
      <c r="K14" s="1" t="n">
        <v>97.6</v>
      </c>
      <c r="L14" s="1" t="n">
        <v>14</v>
      </c>
      <c r="M14" s="1" t="n">
        <v>-198.4</v>
      </c>
    </row>
    <row r="15" customFormat="false" ht="13.5" hidden="false" customHeight="true" outlineLevel="0" collapsed="false">
      <c r="B15" s="1" t="s">
        <v>972</v>
      </c>
      <c r="C15" s="1" t="s">
        <v>973</v>
      </c>
      <c r="D15" s="1" t="n">
        <v>64.2</v>
      </c>
      <c r="E15" s="1" t="n">
        <v>0</v>
      </c>
      <c r="F15" s="1" t="n">
        <v>109.3</v>
      </c>
      <c r="G15" s="1" t="n">
        <v>0</v>
      </c>
      <c r="H15" s="1" t="n">
        <v>-188.3</v>
      </c>
      <c r="I15" s="1" t="n">
        <v>0</v>
      </c>
      <c r="J15" s="1" t="n">
        <v>0</v>
      </c>
      <c r="K15" s="1" t="n">
        <v>88.8</v>
      </c>
      <c r="L15" s="1" t="n">
        <v>19</v>
      </c>
      <c r="M15" s="1" t="n">
        <v>-189.1</v>
      </c>
    </row>
    <row r="16" customFormat="false" ht="13.5" hidden="false" customHeight="true" outlineLevel="0" collapsed="false">
      <c r="B16" s="1" t="s">
        <v>974</v>
      </c>
      <c r="C16" s="1" t="s">
        <v>975</v>
      </c>
      <c r="D16" s="1" t="n">
        <v>0</v>
      </c>
      <c r="E16" s="1" t="n">
        <v>33.4</v>
      </c>
      <c r="F16" s="1" t="n">
        <v>80.8</v>
      </c>
      <c r="G16" s="1" t="n">
        <v>17</v>
      </c>
      <c r="H16" s="1" t="n">
        <v>-245.5</v>
      </c>
      <c r="I16" s="1" t="n">
        <v>0</v>
      </c>
      <c r="J16" s="1" t="n">
        <v>66.6</v>
      </c>
      <c r="K16" s="1" t="n">
        <v>74.9</v>
      </c>
      <c r="L16" s="1" t="n">
        <v>17</v>
      </c>
      <c r="M16" s="1" t="n">
        <v>-275</v>
      </c>
    </row>
    <row r="17" customFormat="false" ht="13.5" hidden="false" customHeight="true" outlineLevel="0" collapsed="false">
      <c r="B17" s="1" t="s">
        <v>976</v>
      </c>
      <c r="C17" s="1" t="s">
        <v>977</v>
      </c>
      <c r="D17" s="1" t="n">
        <v>0</v>
      </c>
      <c r="E17" s="1" t="n">
        <v>92.5</v>
      </c>
      <c r="F17" s="1" t="n">
        <v>59.3</v>
      </c>
      <c r="G17" s="1" t="n">
        <v>18</v>
      </c>
      <c r="H17" s="1" t="n">
        <v>-247.6</v>
      </c>
      <c r="I17" s="1" t="n">
        <v>0</v>
      </c>
      <c r="J17" s="1" t="n">
        <v>118.7</v>
      </c>
      <c r="K17" s="1" t="n">
        <v>54.3</v>
      </c>
      <c r="L17" s="1" t="n">
        <v>18</v>
      </c>
      <c r="M17" s="1" t="n">
        <v>-275.3</v>
      </c>
    </row>
    <row r="18" customFormat="false" ht="13.5" hidden="false" customHeight="true" outlineLevel="0" collapsed="false"/>
    <row r="19" customFormat="false" ht="13.5" hidden="false" customHeight="true" outlineLevel="0" collapsed="false">
      <c r="B19" s="1" t="s">
        <v>978</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M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cols>
    <col collapsed="false" customWidth="true" hidden="false" outlineLevel="0" max="1" min="1" style="1" width="2.04"/>
    <col collapsed="false" customWidth="true" hidden="false" outlineLevel="0" max="2" min="2" style="1" width="35.76"/>
    <col collapsed="false" customWidth="true" hidden="false" outlineLevel="0" max="3" min="3" style="1" width="26.56"/>
    <col collapsed="false" customWidth="true" hidden="false" outlineLevel="0" max="13" min="4" style="1" width="9.7"/>
  </cols>
  <sheetData>
    <row r="1" customFormat="false" ht="13.5" hidden="false" customHeight="true" outlineLevel="0" collapsed="false"/>
    <row r="2" customFormat="false" ht="17.25" hidden="false" customHeight="true" outlineLevel="0" collapsed="false">
      <c r="B2" s="114" t="s">
        <v>979</v>
      </c>
    </row>
    <row r="3" customFormat="false" ht="13.5" hidden="false" customHeight="true" outlineLevel="0" collapsed="false">
      <c r="B3" s="1" t="s">
        <v>980</v>
      </c>
    </row>
    <row r="4" customFormat="false" ht="13.5" hidden="false" customHeight="true" outlineLevel="0" collapsed="false"/>
    <row r="5" customFormat="false" ht="68.25" hidden="false" customHeight="true" outlineLevel="0" collapsed="false">
      <c r="B5" s="122" t="s">
        <v>929</v>
      </c>
      <c r="C5" s="122" t="s">
        <v>947</v>
      </c>
      <c r="D5" s="122" t="s">
        <v>870</v>
      </c>
      <c r="E5" s="122" t="s">
        <v>871</v>
      </c>
      <c r="F5" s="122" t="s">
        <v>948</v>
      </c>
      <c r="G5" s="122" t="s">
        <v>949</v>
      </c>
      <c r="H5" s="122" t="s">
        <v>950</v>
      </c>
      <c r="I5" s="122" t="s">
        <v>872</v>
      </c>
      <c r="J5" s="122" t="s">
        <v>873</v>
      </c>
      <c r="K5" s="122" t="s">
        <v>951</v>
      </c>
      <c r="L5" s="122" t="s">
        <v>952</v>
      </c>
      <c r="M5" s="122" t="s">
        <v>953</v>
      </c>
    </row>
    <row r="6" customFormat="false" ht="13.5" hidden="false" customHeight="true" outlineLevel="0" collapsed="false">
      <c r="B6" s="1" t="s">
        <v>981</v>
      </c>
      <c r="C6" s="1" t="s">
        <v>955</v>
      </c>
      <c r="D6" s="1" t="n">
        <v>62</v>
      </c>
      <c r="E6" s="1" t="n">
        <v>0</v>
      </c>
      <c r="F6" s="1" t="n">
        <v>100.5</v>
      </c>
      <c r="G6" s="1" t="n">
        <v>0</v>
      </c>
      <c r="H6" s="1" t="n">
        <v>-167.3</v>
      </c>
      <c r="I6" s="1" t="n">
        <v>41</v>
      </c>
      <c r="J6" s="1" t="n">
        <v>0</v>
      </c>
      <c r="K6" s="1" t="n">
        <v>99.8</v>
      </c>
      <c r="L6" s="1" t="n">
        <v>8</v>
      </c>
      <c r="M6" s="1" t="n">
        <v>-197.1</v>
      </c>
    </row>
    <row r="7" customFormat="false" ht="13.5" hidden="false" customHeight="true" outlineLevel="0" collapsed="false">
      <c r="B7" s="1" t="s">
        <v>982</v>
      </c>
      <c r="C7" s="1" t="s">
        <v>983</v>
      </c>
      <c r="D7" s="1" t="n">
        <v>62</v>
      </c>
      <c r="E7" s="1" t="n">
        <v>0</v>
      </c>
      <c r="F7" s="1" t="n">
        <v>100.5</v>
      </c>
      <c r="G7" s="1" t="n">
        <v>0</v>
      </c>
      <c r="H7" s="1" t="n">
        <v>-167.3</v>
      </c>
      <c r="I7" s="1" t="n">
        <v>41</v>
      </c>
      <c r="J7" s="1" t="n">
        <v>0</v>
      </c>
      <c r="K7" s="1" t="n">
        <v>99.8</v>
      </c>
      <c r="L7" s="1" t="n">
        <v>8</v>
      </c>
      <c r="M7" s="1" t="n">
        <v>-197.1</v>
      </c>
    </row>
    <row r="8" customFormat="false" ht="13.5" hidden="false" customHeight="true" outlineLevel="0" collapsed="false">
      <c r="B8" s="1" t="s">
        <v>984</v>
      </c>
      <c r="C8" s="1" t="s">
        <v>985</v>
      </c>
      <c r="D8" s="1" t="n">
        <v>62</v>
      </c>
      <c r="E8" s="1" t="n">
        <v>0</v>
      </c>
      <c r="F8" s="1" t="n">
        <v>100.5</v>
      </c>
      <c r="G8" s="1" t="n">
        <v>0</v>
      </c>
      <c r="H8" s="1" t="n">
        <v>-167.3</v>
      </c>
      <c r="I8" s="1" t="n">
        <v>41</v>
      </c>
      <c r="J8" s="1" t="n">
        <v>0</v>
      </c>
      <c r="K8" s="1" t="n">
        <v>99.8</v>
      </c>
      <c r="L8" s="1" t="n">
        <v>8</v>
      </c>
      <c r="M8" s="1" t="n">
        <v>-197.1</v>
      </c>
    </row>
    <row r="9" customFormat="false" ht="13.5" hidden="false" customHeight="true" outlineLevel="0" collapsed="false">
      <c r="B9" s="1" t="s">
        <v>986</v>
      </c>
      <c r="C9" s="1" t="s">
        <v>987</v>
      </c>
      <c r="D9" s="1" t="n">
        <v>115.7</v>
      </c>
      <c r="E9" s="1" t="n">
        <v>0</v>
      </c>
      <c r="F9" s="1" t="n">
        <v>115.2</v>
      </c>
      <c r="G9" s="1" t="n">
        <v>0</v>
      </c>
      <c r="H9" s="1" t="n">
        <v>-203.1</v>
      </c>
      <c r="I9" s="1" t="n">
        <v>86</v>
      </c>
      <c r="J9" s="1" t="n">
        <v>0</v>
      </c>
      <c r="K9" s="1" t="n">
        <v>107.1</v>
      </c>
      <c r="L9" s="1" t="n">
        <v>0</v>
      </c>
      <c r="M9" s="1" t="n">
        <v>-222.9</v>
      </c>
    </row>
    <row r="10" customFormat="false" ht="13.5" hidden="false" customHeight="true" outlineLevel="0" collapsed="false">
      <c r="B10" s="1" t="s">
        <v>988</v>
      </c>
      <c r="C10" s="1" t="s">
        <v>989</v>
      </c>
      <c r="D10" s="1" t="n">
        <v>65.3</v>
      </c>
      <c r="E10" s="1" t="n">
        <v>0</v>
      </c>
      <c r="F10" s="1" t="n">
        <v>101.1</v>
      </c>
      <c r="G10" s="1" t="n">
        <v>0</v>
      </c>
      <c r="H10" s="1" t="n">
        <v>-167.5</v>
      </c>
      <c r="I10" s="1" t="n">
        <v>39.2</v>
      </c>
      <c r="J10" s="1" t="n">
        <v>0</v>
      </c>
      <c r="K10" s="1" t="n">
        <v>99.6</v>
      </c>
      <c r="L10" s="1" t="n">
        <v>8</v>
      </c>
      <c r="M10" s="1" t="n">
        <v>-193.6</v>
      </c>
    </row>
    <row r="11" customFormat="false" ht="13.5" hidden="false" customHeight="true" outlineLevel="0" collapsed="false">
      <c r="B11" s="1" t="s">
        <v>990</v>
      </c>
      <c r="C11" s="1" t="s">
        <v>991</v>
      </c>
      <c r="D11" s="1" t="n">
        <v>62.5</v>
      </c>
      <c r="E11" s="1" t="n">
        <v>0</v>
      </c>
      <c r="F11" s="1" t="n">
        <v>102.6</v>
      </c>
      <c r="G11" s="1" t="n">
        <v>0</v>
      </c>
      <c r="H11" s="1" t="n">
        <v>-170.1</v>
      </c>
      <c r="I11" s="1" t="n">
        <v>37.3</v>
      </c>
      <c r="J11" s="1" t="n">
        <v>0</v>
      </c>
      <c r="K11" s="1" t="n">
        <v>99.1</v>
      </c>
      <c r="L11" s="1" t="n">
        <v>9</v>
      </c>
      <c r="M11" s="1" t="n">
        <v>-197</v>
      </c>
    </row>
    <row r="12" customFormat="false" ht="13.5" hidden="false" customHeight="true" outlineLevel="0" collapsed="false">
      <c r="B12" s="1" t="s">
        <v>992</v>
      </c>
      <c r="C12" s="1" t="s">
        <v>993</v>
      </c>
      <c r="D12" s="1" t="n">
        <v>79.3</v>
      </c>
      <c r="E12" s="1" t="n">
        <v>0</v>
      </c>
      <c r="F12" s="1" t="n">
        <v>92.1</v>
      </c>
      <c r="G12" s="1" t="n">
        <v>0</v>
      </c>
      <c r="H12" s="1" t="n">
        <v>-160.4</v>
      </c>
      <c r="I12" s="1" t="n">
        <v>65.4</v>
      </c>
      <c r="J12" s="1" t="n">
        <v>0</v>
      </c>
      <c r="K12" s="1" t="n">
        <v>107.7</v>
      </c>
      <c r="L12" s="1" t="n">
        <v>0</v>
      </c>
      <c r="M12" s="1" t="n">
        <v>-195.6</v>
      </c>
    </row>
    <row r="13" customFormat="false" ht="13.5" hidden="false" customHeight="true" outlineLevel="0" collapsed="false">
      <c r="B13" s="1" t="s">
        <v>994</v>
      </c>
      <c r="C13" s="1" t="s">
        <v>995</v>
      </c>
      <c r="D13" s="1" t="n">
        <v>112.6</v>
      </c>
      <c r="E13" s="1" t="n">
        <v>0</v>
      </c>
      <c r="F13" s="1" t="n">
        <v>147.1</v>
      </c>
      <c r="G13" s="1" t="n">
        <v>0</v>
      </c>
      <c r="H13" s="1" t="n">
        <v>-171</v>
      </c>
      <c r="I13" s="1" t="n">
        <v>108.4</v>
      </c>
      <c r="J13" s="1" t="n">
        <v>0</v>
      </c>
      <c r="K13" s="1" t="n">
        <v>125.7</v>
      </c>
      <c r="L13" s="1" t="n">
        <v>0</v>
      </c>
      <c r="M13" s="1" t="n">
        <v>-171.6</v>
      </c>
    </row>
    <row r="14" customFormat="false" ht="13.5" hidden="false" customHeight="true" outlineLevel="0" collapsed="false"/>
    <row r="15" customFormat="false" ht="13.5" hidden="false" customHeight="true" outlineLevel="0" collapsed="false">
      <c r="B15" s="1" t="s">
        <v>996</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997</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187.652339662692</v>
      </c>
      <c r="M72" s="116" t="n">
        <f aca="false">IF($C$173="Sí",(M83-M326)+M181,$C$15*L83)</f>
        <v>201.492878723063</v>
      </c>
      <c r="N72" s="116" t="n">
        <f aca="false">IF($C$173="Sí",(N83-N326)+N181,$C$15*M83)</f>
        <v>206.829277243367</v>
      </c>
      <c r="O72" s="116" t="n">
        <f aca="false">IF($C$173="Sí",(O83-O326)+O181,$C$15*N83)</f>
        <v>212.558232271394</v>
      </c>
      <c r="P72" s="116" t="n">
        <f aca="false">IF($C$173="Sí",(P83-P326)+P181,$C$15*O83)</f>
        <v>217.630537405409</v>
      </c>
      <c r="Q72" s="116" t="n">
        <f aca="false">IF($C$173="Sí",(Q83-Q326)+Q181,$C$15*P83)</f>
        <v>222.629726854445</v>
      </c>
      <c r="R72" s="116" t="n">
        <f aca="false">IF($C$173="Sí",(R83-R326)+R181,$C$15*Q83)</f>
        <v>227.748809972758</v>
      </c>
      <c r="S72" s="116" t="n">
        <f aca="false">IF($C$173="Sí",(S83-S326)+S181,$C$15*R83)</f>
        <v>232.98489610812</v>
      </c>
      <c r="T72" s="116" t="n">
        <f aca="false">IF($C$173="Sí",(T83-T326)+T181,$C$15*S83)</f>
        <v>238.341019354479</v>
      </c>
      <c r="U72" s="116" t="n">
        <f aca="false">IF($C$173="Sí",(U83-U326)+U181,$C$15*T83)</f>
        <v>243.819986216626</v>
      </c>
      <c r="V72" s="116" t="n">
        <f aca="false">IF($C$173="Sí",(V83-V326)+V181,$C$15*U83)</f>
        <v>249.424652261082</v>
      </c>
      <c r="W72" s="116" t="n">
        <f aca="false">IF($C$173="Sí",(W83-W326)+W181,$C$15*V83)</f>
        <v>255.156730508175</v>
      </c>
      <c r="X72" s="116" t="n">
        <f aca="false">IF($C$173="Sí",(X83-X326)+X181,$C$15*W83)</f>
        <v>261.019778087828</v>
      </c>
      <c r="Y72" s="116" t="n">
        <f aca="false">IF($C$173="Sí",(Y83-Y326)+Y181,$C$15*X83)</f>
        <v>267.017177200432</v>
      </c>
      <c r="Z72" s="116" t="n">
        <f aca="false">IF($C$173="Sí",(Z83-Z326)+Z181,$C$15*Y83)</f>
        <v>273.152056277433</v>
      </c>
      <c r="AA72" s="116" t="n">
        <f aca="false">IF($C$173="Sí",(AA83-AA326)+AA181,$C$15*Z83)</f>
        <v>279.427615184108</v>
      </c>
      <c r="AB72" s="116" t="n">
        <f aca="false">IF($C$173="Sí",(AB83-AB326)+AB181,$C$15*AA83)</f>
        <v>285.847153400369</v>
      </c>
      <c r="AC72" s="116" t="n">
        <f aca="false">IF($C$173="Sí",(AC83-AC326)+AC181,$C$15*AB83)</f>
        <v>292.414032621873</v>
      </c>
      <c r="AD72" s="116" t="n">
        <f aca="false">IF($C$173="Sí",(AD83-AD326)+AD181,$C$15*AC83)</f>
        <v>299.131684022107</v>
      </c>
      <c r="AE72" s="116" t="n">
        <f aca="false">IF($C$173="Sí",(AE83-AE326)+AE181,$C$15*AD83)</f>
        <v>306.003617221235</v>
      </c>
      <c r="AF72" s="116" t="n">
        <f aca="false">IF($C$173="Sí",(AF83-AF326)+AF181,$C$15*AE83)</f>
        <v>313.033422132787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16.5683017846898</v>
      </c>
      <c r="M73" s="116" t="n">
        <f aca="false">M72-L72</f>
        <v>13.8405390603706</v>
      </c>
      <c r="N73" s="116" t="n">
        <f aca="false">N72-M72</f>
        <v>5.33639852030359</v>
      </c>
      <c r="O73" s="116" t="n">
        <f aca="false">O72-N72</f>
        <v>5.72895502802786</v>
      </c>
      <c r="P73" s="116" t="n">
        <f aca="false">P72-O72</f>
        <v>5.07230513401447</v>
      </c>
      <c r="Q73" s="116" t="n">
        <f aca="false">Q72-P72</f>
        <v>4.99918944903638</v>
      </c>
      <c r="R73" s="116" t="n">
        <f aca="false">R72-Q72</f>
        <v>5.11908311831263</v>
      </c>
      <c r="S73" s="116" t="n">
        <f aca="false">S72-R72</f>
        <v>5.23608613536189</v>
      </c>
      <c r="T73" s="116" t="n">
        <f aca="false">T72-S72</f>
        <v>5.35612324635949</v>
      </c>
      <c r="U73" s="116" t="n">
        <f aca="false">U72-T72</f>
        <v>5.47896686214676</v>
      </c>
      <c r="V73" s="116" t="n">
        <f aca="false">V72-U72</f>
        <v>5.60466604445588</v>
      </c>
      <c r="W73" s="116" t="n">
        <f aca="false">W72-V72</f>
        <v>5.73207824709357</v>
      </c>
      <c r="X73" s="116" t="n">
        <f aca="false">X72-W72</f>
        <v>5.86304757965274</v>
      </c>
      <c r="Y73" s="116" t="n">
        <f aca="false">Y72-X72</f>
        <v>5.99739911260372</v>
      </c>
      <c r="Z73" s="116" t="n">
        <f aca="false">Z72-Y72</f>
        <v>6.1348790770013</v>
      </c>
      <c r="AA73" s="116" t="n">
        <f aca="false">AA72-Z72</f>
        <v>6.27555890667492</v>
      </c>
      <c r="AB73" s="116" t="n">
        <f aca="false">AB72-AA72</f>
        <v>6.41953821626134</v>
      </c>
      <c r="AC73" s="116" t="n">
        <f aca="false">AC72-AB72</f>
        <v>6.56687922150366</v>
      </c>
      <c r="AD73" s="116" t="n">
        <f aca="false">AD72-AC72</f>
        <v>6.71765140023371</v>
      </c>
      <c r="AE73" s="116" t="n">
        <f aca="false">AE72-AD72</f>
        <v>6.87193319912768</v>
      </c>
      <c r="AF73" s="116" t="n">
        <f aca="false">AF72-AE72</f>
        <v>7.02980491155239</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17.4899578012604</v>
      </c>
      <c r="N75" s="116" t="n">
        <f aca="false">$C$19*M81</f>
        <v>18.1209795877884</v>
      </c>
      <c r="O75" s="116" t="n">
        <f aca="false">$C$19*N81</f>
        <v>18.7599215939701</v>
      </c>
      <c r="P75" s="116" t="n">
        <f aca="false">$C$19*O81</f>
        <v>19.3615464878371</v>
      </c>
      <c r="Q75" s="116" t="n">
        <f aca="false">$C$19*P81</f>
        <v>19.8370657350523</v>
      </c>
      <c r="R75" s="116" t="n">
        <f aca="false">$C$19*Q81</f>
        <v>20.3164351145265</v>
      </c>
      <c r="S75" s="116" t="n">
        <f aca="false">$C$19*R81</f>
        <v>20.7944793385244</v>
      </c>
      <c r="T75" s="116" t="n">
        <f aca="false">$C$19*S81</f>
        <v>21.2716476169449</v>
      </c>
      <c r="U75" s="116" t="n">
        <f aca="false">$C$19*T81</f>
        <v>21.7487123922229</v>
      </c>
      <c r="V75" s="116" t="n">
        <f aca="false">$C$19*U81</f>
        <v>22.2264306771067</v>
      </c>
      <c r="W75" s="116" t="n">
        <f aca="false">$C$19*V81</f>
        <v>22.7055557767465</v>
      </c>
      <c r="X75" s="116" t="n">
        <f aca="false">$C$19*W81</f>
        <v>23.1798958229713</v>
      </c>
      <c r="Y75" s="116" t="n">
        <f aca="false">$C$19*X81</f>
        <v>23.6502392094821</v>
      </c>
      <c r="Z75" s="116" t="n">
        <f aca="false">$C$19*Y81</f>
        <v>24.1173803325376</v>
      </c>
      <c r="AA75" s="116" t="n">
        <f aca="false">$C$19*Z81</f>
        <v>24.5821181742141</v>
      </c>
      <c r="AB75" s="116" t="n">
        <f aca="false">$C$19*AA81</f>
        <v>25.0452574970426</v>
      </c>
      <c r="AC75" s="116" t="n">
        <f aca="false">$C$19*AB81</f>
        <v>25.5077615864262</v>
      </c>
      <c r="AD75" s="116" t="n">
        <f aca="false">$C$19*AC81</f>
        <v>25.9705991788595</v>
      </c>
      <c r="AE75" s="116" t="n">
        <f aca="false">$C$19*AD81</f>
        <v>26.4347457450863</v>
      </c>
      <c r="AF75" s="116" t="n">
        <f aca="false">$C$19*AE81</f>
        <v>26.9011847959674</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649.988715964279</v>
      </c>
      <c r="F76" s="116" t="n">
        <f aca="false">(IF($C$173="Sí",(MAX(0,F74-E96)+MAX(0,E276+F53-F75))/F327,F73+MAX(0,F74-E96)+MAX(0,E276+F53-F75)))+IF($C$173="Sí",MAX(0,$C$226*(F70+E121)*0.3/0.55-E227)/F327,0)</f>
        <v>763.012780646039</v>
      </c>
      <c r="G76" s="116" t="n">
        <f aca="false">(IF($C$173="Sí",(MAX(0,G74-F96)+MAX(0,F276+G53-G75))/G327,G73+MAX(0,G74-F96)+MAX(0,F276+G53-G75)))+IF($C$173="Sí",MAX(0,$C$226*(G70+F121)*0.3/0.55-F227)/G327,0)</f>
        <v>16911.3142551436</v>
      </c>
      <c r="H76" s="116" t="n">
        <f aca="false">(IF($C$173="Sí",(MAX(0,H74-G96)+MAX(0,G276+H53-H75))/H327,H73+MAX(0,H74-G96)+MAX(0,G276+H53-H75)))+IF($C$173="Sí",MAX(0,$C$226*(H70+G121)*0.3/0.55-G227)/H327,0)</f>
        <v>840.812729426237</v>
      </c>
      <c r="I76" s="116" t="n">
        <f aca="false">(IF($C$173="Sí",(MAX(0,I74-H96)+MAX(0,H276+I53-I75))/I327,I73+MAX(0,I74-H96)+MAX(0,H276+I53-I75)))+IF($C$173="Sí",MAX(0,$C$226*(I70+H121)*0.3/0.55-H227)/I327,0)</f>
        <v>915.917464721825</v>
      </c>
      <c r="J76" s="116" t="n">
        <f aca="false">(IF($C$173="Sí",(MAX(0,J74-I96)+MAX(0,I276+J53-J75))/J327,J73+MAX(0,J74-I96)+MAX(0,I276+J53-J75)))+IF($C$173="Sí",MAX(0,$C$226*(J70+I121)*0.3/0.55-I227)/J327,0)</f>
        <v>1008.16606044506</v>
      </c>
      <c r="K76" s="116" t="n">
        <f aca="false">(IF($C$173="Sí",(MAX(0,K74-J96)+MAX(0,J276+K53-K75))/K327,K73+MAX(0,K74-J96)+MAX(0,J276+K53-K75)))+IF($C$173="Sí",MAX(0,$C$226*(K70+J121)*0.3/0.55-J227)/K327,0)</f>
        <v>1111.68683636638</v>
      </c>
      <c r="L76" s="116" t="n">
        <f aca="false">(IF($C$173="Sí",(MAX(0,L74-K96)+MAX(0,K276+L53-L75))/L327,L73+MAX(0,L74-K96)+MAX(0,K276+L53-L75)))+IF($C$173="Sí",MAX(0,$C$226*(L70+K121)*0.3/0.55-K227)/L327,0)</f>
        <v>1225.26134695679</v>
      </c>
      <c r="M76" s="116" t="n">
        <f aca="false">(IF($C$173="Sí",(MAX(0,M74-L96)+MAX(0,L276+M53-M75))/M327,M73+MAX(0,M74-L96)+MAX(0,L276+M53-M75)))+IF($C$173="Sí",MAX(0,$C$226*(M70+L121)*0.3/0.55-L227)/M327,0)</f>
        <v>1157.43725141181</v>
      </c>
      <c r="N76" s="116" t="n">
        <f aca="false">(IF($C$173="Sí",(MAX(0,N74-M96)+MAX(0,M276+N53-N75))/N327,N73+MAX(0,N74-M96)+MAX(0,M276+N53-N75)))+IF($C$173="Sí",MAX(0,$C$226*(N70+M121)*0.3/0.55-M227)/N327,0)</f>
        <v>965.716847691652</v>
      </c>
      <c r="O76" s="116" t="n">
        <f aca="false">(IF($C$173="Sí",(MAX(0,O74-N96)+MAX(0,N276+O53-O75))/O327,O73+MAX(0,O74-N96)+MAX(0,N276+O53-O75)))+IF($C$173="Sí",MAX(0,$C$226*(O70+N121)*0.3/0.55-N227)/O327,0)</f>
        <v>880.889873235027</v>
      </c>
      <c r="P76" s="116" t="n">
        <f aca="false">(IF($C$173="Sí",(MAX(0,P74-O96)+MAX(0,O276+P53-P75))/P327,P73+MAX(0,P74-O96)+MAX(0,O276+P53-P75)))+IF($C$173="Sí",MAX(0,$C$226*(P70+O121)*0.3/0.55-O227)/P327,0)</f>
        <v>978.404159238361</v>
      </c>
      <c r="Q76" s="116" t="n">
        <f aca="false">(IF($C$173="Sí",(MAX(0,Q74-P96)+MAX(0,P276+Q53-Q75))/Q327,Q73+MAX(0,Q74-P96)+MAX(0,P276+Q53-Q75)))+IF($C$173="Sí",MAX(0,$C$226*(Q70+P121)*0.3/0.55-P227)/Q327,0)</f>
        <v>978.73725225638</v>
      </c>
      <c r="R76" s="116" t="n">
        <f aca="false">(IF($C$173="Sí",(MAX(0,R74-Q96)+MAX(0,Q276+R53-R75))/R327,R73+MAX(0,R74-Q96)+MAX(0,Q276+R53-R75)))+IF($C$173="Sí",MAX(0,$C$226*(R70+Q121)*0.3/0.55-Q227)/R327,0)</f>
        <v>983.604609900785</v>
      </c>
      <c r="S76" s="116" t="n">
        <f aca="false">(IF($C$173="Sí",(MAX(0,S74-R96)+MAX(0,R276+S53-S75))/S327,S73+MAX(0,S74-R96)+MAX(0,R276+S53-S75)))+IF($C$173="Sí",MAX(0,$C$226*(S70+R121)*0.3/0.55-R227)/S327,0)</f>
        <v>988.466423725296</v>
      </c>
      <c r="T76" s="116" t="n">
        <f aca="false">(IF($C$173="Sí",(MAX(0,T74-S96)+MAX(0,S276+T53-T75))/T327,T73+MAX(0,T74-S96)+MAX(0,S276+T53-T75)))+IF($C$173="Sí",MAX(0,$C$226*(T70+S121)*0.3/0.55-S227)/T327,0)</f>
        <v>993.531955265992</v>
      </c>
      <c r="U76" s="116" t="n">
        <f aca="false">(IF($C$173="Sí",(MAX(0,U74-T96)+MAX(0,T276+U53-U75))/U327,U73+MAX(0,U74-T96)+MAX(0,T276+U53-U75)))+IF($C$173="Sí",MAX(0,$C$226*(U70+T121)*0.3/0.55-T227)/U327,0)</f>
        <v>998.821989294393</v>
      </c>
      <c r="V76" s="116" t="n">
        <f aca="false">(IF($C$173="Sí",(MAX(0,V74-U96)+MAX(0,U276+V53-V75))/V327,V73+MAX(0,V74-U96)+MAX(0,U276+V53-V75)))+IF($C$173="Sí",MAX(0,$C$226*(V70+U121)*0.3/0.55-U227)/V327,0)</f>
        <v>1004.34064132661</v>
      </c>
      <c r="W76" s="116" t="n">
        <f aca="false">(IF($C$173="Sí",(MAX(0,W74-V96)+MAX(0,V276+W53-W75))/W327,W73+MAX(0,W74-V96)+MAX(0,V276+W53-W75)))+IF($C$173="Sí",MAX(0,$C$226*(W70+V121)*0.3/0.55-V227)/W327,0)</f>
        <v>1010.09217005196</v>
      </c>
      <c r="X76" s="116" t="n">
        <f aca="false">(IF($C$173="Sí",(MAX(0,X74-W96)+MAX(0,W276+X53-X75))/X327,X73+MAX(0,X74-W96)+MAX(0,W276+X53-X75)))+IF($C$173="Sí",MAX(0,$C$226*(X70+W121)*0.3/0.55-W227)/X327,0)</f>
        <v>1015.83424012613</v>
      </c>
      <c r="Y76" s="116" t="n">
        <f aca="false">(IF($C$173="Sí",(MAX(0,Y74-X96)+MAX(0,X276+Y53-Y75))/Y327,Y73+MAX(0,Y74-X96)+MAX(0,X276+Y53-Y75)))+IF($C$173="Sí",MAX(0,$C$226*(Y70+X121)*0.3/0.55-X227)/Y327,0)</f>
        <v>1021.85228189091</v>
      </c>
      <c r="Z76" s="116" t="n">
        <f aca="false">(IF($C$173="Sí",(MAX(0,Z74-Y96)+MAX(0,Y276+Z53-Z75))/Z327,Z73+MAX(0,Z74-Y96)+MAX(0,Y276+Z53-Z75)))+IF($C$173="Sí",MAX(0,$C$226*(Z70+Y121)*0.3/0.55-Y227)/Z327,0)</f>
        <v>1028.15433306801</v>
      </c>
      <c r="AA76" s="116" t="n">
        <f aca="false">(IF($C$173="Sí",(MAX(0,AA74-Z96)+MAX(0,Z276+AA53-AA75))/AA327,AA73+MAX(0,AA74-Z96)+MAX(0,Z276+AA53-AA75)))+IF($C$173="Sí",MAX(0,$C$226*(AA70+Z121)*0.3/0.55-Z227)/AA327,0)</f>
        <v>1034.74570231226</v>
      </c>
      <c r="AB76" s="116" t="n">
        <f aca="false">(IF($C$173="Sí",(MAX(0,AB74-AA96)+MAX(0,AA276+AB53-AB75))/AB327,AB73+MAX(0,AB74-AA96)+MAX(0,AA276+AB53-AB75)))+IF($C$173="Sí",MAX(0,$C$226*(AB70+AA121)*0.3/0.55-AA227)/AB327,0)</f>
        <v>1041.6314447809</v>
      </c>
      <c r="AC76" s="116" t="n">
        <f aca="false">(IF($C$173="Sí",(MAX(0,AC74-AB96)+MAX(0,AB276+AC53-AC75))/AC327,AC73+MAX(0,AC74-AB96)+MAX(0,AB276+AC53-AC75)))+IF($C$173="Sí",MAX(0,$C$226*(AC70+AB121)*0.3/0.55-AB227)/AC327,0)</f>
        <v>1048.82119912022</v>
      </c>
      <c r="AD76" s="116" t="n">
        <f aca="false">(IF($C$173="Sí",(MAX(0,AD74-AC96)+MAX(0,AC276+AD53-AD75))/AD327,AD73+MAX(0,AD74-AC96)+MAX(0,AC276+AD53-AD75)))+IF($C$173="Sí",MAX(0,$C$226*(AD70+AC121)*0.3/0.55-AC227)/AD327,0)</f>
        <v>1056.318612771</v>
      </c>
      <c r="AE76" s="116" t="n">
        <f aca="false">(IF($C$173="Sí",(MAX(0,AE74-AD96)+MAX(0,AD276+AE53-AE75))/AE327,AE73+MAX(0,AE74-AD96)+MAX(0,AD276+AE53-AE75)))+IF($C$173="Sí",MAX(0,$C$226*(AE70+AD121)*0.3/0.55-AD227)/AE327,0)</f>
        <v>1064.12707994309</v>
      </c>
      <c r="AF76" s="116" t="n">
        <f aca="false">(IF($C$173="Sí",(MAX(0,AF74-AE96)+MAX(0,AE276+AF53-AF75))/AF327,AF73+MAX(0,AF74-AE96)+MAX(0,AE276+AF53-AF75)))+IF($C$173="Sí",MAX(0,$C$226*(AF70+AE121)*0.3/0.55-AE227)/AF327,0)</f>
        <v>1072.24981801109</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349.799156025208</v>
      </c>
      <c r="M81" s="116" t="n">
        <f aca="false">M69+M80+L121</f>
        <v>362.419591755768</v>
      </c>
      <c r="N81" s="116" t="n">
        <f aca="false">N69+N80+M121</f>
        <v>375.198431879403</v>
      </c>
      <c r="O81" s="116" t="n">
        <f aca="false">O69+O80+N121</f>
        <v>387.230929756743</v>
      </c>
      <c r="P81" s="116" t="n">
        <f aca="false">P69+P80+O121</f>
        <v>396.741314701046</v>
      </c>
      <c r="Q81" s="116" t="n">
        <f aca="false">Q69+Q80+P121</f>
        <v>406.328702290529</v>
      </c>
      <c r="R81" s="116" t="n">
        <f aca="false">R69+R80+Q121</f>
        <v>415.889586770488</v>
      </c>
      <c r="S81" s="116" t="n">
        <f aca="false">S69+S80+R121</f>
        <v>425.432952338897</v>
      </c>
      <c r="T81" s="116" t="n">
        <f aca="false">T69+T80+S121</f>
        <v>434.974247844458</v>
      </c>
      <c r="U81" s="116" t="n">
        <f aca="false">U69+U80+T121</f>
        <v>444.528613542134</v>
      </c>
      <c r="V81" s="116" t="n">
        <f aca="false">V69+V80+U121</f>
        <v>454.111115534929</v>
      </c>
      <c r="W81" s="116" t="n">
        <f aca="false">W69+W80+V121</f>
        <v>463.597916459425</v>
      </c>
      <c r="X81" s="116" t="n">
        <f aca="false">X69+X80+W121</f>
        <v>473.004784189641</v>
      </c>
      <c r="Y81" s="116" t="n">
        <f aca="false">Y69+Y80+X121</f>
        <v>482.347606650751</v>
      </c>
      <c r="Z81" s="116" t="n">
        <f aca="false">Z69+Z80+Y121</f>
        <v>491.642363484281</v>
      </c>
      <c r="AA81" s="116" t="n">
        <f aca="false">AA69+AA80+Z121</f>
        <v>500.905149940852</v>
      </c>
      <c r="AB81" s="116" t="n">
        <f aca="false">AB69+AB80+AA121</f>
        <v>510.155231728525</v>
      </c>
      <c r="AC81" s="116" t="n">
        <f aca="false">AC69+AC80+AB121</f>
        <v>519.411983577191</v>
      </c>
      <c r="AD81" s="116" t="n">
        <f aca="false">AD69+AD80+AC121</f>
        <v>528.694914901726</v>
      </c>
      <c r="AE81" s="116" t="n">
        <f aca="false">AE69+AE80+AD121</f>
        <v>538.023695919348</v>
      </c>
      <c r="AF81" s="116" t="n">
        <f aca="false">AF69+AF80+AE121</f>
        <v>547.418183116313</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41.9758987230249</v>
      </c>
      <c r="M85" s="116" t="n">
        <f aca="false">IF(AND($C$31&gt;0,M$39&gt;10),MIN(M83,MAX(01_Supuestos!$I$137*M81,L85*(1-1/MAX(1,$C$31)))),MIN(IF(M$39&lt;=10,01_Supuestos!$I$136,01_Supuestos!$I$137)*M81,M83))</f>
        <v>33.5807189784199</v>
      </c>
      <c r="N85" s="116" t="n">
        <f aca="false">IF(AND($C$31&gt;0,N$39&gt;10),MIN(N83,MAX(01_Supuestos!$I$137*N81,M85*(1-1/MAX(1,$C$31)))),MIN(IF(N$39&lt;=10,01_Supuestos!$I$136,01_Supuestos!$I$137)*N81,N83))</f>
        <v>28.1398823909552</v>
      </c>
      <c r="O85" s="116" t="n">
        <f aca="false">IF(AND($C$31&gt;0,O$39&gt;10),MIN(O83,MAX(01_Supuestos!$I$137*O81,N85*(1-1/MAX(1,$C$31)))),MIN(IF(O$39&lt;=10,01_Supuestos!$I$136,01_Supuestos!$I$137)*O81,O83))</f>
        <v>29.0423197317557</v>
      </c>
      <c r="P85" s="116" t="n">
        <f aca="false">IF(AND($C$31&gt;0,P$39&gt;10),MIN(P83,MAX(01_Supuestos!$I$137*P81,O85*(1-1/MAX(1,$C$31)))),MIN(IF(P$39&lt;=10,01_Supuestos!$I$136,01_Supuestos!$I$137)*P81,P83))</f>
        <v>29.7555986025785</v>
      </c>
      <c r="Q85" s="116" t="n">
        <f aca="false">IF(AND($C$31&gt;0,Q$39&gt;10),MIN(Q83,MAX(01_Supuestos!$I$137*Q81,P85*(1-1/MAX(1,$C$31)))),MIN(IF(Q$39&lt;=10,01_Supuestos!$I$136,01_Supuestos!$I$137)*Q81,Q83))</f>
        <v>30.4746526717897</v>
      </c>
      <c r="R85" s="116" t="n">
        <f aca="false">IF(AND($C$31&gt;0,R$39&gt;10),MIN(R83,MAX(01_Supuestos!$I$137*R81,Q85*(1-1/MAX(1,$C$31)))),MIN(IF(R$39&lt;=10,01_Supuestos!$I$136,01_Supuestos!$I$137)*R81,R83))</f>
        <v>31.1917190077866</v>
      </c>
      <c r="S85" s="116" t="n">
        <f aca="false">IF(AND($C$31&gt;0,S$39&gt;10),MIN(S83,MAX(01_Supuestos!$I$137*S81,R85*(1-1/MAX(1,$C$31)))),MIN(IF(S$39&lt;=10,01_Supuestos!$I$136,01_Supuestos!$I$137)*S81,S83))</f>
        <v>31.9074714254173</v>
      </c>
      <c r="T85" s="116" t="n">
        <f aca="false">IF(AND($C$31&gt;0,T$39&gt;10),MIN(T83,MAX(01_Supuestos!$I$137*T81,S85*(1-1/MAX(1,$C$31)))),MIN(IF(T$39&lt;=10,01_Supuestos!$I$136,01_Supuestos!$I$137)*T81,T83))</f>
        <v>32.6230685883343</v>
      </c>
      <c r="U85" s="116" t="n">
        <f aca="false">IF(AND($C$31&gt;0,U$39&gt;10),MIN(U83,MAX(01_Supuestos!$I$137*U81,T85*(1-1/MAX(1,$C$31)))),MIN(IF(U$39&lt;=10,01_Supuestos!$I$136,01_Supuestos!$I$137)*U81,U83))</f>
        <v>33.33964601566</v>
      </c>
      <c r="V85" s="116" t="n">
        <f aca="false">IF(AND($C$31&gt;0,V$39&gt;10),MIN(V83,MAX(01_Supuestos!$I$137*V81,U85*(1-1/MAX(1,$C$31)))),MIN(IF(V$39&lt;=10,01_Supuestos!$I$136,01_Supuestos!$I$137)*V81,V83))</f>
        <v>34.0583336651197</v>
      </c>
      <c r="W85" s="116" t="n">
        <f aca="false">IF(AND($C$31&gt;0,W$39&gt;10),MIN(W83,MAX(01_Supuestos!$I$137*W81,V85*(1-1/MAX(1,$C$31)))),MIN(IF(W$39&lt;=10,01_Supuestos!$I$136,01_Supuestos!$I$137)*W81,W83))</f>
        <v>34.7698437344569</v>
      </c>
      <c r="X85" s="116" t="n">
        <f aca="false">IF(AND($C$31&gt;0,X$39&gt;10),MIN(X83,MAX(01_Supuestos!$I$137*X81,W85*(1-1/MAX(1,$C$31)))),MIN(IF(X$39&lt;=10,01_Supuestos!$I$136,01_Supuestos!$I$137)*X81,X83))</f>
        <v>35.4753588142231</v>
      </c>
      <c r="Y85" s="116" t="n">
        <f aca="false">IF(AND($C$31&gt;0,Y$39&gt;10),MIN(Y83,MAX(01_Supuestos!$I$137*Y81,X85*(1-1/MAX(1,$C$31)))),MIN(IF(Y$39&lt;=10,01_Supuestos!$I$136,01_Supuestos!$I$137)*Y81,Y83))</f>
        <v>36.1760704988063</v>
      </c>
      <c r="Z85" s="116" t="n">
        <f aca="false">IF(AND($C$31&gt;0,Z$39&gt;10),MIN(Z83,MAX(01_Supuestos!$I$137*Z81,Y85*(1-1/MAX(1,$C$31)))),MIN(IF(Z$39&lt;=10,01_Supuestos!$I$136,01_Supuestos!$I$137)*Z81,Z83))</f>
        <v>36.8731772613211</v>
      </c>
      <c r="AA85" s="116" t="n">
        <f aca="false">IF(AND($C$31&gt;0,AA$39&gt;10),MIN(AA83,MAX(01_Supuestos!$I$137*AA81,Z85*(1-1/MAX(1,$C$31)))),MIN(IF(AA$39&lt;=10,01_Supuestos!$I$136,01_Supuestos!$I$137)*AA81,AA83))</f>
        <v>37.5678862455639</v>
      </c>
      <c r="AB85" s="116" t="n">
        <f aca="false">IF(AND($C$31&gt;0,AB$39&gt;10),MIN(AB83,MAX(01_Supuestos!$I$137*AB81,AA85*(1-1/MAX(1,$C$31)))),MIN(IF(AB$39&lt;=10,01_Supuestos!$I$136,01_Supuestos!$I$137)*AB81,AB83))</f>
        <v>38.2616423796394</v>
      </c>
      <c r="AC85" s="116" t="n">
        <f aca="false">IF(AND($C$31&gt;0,AC$39&gt;10),MIN(AC83,MAX(01_Supuestos!$I$137*AC81,AB85*(1-1/MAX(1,$C$31)))),MIN(IF(AC$39&lt;=10,01_Supuestos!$I$136,01_Supuestos!$I$137)*AC81,AC83))</f>
        <v>38.9558987682893</v>
      </c>
      <c r="AD85" s="116" t="n">
        <f aca="false">IF(AND($C$31&gt;0,AD$39&gt;10),MIN(AD83,MAX(01_Supuestos!$I$137*AD81,AC85*(1-1/MAX(1,$C$31)))),MIN(IF(AD$39&lt;=10,01_Supuestos!$I$136,01_Supuestos!$I$137)*AD81,AD83))</f>
        <v>39.6521186176294</v>
      </c>
      <c r="AE85" s="116" t="n">
        <f aca="false">IF(AND($C$31&gt;0,AE$39&gt;10),MIN(AE83,MAX(01_Supuestos!$I$137*AE81,AD85*(1-1/MAX(1,$C$31)))),MIN(IF(AE$39&lt;=10,01_Supuestos!$I$136,01_Supuestos!$I$137)*AE81,AE83))</f>
        <v>40.3517771939511</v>
      </c>
      <c r="AF85" s="116" t="n">
        <f aca="false">IF(AND($C$31&gt;0,AF$39&gt;10),MIN(AF83,MAX(01_Supuestos!$I$137*AF81,AE85*(1-1/MAX(1,$C$31)))),MIN(IF(AF$39&lt;=10,01_Supuestos!$I$136,01_Supuestos!$I$137)*AF81,AF83))</f>
        <v>41.0563637337235</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95.1227722265819</v>
      </c>
      <c r="M87" s="116" t="n">
        <f aca="false">M83-M85-M86</f>
        <v>116.937286988959</v>
      </c>
      <c r="N87" s="116" t="n">
        <f aca="false">N83-N85-N86</f>
        <v>125.840037713673</v>
      </c>
      <c r="O87" s="116" t="n">
        <f aca="false">O83-O85-O86</f>
        <v>128.479138535279</v>
      </c>
      <c r="P87" s="116" t="n">
        <f aca="false">P83-P85-P86</f>
        <v>131.388853204598</v>
      </c>
      <c r="Q87" s="116" t="n">
        <f aca="false">Q83-Q85-Q86</f>
        <v>134.376121526952</v>
      </c>
      <c r="R87" s="116" t="n">
        <f aca="false">R83-R85-R86</f>
        <v>137.450622997526</v>
      </c>
      <c r="S87" s="116" t="n">
        <f aca="false">S83-S85-S86</f>
        <v>140.613644446018</v>
      </c>
      <c r="T87" s="116" t="n">
        <f aca="false">T83-T85-T86</f>
        <v>143.866032948144</v>
      </c>
      <c r="U87" s="116" t="n">
        <f aca="false">U83-U85-U86</f>
        <v>147.208704856157</v>
      </c>
      <c r="V87" s="116" t="n">
        <f aca="false">V83-V85-V86</f>
        <v>150.642629276749</v>
      </c>
      <c r="W87" s="116" t="n">
        <f aca="false">W83-W85-W86</f>
        <v>154.179241355075</v>
      </c>
      <c r="X87" s="116" t="n">
        <f aca="false">X83-X85-X86</f>
        <v>157.819555232368</v>
      </c>
      <c r="Y87" s="116" t="n">
        <f aca="false">Y83-Y85-Y86</f>
        <v>161.564626570856</v>
      </c>
      <c r="Z87" s="116" t="n">
        <f aca="false">Z83-Z85-Z86</f>
        <v>165.415555840944</v>
      </c>
      <c r="AA87" s="116" t="n">
        <f aca="false">AA83-AA85-AA86</f>
        <v>169.373487718053</v>
      </c>
      <c r="AB87" s="116" t="n">
        <f aca="false">AB83-AB85-AB86</f>
        <v>173.439383185141</v>
      </c>
      <c r="AC87" s="116" t="n">
        <f aca="false">AC83-AC85-AC86</f>
        <v>177.614250384481</v>
      </c>
      <c r="AD87" s="116" t="n">
        <f aca="false">AD83-AD85-AD86</f>
        <v>181.899143965654</v>
      </c>
      <c r="AE87" s="116" t="n">
        <f aca="false">AE83-AE85-AE86</f>
        <v>186.295164428748</v>
      </c>
      <c r="AF87" s="116" t="n">
        <f aca="false">AF83-AF85-AF86</f>
        <v>190.803457546298</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0.459989099869183</v>
      </c>
      <c r="M90" s="116" t="n">
        <f aca="false">M83-L83-M73+M185-M228</f>
        <v>1.3857873418291</v>
      </c>
      <c r="N90" s="116" t="n">
        <f aca="false">N83-M83-N73+N185-N228</f>
        <v>-0.566251438149159</v>
      </c>
      <c r="O90" s="116" t="n">
        <f aca="false">O83-N83-O73+O185-O228</f>
        <v>-0.849094562983865</v>
      </c>
      <c r="P90" s="116" t="n">
        <f aca="false">P83-O83-P73+P185-P228</f>
        <v>-0.0802078782744147</v>
      </c>
      <c r="Q90" s="116" t="n">
        <f aca="false">Q83-P83-Q73+Q185-Q228</f>
        <v>0.107726043585608</v>
      </c>
      <c r="R90" s="116" t="n">
        <f aca="false">R83-Q83-R73+R185-R228</f>
        <v>0.105291430639667</v>
      </c>
      <c r="S90" s="116" t="n">
        <f aca="false">S83-R83-S73+S185-S228</f>
        <v>0.108449028216384</v>
      </c>
      <c r="T90" s="116" t="n">
        <f aca="false">T83-S83-T73+T185-T228</f>
        <v>0.111336225981049</v>
      </c>
      <c r="U90" s="116" t="n">
        <f aca="false">U83-T83-U73+U185-U228</f>
        <v>0.114244178057596</v>
      </c>
      <c r="V90" s="116" t="n">
        <f aca="false">V83-U83-V73+V185-V228</f>
        <v>0.117188849673227</v>
      </c>
      <c r="W90" s="116" t="n">
        <f aca="false">W83-V83-W73+W185-W228</f>
        <v>0.121379309600421</v>
      </c>
      <c r="X90" s="116" t="n">
        <f aca="false">X83-W83-X73+X185-X228</f>
        <v>0.125039500845247</v>
      </c>
      <c r="Y90" s="116" t="n">
        <f aca="false">Y83-X83-Y73+Y185-Y228</f>
        <v>0.128413970745768</v>
      </c>
      <c r="Z90" s="116" t="n">
        <f aca="false">Z83-Y83-Z73+Z185-Z228</f>
        <v>0.131827707265188</v>
      </c>
      <c r="AA90" s="116" t="n">
        <f aca="false">AA83-Z83-AA73+AA185-AA228</f>
        <v>0.135282133629687</v>
      </c>
      <c r="AB90" s="116" t="n">
        <f aca="false">AB83-AA83-AB73+AB185-AB228</f>
        <v>0.138752167970253</v>
      </c>
      <c r="AC90" s="116" t="n">
        <f aca="false">AC83-AB83-AC73+AC185-AC228</f>
        <v>0.142251841565269</v>
      </c>
      <c r="AD90" s="116" t="n">
        <f aca="false">AD83-AC83-AD73+AD185-AD228</f>
        <v>0.145789677285833</v>
      </c>
      <c r="AE90" s="116" t="n">
        <f aca="false">AE83-AD83-AE73+AE185-AE228</f>
        <v>0.149367023174804</v>
      </c>
      <c r="AF90" s="116" t="n">
        <f aca="false">AF83-AE83-AF73+AF185-AF228</f>
        <v>0.152985215863069</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0.459989099869183</v>
      </c>
      <c r="M92" s="116" t="n">
        <f aca="false">IF(M90&gt;0,IF($C$20="BC",MIN(M90-M91,MAX(0,L276+M53-M75)),MIN(M90,MAX(0,L276+M53-M75))),0)</f>
        <v>1.3857873418291</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0.107726043585608</v>
      </c>
      <c r="R92" s="116" t="n">
        <f aca="false">IF(R90&gt;0,IF($C$20="BC",MIN(R90-R91,MAX(0,Q276+R53-R75)),MIN(R90,MAX(0,Q276+R53-R75))),0)</f>
        <v>0.105291430639667</v>
      </c>
      <c r="S92" s="116" t="n">
        <f aca="false">IF(S90&gt;0,IF($C$20="BC",MIN(S90-S91,MAX(0,R276+S53-S75)),MIN(S90,MAX(0,R276+S53-S75))),0)</f>
        <v>0.108449028216384</v>
      </c>
      <c r="T92" s="116" t="n">
        <f aca="false">IF(T90&gt;0,IF($C$20="BC",MIN(T90-T91,MAX(0,S276+T53-T75)),MIN(T90,MAX(0,S276+T53-T75))),0)</f>
        <v>0.111336225981049</v>
      </c>
      <c r="U92" s="116" t="n">
        <f aca="false">IF(U90&gt;0,IF($C$20="BC",MIN(U90-U91,MAX(0,T276+U53-U75)),MIN(U90,MAX(0,T276+U53-U75))),0)</f>
        <v>0.114244178057596</v>
      </c>
      <c r="V92" s="116" t="n">
        <f aca="false">IF(V90&gt;0,IF($C$20="BC",MIN(V90-V91,MAX(0,U276+V53-V75)),MIN(V90,MAX(0,U276+V53-V75))),0)</f>
        <v>0.117188849673227</v>
      </c>
      <c r="W92" s="116" t="n">
        <f aca="false">IF(W90&gt;0,IF($C$20="BC",MIN(W90-W91,MAX(0,V276+W53-W75)),MIN(W90,MAX(0,V276+W53-W75))),0)</f>
        <v>0.121379309600421</v>
      </c>
      <c r="X92" s="116" t="n">
        <f aca="false">IF(X90&gt;0,IF($C$20="BC",MIN(X90-X91,MAX(0,W276+X53-X75)),MIN(X90,MAX(0,W276+X53-X75))),0)</f>
        <v>0.125039500845247</v>
      </c>
      <c r="Y92" s="116" t="n">
        <f aca="false">IF(Y90&gt;0,IF($C$20="BC",MIN(Y90-Y91,MAX(0,X276+Y53-Y75)),MIN(Y90,MAX(0,X276+Y53-Y75))),0)</f>
        <v>0.128413970745768</v>
      </c>
      <c r="Z92" s="116" t="n">
        <f aca="false">IF(Z90&gt;0,IF($C$20="BC",MIN(Z90-Z91,MAX(0,Y276+Z53-Z75)),MIN(Z90,MAX(0,Y276+Z53-Z75))),0)</f>
        <v>0.131827707265188</v>
      </c>
      <c r="AA92" s="116" t="n">
        <f aca="false">IF(AA90&gt;0,IF($C$20="BC",MIN(AA90-AA91,MAX(0,Z276+AA53-AA75)),MIN(AA90,MAX(0,Z276+AA53-AA75))),0)</f>
        <v>0.135282133629687</v>
      </c>
      <c r="AB92" s="116" t="n">
        <f aca="false">IF(AB90&gt;0,IF($C$20="BC",MIN(AB90-AB91,MAX(0,AA276+AB53-AB75)),MIN(AB90,MAX(0,AA276+AB53-AB75))),0)</f>
        <v>0.138752167970253</v>
      </c>
      <c r="AC92" s="116" t="n">
        <f aca="false">IF(AC90&gt;0,IF($C$20="BC",MIN(AC90-AC91,MAX(0,AB276+AC53-AC75)),MIN(AC90,MAX(0,AB276+AC53-AC75))),0)</f>
        <v>0.142251841565269</v>
      </c>
      <c r="AD92" s="116" t="n">
        <f aca="false">IF(AD90&gt;0,IF($C$20="BC",MIN(AD90-AD91,MAX(0,AC276+AD53-AD75)),MIN(AD90,MAX(0,AC276+AD53-AD75))),0)</f>
        <v>0.145789677285833</v>
      </c>
      <c r="AE92" s="116" t="n">
        <f aca="false">IF(AE90&gt;0,IF($C$20="BC",MIN(AE90-AE91,MAX(0,AD276+AE53-AE75)),MIN(AE90,MAX(0,AD276+AE53-AE75))),0)</f>
        <v>0.149367023174804</v>
      </c>
      <c r="AF92" s="116" t="n">
        <f aca="false">IF(AF90&gt;0,IF($C$20="BC",MIN(AF90-AF91,MAX(0,AE276+AF53-AF75)),MIN(AF90,MAX(0,AE276+AF53-AF75))),0)</f>
        <v>0.152985215863069</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0.566251438149159</v>
      </c>
      <c r="O94" s="116" t="n">
        <f aca="false">IF(O90&lt;0,-O90-O93,0)</f>
        <v>0.849094562983865</v>
      </c>
      <c r="P94" s="116" t="n">
        <f aca="false">IF(P90&lt;0,-P90-P93,0)</f>
        <v>0.0802078782744147</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8.74497890063019</v>
      </c>
      <c r="M100" s="116" t="n">
        <f aca="false">$C$21*$C$22*M81</f>
        <v>9.06048979389419</v>
      </c>
      <c r="N100" s="116" t="n">
        <f aca="false">$C$21*$C$22*N81</f>
        <v>9.37996079698507</v>
      </c>
      <c r="O100" s="116" t="n">
        <f aca="false">$C$21*$C$22*O81</f>
        <v>9.68077324391857</v>
      </c>
      <c r="P100" s="116" t="n">
        <f aca="false">$C$21*$C$22*P81</f>
        <v>9.91853286752615</v>
      </c>
      <c r="Q100" s="116" t="n">
        <f aca="false">$C$21*$C$22*Q81</f>
        <v>10.1582175572632</v>
      </c>
      <c r="R100" s="116" t="n">
        <f aca="false">$C$21*$C$22*R81</f>
        <v>10.3972396692622</v>
      </c>
      <c r="S100" s="116" t="n">
        <f aca="false">$C$21*$C$22*S81</f>
        <v>10.6358238084724</v>
      </c>
      <c r="T100" s="116" t="n">
        <f aca="false">$C$21*$C$22*T81</f>
        <v>10.8743561961114</v>
      </c>
      <c r="U100" s="116" t="n">
        <f aca="false">$C$21*$C$22*U81</f>
        <v>11.1132153385533</v>
      </c>
      <c r="V100" s="116" t="n">
        <f aca="false">$C$21*$C$22*V81</f>
        <v>11.3527778883732</v>
      </c>
      <c r="W100" s="116" t="n">
        <f aca="false">$C$21*$C$22*W81</f>
        <v>11.5899479114856</v>
      </c>
      <c r="X100" s="116" t="n">
        <f aca="false">$C$21*$C$22*X81</f>
        <v>11.825119604741</v>
      </c>
      <c r="Y100" s="116" t="n">
        <f aca="false">$C$21*$C$22*Y81</f>
        <v>12.0586901662688</v>
      </c>
      <c r="Z100" s="116" t="n">
        <f aca="false">$C$21*$C$22*Z81</f>
        <v>12.291059087107</v>
      </c>
      <c r="AA100" s="116" t="n">
        <f aca="false">$C$21*$C$22*AA81</f>
        <v>12.5226287485213</v>
      </c>
      <c r="AB100" s="116" t="n">
        <f aca="false">$C$21*$C$22*AB81</f>
        <v>12.7538807932131</v>
      </c>
      <c r="AC100" s="116" t="n">
        <f aca="false">$C$21*$C$22*AC81</f>
        <v>12.9852995894298</v>
      </c>
      <c r="AD100" s="116" t="n">
        <f aca="false">$C$21*$C$22*AD81</f>
        <v>13.2173728725431</v>
      </c>
      <c r="AE100" s="116" t="n">
        <f aca="false">$C$21*$C$22*AE81</f>
        <v>13.4505923979837</v>
      </c>
      <c r="AF100" s="116" t="n">
        <f aca="false">$C$21*$C$22*AF81</f>
        <v>13.6854545779078</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0.00874497890063019</v>
      </c>
      <c r="N102" s="116" t="n">
        <f aca="false">M104*$C$24</f>
        <v>0.00906048979389419</v>
      </c>
      <c r="O102" s="116" t="n">
        <f aca="false">N104*$C$24</f>
        <v>0.00937996079698507</v>
      </c>
      <c r="P102" s="116" t="n">
        <f aca="false">O104*$C$24</f>
        <v>0.00968077324391857</v>
      </c>
      <c r="Q102" s="116" t="n">
        <f aca="false">P104*$C$24</f>
        <v>0.00991853286752615</v>
      </c>
      <c r="R102" s="116" t="n">
        <f aca="false">Q104*$C$24</f>
        <v>0.0101582175572632</v>
      </c>
      <c r="S102" s="116" t="n">
        <f aca="false">R104*$C$24</f>
        <v>0.0103972396692622</v>
      </c>
      <c r="T102" s="116" t="n">
        <f aca="false">S104*$C$24</f>
        <v>0.0106358238084724</v>
      </c>
      <c r="U102" s="116" t="n">
        <f aca="false">T104*$C$24</f>
        <v>0.0108743561961114</v>
      </c>
      <c r="V102" s="116" t="n">
        <f aca="false">U104*$C$24</f>
        <v>0.0111132153385533</v>
      </c>
      <c r="W102" s="116" t="n">
        <f aca="false">V104*$C$24</f>
        <v>0.0113527778883732</v>
      </c>
      <c r="X102" s="116" t="n">
        <f aca="false">W104*$C$24</f>
        <v>0.0115899479114856</v>
      </c>
      <c r="Y102" s="116" t="n">
        <f aca="false">X104*$C$24</f>
        <v>0.011825119604741</v>
      </c>
      <c r="Z102" s="116" t="n">
        <f aca="false">Y104*$C$24</f>
        <v>0.0120586901662688</v>
      </c>
      <c r="AA102" s="116" t="n">
        <f aca="false">Z104*$C$24</f>
        <v>0.012291059087107</v>
      </c>
      <c r="AB102" s="116" t="n">
        <f aca="false">AA104*$C$24</f>
        <v>0.0125226287485213</v>
      </c>
      <c r="AC102" s="116" t="n">
        <f aca="false">AB104*$C$24</f>
        <v>0.0127538807932131</v>
      </c>
      <c r="AD102" s="116" t="n">
        <f aca="false">AC104*$C$24</f>
        <v>0.0129852995894298</v>
      </c>
      <c r="AE102" s="116" t="n">
        <f aca="false">AD104*$C$24</f>
        <v>0.0132173728725431</v>
      </c>
      <c r="AF102" s="116" t="n">
        <f aca="false">AE104*$C$24</f>
        <v>0.0134505923979837</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0.325045098565004</v>
      </c>
      <c r="M103" s="116" t="n">
        <f aca="false">MIN(MAX(0,M100-L104-M101),MAX(0,L276))</f>
        <v>0.315510893264005</v>
      </c>
      <c r="N103" s="116" t="n">
        <f aca="false">MIN(MAX(0,N100-M104-N101),MAX(0,M276))</f>
        <v>0.319471003090873</v>
      </c>
      <c r="O103" s="116" t="n">
        <f aca="false">MIN(MAX(0,O100-N104-O101),MAX(0,N276))</f>
        <v>0.300812446933506</v>
      </c>
      <c r="P103" s="116" t="n">
        <f aca="false">MIN(MAX(0,P100-O104-P101),MAX(0,O276))</f>
        <v>0.237759623607582</v>
      </c>
      <c r="Q103" s="116" t="n">
        <f aca="false">MIN(MAX(0,Q100-P104-Q101),MAX(0,P276))</f>
        <v>0.239684689737075</v>
      </c>
      <c r="R103" s="116" t="n">
        <f aca="false">MIN(MAX(0,R100-Q104-R101),MAX(0,Q276))</f>
        <v>0.239022111998978</v>
      </c>
      <c r="S103" s="116" t="n">
        <f aca="false">MIN(MAX(0,S100-R104-S101),MAX(0,R276))</f>
        <v>0.238584139210221</v>
      </c>
      <c r="T103" s="116" t="n">
        <f aca="false">MIN(MAX(0,T100-S104-T101),MAX(0,S276))</f>
        <v>0.238532387639017</v>
      </c>
      <c r="U103" s="116" t="n">
        <f aca="false">MIN(MAX(0,U100-T104-U101),MAX(0,T276))</f>
        <v>0.238859142441903</v>
      </c>
      <c r="V103" s="116" t="n">
        <f aca="false">MIN(MAX(0,V100-U104-V101),MAX(0,U276))</f>
        <v>0.239562549819881</v>
      </c>
      <c r="W103" s="116" t="n">
        <f aca="false">MIN(MAX(0,W100-V104-W101),MAX(0,V276))</f>
        <v>0.237170023112398</v>
      </c>
      <c r="X103" s="116" t="n">
        <f aca="false">MIN(MAX(0,X100-W104-X101),MAX(0,W276))</f>
        <v>0.235171693255397</v>
      </c>
      <c r="Y103" s="116" t="n">
        <f aca="false">MIN(MAX(0,Y100-X104-Y101),MAX(0,X276))</f>
        <v>0.233570561527754</v>
      </c>
      <c r="Z103" s="116" t="n">
        <f aca="false">MIN(MAX(0,Z100-Y104-Z101),MAX(0,Y276))</f>
        <v>0.232368920838251</v>
      </c>
      <c r="AA103" s="116" t="n">
        <f aca="false">MIN(MAX(0,AA100-Z104-AA101),MAX(0,Z276))</f>
        <v>0.23156966141427</v>
      </c>
      <c r="AB103" s="116" t="n">
        <f aca="false">MIN(MAX(0,AB100-AA104-AB101),MAX(0,AA276))</f>
        <v>0.231252044691821</v>
      </c>
      <c r="AC103" s="116" t="n">
        <f aca="false">MIN(MAX(0,AC100-AB104-AC101),MAX(0,AB276))</f>
        <v>0.231418796216644</v>
      </c>
      <c r="AD103" s="116" t="n">
        <f aca="false">MIN(MAX(0,AD100-AC104-AD101),MAX(0,AC276))</f>
        <v>0.232073283113381</v>
      </c>
      <c r="AE103" s="116" t="n">
        <f aca="false">MIN(MAX(0,AE100-AD104-AE101),MAX(0,AD276))</f>
        <v>0.23321952544056</v>
      </c>
      <c r="AF103" s="116" t="n">
        <f aca="false">MIN(MAX(0,AF100-AE104-AF101),MAX(0,AE276))</f>
        <v>0.234862179924116</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8.74497890063019</v>
      </c>
      <c r="M104" s="136" t="n">
        <f aca="false">L104+M101+M103</f>
        <v>9.06048979389419</v>
      </c>
      <c r="N104" s="136" t="n">
        <f aca="false">M104+N101+N103</f>
        <v>9.37996079698507</v>
      </c>
      <c r="O104" s="136" t="n">
        <f aca="false">N104+O101+O103</f>
        <v>9.68077324391857</v>
      </c>
      <c r="P104" s="136" t="n">
        <f aca="false">O104+P101+P103</f>
        <v>9.91853286752615</v>
      </c>
      <c r="Q104" s="136" t="n">
        <f aca="false">P104+Q101+Q103</f>
        <v>10.1582175572632</v>
      </c>
      <c r="R104" s="136" t="n">
        <f aca="false">Q104+R101+R103</f>
        <v>10.3972396692622</v>
      </c>
      <c r="S104" s="136" t="n">
        <f aca="false">R104+S101+S103</f>
        <v>10.6358238084724</v>
      </c>
      <c r="T104" s="136" t="n">
        <f aca="false">S104+T101+T103</f>
        <v>10.8743561961114</v>
      </c>
      <c r="U104" s="136" t="n">
        <f aca="false">T104+U101+U103</f>
        <v>11.1132153385533</v>
      </c>
      <c r="V104" s="136" t="n">
        <f aca="false">U104+V101+V103</f>
        <v>11.3527778883732</v>
      </c>
      <c r="W104" s="136" t="n">
        <f aca="false">V104+W101+W103</f>
        <v>11.5899479114856</v>
      </c>
      <c r="X104" s="136" t="n">
        <f aca="false">W104+X101+X103</f>
        <v>11.825119604741</v>
      </c>
      <c r="Y104" s="136" t="n">
        <f aca="false">X104+Y101+Y103</f>
        <v>12.0586901662688</v>
      </c>
      <c r="Z104" s="136" t="n">
        <f aca="false">Y104+Z101+Z103</f>
        <v>12.291059087107</v>
      </c>
      <c r="AA104" s="136" t="n">
        <f aca="false">Z104+AA101+AA103</f>
        <v>12.5226287485213</v>
      </c>
      <c r="AB104" s="136" t="n">
        <f aca="false">AA104+AB101+AB103</f>
        <v>12.7538807932131</v>
      </c>
      <c r="AC104" s="136" t="n">
        <f aca="false">AB104+AC101+AC103</f>
        <v>12.9852995894298</v>
      </c>
      <c r="AD104" s="136" t="n">
        <f aca="false">AC104+AD101+AD103</f>
        <v>13.2173728725431</v>
      </c>
      <c r="AE104" s="136" t="n">
        <f aca="false">AD104+AE101+AE103</f>
        <v>13.4505923979837</v>
      </c>
      <c r="AF104" s="136" t="n">
        <f aca="false">AE104+AF101+AF103</f>
        <v>13.6854545779078</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68.0979582039688</v>
      </c>
      <c r="M105" s="139" t="n">
        <f aca="false">M104/($C$36*(1+$C$23)^(M$39-1))</f>
        <v>70.5548706638538</v>
      </c>
      <c r="N105" s="139" t="n">
        <f aca="false">N104/($C$36*(1+$C$23)^(N$39-1))</f>
        <v>73.0426208646341</v>
      </c>
      <c r="O105" s="139" t="n">
        <f aca="false">O104/($C$36*(1+$C$23)^(O$39-1))</f>
        <v>75.3850751656999</v>
      </c>
      <c r="P105" s="139" t="n">
        <f aca="false">P104/($C$36*(1+$C$23)^(P$39-1))</f>
        <v>77.2365313092766</v>
      </c>
      <c r="Q105" s="139" t="n">
        <f aca="false">Q104/($C$36*(1+$C$23)^(Q$39-1))</f>
        <v>79.1029781205629</v>
      </c>
      <c r="R105" s="139" t="n">
        <f aca="false">R104/($C$36*(1+$C$23)^(R$39-1))</f>
        <v>80.9642653778206</v>
      </c>
      <c r="S105" s="139" t="n">
        <f aca="false">S104/($C$36*(1+$C$23)^(S$39-1))</f>
        <v>82.8221421005302</v>
      </c>
      <c r="T105" s="139" t="n">
        <f aca="false">T104/($C$36*(1+$C$23)^(T$39-1))</f>
        <v>84.6796158289762</v>
      </c>
      <c r="U105" s="139" t="n">
        <f aca="false">U104/($C$36*(1+$C$23)^(U$39-1))</f>
        <v>86.5396340272445</v>
      </c>
      <c r="V105" s="139" t="n">
        <f aca="false">V104/($C$36*(1+$C$23)^(V$39-1))</f>
        <v>88.4051297237172</v>
      </c>
      <c r="W105" s="139" t="n">
        <f aca="false">W104/($C$36*(1+$C$23)^(W$39-1))</f>
        <v>90.2519945937947</v>
      </c>
      <c r="X105" s="139" t="n">
        <f aca="false">X104/($C$36*(1+$C$23)^(X$39-1))</f>
        <v>92.0832982847514</v>
      </c>
      <c r="Y105" s="139" t="n">
        <f aca="false">Y104/($C$36*(1+$C$23)^(Y$39-1))</f>
        <v>93.9021338150976</v>
      </c>
      <c r="Z105" s="139" t="n">
        <f aca="false">Z104/($C$36*(1+$C$23)^(Z$39-1))</f>
        <v>95.7116120584361</v>
      </c>
      <c r="AA105" s="139" t="n">
        <f aca="false">AA104/($C$36*(1+$C$23)^(AA$39-1))</f>
        <v>97.5148663948371</v>
      </c>
      <c r="AB105" s="139" t="n">
        <f aca="false">AB104/($C$36*(1+$C$23)^(AB$39-1))</f>
        <v>99.3156474204918</v>
      </c>
      <c r="AC105" s="139" t="n">
        <f aca="false">AC104/($C$36*(1+$C$23)^(AC$39-1))</f>
        <v>101.117726955668</v>
      </c>
      <c r="AD105" s="139" t="n">
        <f aca="false">AD104/($C$36*(1+$C$23)^(AD$39-1))</f>
        <v>102.924903040744</v>
      </c>
      <c r="AE105" s="139" t="n">
        <f aca="false">AE104/($C$36*(1+$C$23)^(AE$39-1))</f>
        <v>104.741005020665</v>
      </c>
      <c r="AF105" s="139" t="n">
        <f aca="false">AF104/($C$36*(1+$C$23)^(AF$39-1))</f>
        <v>106.569898502731</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5.80581329777888</v>
      </c>
      <c r="M107" s="116" t="n">
        <f aca="false">M87*(1-$C$340)*$C$175+M85*01_Supuestos!$I$126+M55*M88</f>
        <v>6.41106504808816</v>
      </c>
      <c r="N107" s="116" t="n">
        <f aca="false">N87*(1-$C$340)*$C$175+N85*01_Supuestos!$I$126+N55*N88</f>
        <v>6.57689195626177</v>
      </c>
      <c r="O107" s="116" t="n">
        <f aca="false">O87*(1-$C$340)*$C$175+O85*01_Supuestos!$I$126+O55*O88</f>
        <v>6.72740578558033</v>
      </c>
      <c r="P107" s="116" t="n">
        <f aca="false">P87*(1-$C$340)*$C$175+P85*01_Supuestos!$I$126+P55*P88</f>
        <v>6.88200215023493</v>
      </c>
      <c r="Q107" s="116" t="n">
        <f aca="false">Q87*(1-$C$340)*$C$175+Q85*01_Supuestos!$I$126+Q55*Q88</f>
        <v>7.04018566482423</v>
      </c>
      <c r="R107" s="116" t="n">
        <f aca="false">R87*(1-$C$340)*$C$175+R85*01_Supuestos!$I$126+R55*R88</f>
        <v>7.20206218156251</v>
      </c>
      <c r="S107" s="116" t="n">
        <f aca="false">S87*(1-$C$340)*$C$175+S85*01_Supuestos!$I$126+S55*S88</f>
        <v>7.36771451184095</v>
      </c>
      <c r="T107" s="116" t="n">
        <f aca="false">T87*(1-$C$340)*$C$175+T85*01_Supuestos!$I$126+T55*T88</f>
        <v>7.53722598384166</v>
      </c>
      <c r="U107" s="116" t="n">
        <f aca="false">U87*(1-$C$340)*$C$175+U85*01_Supuestos!$I$126+U55*U88</f>
        <v>7.71068198953518</v>
      </c>
      <c r="V107" s="116" t="n">
        <f aca="false">V87*(1-$C$340)*$C$175+V85*01_Supuestos!$I$126+V55*V88</f>
        <v>7.88816997858021</v>
      </c>
      <c r="W107" s="116" t="n">
        <f aca="false">W87*(1-$C$340)*$C$175+W85*01_Supuestos!$I$126+W55*W88</f>
        <v>8.06981029414342</v>
      </c>
      <c r="X107" s="116" t="n">
        <f aca="false">X87*(1-$C$340)*$C$175+X85*01_Supuestos!$I$126+X55*X88</f>
        <v>8.25569445466007</v>
      </c>
      <c r="Y107" s="116" t="n">
        <f aca="false">Y87*(1-$C$340)*$C$175+Y85*01_Supuestos!$I$126+Y55*Y88</f>
        <v>8.44591613729426</v>
      </c>
      <c r="Z107" s="116" t="n">
        <f aca="false">Z87*(1-$C$340)*$C$175+Z85*01_Supuestos!$I$126+Z55*Z88</f>
        <v>8.64057123448596</v>
      </c>
      <c r="AA107" s="116" t="n">
        <f aca="false">AA87*(1-$C$340)*$C$175+AA85*01_Supuestos!$I$126+AA55*AA88</f>
        <v>8.83975790007145</v>
      </c>
      <c r="AB107" s="116" t="n">
        <f aca="false">AB87*(1-$C$340)*$C$175+AB85*01_Supuestos!$I$126+AB55*AB88</f>
        <v>9.04357592439608</v>
      </c>
      <c r="AC107" s="116" t="n">
        <f aca="false">AC87*(1-$C$340)*$C$175+AC85*01_Supuestos!$I$126+AC55*AC88</f>
        <v>9.25212746707583</v>
      </c>
      <c r="AD107" s="116" t="n">
        <f aca="false">AD87*(1-$C$340)*$C$175+AD85*01_Supuestos!$I$126+AD55*AD88</f>
        <v>9.4655171063552</v>
      </c>
      <c r="AE107" s="116" t="n">
        <f aca="false">AE87*(1-$C$340)*$C$175+AE85*01_Supuestos!$I$126+AE55*AE88</f>
        <v>9.68385188963049</v>
      </c>
      <c r="AF107" s="116" t="n">
        <f aca="false">AF87*(1-$C$340)*$C$175+AF85*01_Supuestos!$I$126+AF55*AF88</f>
        <v>9.90724138541263</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2.28439055019087</v>
      </c>
      <c r="M109" s="116" t="n">
        <f aca="false">(M70+L121)*(0.3*$C$5+0.25*01_Supuestos!$I$134)/0.55-L227*$C$5</f>
        <v>2.39630679976982</v>
      </c>
      <c r="N109" s="116" t="n">
        <f aca="false">(N70+M121)*(0.3*$C$5+0.25*01_Supuestos!$I$134)/0.55-M227*$C$5</f>
        <v>2.53692517910237</v>
      </c>
      <c r="O109" s="116" t="n">
        <f aca="false">(O70+N121)*(0.3*$C$5+0.25*01_Supuestos!$I$134)/0.55-N227*$C$5</f>
        <v>2.68068818589129</v>
      </c>
      <c r="P109" s="116" t="n">
        <f aca="false">(P70+O121)*(0.3*$C$5+0.25*01_Supuestos!$I$134)/0.55-O227*$C$5</f>
        <v>2.82769405637166</v>
      </c>
      <c r="Q109" s="116" t="n">
        <f aca="false">(Q70+P121)*(0.3*$C$5+0.25*01_Supuestos!$I$134)/0.55-P227*$C$5</f>
        <v>2.97354364581574</v>
      </c>
      <c r="R109" s="116" t="n">
        <f aca="false">(R70+Q121)*(0.3*$C$5+0.25*01_Supuestos!$I$134)/0.55-Q227*$C$5</f>
        <v>3.11800526245209</v>
      </c>
      <c r="S109" s="116" t="n">
        <f aca="false">(S70+R121)*(0.3*$C$5+0.25*01_Supuestos!$I$134)/0.55-R227*$C$5</f>
        <v>3.26135859834583</v>
      </c>
      <c r="T109" s="116" t="n">
        <f aca="false">(T70+S121)*(0.3*$C$5+0.25*01_Supuestos!$I$134)/0.55-S227*$C$5</f>
        <v>3.40403414852721</v>
      </c>
      <c r="U109" s="116" t="n">
        <f aca="false">(U70+T121)*(0.3*$C$5+0.25*01_Supuestos!$I$134)/0.55-T227*$C$5</f>
        <v>3.5464531069105</v>
      </c>
      <c r="V109" s="116" t="n">
        <f aca="false">(V70+U121)*(0.3*$C$5+0.25*01_Supuestos!$I$134)/0.55-U227*$C$5</f>
        <v>3.68903289685027</v>
      </c>
      <c r="W109" s="116" t="n">
        <f aca="false">(W70+V121)*(0.3*$C$5+0.25*01_Supuestos!$I$134)/0.55-V227*$C$5</f>
        <v>3.83218781230921</v>
      </c>
      <c r="X109" s="116" t="n">
        <f aca="false">(X70+W121)*(0.3*$C$5+0.25*01_Supuestos!$I$134)/0.55-W227*$C$5</f>
        <v>3.97633386097113</v>
      </c>
      <c r="Y109" s="116" t="n">
        <f aca="false">(Y70+X121)*(0.3*$C$5+0.25*01_Supuestos!$I$134)/0.55-X227*$C$5</f>
        <v>4.12188755473355</v>
      </c>
      <c r="Z109" s="116" t="n">
        <f aca="false">(Z70+Y121)*(0.3*$C$5+0.25*01_Supuestos!$I$134)/0.55-Y227*$C$5</f>
        <v>4.26926521693111</v>
      </c>
      <c r="AA109" s="116" t="n">
        <f aca="false">(AA70+Z121)*(0.3*$C$5+0.25*01_Supuestos!$I$134)/0.55-Z227*$C$5</f>
        <v>4.4188835225027</v>
      </c>
      <c r="AB109" s="116" t="n">
        <f aca="false">(AB70+AA121)*(0.3*$C$5+0.25*01_Supuestos!$I$134)/0.55-AA227*$C$5</f>
        <v>4.57115993560115</v>
      </c>
      <c r="AC109" s="116" t="n">
        <f aca="false">(AC70+AB121)*(0.3*$C$5+0.25*01_Supuestos!$I$134)/0.55-AB227*$C$5</f>
        <v>4.72651329433184</v>
      </c>
      <c r="AD109" s="116" t="n">
        <f aca="false">(AD70+AC121)*(0.3*$C$5+0.25*01_Supuestos!$I$134)/0.55-AC227*$C$5</f>
        <v>4.88536441610081</v>
      </c>
      <c r="AE109" s="116" t="n">
        <f aca="false">(AE70+AD121)*(0.3*$C$5+0.25*01_Supuestos!$I$134)/0.55-AD227*$C$5</f>
        <v>5.04813671285349</v>
      </c>
      <c r="AF109" s="116" t="n">
        <f aca="false">(AF70+AE121)*(0.3*$C$5+0.25*01_Supuestos!$I$134)/0.55-AE227*$C$5</f>
        <v>5.21525679012664</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1.2286350843469</v>
      </c>
      <c r="F110" s="116" t="n">
        <f aca="false">E120*$C$10</f>
        <v>1.85752021492381</v>
      </c>
      <c r="G110" s="116" t="n">
        <f aca="false">F120*$C$10</f>
        <v>2.16515359000362</v>
      </c>
      <c r="H110" s="116" t="n">
        <f aca="false">G120*$C$10</f>
        <v>2.54956750465803</v>
      </c>
      <c r="I110" s="116" t="n">
        <f aca="false">H120*$C$10</f>
        <v>2.99211665248276</v>
      </c>
      <c r="J110" s="116" t="n">
        <f aca="false">I120*$C$10</f>
        <v>3.49600720239699</v>
      </c>
      <c r="K110" s="116" t="n">
        <f aca="false">J120*$C$10</f>
        <v>4.0464219473949</v>
      </c>
      <c r="L110" s="116" t="n">
        <f aca="false">K120*$C$10</f>
        <v>4.64192118986067</v>
      </c>
      <c r="M110" s="116" t="n">
        <f aca="false">L120*$C$10</f>
        <v>5.23867896028262</v>
      </c>
      <c r="N110" s="116" t="n">
        <f aca="false">M120*$C$10</f>
        <v>5.22707268823451</v>
      </c>
      <c r="O110" s="116" t="n">
        <f aca="false">N120*$C$10</f>
        <v>5.28484764879621</v>
      </c>
      <c r="P110" s="116" t="n">
        <f aca="false">O120*$C$10</f>
        <v>5.354403609326</v>
      </c>
      <c r="Q110" s="116" t="n">
        <f aca="false">P120*$C$10</f>
        <v>5.40051453686906</v>
      </c>
      <c r="R110" s="116" t="n">
        <f aca="false">Q120*$C$10</f>
        <v>5.44127103079824</v>
      </c>
      <c r="S110" s="116" t="n">
        <f aca="false">R120*$C$10</f>
        <v>5.48345882314124</v>
      </c>
      <c r="T110" s="116" t="n">
        <f aca="false">S120*$C$10</f>
        <v>5.52690739777504</v>
      </c>
      <c r="U110" s="116" t="n">
        <f aca="false">T120*$C$10</f>
        <v>5.57164660017942</v>
      </c>
      <c r="V110" s="116" t="n">
        <f aca="false">U120*$C$10</f>
        <v>5.61769720294005</v>
      </c>
      <c r="W110" s="116" t="n">
        <f aca="false">V120*$C$10</f>
        <v>5.66508035341035</v>
      </c>
      <c r="X110" s="116" t="n">
        <f aca="false">W120*$C$10</f>
        <v>5.71389731245428</v>
      </c>
      <c r="Y110" s="116" t="n">
        <f aca="false">X120*$C$10</f>
        <v>5.76419026099185</v>
      </c>
      <c r="Z110" s="116" t="n">
        <f aca="false">Y120*$C$10</f>
        <v>5.81599365120165</v>
      </c>
      <c r="AA110" s="116" t="n">
        <f aca="false">Z120*$C$10</f>
        <v>5.86933143927839</v>
      </c>
      <c r="AB110" s="116" t="n">
        <f aca="false">AA120*$C$10</f>
        <v>5.92422841326372</v>
      </c>
      <c r="AC110" s="116" t="n">
        <f aca="false">AB120*$C$10</f>
        <v>5.98070847230271</v>
      </c>
      <c r="AD110" s="116" t="n">
        <f aca="false">AC120*$C$10</f>
        <v>6.03879596162456</v>
      </c>
      <c r="AE110" s="116" t="n">
        <f aca="false">AD120*$C$10</f>
        <v>6.09851586869592</v>
      </c>
      <c r="AF110" s="116" t="n">
        <f aca="false">AE120*$C$10</f>
        <v>6.15989407794683</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0.349799156025208</v>
      </c>
      <c r="M112" s="116" t="n">
        <f aca="false">M81*$C$7</f>
        <v>0.362419591755768</v>
      </c>
      <c r="N112" s="116" t="n">
        <f aca="false">N81*$C$7</f>
        <v>0.375198431879403</v>
      </c>
      <c r="O112" s="116" t="n">
        <f aca="false">O81*$C$7</f>
        <v>0.387230929756743</v>
      </c>
      <c r="P112" s="116" t="n">
        <f aca="false">P81*$C$7</f>
        <v>0.396741314701046</v>
      </c>
      <c r="Q112" s="116" t="n">
        <f aca="false">Q81*$C$7</f>
        <v>0.406328702290529</v>
      </c>
      <c r="R112" s="116" t="n">
        <f aca="false">R81*$C$7</f>
        <v>0.415889586770488</v>
      </c>
      <c r="S112" s="116" t="n">
        <f aca="false">S81*$C$7</f>
        <v>0.425432952338897</v>
      </c>
      <c r="T112" s="116" t="n">
        <f aca="false">T81*$C$7</f>
        <v>0.434974247844458</v>
      </c>
      <c r="U112" s="116" t="n">
        <f aca="false">U81*$C$7</f>
        <v>0.444528613542134</v>
      </c>
      <c r="V112" s="116" t="n">
        <f aca="false">V81*$C$7</f>
        <v>0.454111115534929</v>
      </c>
      <c r="W112" s="116" t="n">
        <f aca="false">W81*$C$7</f>
        <v>0.463597916459425</v>
      </c>
      <c r="X112" s="116" t="n">
        <f aca="false">X81*$C$7</f>
        <v>0.473004784189641</v>
      </c>
      <c r="Y112" s="116" t="n">
        <f aca="false">Y81*$C$7</f>
        <v>0.482347606650751</v>
      </c>
      <c r="Z112" s="116" t="n">
        <f aca="false">Z81*$C$7</f>
        <v>0.491642363484281</v>
      </c>
      <c r="AA112" s="116" t="n">
        <f aca="false">AA81*$C$7</f>
        <v>0.500905149940852</v>
      </c>
      <c r="AB112" s="116" t="n">
        <f aca="false">AB81*$C$7</f>
        <v>0.510155231728525</v>
      </c>
      <c r="AC112" s="116" t="n">
        <f aca="false">AC81*$C$7</f>
        <v>0.519411983577191</v>
      </c>
      <c r="AD112" s="116" t="n">
        <f aca="false">AD81*$C$7</f>
        <v>0.528694914901726</v>
      </c>
      <c r="AE112" s="116" t="n">
        <f aca="false">AE81*$C$7</f>
        <v>0.538023695919348</v>
      </c>
      <c r="AF112" s="116" t="n">
        <f aca="false">AF81*$C$7</f>
        <v>0.547418183116313</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-2.47949637376709</v>
      </c>
      <c r="F113" s="136" t="n">
        <f aca="false">F107+F109+F110-F111-F112-F108-F97-F98-F102+F184-F190-F229-F265-F268-F274</f>
        <v>-6.30123517222942</v>
      </c>
      <c r="G113" s="136" t="n">
        <f aca="false">G107+G109+G110-G111-G112-G108-G97-G98-G102+G184-G190-G229-G265-G268-G274</f>
        <v>-4.97591948674164</v>
      </c>
      <c r="H113" s="136" t="n">
        <f aca="false">H107+H109+H110-H111-H112-H108-H97-H98-H102+H184-H190-H229-H265-H268-H274</f>
        <v>-3.78573367514692</v>
      </c>
      <c r="I113" s="136" t="n">
        <f aca="false">I107+I109+I110-I111-I112-I108-I97-I98-I102+I184-I190-I229-I265-I268-I274</f>
        <v>-2.54618059436743</v>
      </c>
      <c r="J113" s="136" t="n">
        <f aca="false">J107+J109+J110-J111-J112-J108-J97-J98-J102+J184-J190-J229-J265-J268-J274</f>
        <v>-1.25210463335795</v>
      </c>
      <c r="K113" s="136" t="n">
        <f aca="false">K107+K109+K110-K111-K112-K108-K97-K98-K102+K184-K190-K229-K265-K268-K274</f>
        <v>0.0833046933371094</v>
      </c>
      <c r="L113" s="136" t="n">
        <f aca="false">L107+L109+L110-L111-L112-L108-L97-L98-L102+L184-L190-L229-L265-L268-L274</f>
        <v>1.46201448326148</v>
      </c>
      <c r="M113" s="136" t="n">
        <f aca="false">M107+M109+M110-M111-M112-M108-M97-M98-M102+M184-M190-M229-M265-M268-M274</f>
        <v>2.62494433983946</v>
      </c>
      <c r="N113" s="136" t="n">
        <f aca="false">N107+N109+N110-N111-N112-N108-N97-N98-N102+N184-N190-N229-N265-N268-N274</f>
        <v>2.70574328743183</v>
      </c>
      <c r="O113" s="136" t="n">
        <f aca="false">O107+O109+O110-O111-O112-O108-O97-O98-O102+O184-O190-O229-O265-O268-O274</f>
        <v>2.78983077546357</v>
      </c>
      <c r="P113" s="136" t="n">
        <f aca="false">P107+P109+P110-P111-P112-P108-P97-P98-P102+P184-P190-P229-P265-P268-P274</f>
        <v>2.6869170159464</v>
      </c>
      <c r="Q113" s="136" t="n">
        <f aca="false">Q107+Q109+Q110-Q111-Q112-Q108-Q97-Q98-Q102+Q184-Q190-Q229-Q265-Q268-Q274</f>
        <v>2.57330100394646</v>
      </c>
      <c r="R113" s="136" t="n">
        <f aca="false">R107+R109+R110-R111-R112-R108-R97-R98-R102+R184-R190-R229-R265-R268-R274</f>
        <v>2.47060153399999</v>
      </c>
      <c r="S113" s="136" t="n">
        <f aca="false">S107+S109+S110-S111-S112-S108-S97-S98-S102+S184-S190-S229-S265-S268-S274</f>
        <v>2.38518169381038</v>
      </c>
      <c r="T113" s="136" t="n">
        <f aca="false">T107+T109+T110-T111-T112-T108-T97-T98-T102+T184-T190-T229-T265-T268-T274</f>
        <v>2.31663056520944</v>
      </c>
      <c r="U113" s="136" t="n">
        <f aca="false">U107+U109+U110-U111-U112-U108-U97-U98-U102+U184-U190-U229-U265-U268-U274</f>
        <v>2.26477083376559</v>
      </c>
      <c r="V113" s="136" t="n">
        <f aca="false">V107+V109+V110-V111-V112-V108-V97-V98-V102+V184-V190-V229-V265-V268-V274</f>
        <v>2.22945192007046</v>
      </c>
      <c r="W113" s="136" t="n">
        <f aca="false">W107+W109+W110-W111-W112-W108-W97-W98-W102+W184-W190-W229-W265-W268-W274</f>
        <v>2.21072774408502</v>
      </c>
      <c r="X113" s="136" t="n">
        <f aca="false">X107+X109+X110-X111-X112-X108-X97-X98-X102+X184-X190-X229-X265-X268-X274</f>
        <v>2.20860064216628</v>
      </c>
      <c r="Y113" s="136" t="n">
        <f aca="false">Y107+Y109+Y110-Y111-Y112-Y108-Y97-Y98-Y102+Y184-Y190-Y229-Y265-Y268-Y274</f>
        <v>2.22304321786284</v>
      </c>
      <c r="Z113" s="136" t="n">
        <f aca="false">Z107+Z109+Z110-Z111-Z112-Z108-Z97-Z98-Z102+Z184-Z190-Z229-Z265-Z268-Z274</f>
        <v>2.25405049369984</v>
      </c>
      <c r="AA113" s="136" t="n">
        <f aca="false">AA107+AA109+AA110-AA111-AA112-AA108-AA97-AA98-AA102+AA184-AA190-AA229-AA265-AA268-AA274</f>
        <v>2.30163556064884</v>
      </c>
      <c r="AB113" s="136" t="n">
        <f aca="false">AB107+AB109+AB110-AB111-AB112-AB108-AB97-AB98-AB102+AB184-AB190-AB229-AB265-AB268-AB274</f>
        <v>2.36583579090453</v>
      </c>
      <c r="AC113" s="136" t="n">
        <f aca="false">AC107+AC109+AC110-AC111-AC112-AC108-AC97-AC98-AC102+AC184-AC190-AC229-AC265-AC268-AC274</f>
        <v>2.4467136975439</v>
      </c>
      <c r="AD113" s="136" t="n">
        <f aca="false">AD107+AD109+AD110-AD111-AD112-AD108-AD97-AD98-AD102+AD184-AD190-AD229-AD265-AD268-AD274</f>
        <v>2.5443573403303</v>
      </c>
      <c r="AE113" s="136" t="n">
        <f aca="false">AE107+AE109+AE110-AE111-AE112-AE108-AE97-AE98-AE102+AE184-AE190-AE229-AE265-AE268-AE274</f>
        <v>2.65887962784884</v>
      </c>
      <c r="AF113" s="136" t="n">
        <f aca="false">AF107+AF109+AF110-AF111-AF112-AF108-AF97-AF98-AF102+AF184-AF190-AF229-AF265-AF268-AF274</f>
        <v>2.79041776356799</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35.1038595527686</v>
      </c>
      <c r="E114" s="116" t="n">
        <f aca="false">D120+E53+E56-E57+(E58-E65)+E113-E92+E94-E95-E103+E60-E245</f>
        <v>53.0720061406802</v>
      </c>
      <c r="F114" s="116" t="n">
        <f aca="false">E120+F53+F56-F57+(F58-F65)+F113-F92+F94-F95-F103+F60-F245</f>
        <v>61.8615311429605</v>
      </c>
      <c r="G114" s="116" t="n">
        <f aca="false">F120+G53+G56-G57+(G58-G65)+G113-G92+G94-G95-G103+G60-G245</f>
        <v>72.8447858473724</v>
      </c>
      <c r="H114" s="116" t="n">
        <f aca="false">G120+H53+H56-H57+(H58-H65)+H113-H92+H94-H95-H103+H60-H245</f>
        <v>85.489047213793</v>
      </c>
      <c r="I114" s="116" t="n">
        <f aca="false">H120+I53+I56-I57+(I58-I65)+I113-I92+I94-I95-I103+I60-I245</f>
        <v>99.8859200684854</v>
      </c>
      <c r="J114" s="116" t="n">
        <f aca="false">I120+J53+J56-J57+(J58-J65)+J113-J92+J94-J95-J103+J60-J245</f>
        <v>115.612055639854</v>
      </c>
      <c r="K114" s="116" t="n">
        <f aca="false">J120+K53+K56-K57+(K58-K65)+K113-K92+K94-K95-K103+K60-K245</f>
        <v>132.709624403642</v>
      </c>
      <c r="L114" s="116" t="n">
        <f aca="false">K120+L53+L56-L57+(L58-L65)+L113-L92+L94-L95-L103+L60-L245</f>
        <v>151.138556205622</v>
      </c>
      <c r="M114" s="116" t="n">
        <f aca="false">L120+M53+M56-M57+(M58-M65)+M113-M92+M94-M95-M103+M60-M245</f>
        <v>151.969878289397</v>
      </c>
      <c r="N114" s="116" t="n">
        <f aca="false">M120+N53+N56-N57+(N58-N65)+N113-N92+N94-N95-N103+N60-N245</f>
        <v>153.701390395895</v>
      </c>
      <c r="O114" s="116" t="n">
        <f aca="false">N120+O53+O56-O57+(O58-O65)+O113-O92+O94-O95-O103+O60-O245</f>
        <v>155.772791041921</v>
      </c>
      <c r="P114" s="116" t="n">
        <f aca="false">O120+P53+P56-P57+(P58-P65)+P113-P92+P94-P95-P103+P60-P245</f>
        <v>156.987332355062</v>
      </c>
      <c r="Q114" s="116" t="n">
        <f aca="false">P120+Q53+Q56-Q57+(Q58-Q65)+Q113-Q92+Q94-Q95-Q103+Q60-Q245</f>
        <v>158.038187598182</v>
      </c>
      <c r="R114" s="116" t="n">
        <f aca="false">Q120+R53+R56-R57+(R58-R65)+R113-R92+R94-R95-R103+R60-R245</f>
        <v>159.14085362375</v>
      </c>
      <c r="S114" s="116" t="n">
        <f aca="false">R120+S53+S56-S57+(S58-S65)+S113-S92+S94-S95-S103+S60-S245</f>
        <v>160.29682163024</v>
      </c>
      <c r="T114" s="116" t="n">
        <f aca="false">S120+T53+T56-T57+(T58-T65)+T113-T92+T94-T95-T103+T60-T245</f>
        <v>161.506533427479</v>
      </c>
      <c r="U114" s="116" t="n">
        <f aca="false">T120+U53+U56-U57+(U58-U65)+U113-U92+U94-U95-U103+U60-U245</f>
        <v>162.770405203481</v>
      </c>
      <c r="V114" s="116" t="n">
        <f aca="false">U120+V53+V56-V57+(V58-V65)+V113-V92+V94-V95-V103+V60-V245</f>
        <v>164.088890588938</v>
      </c>
      <c r="W114" s="116" t="n">
        <f aca="false">V120+W53+W56-W57+(W58-W65)+W113-W92+W94-W95-W103+W60-W245</f>
        <v>165.46493667135</v>
      </c>
      <c r="X114" s="116" t="n">
        <f aca="false">W120+X53+X56-X57+(X58-X65)+X113-X92+X94-X95-X103+X60-X245</f>
        <v>166.899750956219</v>
      </c>
      <c r="Y114" s="116" t="n">
        <f aca="false">X120+Y53+Y56-Y57+(Y58-Y65)+Y113-Y92+Y94-Y95-Y103+Y60-Y245</f>
        <v>168.394290395053</v>
      </c>
      <c r="Z114" s="116" t="n">
        <f aca="false">Y120+Z53+Z56-Z57+(Z58-Z65)+Z113-Z92+Z94-Z95-Z103+Z60-Z245</f>
        <v>169.949234473082</v>
      </c>
      <c r="AA114" s="116" t="n">
        <f aca="false">Z120+AA53+AA56-AA57+(AA58-AA65)+AA113-AA92+AA94-AA95-AA103+AA60-AA245</f>
        <v>171.565304511041</v>
      </c>
      <c r="AB114" s="116" t="n">
        <f aca="false">AA120+AB53+AB56-AB57+(AB58-AB65)+AB113-AB92+AB94-AB95-AB103+AB60-AB245</f>
        <v>173.243220713839</v>
      </c>
      <c r="AC114" s="116" t="n">
        <f aca="false">AB120+AC53+AC56-AC57+(AC58-AC65)+AC113-AC92+AC94-AC95-AC103+AC60-AC245</f>
        <v>174.983741172531</v>
      </c>
      <c r="AD114" s="116" t="n">
        <f aca="false">AC120+AD53+AD56-AD57+(AD58-AD65)+AD113-AD92+AD94-AD95-AD103+AD60-AD245</f>
        <v>176.787667874499</v>
      </c>
      <c r="AE114" s="116" t="n">
        <f aca="false">AD120+AE53+AE56-AE57+(AE58-AE65)+AE113-AE92+AE94-AE95-AE103+AE60-AE245</f>
        <v>178.655853283473</v>
      </c>
      <c r="AF114" s="116" t="n">
        <f aca="false">AE120+AF53+AF56-AF57+(AF58-AF65)+AF113-AF92+AF94-AF95-AF103+AF60-AF245</f>
        <v>180.589199935227</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0.0833046933371094</v>
      </c>
      <c r="L115" s="116" t="n">
        <f aca="false">IF(L113&gt;0,MIN(L113,01_Supuestos!$I$106*L81),0)</f>
        <v>1.46201448326148</v>
      </c>
      <c r="M115" s="116" t="n">
        <f aca="false">IF(M113&gt;0,MIN(M113,01_Supuestos!$I$106*M81),0)</f>
        <v>2.62494433983946</v>
      </c>
      <c r="N115" s="116" t="n">
        <f aca="false">IF(N113&gt;0,MIN(N113,01_Supuestos!$I$106*N81),0)</f>
        <v>2.70574328743183</v>
      </c>
      <c r="O115" s="116" t="n">
        <f aca="false">IF(O113&gt;0,MIN(O113,01_Supuestos!$I$106*O81),0)</f>
        <v>2.78983077546357</v>
      </c>
      <c r="P115" s="116" t="n">
        <f aca="false">IF(P113&gt;0,MIN(P113,01_Supuestos!$I$106*P81),0)</f>
        <v>2.6869170159464</v>
      </c>
      <c r="Q115" s="116" t="n">
        <f aca="false">IF(Q113&gt;0,MIN(Q113,01_Supuestos!$I$106*Q81),0)</f>
        <v>2.57330100394646</v>
      </c>
      <c r="R115" s="116" t="n">
        <f aca="false">IF(R113&gt;0,MIN(R113,01_Supuestos!$I$106*R81),0)</f>
        <v>2.47060153399999</v>
      </c>
      <c r="S115" s="116" t="n">
        <f aca="false">IF(S113&gt;0,MIN(S113,01_Supuestos!$I$106*S81),0)</f>
        <v>2.38518169381038</v>
      </c>
      <c r="T115" s="116" t="n">
        <f aca="false">IF(T113&gt;0,MIN(T113,01_Supuestos!$I$106*T81),0)</f>
        <v>2.31663056520944</v>
      </c>
      <c r="U115" s="116" t="n">
        <f aca="false">IF(U113&gt;0,MIN(U113,01_Supuestos!$I$106*U81),0)</f>
        <v>2.26477083376559</v>
      </c>
      <c r="V115" s="116" t="n">
        <f aca="false">IF(V113&gt;0,MIN(V113,01_Supuestos!$I$106*V81),0)</f>
        <v>2.22945192007046</v>
      </c>
      <c r="W115" s="116" t="n">
        <f aca="false">IF(W113&gt;0,MIN(W113,01_Supuestos!$I$106*W81),0)</f>
        <v>2.21072774408502</v>
      </c>
      <c r="X115" s="116" t="n">
        <f aca="false">IF(X113&gt;0,MIN(X113,01_Supuestos!$I$106*X81),0)</f>
        <v>2.20860064216628</v>
      </c>
      <c r="Y115" s="116" t="n">
        <f aca="false">IF(Y113&gt;0,MIN(Y113,01_Supuestos!$I$106*Y81),0)</f>
        <v>2.22304321786284</v>
      </c>
      <c r="Z115" s="116" t="n">
        <f aca="false">IF(Z113&gt;0,MIN(Z113,01_Supuestos!$I$106*Z81),0)</f>
        <v>2.25405049369984</v>
      </c>
      <c r="AA115" s="116" t="n">
        <f aca="false">IF(AA113&gt;0,MIN(AA113,01_Supuestos!$I$106*AA81),0)</f>
        <v>2.30163556064884</v>
      </c>
      <c r="AB115" s="116" t="n">
        <f aca="false">IF(AB113&gt;0,MIN(AB113,01_Supuestos!$I$106*AB81),0)</f>
        <v>2.36583579090453</v>
      </c>
      <c r="AC115" s="116" t="n">
        <f aca="false">IF(AC113&gt;0,MIN(AC113,01_Supuestos!$I$106*AC81),0)</f>
        <v>2.4467136975439</v>
      </c>
      <c r="AD115" s="116" t="n">
        <f aca="false">IF(AD113&gt;0,MIN(AD113,01_Supuestos!$I$106*AD81),0)</f>
        <v>2.5443573403303</v>
      </c>
      <c r="AE115" s="116" t="n">
        <f aca="false">IF(AE113&gt;0,MIN(AE113,01_Supuestos!$I$106*AE81),0)</f>
        <v>2.65887962784884</v>
      </c>
      <c r="AF115" s="116" t="n">
        <f aca="false">IF(AF113&gt;0,MIN(AF113,01_Supuestos!$I$106*AF81),0)</f>
        <v>2.79041776356799</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35.1038595527686</v>
      </c>
      <c r="E120" s="136" t="n">
        <f aca="false">E114-E115+E118+E119</f>
        <v>53.0720061406802</v>
      </c>
      <c r="F120" s="136" t="n">
        <f aca="false">F114-F115+F118+F119</f>
        <v>61.8615311429605</v>
      </c>
      <c r="G120" s="136" t="n">
        <f aca="false">G114-G115+G118+G119</f>
        <v>72.8447858473724</v>
      </c>
      <c r="H120" s="136" t="n">
        <f aca="false">H114-H115+H118+H119</f>
        <v>85.489047213793</v>
      </c>
      <c r="I120" s="136" t="n">
        <f aca="false">I114-I115+I118+I119</f>
        <v>99.8859200684854</v>
      </c>
      <c r="J120" s="136" t="n">
        <f aca="false">J114-J115+J118+J119</f>
        <v>115.612055639854</v>
      </c>
      <c r="K120" s="136" t="n">
        <f aca="false">K114-K115+K118+K119</f>
        <v>132.626319710305</v>
      </c>
      <c r="L120" s="136" t="n">
        <f aca="false">L114-L115+L118+L119</f>
        <v>149.676541722361</v>
      </c>
      <c r="M120" s="136" t="n">
        <f aca="false">M114-M115+M118+M119</f>
        <v>149.344933949558</v>
      </c>
      <c r="N120" s="136" t="n">
        <f aca="false">N114-N115+N118+N119</f>
        <v>150.995647108463</v>
      </c>
      <c r="O120" s="136" t="n">
        <f aca="false">O114-O115+O118+O119</f>
        <v>152.982960266457</v>
      </c>
      <c r="P120" s="136" t="n">
        <f aca="false">P114-P115+P118+P119</f>
        <v>154.300415339116</v>
      </c>
      <c r="Q120" s="136" t="n">
        <f aca="false">Q114-Q115+Q118+Q119</f>
        <v>155.464886594235</v>
      </c>
      <c r="R120" s="136" t="n">
        <f aca="false">R114-R115+R118+R119</f>
        <v>156.67025208975</v>
      </c>
      <c r="S120" s="136" t="n">
        <f aca="false">S114-S115+S118+S119</f>
        <v>157.91163993643</v>
      </c>
      <c r="T120" s="136" t="n">
        <f aca="false">T114-T115+T118+T119</f>
        <v>159.189902862269</v>
      </c>
      <c r="U120" s="136" t="n">
        <f aca="false">U114-U115+U118+U119</f>
        <v>160.505634369716</v>
      </c>
      <c r="V120" s="136" t="n">
        <f aca="false">V114-V115+V118+V119</f>
        <v>161.859438668867</v>
      </c>
      <c r="W120" s="136" t="n">
        <f aca="false">W114-W115+W118+W119</f>
        <v>163.254208927265</v>
      </c>
      <c r="X120" s="136" t="n">
        <f aca="false">X114-X115+X118+X119</f>
        <v>164.691150314053</v>
      </c>
      <c r="Y120" s="136" t="n">
        <f aca="false">Y114-Y115+Y118+Y119</f>
        <v>166.17124717719</v>
      </c>
      <c r="Z120" s="136" t="n">
        <f aca="false">Z114-Z115+Z118+Z119</f>
        <v>167.695183979383</v>
      </c>
      <c r="AA120" s="136" t="n">
        <f aca="false">AA114-AA115+AA118+AA119</f>
        <v>169.263668950392</v>
      </c>
      <c r="AB120" s="136" t="n">
        <f aca="false">AB114-AB115+AB118+AB119</f>
        <v>170.877384922935</v>
      </c>
      <c r="AC120" s="136" t="n">
        <f aca="false">AC114-AC115+AC118+AC119</f>
        <v>172.537027474988</v>
      </c>
      <c r="AD120" s="136" t="n">
        <f aca="false">AD114-AD115+AD118+AD119</f>
        <v>174.243310534169</v>
      </c>
      <c r="AE120" s="136" t="n">
        <f aca="false">AE114-AE115+AE118+AE119</f>
        <v>175.996973655624</v>
      </c>
      <c r="AF120" s="136" t="n">
        <f aca="false">AF114-AF115+AF118+AF119</f>
        <v>177.798782171659</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0.0833046933371094</v>
      </c>
      <c r="L121" s="116" t="n">
        <f aca="false">K121+L115</f>
        <v>1.54531917659859</v>
      </c>
      <c r="M121" s="116" t="n">
        <f aca="false">L121+M115</f>
        <v>4.17026351643805</v>
      </c>
      <c r="N121" s="116" t="n">
        <f aca="false">M121+N115</f>
        <v>6.87600680386988</v>
      </c>
      <c r="O121" s="116" t="n">
        <f aca="false">N121+O115</f>
        <v>9.66583757933345</v>
      </c>
      <c r="P121" s="116" t="n">
        <f aca="false">O121+P115</f>
        <v>12.3527545952799</v>
      </c>
      <c r="Q121" s="116" t="n">
        <f aca="false">P121+Q115</f>
        <v>14.9260555992263</v>
      </c>
      <c r="R121" s="116" t="n">
        <f aca="false">Q121+R115</f>
        <v>17.3966571332263</v>
      </c>
      <c r="S121" s="116" t="n">
        <f aca="false">R121+S115</f>
        <v>19.7818388270367</v>
      </c>
      <c r="T121" s="116" t="n">
        <f aca="false">S121+T115</f>
        <v>22.0984693922461</v>
      </c>
      <c r="U121" s="116" t="n">
        <f aca="false">T121+U115</f>
        <v>24.3632402260117</v>
      </c>
      <c r="V121" s="116" t="n">
        <f aca="false">U121+V115</f>
        <v>26.5926921460822</v>
      </c>
      <c r="W121" s="116" t="n">
        <f aca="false">V121+W115</f>
        <v>28.8034198901672</v>
      </c>
      <c r="X121" s="116" t="n">
        <f aca="false">W121+X115</f>
        <v>31.0120205323335</v>
      </c>
      <c r="Y121" s="116" t="n">
        <f aca="false">X121+Y115</f>
        <v>33.2350637501963</v>
      </c>
      <c r="Z121" s="116" t="n">
        <f aca="false">Y121+Z115</f>
        <v>35.4891142438961</v>
      </c>
      <c r="AA121" s="116" t="n">
        <f aca="false">Z121+AA115</f>
        <v>37.790749804545</v>
      </c>
      <c r="AB121" s="116" t="n">
        <f aca="false">AA121+AB115</f>
        <v>40.1565855954495</v>
      </c>
      <c r="AC121" s="116" t="n">
        <f aca="false">AB121+AC115</f>
        <v>42.6032992929934</v>
      </c>
      <c r="AD121" s="116" t="n">
        <f aca="false">AC121+AD115</f>
        <v>45.1476566333237</v>
      </c>
      <c r="AE121" s="116" t="n">
        <f aca="false">AD121+AE115</f>
        <v>47.8065362611725</v>
      </c>
      <c r="AF121" s="116" t="n">
        <f aca="false">AE121+AF115</f>
        <v>50.5969540247405</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0.340687329426486</v>
      </c>
      <c r="E122" s="87" t="n">
        <f aca="false">E276/(E81+E115)</f>
        <v>0.381737198412432</v>
      </c>
      <c r="F122" s="87" t="n">
        <f aca="false">F276/(F81+F115)</f>
        <v>0.226719564465731</v>
      </c>
      <c r="G122" s="87" t="n">
        <f aca="false">G276/(G81+G115)</f>
        <v>0.255097769127962</v>
      </c>
      <c r="H122" s="87" t="n">
        <f aca="false">H276/(H81+H115)</f>
        <v>0.286586063531629</v>
      </c>
      <c r="I122" s="87" t="n">
        <f aca="false">I276/(I81+I115)</f>
        <v>0.321083568129139</v>
      </c>
      <c r="J122" s="87" t="n">
        <f aca="false">J276/(J81+J115)</f>
        <v>0.356913160169047</v>
      </c>
      <c r="K122" s="87" t="n">
        <f aca="false">K276/(K81+K115)</f>
        <v>0.393689328973593</v>
      </c>
      <c r="L122" s="87" t="n">
        <f aca="false">L276/(L81+L115)</f>
        <v>0.42611183440998</v>
      </c>
      <c r="M122" s="87" t="n">
        <f aca="false">M276/(M81+M115)</f>
        <v>0.409114283826572</v>
      </c>
      <c r="N122" s="87" t="n">
        <f aca="false">N276/(N81+N115)</f>
        <v>0.399560674453524</v>
      </c>
      <c r="O122" s="87" t="n">
        <f aca="false">O276/(O81+O115)</f>
        <v>0.392243120744913</v>
      </c>
      <c r="P122" s="87" t="n">
        <f aca="false">P276/(P81+P115)</f>
        <v>0.386303228181534</v>
      </c>
      <c r="Q122" s="87" t="n">
        <f aca="false">Q276/(Q81+Q115)</f>
        <v>0.380200843580303</v>
      </c>
      <c r="R122" s="87" t="n">
        <f aca="false">R276/(R81+R115)</f>
        <v>0.37448652254579</v>
      </c>
      <c r="S122" s="87" t="n">
        <f aca="false">S276/(S81+S115)</f>
        <v>0.369109271848578</v>
      </c>
      <c r="T122" s="87" t="n">
        <f aca="false">T276/(T81+T115)</f>
        <v>0.364036641791406</v>
      </c>
      <c r="U122" s="87" t="n">
        <f aca="false">U276/(U81+U115)</f>
        <v>0.359239057655066</v>
      </c>
      <c r="V122" s="87" t="n">
        <f aca="false">V276/(V81+V115)</f>
        <v>0.354690006131941</v>
      </c>
      <c r="W122" s="87" t="n">
        <f aca="false">W276/(W81+W115)</f>
        <v>0.35047483759434</v>
      </c>
      <c r="X122" s="87" t="n">
        <f aca="false">X276/(X81+X115)</f>
        <v>0.346562524480118</v>
      </c>
      <c r="Y122" s="87" t="n">
        <f aca="false">Y276/(Y81+Y115)</f>
        <v>0.342924705039906</v>
      </c>
      <c r="Z122" s="87" t="n">
        <f aca="false">Z276/(Z81+Z115)</f>
        <v>0.339535131726749</v>
      </c>
      <c r="AA122" s="87" t="n">
        <f aca="false">AA276/(AA81+AA115)</f>
        <v>0.336370004990497</v>
      </c>
      <c r="AB122" s="87" t="n">
        <f aca="false">AB276/(AB81+AB115)</f>
        <v>0.333405582232884</v>
      </c>
      <c r="AC122" s="87" t="n">
        <f aca="false">AC276/(AC81+AC115)</f>
        <v>0.330620201169426</v>
      </c>
      <c r="AD122" s="87" t="n">
        <f aca="false">AD276/(AD81+AD115)</f>
        <v>0.327994031387755</v>
      </c>
      <c r="AE122" s="87" t="n">
        <f aca="false">AE276/(AE81+AE115)</f>
        <v>0.325508869002309</v>
      </c>
      <c r="AF122" s="87" t="n">
        <f aca="false">AF276/(AF81+AF115)</f>
        <v>0.323147951317604</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2.47949637376709</v>
      </c>
      <c r="F127" s="116" t="n">
        <f aca="false">MAX(0,-F113)</f>
        <v>6.30123517222942</v>
      </c>
      <c r="G127" s="116" t="n">
        <f aca="false">MAX(0,-G113)</f>
        <v>4.97591948674164</v>
      </c>
      <c r="H127" s="116" t="n">
        <f aca="false">MAX(0,-H113)</f>
        <v>3.78573367514692</v>
      </c>
      <c r="I127" s="116" t="n">
        <f aca="false">MAX(0,-I113)</f>
        <v>2.54618059436743</v>
      </c>
      <c r="J127" s="116" t="n">
        <f aca="false">MAX(0,-J113)</f>
        <v>1.25210463335795</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4.73640836108542</v>
      </c>
      <c r="D128" s="116" t="n">
        <f aca="false">IF(AVERAGE(E127:I127)&gt;0,D120/AVERAGE(E127:I127),99)</f>
        <v>8.73727392289992</v>
      </c>
      <c r="E128" s="116" t="n">
        <f aca="false">IF(AVERAGE(F127:J127)&gt;0,E120/AVERAGE(F127:J127),99)</f>
        <v>14.0691155740294</v>
      </c>
      <c r="F128" s="116" t="n">
        <f aca="false">IF(AVERAGE(G127:K127)&gt;0,F120/AVERAGE(G127:K127),99)</f>
        <v>24.626526509921</v>
      </c>
      <c r="G128" s="116" t="n">
        <f aca="false">IF(AVERAGE(H127:L127)&gt;0,G120/AVERAGE(H127:L127),99)</f>
        <v>48.0251874239025</v>
      </c>
      <c r="H128" s="116" t="n">
        <f aca="false">IF(AVERAGE(I127:M127)&gt;0,H120/AVERAGE(I127:M127),99)</f>
        <v>112.536371136336</v>
      </c>
      <c r="I128" s="116" t="n">
        <f aca="false">IF(AVERAGE(J127:N127)&gt;0,I120/AVERAGE(J127:N127),99)</f>
        <v>398.872096657796</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-17.8977098596176</v>
      </c>
      <c r="G140" s="116" t="n">
        <f aca="false">SUM(G133:G139)</f>
        <v>-17.9084533563974</v>
      </c>
      <c r="H140" s="116" t="n">
        <f aca="false">SUM(H133:H139)</f>
        <v>-17.9169020879832</v>
      </c>
      <c r="I140" s="116" t="n">
        <f aca="false">SUM(I133:I139)</f>
        <v>-17.9232027289801</v>
      </c>
      <c r="J140" s="116" t="n">
        <f aca="false">SUM(J133:J139)</f>
        <v>-17.9274924714095</v>
      </c>
      <c r="K140" s="116" t="n">
        <f aca="false">SUM(K133:K139)</f>
        <v>-17.9298996395416</v>
      </c>
      <c r="L140" s="116" t="n">
        <f aca="false">SUM(L133:L139)</f>
        <v>-17.9305442652544</v>
      </c>
      <c r="M140" s="116" t="n">
        <f aca="false">SUM(M133:M139)</f>
        <v>2.67413164707173</v>
      </c>
      <c r="N140" s="116" t="n">
        <f aca="false">SUM(N133:N139)</f>
        <v>2.65791430162299</v>
      </c>
      <c r="O140" s="116" t="n">
        <f aca="false">SUM(O133:O139)</f>
        <v>2.64625849627186</v>
      </c>
      <c r="P140" s="116" t="n">
        <f aca="false">SUM(P133:P139)</f>
        <v>2.65459820436939</v>
      </c>
      <c r="Q140" s="116" t="n">
        <f aca="false">SUM(Q133:Q139)</f>
        <v>2.66098965287782</v>
      </c>
      <c r="R140" s="116" t="n">
        <f aca="false">SUM(R133:R139)</f>
        <v>2.66504396132128</v>
      </c>
      <c r="S140" s="116" t="n">
        <f aca="false">SUM(S133:S139)</f>
        <v>2.6668209497267</v>
      </c>
      <c r="T140" s="116" t="n">
        <f aca="false">SUM(T133:T139)</f>
        <v>2.66637559194396</v>
      </c>
      <c r="U140" s="116" t="n">
        <f aca="false">SUM(U133:U139)</f>
        <v>2.66375829993186</v>
      </c>
      <c r="V140" s="116" t="n">
        <f aca="false">SUM(V133:V139)</f>
        <v>2.65901518891845</v>
      </c>
      <c r="W140" s="116" t="n">
        <f aca="false">SUM(W133:W139)</f>
        <v>2.65218832464956</v>
      </c>
      <c r="X140" s="116" t="n">
        <f aca="false">SUM(X133:X139)</f>
        <v>2.64331595385981</v>
      </c>
      <c r="Y140" s="116" t="n">
        <f aca="false">SUM(Y133:Y139)</f>
        <v>2.63243271902708</v>
      </c>
      <c r="Z140" s="116" t="n">
        <f aca="false">SUM(Z133:Z139)</f>
        <v>2.61956985840173</v>
      </c>
      <c r="AA140" s="116" t="n">
        <f aca="false">SUM(AA133:AA139)</f>
        <v>2.60475539223768</v>
      </c>
      <c r="AB140" s="116" t="n">
        <f aca="false">SUM(AB133:AB139)</f>
        <v>2.58801429609159</v>
      </c>
      <c r="AC140" s="116" t="n">
        <f aca="false">SUM(AC133:AC139)</f>
        <v>2.56936866199988</v>
      </c>
      <c r="AD140" s="116" t="n">
        <f aca="false">SUM(AD133:AD139)</f>
        <v>2.54883784829035</v>
      </c>
      <c r="AE140" s="116" t="n">
        <f aca="false">SUM(AE133:AE139)</f>
        <v>2.52643861873554</v>
      </c>
      <c r="AF140" s="116" t="n">
        <f aca="false">SUM(AF133:AF139)</f>
        <v>2.5021852717086</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-1.679035948921</v>
      </c>
      <c r="M141" s="116" t="n">
        <f aca="false">-M85*01_Supuestos!$I$126</f>
        <v>-1.3432287591368</v>
      </c>
      <c r="N141" s="116" t="n">
        <f aca="false">-N85*01_Supuestos!$I$126</f>
        <v>-1.12559529563821</v>
      </c>
      <c r="O141" s="116" t="n">
        <f aca="false">-O85*01_Supuestos!$I$126</f>
        <v>-1.16169278927023</v>
      </c>
      <c r="P141" s="116" t="n">
        <f aca="false">-P85*01_Supuestos!$I$126</f>
        <v>-1.19022394410314</v>
      </c>
      <c r="Q141" s="116" t="n">
        <f aca="false">-Q85*01_Supuestos!$I$126</f>
        <v>-1.21898610687159</v>
      </c>
      <c r="R141" s="116" t="n">
        <f aca="false">-R85*01_Supuestos!$I$126</f>
        <v>-1.24766876031146</v>
      </c>
      <c r="S141" s="116" t="n">
        <f aca="false">-S85*01_Supuestos!$I$126</f>
        <v>-1.27629885701669</v>
      </c>
      <c r="T141" s="116" t="n">
        <f aca="false">-T85*01_Supuestos!$I$126</f>
        <v>-1.30492274353337</v>
      </c>
      <c r="U141" s="116" t="n">
        <f aca="false">-U85*01_Supuestos!$I$126</f>
        <v>-1.3335858406264</v>
      </c>
      <c r="V141" s="116" t="n">
        <f aca="false">-V85*01_Supuestos!$I$126</f>
        <v>-1.36233334660479</v>
      </c>
      <c r="W141" s="116" t="n">
        <f aca="false">-W85*01_Supuestos!$I$126</f>
        <v>-1.39079374937828</v>
      </c>
      <c r="X141" s="116" t="n">
        <f aca="false">-X85*01_Supuestos!$I$126</f>
        <v>-1.41901435256892</v>
      </c>
      <c r="Y141" s="116" t="n">
        <f aca="false">-Y85*01_Supuestos!$I$126</f>
        <v>-1.44704281995225</v>
      </c>
      <c r="Z141" s="116" t="n">
        <f aca="false">-Z85*01_Supuestos!$I$126</f>
        <v>-1.47492709045284</v>
      </c>
      <c r="AA141" s="116" t="n">
        <f aca="false">-AA85*01_Supuestos!$I$126</f>
        <v>-1.50271544982256</v>
      </c>
      <c r="AB141" s="116" t="n">
        <f aca="false">-AB85*01_Supuestos!$I$126</f>
        <v>-1.53046569518557</v>
      </c>
      <c r="AC141" s="116" t="n">
        <f aca="false">-AC85*01_Supuestos!$I$126</f>
        <v>-1.55823595073157</v>
      </c>
      <c r="AD141" s="116" t="n">
        <f aca="false">-AD85*01_Supuestos!$I$126</f>
        <v>-1.58608474470518</v>
      </c>
      <c r="AE141" s="116" t="n">
        <f aca="false">-AE85*01_Supuestos!$I$126</f>
        <v>-1.61407108775804</v>
      </c>
      <c r="AF141" s="116" t="n">
        <f aca="false">-AF85*01_Supuestos!$I$126</f>
        <v>-1.64225454934894</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1.13334926552167</v>
      </c>
      <c r="M142" s="116" t="n">
        <f aca="false">M85*01_Supuestos!$I$101</f>
        <v>0.906679412417338</v>
      </c>
      <c r="N142" s="116" t="n">
        <f aca="false">N85*01_Supuestos!$I$101</f>
        <v>0.75977682455579</v>
      </c>
      <c r="O142" s="116" t="n">
        <f aca="false">O85*01_Supuestos!$I$101</f>
        <v>0.784142632757404</v>
      </c>
      <c r="P142" s="116" t="n">
        <f aca="false">P85*01_Supuestos!$I$101</f>
        <v>0.803401162269618</v>
      </c>
      <c r="Q142" s="116" t="n">
        <f aca="false">Q85*01_Supuestos!$I$101</f>
        <v>0.822815622138322</v>
      </c>
      <c r="R142" s="116" t="n">
        <f aca="false">R85*01_Supuestos!$I$101</f>
        <v>0.842176413210239</v>
      </c>
      <c r="S142" s="116" t="n">
        <f aca="false">S85*01_Supuestos!$I$101</f>
        <v>0.861501728486267</v>
      </c>
      <c r="T142" s="116" t="n">
        <f aca="false">T85*01_Supuestos!$I$101</f>
        <v>0.880822851885027</v>
      </c>
      <c r="U142" s="116" t="n">
        <f aca="false">U85*01_Supuestos!$I$101</f>
        <v>0.900170442422821</v>
      </c>
      <c r="V142" s="116" t="n">
        <f aca="false">V85*01_Supuestos!$I$101</f>
        <v>0.919575008958231</v>
      </c>
      <c r="W142" s="116" t="n">
        <f aca="false">W85*01_Supuestos!$I$101</f>
        <v>0.938785780830336</v>
      </c>
      <c r="X142" s="116" t="n">
        <f aca="false">X85*01_Supuestos!$I$101</f>
        <v>0.957834687984023</v>
      </c>
      <c r="Y142" s="116" t="n">
        <f aca="false">Y85*01_Supuestos!$I$101</f>
        <v>0.976753903467771</v>
      </c>
      <c r="Z142" s="116" t="n">
        <f aca="false">Z85*01_Supuestos!$I$101</f>
        <v>0.995575786055669</v>
      </c>
      <c r="AA142" s="116" t="n">
        <f aca="false">AA85*01_Supuestos!$I$101</f>
        <v>1.01433292863023</v>
      </c>
      <c r="AB142" s="116" t="n">
        <f aca="false">AB85*01_Supuestos!$I$101</f>
        <v>1.03306434425026</v>
      </c>
      <c r="AC142" s="116" t="n">
        <f aca="false">AC85*01_Supuestos!$I$101</f>
        <v>1.05180926674381</v>
      </c>
      <c r="AD142" s="116" t="n">
        <f aca="false">AD85*01_Supuestos!$I$101</f>
        <v>1.07060720267599</v>
      </c>
      <c r="AE142" s="116" t="n">
        <f aca="false">AE85*01_Supuestos!$I$101</f>
        <v>1.08949798423668</v>
      </c>
      <c r="AF142" s="116" t="n">
        <f aca="false">AF85*01_Supuestos!$I$101</f>
        <v>1.10852182081053</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-18.32336341453</v>
      </c>
      <c r="G148" s="136" t="n">
        <f aca="false">G140+G141+G142+G144+G145+G146+G147</f>
        <v>-18.3539212501793</v>
      </c>
      <c r="H148" s="136" t="n">
        <f aca="false">H140+H141+H142+H144+H145+H146+H147</f>
        <v>-18.3822523984975</v>
      </c>
      <c r="I148" s="136" t="n">
        <f aca="false">I140+I141+I142+I144+I145+I146+I147</f>
        <v>-18.4085032886281</v>
      </c>
      <c r="J148" s="136" t="n">
        <f aca="false">J140+J141+J142+J144+J145+J146+J147</f>
        <v>-18.4328109267804</v>
      </c>
      <c r="K148" s="136" t="n">
        <f aca="false">K140+K141+K142+K144+K145+K146+K147</f>
        <v>-18.4553035087905</v>
      </c>
      <c r="L148" s="136" t="n">
        <f aca="false">L140+L141+L142+L144+L145+L146+L147</f>
        <v>-18.4762309486537</v>
      </c>
      <c r="M148" s="136" t="n">
        <f aca="false">M140+M141+M142+M144+M145+M146+M147</f>
        <v>2.23758230035227</v>
      </c>
      <c r="N148" s="136" t="n">
        <f aca="false">N140+N141+N142+N144+N145+N146+N147</f>
        <v>2.29209583054057</v>
      </c>
      <c r="O148" s="136" t="n">
        <f aca="false">O140+O141+O142+O144+O145+O146+O147</f>
        <v>2.26870833975904</v>
      </c>
      <c r="P148" s="136" t="n">
        <f aca="false">P140+P141+P142+P144+P145+P146+P147</f>
        <v>2.26777542253587</v>
      </c>
      <c r="Q148" s="136" t="n">
        <f aca="false">Q140+Q141+Q142+Q144+Q145+Q146+Q147</f>
        <v>2.26481916814456</v>
      </c>
      <c r="R148" s="136" t="n">
        <f aca="false">R140+R141+R142+R144+R145+R146+R147</f>
        <v>2.25955161422006</v>
      </c>
      <c r="S148" s="136" t="n">
        <f aca="false">S140+S141+S142+S144+S145+S146+S147</f>
        <v>2.25202382119627</v>
      </c>
      <c r="T148" s="136" t="n">
        <f aca="false">T140+T141+T142+T144+T145+T146+T147</f>
        <v>2.24227570029562</v>
      </c>
      <c r="U148" s="136" t="n">
        <f aca="false">U140+U141+U142+U144+U145+U146+U147</f>
        <v>2.23034290172828</v>
      </c>
      <c r="V148" s="136" t="n">
        <f aca="false">V140+V141+V142+V144+V145+V146+V147</f>
        <v>2.21625685127189</v>
      </c>
      <c r="W148" s="136" t="n">
        <f aca="false">W140+W141+W142+W144+W145+W146+W147</f>
        <v>2.20018035610162</v>
      </c>
      <c r="X148" s="136" t="n">
        <f aca="false">X140+X141+X142+X144+X145+X146+X147</f>
        <v>2.18213628927491</v>
      </c>
      <c r="Y148" s="136" t="n">
        <f aca="false">Y140+Y141+Y142+Y144+Y145+Y146+Y147</f>
        <v>2.1621438025426</v>
      </c>
      <c r="Z148" s="136" t="n">
        <f aca="false">Z140+Z141+Z142+Z144+Z145+Z146+Z147</f>
        <v>2.14021855400455</v>
      </c>
      <c r="AA148" s="136" t="n">
        <f aca="false">AA140+AA141+AA142+AA144+AA145+AA146+AA147</f>
        <v>2.11637287104535</v>
      </c>
      <c r="AB148" s="136" t="n">
        <f aca="false">AB140+AB141+AB142+AB144+AB145+AB146+AB147</f>
        <v>2.09061294515628</v>
      </c>
      <c r="AC148" s="136" t="n">
        <f aca="false">AC140+AC141+AC142+AC144+AC145+AC146+AC147</f>
        <v>2.06294197801212</v>
      </c>
      <c r="AD148" s="136" t="n">
        <f aca="false">AD140+AD141+AD142+AD144+AD145+AD146+AD147</f>
        <v>2.03336030626117</v>
      </c>
      <c r="AE148" s="136" t="n">
        <f aca="false">AE140+AE141+AE142+AE144+AE145+AE146+AE147</f>
        <v>2.00186551521418</v>
      </c>
      <c r="AF148" s="136" t="n">
        <f aca="false">AF140+AF141+AF142+AF144+AF145+AF146+AF147</f>
        <v>1.9684525431702</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-74.9602655252644</v>
      </c>
      <c r="G149" s="138" t="n">
        <f aca="false">F149+G148</f>
        <v>-93.3141867754437</v>
      </c>
      <c r="H149" s="138" t="n">
        <f aca="false">G149+H148</f>
        <v>-111.696439173941</v>
      </c>
      <c r="I149" s="138" t="n">
        <f aca="false">H149+I148</f>
        <v>-130.104942462569</v>
      </c>
      <c r="J149" s="138" t="n">
        <f aca="false">I149+J148</f>
        <v>-148.53775338935</v>
      </c>
      <c r="K149" s="138" t="n">
        <f aca="false">J149+K148</f>
        <v>-166.99305689814</v>
      </c>
      <c r="L149" s="138" t="n">
        <f aca="false">K149+L148</f>
        <v>-185.469287846794</v>
      </c>
      <c r="M149" s="138" t="n">
        <f aca="false">L149+M148</f>
        <v>-183.231705546442</v>
      </c>
      <c r="N149" s="138" t="n">
        <f aca="false">M149+N148</f>
        <v>-180.939609715901</v>
      </c>
      <c r="O149" s="138" t="n">
        <f aca="false">N149+O148</f>
        <v>-178.670901376142</v>
      </c>
      <c r="P149" s="138" t="n">
        <f aca="false">O149+P148</f>
        <v>-176.403125953606</v>
      </c>
      <c r="Q149" s="138" t="n">
        <f aca="false">P149+Q148</f>
        <v>-174.138306785462</v>
      </c>
      <c r="R149" s="138" t="n">
        <f aca="false">Q149+R148</f>
        <v>-171.878755171241</v>
      </c>
      <c r="S149" s="138" t="n">
        <f aca="false">R149+S148</f>
        <v>-169.626731350045</v>
      </c>
      <c r="T149" s="138" t="n">
        <f aca="false">S149+T148</f>
        <v>-167.38445564975</v>
      </c>
      <c r="U149" s="138" t="n">
        <f aca="false">T149+U148</f>
        <v>-165.154112748021</v>
      </c>
      <c r="V149" s="138" t="n">
        <f aca="false">U149+V148</f>
        <v>-162.937855896749</v>
      </c>
      <c r="W149" s="138" t="n">
        <f aca="false">V149+W148</f>
        <v>-160.737675540648</v>
      </c>
      <c r="X149" s="138" t="n">
        <f aca="false">W149+X148</f>
        <v>-158.555539251373</v>
      </c>
      <c r="Y149" s="138" t="n">
        <f aca="false">X149+Y148</f>
        <v>-156.39339544883</v>
      </c>
      <c r="Z149" s="138" t="n">
        <f aca="false">Y149+Z148</f>
        <v>-154.253176894826</v>
      </c>
      <c r="AA149" s="138" t="n">
        <f aca="false">Z149+AA148</f>
        <v>-152.13680402378</v>
      </c>
      <c r="AB149" s="138" t="n">
        <f aca="false">AA149+AB148</f>
        <v>-150.046191078624</v>
      </c>
      <c r="AC149" s="138" t="n">
        <f aca="false">AB149+AC148</f>
        <v>-147.983249100612</v>
      </c>
      <c r="AD149" s="138" t="n">
        <f aca="false">AC149+AD148</f>
        <v>-145.949888794351</v>
      </c>
      <c r="AE149" s="138" t="n">
        <f aca="false">AD149+AE148</f>
        <v>-143.948023279137</v>
      </c>
      <c r="AF149" s="138" t="n">
        <f aca="false">AE149+AF148</f>
        <v>-141.979570735966</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35.1038595527686</v>
      </c>
      <c r="E153" s="116" t="n">
        <f aca="false">E120</f>
        <v>53.0720061406802</v>
      </c>
      <c r="F153" s="116" t="n">
        <f aca="false">F120</f>
        <v>61.8615311429605</v>
      </c>
      <c r="G153" s="116" t="n">
        <f aca="false">G120</f>
        <v>72.8447858473724</v>
      </c>
      <c r="H153" s="116" t="n">
        <f aca="false">H120</f>
        <v>85.489047213793</v>
      </c>
      <c r="I153" s="116" t="n">
        <f aca="false">I120</f>
        <v>99.8859200684854</v>
      </c>
      <c r="J153" s="116" t="n">
        <f aca="false">J120</f>
        <v>115.612055639854</v>
      </c>
      <c r="K153" s="116" t="n">
        <f aca="false">K120</f>
        <v>132.626319710305</v>
      </c>
      <c r="L153" s="116" t="n">
        <f aca="false">L120</f>
        <v>149.676541722361</v>
      </c>
      <c r="M153" s="116" t="n">
        <f aca="false">M120</f>
        <v>149.344933949558</v>
      </c>
      <c r="N153" s="116" t="n">
        <f aca="false">N120</f>
        <v>150.995647108463</v>
      </c>
      <c r="O153" s="116" t="n">
        <f aca="false">O120</f>
        <v>152.982960266457</v>
      </c>
      <c r="P153" s="116" t="n">
        <f aca="false">P120</f>
        <v>154.300415339116</v>
      </c>
      <c r="Q153" s="116" t="n">
        <f aca="false">Q120</f>
        <v>155.464886594235</v>
      </c>
      <c r="R153" s="116" t="n">
        <f aca="false">R120</f>
        <v>156.67025208975</v>
      </c>
      <c r="S153" s="116" t="n">
        <f aca="false">S120</f>
        <v>157.91163993643</v>
      </c>
      <c r="T153" s="116" t="n">
        <f aca="false">T120</f>
        <v>159.189902862269</v>
      </c>
      <c r="U153" s="116" t="n">
        <f aca="false">U120</f>
        <v>160.505634369716</v>
      </c>
      <c r="V153" s="116" t="n">
        <f aca="false">V120</f>
        <v>161.859438668867</v>
      </c>
      <c r="W153" s="116" t="n">
        <f aca="false">W120</f>
        <v>163.254208927265</v>
      </c>
      <c r="X153" s="116" t="n">
        <f aca="false">X120</f>
        <v>164.691150314053</v>
      </c>
      <c r="Y153" s="116" t="n">
        <f aca="false">Y120</f>
        <v>166.17124717719</v>
      </c>
      <c r="Z153" s="116" t="n">
        <f aca="false">Z120</f>
        <v>167.695183979383</v>
      </c>
      <c r="AA153" s="116" t="n">
        <f aca="false">AA120</f>
        <v>169.263668950392</v>
      </c>
      <c r="AB153" s="116" t="n">
        <f aca="false">AB120</f>
        <v>170.877384922935</v>
      </c>
      <c r="AC153" s="116" t="n">
        <f aca="false">AC120</f>
        <v>172.537027474988</v>
      </c>
      <c r="AD153" s="116" t="n">
        <f aca="false">AD120</f>
        <v>174.243310534169</v>
      </c>
      <c r="AE153" s="116" t="n">
        <f aca="false">AE120</f>
        <v>175.996973655624</v>
      </c>
      <c r="AF153" s="116" t="n">
        <f aca="false">AF120</f>
        <v>177.798782171659</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8.74497890063019</v>
      </c>
      <c r="M154" s="116" t="n">
        <f aca="false">M104</f>
        <v>9.06048979389419</v>
      </c>
      <c r="N154" s="116" t="n">
        <f aca="false">N104</f>
        <v>9.37996079698507</v>
      </c>
      <c r="O154" s="116" t="n">
        <f aca="false">O104</f>
        <v>9.68077324391857</v>
      </c>
      <c r="P154" s="116" t="n">
        <f aca="false">P104</f>
        <v>9.91853286752615</v>
      </c>
      <c r="Q154" s="116" t="n">
        <f aca="false">Q104</f>
        <v>10.1582175572632</v>
      </c>
      <c r="R154" s="116" t="n">
        <f aca="false">R104</f>
        <v>10.3972396692622</v>
      </c>
      <c r="S154" s="116" t="n">
        <f aca="false">S104</f>
        <v>10.6358238084724</v>
      </c>
      <c r="T154" s="116" t="n">
        <f aca="false">T104</f>
        <v>10.8743561961114</v>
      </c>
      <c r="U154" s="116" t="n">
        <f aca="false">U104</f>
        <v>11.1132153385533</v>
      </c>
      <c r="V154" s="116" t="n">
        <f aca="false">V104</f>
        <v>11.3527778883732</v>
      </c>
      <c r="W154" s="116" t="n">
        <f aca="false">W104</f>
        <v>11.5899479114856</v>
      </c>
      <c r="X154" s="116" t="n">
        <f aca="false">X104</f>
        <v>11.825119604741</v>
      </c>
      <c r="Y154" s="116" t="n">
        <f aca="false">Y104</f>
        <v>12.0586901662688</v>
      </c>
      <c r="Z154" s="116" t="n">
        <f aca="false">Z104</f>
        <v>12.291059087107</v>
      </c>
      <c r="AA154" s="116" t="n">
        <f aca="false">AA104</f>
        <v>12.5226287485213</v>
      </c>
      <c r="AB154" s="116" t="n">
        <f aca="false">AB104</f>
        <v>12.7538807932131</v>
      </c>
      <c r="AC154" s="116" t="n">
        <f aca="false">AC104</f>
        <v>12.9852995894298</v>
      </c>
      <c r="AD154" s="116" t="n">
        <f aca="false">AD104</f>
        <v>13.2173728725431</v>
      </c>
      <c r="AE154" s="116" t="n">
        <f aca="false">AE104</f>
        <v>13.4505923979837</v>
      </c>
      <c r="AF154" s="116" t="n">
        <f aca="false">AF104</f>
        <v>13.6854545779078</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89.3239159395288</v>
      </c>
      <c r="L155" s="116" t="n">
        <f aca="false">L70+L121-L227</f>
        <v>98.1093069913369</v>
      </c>
      <c r="M155" s="116" t="n">
        <f aca="false">M70+M121-M227</f>
        <v>104.007155099332</v>
      </c>
      <c r="N155" s="116" t="n">
        <f aca="false">N70+N121-N227</f>
        <v>110.037193172532</v>
      </c>
      <c r="O155" s="116" t="n">
        <f aca="false">O70+O121-O227</f>
        <v>116.203561717018</v>
      </c>
      <c r="P155" s="116" t="n">
        <f aca="false">P70+P121-P227</f>
        <v>122.320127093209</v>
      </c>
      <c r="Q155" s="116" t="n">
        <f aca="false">Q70+Q121-Q227</f>
        <v>128.377070634612</v>
      </c>
      <c r="R155" s="116" t="n">
        <f aca="false">R70+R121-R227</f>
        <v>134.386208791589</v>
      </c>
      <c r="S155" s="116" t="n">
        <f aca="false">S70+S121-S227</f>
        <v>140.365737777672</v>
      </c>
      <c r="T155" s="116" t="n">
        <f aca="false">T70+T121-T227</f>
        <v>146.333459925976</v>
      </c>
      <c r="U155" s="116" t="n">
        <f aca="false">U70+U121-U227</f>
        <v>152.307017664594</v>
      </c>
      <c r="V155" s="116" t="n">
        <f aca="false">V70+V121-V227</f>
        <v>158.303920632966</v>
      </c>
      <c r="W155" s="116" t="n">
        <f aca="false">W70+W121-W227</f>
        <v>164.341750572552</v>
      </c>
      <c r="X155" s="116" t="n">
        <f aca="false">X70+X121-X227</f>
        <v>170.438110144791</v>
      </c>
      <c r="Y155" s="116" t="n">
        <f aca="false">Y70+Y121-Y227</f>
        <v>176.610593610436</v>
      </c>
      <c r="Z155" s="116" t="n">
        <f aca="false">Z70+Z121-Z227</f>
        <v>182.876809671554</v>
      </c>
      <c r="AA155" s="116" t="n">
        <f aca="false">AA70+AA121-AA227</f>
        <v>189.254399974225</v>
      </c>
      <c r="AB155" s="116" t="n">
        <f aca="false">AB70+AB121-AB227</f>
        <v>195.761063835568</v>
      </c>
      <c r="AC155" s="116" t="n">
        <f aca="false">AC70+AC121-AC227</f>
        <v>202.414583842352</v>
      </c>
      <c r="AD155" s="116" t="n">
        <f aca="false">AD70+AD121-AD227</f>
        <v>209.232851867672</v>
      </c>
      <c r="AE155" s="116" t="n">
        <f aca="false">AE70+AE121-AE227</f>
        <v>216.233894402419</v>
      </c>
      <c r="AF155" s="116" t="n">
        <f aca="false">AF70+AF121-AF227</f>
        <v>223.435897345849</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79.95545280556</v>
      </c>
      <c r="E156" s="136" t="n">
        <f aca="false">SUM(E152:E155)+E187</f>
        <v>120.991004323071</v>
      </c>
      <c r="F156" s="136" t="n">
        <f aca="false">SUM(F152:F155)+F187</f>
        <v>209.017221261074</v>
      </c>
      <c r="G156" s="136" t="n">
        <f aca="false">SUM(G152:G155)+G187</f>
        <v>251.029805243165</v>
      </c>
      <c r="H156" s="136" t="n">
        <f aca="false">SUM(H152:H155)+H187</f>
        <v>286.734520809523</v>
      </c>
      <c r="I156" s="136" t="n">
        <f aca="false">SUM(I152:I155)+I187</f>
        <v>324.582149440378</v>
      </c>
      <c r="J156" s="136" t="n">
        <f aca="false">SUM(J152:J155)+J187</f>
        <v>364.158038396588</v>
      </c>
      <c r="K156" s="136" t="n">
        <f aca="false">SUM(K152:K155)+K187</f>
        <v>405.513251389247</v>
      </c>
      <c r="L156" s="136" t="n">
        <f aca="false">SUM(L152:L155)+L187</f>
        <v>448.702200436235</v>
      </c>
      <c r="M156" s="136" t="n">
        <f aca="false">SUM(M152:M155)+M187</f>
        <v>469.810278066891</v>
      </c>
      <c r="N156" s="136" t="n">
        <f aca="false">SUM(N152:N155)+N187</f>
        <v>482.580647384242</v>
      </c>
      <c r="O156" s="136" t="n">
        <f aca="false">SUM(O152:O155)+O187</f>
        <v>495.915001998699</v>
      </c>
      <c r="P156" s="136" t="n">
        <f aca="false">SUM(P152:P155)+P187</f>
        <v>508.578879326897</v>
      </c>
      <c r="Q156" s="136" t="n">
        <f aca="false">SUM(Q152:Q155)+Q187</f>
        <v>521.146894305779</v>
      </c>
      <c r="R156" s="136" t="n">
        <f aca="false">SUM(R152:R155)+R187</f>
        <v>533.82479461922</v>
      </c>
      <c r="S156" s="136" t="n">
        <f aca="false">SUM(S152:S155)+S187</f>
        <v>546.628830754773</v>
      </c>
      <c r="T156" s="136" t="n">
        <f aca="false">SUM(T152:T155)+T187</f>
        <v>559.580807688895</v>
      </c>
      <c r="U156" s="136" t="n">
        <f aca="false">SUM(U152:U155)+U187</f>
        <v>572.702167117606</v>
      </c>
      <c r="V156" s="136" t="n">
        <f aca="false">SUM(V152:V155)+V187</f>
        <v>586.014291829079</v>
      </c>
      <c r="W156" s="136" t="n">
        <f aca="false">SUM(W152:W155)+W187</f>
        <v>599.537519606869</v>
      </c>
      <c r="X156" s="136" t="n">
        <f aca="false">SUM(X152:X155)+X187</f>
        <v>613.294079339649</v>
      </c>
      <c r="Y156" s="136" t="n">
        <f aca="false">SUM(Y152:Y155)+Y187</f>
        <v>627.306043313309</v>
      </c>
      <c r="Z156" s="136" t="n">
        <f aca="false">SUM(Z152:Z155)+Z187</f>
        <v>641.595271881724</v>
      </c>
      <c r="AA156" s="136" t="n">
        <f aca="false">SUM(AA152:AA155)+AA187</f>
        <v>656.183757857123</v>
      </c>
      <c r="AB156" s="136" t="n">
        <f aca="false">SUM(AB152:AB155)+AB187</f>
        <v>671.093680119932</v>
      </c>
      <c r="AC156" s="136" t="n">
        <f aca="false">SUM(AC152:AC155)+AC187</f>
        <v>686.347392538055</v>
      </c>
      <c r="AD156" s="136" t="n">
        <f aca="false">SUM(AD152:AD155)+AD187</f>
        <v>701.967457983189</v>
      </c>
      <c r="AE156" s="136" t="n">
        <f aca="false">SUM(AE152:AE155)+AE187</f>
        <v>717.976683387134</v>
      </c>
      <c r="AF156" s="136" t="n">
        <f aca="false">SUM(AF152:AF155)+AF187</f>
        <v>734.398147153938</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336.880656775944</v>
      </c>
      <c r="L157" s="116" t="n">
        <f aca="false">L69+L80+L121</f>
        <v>351.261170508469</v>
      </c>
      <c r="M157" s="116" t="n">
        <f aca="false">M69+M80+M121</f>
        <v>365.044536095607</v>
      </c>
      <c r="N157" s="116" t="n">
        <f aca="false">N69+N80+N121</f>
        <v>377.904175166834</v>
      </c>
      <c r="O157" s="116" t="n">
        <f aca="false">O69+O80+O121</f>
        <v>390.020760532206</v>
      </c>
      <c r="P157" s="116" t="n">
        <f aca="false">P69+P80+P121</f>
        <v>399.428231716992</v>
      </c>
      <c r="Q157" s="116" t="n">
        <f aca="false">Q69+Q80+Q121</f>
        <v>408.902003294476</v>
      </c>
      <c r="R157" s="116" t="n">
        <f aca="false">R69+R80+R121</f>
        <v>418.360188304488</v>
      </c>
      <c r="S157" s="116" t="n">
        <f aca="false">S69+S80+S121</f>
        <v>427.818134032707</v>
      </c>
      <c r="T157" s="116" t="n">
        <f aca="false">T69+T80+T121</f>
        <v>437.290878409667</v>
      </c>
      <c r="U157" s="116" t="n">
        <f aca="false">U69+U80+U121</f>
        <v>446.7933843759</v>
      </c>
      <c r="V157" s="116" t="n">
        <f aca="false">V69+V80+V121</f>
        <v>456.340567455</v>
      </c>
      <c r="W157" s="116" t="n">
        <f aca="false">W69+W80+W121</f>
        <v>465.80864420351</v>
      </c>
      <c r="X157" s="116" t="n">
        <f aca="false">X69+X80+X121</f>
        <v>475.213384831807</v>
      </c>
      <c r="Y157" s="116" t="n">
        <f aca="false">Y69+Y80+Y121</f>
        <v>484.570649868614</v>
      </c>
      <c r="Z157" s="116" t="n">
        <f aca="false">Z69+Z80+Z121</f>
        <v>493.896413977981</v>
      </c>
      <c r="AA157" s="116" t="n">
        <f aca="false">AA69+AA80+AA121</f>
        <v>503.206785501501</v>
      </c>
      <c r="AB157" s="116" t="n">
        <f aca="false">AB69+AB80+AB121</f>
        <v>512.521067519429</v>
      </c>
      <c r="AC157" s="116" t="n">
        <f aca="false">AC69+AC80+AC121</f>
        <v>521.858697274735</v>
      </c>
      <c r="AD157" s="116" t="n">
        <f aca="false">AD69+AD80+AD121</f>
        <v>531.239272242056</v>
      </c>
      <c r="AE157" s="116" t="n">
        <f aca="false">AE69+AE80+AE121</f>
        <v>540.682575547197</v>
      </c>
      <c r="AF157" s="116" t="n">
        <f aca="false">AF69+AF80+AF121</f>
        <v>550.208600879881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187.652339662692</v>
      </c>
      <c r="M159" s="116" t="n">
        <f aca="false">M72</f>
        <v>201.492878723063</v>
      </c>
      <c r="N159" s="116" t="n">
        <f aca="false">N72</f>
        <v>206.829277243367</v>
      </c>
      <c r="O159" s="116" t="n">
        <f aca="false">O72</f>
        <v>212.558232271394</v>
      </c>
      <c r="P159" s="116" t="n">
        <f aca="false">P72</f>
        <v>217.630537405409</v>
      </c>
      <c r="Q159" s="116" t="n">
        <f aca="false">Q72</f>
        <v>222.629726854445</v>
      </c>
      <c r="R159" s="116" t="n">
        <f aca="false">R72</f>
        <v>227.748809972758</v>
      </c>
      <c r="S159" s="116" t="n">
        <f aca="false">S72</f>
        <v>232.98489610812</v>
      </c>
      <c r="T159" s="116" t="n">
        <f aca="false">T72</f>
        <v>238.341019354479</v>
      </c>
      <c r="U159" s="116" t="n">
        <f aca="false">U72</f>
        <v>243.819986216626</v>
      </c>
      <c r="V159" s="116" t="n">
        <f aca="false">V72</f>
        <v>249.424652261082</v>
      </c>
      <c r="W159" s="116" t="n">
        <f aca="false">W72</f>
        <v>255.156730508175</v>
      </c>
      <c r="X159" s="116" t="n">
        <f aca="false">X72</f>
        <v>261.019778087828</v>
      </c>
      <c r="Y159" s="116" t="n">
        <f aca="false">Y72</f>
        <v>267.017177200432</v>
      </c>
      <c r="Z159" s="116" t="n">
        <f aca="false">Z72</f>
        <v>273.152056277433</v>
      </c>
      <c r="AA159" s="116" t="n">
        <f aca="false">AA72</f>
        <v>279.427615184108</v>
      </c>
      <c r="AB159" s="116" t="n">
        <f aca="false">AB72</f>
        <v>285.847153400369</v>
      </c>
      <c r="AC159" s="116" t="n">
        <f aca="false">AC72</f>
        <v>292.414032621873</v>
      </c>
      <c r="AD159" s="116" t="n">
        <f aca="false">AD72</f>
        <v>299.131684022107</v>
      </c>
      <c r="AE159" s="116" t="n">
        <f aca="false">AE72</f>
        <v>306.003617221235</v>
      </c>
      <c r="AF159" s="116" t="n">
        <f aca="false">AF72</f>
        <v>313.033422132787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507.964694653947</v>
      </c>
      <c r="L160" s="136" t="n">
        <f aca="false">SUM(L157:L159)</f>
        <v>538.913510171161</v>
      </c>
      <c r="M160" s="136" t="n">
        <f aca="false">SUM(M157:M159)</f>
        <v>566.53741481867</v>
      </c>
      <c r="N160" s="136" t="n">
        <f aca="false">SUM(N157:N159)</f>
        <v>584.733452410201</v>
      </c>
      <c r="O160" s="136" t="n">
        <f aca="false">SUM(O157:O159)</f>
        <v>602.578992803601</v>
      </c>
      <c r="P160" s="136" t="n">
        <f aca="false">SUM(P157:P159)</f>
        <v>617.058769122401</v>
      </c>
      <c r="Q160" s="136" t="n">
        <f aca="false">SUM(Q157:Q159)</f>
        <v>631.531730148921</v>
      </c>
      <c r="R160" s="136" t="n">
        <f aca="false">SUM(R157:R159)</f>
        <v>646.108998277246</v>
      </c>
      <c r="S160" s="136" t="n">
        <f aca="false">SUM(S157:S159)</f>
        <v>660.803030140827</v>
      </c>
      <c r="T160" s="136" t="n">
        <f aca="false">SUM(T157:T159)</f>
        <v>675.631897764146</v>
      </c>
      <c r="U160" s="136" t="n">
        <f aca="false">SUM(U157:U159)</f>
        <v>690.613370592526</v>
      </c>
      <c r="V160" s="136" t="n">
        <f aca="false">SUM(V157:V159)</f>
        <v>705.765219716081</v>
      </c>
      <c r="W160" s="136" t="n">
        <f aca="false">SUM(W157:W159)</f>
        <v>720.965374711685</v>
      </c>
      <c r="X160" s="136" t="n">
        <f aca="false">SUM(X157:X159)</f>
        <v>736.233162919635</v>
      </c>
      <c r="Y160" s="136" t="n">
        <f aca="false">SUM(Y157:Y159)</f>
        <v>751.587827069046</v>
      </c>
      <c r="Z160" s="136" t="n">
        <f aca="false">SUM(Z157:Z159)</f>
        <v>767.048470255414</v>
      </c>
      <c r="AA160" s="136" t="n">
        <f aca="false">SUM(AA157:AA159)</f>
        <v>782.634400685609</v>
      </c>
      <c r="AB160" s="136" t="n">
        <f aca="false">SUM(AB157:AB159)</f>
        <v>798.368220919799</v>
      </c>
      <c r="AC160" s="136" t="n">
        <f aca="false">SUM(AC157:AC159)</f>
        <v>814.272729896608</v>
      </c>
      <c r="AD160" s="136" t="n">
        <f aca="false">SUM(AD157:AD159)</f>
        <v>830.370956264163</v>
      </c>
      <c r="AE160" s="136" t="n">
        <f aca="false">SUM(AE157:AE159)</f>
        <v>846.686192768432</v>
      </c>
      <c r="AF160" s="136" t="n">
        <f aca="false">SUM(AF157:AF159)</f>
        <v>863.242023012668</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-58.2803884221606</v>
      </c>
      <c r="E161" s="138" t="n">
        <f aca="false">E156-E160</f>
        <v>-72.8220340547052</v>
      </c>
      <c r="F161" s="138" t="n">
        <f aca="false">F156-F160</f>
        <v>-150.53882087251</v>
      </c>
      <c r="G161" s="138" t="n">
        <f aca="false">G156-G160</f>
        <v>-143.453546630034</v>
      </c>
      <c r="H161" s="138" t="n">
        <f aca="false">H156-H160</f>
        <v>-135.14560929965</v>
      </c>
      <c r="I161" s="138" t="n">
        <f aca="false">I156-I160</f>
        <v>-125.563981380522</v>
      </c>
      <c r="J161" s="138" t="n">
        <f aca="false">J156-J160</f>
        <v>-114.652485747762</v>
      </c>
      <c r="K161" s="138" t="n">
        <f aca="false">K156-K160</f>
        <v>-102.4514432647</v>
      </c>
      <c r="L161" s="138" t="n">
        <f aca="false">L156-L160</f>
        <v>-90.2113097349264</v>
      </c>
      <c r="M161" s="138" t="n">
        <f aca="false">M156-M160</f>
        <v>-96.7271367517795</v>
      </c>
      <c r="N161" s="138" t="n">
        <f aca="false">N156-N160</f>
        <v>-102.152805025959</v>
      </c>
      <c r="O161" s="138" t="n">
        <f aca="false">O156-O160</f>
        <v>-106.663990804902</v>
      </c>
      <c r="P161" s="138" t="n">
        <f aca="false">P156-P160</f>
        <v>-108.479889795504</v>
      </c>
      <c r="Q161" s="138" t="n">
        <f aca="false">Q156-Q160</f>
        <v>-110.384835843142</v>
      </c>
      <c r="R161" s="138" t="n">
        <f aca="false">R156-R160</f>
        <v>-112.284203658026</v>
      </c>
      <c r="S161" s="138" t="n">
        <f aca="false">S156-S160</f>
        <v>-114.174199386054</v>
      </c>
      <c r="T161" s="138" t="n">
        <f aca="false">T156-T160</f>
        <v>-116.051090075251</v>
      </c>
      <c r="U161" s="138" t="n">
        <f aca="false">U156-U160</f>
        <v>-117.911203474919</v>
      </c>
      <c r="V161" s="138" t="n">
        <f aca="false">V156-V160</f>
        <v>-119.750927887003</v>
      </c>
      <c r="W161" s="138" t="n">
        <f aca="false">W156-W160</f>
        <v>-121.427855104817</v>
      </c>
      <c r="X161" s="138" t="n">
        <f aca="false">X156-X160</f>
        <v>-122.939083579986</v>
      </c>
      <c r="Y161" s="138" t="n">
        <f aca="false">Y156-Y160</f>
        <v>-124.281783755737</v>
      </c>
      <c r="Z161" s="138" t="n">
        <f aca="false">Z156-Z160</f>
        <v>-125.45319837369</v>
      </c>
      <c r="AA161" s="138" t="n">
        <f aca="false">AA156-AA160</f>
        <v>-126.450642828486</v>
      </c>
      <c r="AB161" s="138" t="n">
        <f aca="false">AB156-AB160</f>
        <v>-127.274540799866</v>
      </c>
      <c r="AC161" s="138" t="n">
        <f aca="false">AC156-AC160</f>
        <v>-127.925337358553</v>
      </c>
      <c r="AD161" s="138" t="n">
        <f aca="false">AD156-AD160</f>
        <v>-128.403498280974</v>
      </c>
      <c r="AE161" s="138" t="n">
        <f aca="false">AE156-AE160</f>
        <v>-128.709509381298</v>
      </c>
      <c r="AF161" s="138" t="n">
        <f aca="false">AF156-AF160</f>
        <v>-128.84387585873</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-58.2803884221606</v>
      </c>
      <c r="E163" s="116" t="n">
        <f aca="false">D163+E53+E56+E58+E118+E119+E60+E113+E101-E115-E162</f>
        <v>-72.8220340547052</v>
      </c>
      <c r="F163" s="116" t="n">
        <f aca="false">E163+F53+F56+F58+F118+F119+F60+F113+F101-F115-F162</f>
        <v>-150.53882087251</v>
      </c>
      <c r="G163" s="116" t="n">
        <f aca="false">F163+G53+G56+G58+G118+G119+G60+G113+G101-G115-G162</f>
        <v>-143.453546630034</v>
      </c>
      <c r="H163" s="116" t="n">
        <f aca="false">G163+H53+H56+H58+H118+H119+H60+H113+H101-H115-H162</f>
        <v>-135.14560929965</v>
      </c>
      <c r="I163" s="116" t="n">
        <f aca="false">H163+I53+I56+I58+I118+I119+I60+I113+I101-I115-I162</f>
        <v>-125.563981380522</v>
      </c>
      <c r="J163" s="116" t="n">
        <f aca="false">I163+J53+J56+J58+J118+J119+J60+J113+J101-J115-J162</f>
        <v>-114.652485747762</v>
      </c>
      <c r="K163" s="116" t="n">
        <f aca="false">J163+K53+K56+K58+K118+K119+K60+K113+K101-K115-K162</f>
        <v>-102.4514432647</v>
      </c>
      <c r="L163" s="116" t="n">
        <f aca="false">K163+L53+L56+L58+L118+L119+L60+L113+L101-L115-L162</f>
        <v>-90.2113097349265</v>
      </c>
      <c r="M163" s="116" t="n">
        <f aca="false">L163+M53+M56+M58+M118+M119+M60+M113+M101-M115-M162</f>
        <v>-96.7271367517796</v>
      </c>
      <c r="N163" s="116" t="n">
        <f aca="false">M163+N53+N56+N58+N118+N119+N60+N113+N101-N115-N162</f>
        <v>-102.152805025959</v>
      </c>
      <c r="O163" s="116" t="n">
        <f aca="false">N163+O53+O56+O58+O118+O119+O60+O113+O101-O115-O162</f>
        <v>-106.663990804902</v>
      </c>
      <c r="P163" s="116" t="n">
        <f aca="false">O163+P53+P56+P58+P118+P119+P60+P113+P101-P115-P162</f>
        <v>-108.479889795505</v>
      </c>
      <c r="Q163" s="116" t="n">
        <f aca="false">P163+Q53+Q56+Q58+Q118+Q119+Q60+Q113+Q101-Q115-Q162</f>
        <v>-110.384835843142</v>
      </c>
      <c r="R163" s="116" t="n">
        <f aca="false">Q163+R53+R56+R58+R118+R119+R60+R113+R101-R115-R162</f>
        <v>-112.284203658026</v>
      </c>
      <c r="S163" s="116" t="n">
        <f aca="false">R163+S53+S56+S58+S118+S119+S60+S113+S101-S115-S162</f>
        <v>-114.174199386055</v>
      </c>
      <c r="T163" s="116" t="n">
        <f aca="false">S163+T53+T56+T58+T118+T119+T60+T113+T101-T115-T162</f>
        <v>-116.051090075251</v>
      </c>
      <c r="U163" s="116" t="n">
        <f aca="false">T163+U53+U56+U58+U118+U119+U60+U113+U101-U115-U162</f>
        <v>-117.911203474919</v>
      </c>
      <c r="V163" s="116" t="n">
        <f aca="false">U163+V53+V56+V58+V118+V119+V60+V113+V101-V115-V162</f>
        <v>-119.750927887003</v>
      </c>
      <c r="W163" s="116" t="n">
        <f aca="false">V163+W53+W56+W58+W118+W119+W60+W113+W101-W115-W162</f>
        <v>-121.427855104817</v>
      </c>
      <c r="X163" s="116" t="n">
        <f aca="false">W163+X53+X56+X58+X118+X119+X60+X113+X101-X115-X162</f>
        <v>-122.939083579986</v>
      </c>
      <c r="Y163" s="116" t="n">
        <f aca="false">X163+Y53+Y56+Y58+Y118+Y119+Y60+Y113+Y101-Y115-Y162</f>
        <v>-124.281783755737</v>
      </c>
      <c r="Z163" s="116" t="n">
        <f aca="false">Y163+Z53+Z56+Z58+Z118+Z119+Z60+Z113+Z101-Z115-Z162</f>
        <v>-125.45319837369</v>
      </c>
      <c r="AA163" s="116" t="n">
        <f aca="false">Z163+AA53+AA56+AA58+AA118+AA119+AA60+AA113+AA101-AA115-AA162</f>
        <v>-126.450642828486</v>
      </c>
      <c r="AB163" s="116" t="n">
        <f aca="false">AA163+AB53+AB56+AB58+AB118+AB119+AB60+AB113+AB101-AB115-AB162</f>
        <v>-127.274540799866</v>
      </c>
      <c r="AC163" s="116" t="n">
        <f aca="false">AB163+AC53+AC56+AC58+AC118+AC119+AC60+AC113+AC101-AC115-AC162</f>
        <v>-127.925337358553</v>
      </c>
      <c r="AD163" s="116" t="n">
        <f aca="false">AC163+AD53+AD56+AD58+AD118+AD119+AD60+AD113+AD101-AD115-AD162</f>
        <v>-128.403498280974</v>
      </c>
      <c r="AE163" s="116" t="n">
        <f aca="false">AD163+AE53+AE56+AE58+AE118+AE119+AE60+AE113+AE101-AE115-AE162</f>
        <v>-128.709509381298</v>
      </c>
      <c r="AF163" s="116" t="n">
        <f aca="false">AE163+AF53+AF56+AF58+AF118+AF119+AF60+AF113+AF101-AF115-AF162</f>
        <v>-128.84387585873</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-78.2974655252644</v>
      </c>
      <c r="G192" s="142" t="n">
        <f aca="false">G149-SUM($C$191:G191)</f>
        <v>-98.8761867754437</v>
      </c>
      <c r="H192" s="142" t="n">
        <f aca="false">H149-SUM($C$191:H191)</f>
        <v>-120.039439173941</v>
      </c>
      <c r="I192" s="142" t="n">
        <f aca="false">I149-SUM($C$191:I191)</f>
        <v>-141.785142462569</v>
      </c>
      <c r="J192" s="142" t="n">
        <f aca="false">J149-SUM($C$191:J191)</f>
        <v>-164.11135338935</v>
      </c>
      <c r="K192" s="142" t="n">
        <f aca="false">K149-SUM($C$191:K191)</f>
        <v>-187.01625689814</v>
      </c>
      <c r="L192" s="142" t="n">
        <f aca="false">L149-SUM($C$191:L191)</f>
        <v>-210.498287846794</v>
      </c>
      <c r="M192" s="142" t="n">
        <f aca="false">M149-SUM($C$191:M191)</f>
        <v>-213.822705546442</v>
      </c>
      <c r="N192" s="142" t="n">
        <f aca="false">N149-SUM($C$191:N191)</f>
        <v>-217.092609715901</v>
      </c>
      <c r="O192" s="142" t="n">
        <f aca="false">O149-SUM($C$191:O191)</f>
        <v>-220.385901376142</v>
      </c>
      <c r="P192" s="142" t="n">
        <f aca="false">P149-SUM($C$191:P191)</f>
        <v>-223.680125953606</v>
      </c>
      <c r="Q192" s="142" t="n">
        <f aca="false">Q149-SUM($C$191:Q191)</f>
        <v>-226.977306785462</v>
      </c>
      <c r="R192" s="142" t="n">
        <f aca="false">R149-SUM($C$191:R191)</f>
        <v>-230.279755171241</v>
      </c>
      <c r="S192" s="142" t="n">
        <f aca="false">S149-SUM($C$191:S191)</f>
        <v>-233.589731350045</v>
      </c>
      <c r="T192" s="142" t="n">
        <f aca="false">T149-SUM($C$191:T191)</f>
        <v>-236.90945564975</v>
      </c>
      <c r="U192" s="142" t="n">
        <f aca="false">U149-SUM($C$191:U191)</f>
        <v>-240.241112748021</v>
      </c>
      <c r="V192" s="142" t="n">
        <f aca="false">V149-SUM($C$191:V191)</f>
        <v>-243.586855896749</v>
      </c>
      <c r="W192" s="142" t="n">
        <f aca="false">W149-SUM($C$191:W191)</f>
        <v>-246.948675540648</v>
      </c>
      <c r="X192" s="142" t="n">
        <f aca="false">X149-SUM($C$191:X191)</f>
        <v>-250.328539251373</v>
      </c>
      <c r="Y192" s="142" t="n">
        <f aca="false">Y149-SUM($C$191:Y191)</f>
        <v>-253.72839544883</v>
      </c>
      <c r="Z192" s="142" t="n">
        <f aca="false">Z149-SUM($C$191:Z191)</f>
        <v>-257.150176894826</v>
      </c>
      <c r="AA192" s="142" t="n">
        <f aca="false">AA149-SUM($C$191:AA191)</f>
        <v>-260.59580402378</v>
      </c>
      <c r="AB192" s="142" t="n">
        <f aca="false">AB149-SUM($C$191:AB191)</f>
        <v>-264.067191078624</v>
      </c>
      <c r="AC192" s="142" t="n">
        <f aca="false">AC149-SUM($C$191:AC191)</f>
        <v>-267.566249100612</v>
      </c>
      <c r="AD192" s="142" t="n">
        <f aca="false">AD149-SUM($C$191:AD191)</f>
        <v>-271.094888794351</v>
      </c>
      <c r="AE192" s="142" t="n">
        <f aca="false">AE149-SUM($C$191:AE191)</f>
        <v>-274.655023279137</v>
      </c>
      <c r="AF192" s="142" t="n">
        <f aca="false">AF149-SUM($C$191:AF191)</f>
        <v>-278.248570735966</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0.349799156025208</v>
      </c>
      <c r="M221" s="116" t="n">
        <f aca="false">M112</f>
        <v>0.362419591755768</v>
      </c>
      <c r="N221" s="116" t="n">
        <f aca="false">N112</f>
        <v>0.375198431879403</v>
      </c>
      <c r="O221" s="116" t="n">
        <f aca="false">O112</f>
        <v>0.387230929756743</v>
      </c>
      <c r="P221" s="116" t="n">
        <f aca="false">P112</f>
        <v>0.396741314701046</v>
      </c>
      <c r="Q221" s="116" t="n">
        <f aca="false">Q112</f>
        <v>0.406328702290529</v>
      </c>
      <c r="R221" s="116" t="n">
        <f aca="false">R112</f>
        <v>0.415889586770488</v>
      </c>
      <c r="S221" s="116" t="n">
        <f aca="false">S112</f>
        <v>0.425432952338897</v>
      </c>
      <c r="T221" s="116" t="n">
        <f aca="false">T112</f>
        <v>0.434974247844458</v>
      </c>
      <c r="U221" s="116" t="n">
        <f aca="false">U112</f>
        <v>0.444528613542134</v>
      </c>
      <c r="V221" s="116" t="n">
        <f aca="false">V112</f>
        <v>0.454111115534929</v>
      </c>
      <c r="W221" s="116" t="n">
        <f aca="false">W112</f>
        <v>0.463597916459425</v>
      </c>
      <c r="X221" s="116" t="n">
        <f aca="false">X112</f>
        <v>0.473004784189641</v>
      </c>
      <c r="Y221" s="116" t="n">
        <f aca="false">Y112</f>
        <v>0.482347606650751</v>
      </c>
      <c r="Z221" s="116" t="n">
        <f aca="false">Z112</f>
        <v>0.491642363484281</v>
      </c>
      <c r="AA221" s="116" t="n">
        <f aca="false">AA112</f>
        <v>0.500905149940852</v>
      </c>
      <c r="AB221" s="116" t="n">
        <f aca="false">AB112</f>
        <v>0.510155231728525</v>
      </c>
      <c r="AC221" s="116" t="n">
        <f aca="false">AC112</f>
        <v>0.519411983577191</v>
      </c>
      <c r="AD221" s="116" t="n">
        <f aca="false">AD112</f>
        <v>0.528694914901726</v>
      </c>
      <c r="AE221" s="116" t="n">
        <f aca="false">AE112</f>
        <v>0.538023695919348</v>
      </c>
      <c r="AF221" s="116" t="n">
        <f aca="false">AF112</f>
        <v>0.547418183116313</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7.39838392993862</v>
      </c>
      <c r="M222" s="87" t="n">
        <f aca="false">IF(M221&gt;0,M220/M221,0)</f>
        <v>7.53612816243275</v>
      </c>
      <c r="N222" s="87" t="n">
        <f aca="false">IF(N221&gt;0,N220/N221,0)</f>
        <v>7.48647671890607</v>
      </c>
      <c r="O222" s="87" t="n">
        <f aca="false">IF(O221&gt;0,O220/O221,0)</f>
        <v>7.31768765715383</v>
      </c>
      <c r="P222" s="87" t="n">
        <f aca="false">IF(P221&gt;0,P220/P221,0)</f>
        <v>6.68164678788126</v>
      </c>
      <c r="Q222" s="87" t="n">
        <f aca="false">IF(Q221&gt;0,Q220/Q221,0)</f>
        <v>6.10324038070963</v>
      </c>
      <c r="R222" s="87" t="n">
        <f aca="false">IF(R221&gt;0,R220/R221,0)</f>
        <v>5.57836547806344</v>
      </c>
      <c r="S222" s="87" t="n">
        <f aca="false">IF(S221&gt;0,S220/S221,0)</f>
        <v>5.10153558024717</v>
      </c>
      <c r="T222" s="87" t="n">
        <f aca="false">IF(T221&gt;0,T220/T221,0)</f>
        <v>4.66783541054135</v>
      </c>
      <c r="U222" s="87" t="n">
        <f aca="false">IF(U221&gt;0,U220/U221,0)</f>
        <v>4.27293605525467</v>
      </c>
      <c r="V222" s="87" t="n">
        <f aca="false">IF(V221&gt;0,V220/V221,0)</f>
        <v>3.9130105305011</v>
      </c>
      <c r="W222" s="87" t="n">
        <f aca="false">IF(W221&gt;0,W220/W221,0)</f>
        <v>3.58573927611913</v>
      </c>
      <c r="X222" s="87" t="n">
        <f aca="false">IF(X221&gt;0,X220/X221,0)</f>
        <v>3.28777194176873</v>
      </c>
      <c r="Y222" s="87" t="n">
        <f aca="false">IF(Y221&gt;0,Y220/Y221,0)</f>
        <v>3.01615825504195</v>
      </c>
      <c r="Z222" s="87" t="n">
        <f aca="false">IF(Z221&gt;0,Z220/Z221,0)</f>
        <v>2.76829258544398</v>
      </c>
      <c r="AA222" s="87" t="n">
        <f aca="false">IF(AA221&gt;0,AA220/AA221,0)</f>
        <v>2.54186701256118</v>
      </c>
      <c r="AB222" s="87" t="n">
        <f aca="false">IF(AB221&gt;0,AB220/AB221,0)</f>
        <v>2.33481788618025</v>
      </c>
      <c r="AC222" s="87" t="n">
        <f aca="false">IF(AC221&gt;0,AC220/AC221,0)</f>
        <v>2.14531182067987</v>
      </c>
      <c r="AD222" s="87" t="n">
        <f aca="false">IF(AD221&gt;0,AD220/AD221,0)</f>
        <v>1.97171568917599</v>
      </c>
      <c r="AE222" s="87" t="n">
        <f aca="false">IF(AE221&gt;0,AE220/AE221,0)</f>
        <v>1.81257112199963</v>
      </c>
      <c r="AF222" s="87" t="n">
        <f aca="false">IF(AF221&gt;0,AF220/AF221,0)</f>
        <v>1.66657274702371</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2.23814929861778</v>
      </c>
      <c r="M223" s="88" t="n">
        <f aca="false">M220-M221</f>
        <v>2.36882090029225</v>
      </c>
      <c r="N223" s="88" t="n">
        <f aca="false">N220-N221</f>
        <v>2.43371589335581</v>
      </c>
      <c r="O223" s="88" t="n">
        <f aca="false">O220-O221</f>
        <v>2.44640406539237</v>
      </c>
      <c r="P223" s="88" t="n">
        <f aca="false">P220-P221</f>
        <v>2.25414401629099</v>
      </c>
      <c r="Q223" s="88" t="n">
        <f aca="false">Q220-Q221</f>
        <v>2.07359304137037</v>
      </c>
      <c r="R223" s="88" t="n">
        <f aca="false">R220-R221</f>
        <v>1.90409452675607</v>
      </c>
      <c r="S223" s="88" t="n">
        <f aca="false">S220-S221</f>
        <v>1.74492839102759</v>
      </c>
      <c r="T223" s="88" t="n">
        <f aca="false">T220-T221</f>
        <v>1.59541394891749</v>
      </c>
      <c r="U223" s="88" t="n">
        <f aca="false">U220-U221</f>
        <v>1.45491372685442</v>
      </c>
      <c r="V223" s="88" t="n">
        <f aca="false">V220-V221</f>
        <v>1.32283046157085</v>
      </c>
      <c r="W223" s="88" t="n">
        <f aca="false">W220-W221</f>
        <v>1.19874334091613</v>
      </c>
      <c r="X223" s="88" t="n">
        <f aca="false">X220-X221</f>
        <v>1.08212707359143</v>
      </c>
      <c r="Y223" s="88" t="n">
        <f aca="false">Y220-Y221</f>
        <v>0.972489108948641</v>
      </c>
      <c r="Z223" s="88" t="n">
        <f aca="false">Z220-Z221</f>
        <v>0.869367546039408</v>
      </c>
      <c r="AA223" s="88" t="n">
        <f aca="false">AA220-AA221</f>
        <v>0.772329127115809</v>
      </c>
      <c r="AB223" s="88" t="n">
        <f aca="false">AB220-AB221</f>
        <v>0.680964328039664</v>
      </c>
      <c r="AC223" s="88" t="n">
        <f aca="false">AC220-AC221</f>
        <v>0.594888684593735</v>
      </c>
      <c r="AD223" s="88" t="n">
        <f aca="false">AD220-AD221</f>
        <v>0.513741143597574</v>
      </c>
      <c r="AE223" s="88" t="n">
        <f aca="false">AE220-AE221</f>
        <v>0.437182518255575</v>
      </c>
      <c r="AF223" s="88" t="n">
        <f aca="false">AF220-AF221</f>
        <v>0.364894042090568</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0.0353755274227365</v>
      </c>
      <c r="F233" s="1" t="n">
        <f aca="false">IF(E81&gt;0,(F107+F109+F110+F184-F108-F229)/E81,0)</f>
        <v>0.046240631504257</v>
      </c>
      <c r="G233" s="1" t="n">
        <f aca="false">IF(F81&gt;0,(G107+G109+G110+G184-G108-G229)/F81,0)</f>
        <v>0.026948009554355</v>
      </c>
      <c r="H233" s="1" t="n">
        <f aca="false">IF(G81&gt;0,(H107+H109+H110+H184-H108-H229)/G81,0)</f>
        <v>0.0298571010358753</v>
      </c>
      <c r="I233" s="1" t="n">
        <f aca="false">IF(H81&gt;0,(I107+I109+I110+I184-I108-I229)/H81,0)</f>
        <v>0.0327590448602859</v>
      </c>
      <c r="J233" s="1" t="n">
        <f aca="false">IF(I81&gt;0,(J107+J109+J110+J184-J108-J229)/I81,0)</f>
        <v>0.0356649182099065</v>
      </c>
      <c r="K233" s="1" t="n">
        <f aca="false">IF(J81&gt;0,(K107+K109+K110+K184-K108-K229)/J81,0)</f>
        <v>0.0385284326396078</v>
      </c>
      <c r="L233" s="1" t="n">
        <f aca="false">IF(K81&gt;0,(L107+L109+L110+L184-L108-L229)/K81,0)</f>
        <v>0.0413558761980113</v>
      </c>
      <c r="M233" s="1" t="n">
        <f aca="false">IF(L81&gt;0,(M107+M109+M110+M184-M108-M229)/L81,0)</f>
        <v>0.043653601984696</v>
      </c>
      <c r="N233" s="1" t="n">
        <f aca="false">IF(M81&gt;0,(N107+N109+N110+N184-N108-N229)/M81,0)</f>
        <v>0.0430246685756301</v>
      </c>
      <c r="O233" s="1" t="n">
        <f aca="false">IF(N81&gt;0,(O107+O109+O110+O184-O108-O229)/N81,0)</f>
        <v>0.0425743590563347</v>
      </c>
      <c r="P233" s="1" t="n">
        <f aca="false">IF(O81&gt;0,(P107+P109+P110+P184-P108-P229)/O81,0)</f>
        <v>0.0422860112395598</v>
      </c>
      <c r="Q233" s="1" t="n">
        <f aca="false">IF(P81&gt;0,(Q107+Q109+Q110+Q184-Q108-Q229)/P81,0)</f>
        <v>0.042230876760939</v>
      </c>
      <c r="R233" s="1" t="n">
        <f aca="false">IF(Q81&gt;0,(R107+R109+R110+R184-R108-R229)/Q81,0)</f>
        <v>0.0421645317236719</v>
      </c>
      <c r="S233" s="1" t="n">
        <f aca="false">IF(R81&gt;0,(S107+S109+S110+S184-S108-S229)/R81,0)</f>
        <v>0.042115488957316</v>
      </c>
      <c r="T233" s="1" t="n">
        <f aca="false">IF(S81&gt;0,(T107+T109+T110+T184-T108-T229)/S81,0)</f>
        <v>0.0420825293595549</v>
      </c>
      <c r="U233" s="1" t="n">
        <f aca="false">IF(T81&gt;0,(U107+U109+U110+U184-U108-U229)/T81,0)</f>
        <v>0.0420643679241969</v>
      </c>
      <c r="V233" s="1" t="n">
        <f aca="false">IF(U81&gt;0,(V107+V109+V110+V184-V108-V229)/U81,0)</f>
        <v>0.0420598398357212</v>
      </c>
      <c r="W233" s="1" t="n">
        <f aca="false">IF(V81&gt;0,(W107+W109+W110+W184-W108-W229)/V81,0)</f>
        <v>0.0420679515800608</v>
      </c>
      <c r="X233" s="1" t="n">
        <f aca="false">IF(W81&gt;0,(X107+X109+X110+X184-X108-X229)/W81,0)</f>
        <v>0.0421005124325474</v>
      </c>
      <c r="Y233" s="1" t="n">
        <f aca="false">IF(X81&gt;0,(Y107+Y109+Y110+Y184-Y108-Y229)/X81,0)</f>
        <v>0.0421558721476815</v>
      </c>
      <c r="Z233" s="1" t="n">
        <f aca="false">IF(Y81&gt;0,(Z107+Z109+Z110+Z184-Z108-Z229)/Y81,0)</f>
        <v>0.0422325053283469</v>
      </c>
      <c r="AA233" s="1" t="n">
        <f aca="false">IF(Z81&gt;0,(AA107+AA109+AA110+AA184-AA108-AA229)/Z81,0)</f>
        <v>0.0423289880643006</v>
      </c>
      <c r="AB233" s="1" t="n">
        <f aca="false">IF(AA81&gt;0,(AB107+AB109+AB110+AB184-AB108-AB229)/AA81,0)</f>
        <v>0.0424440004656591</v>
      </c>
      <c r="AC233" s="1" t="n">
        <f aca="false">IF(AB81&gt;0,(AC107+AC109+AC110+AC184-AC108-AC229)/AB81,0)</f>
        <v>0.0425760542521735</v>
      </c>
      <c r="AD233" s="1" t="n">
        <f aca="false">IF(AC81&gt;0,(AD107+AD109+AD110+AD184-AD108-AD229)/AC81,0)</f>
        <v>0.042723752762112</v>
      </c>
      <c r="AE233" s="1" t="n">
        <f aca="false">IF(AD81&gt;0,(AE107+AE109+AE110+AE184-AE108-AE229)/AD81,0)</f>
        <v>0.0428857762856955</v>
      </c>
      <c r="AF233" s="1" t="n">
        <f aca="false">IF(AE81&gt;0,(AF107+AF109+AF110+AF184-AF108-AF229)/AE81,0)</f>
        <v>0.0430608698305567</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0.230355790038912</v>
      </c>
      <c r="F234" s="1" t="n">
        <f aca="false">(F232+E232)/2*F233</f>
        <v>0.558656712324482</v>
      </c>
      <c r="G234" s="1" t="n">
        <f aca="false">(G232+F232)/2*G233</f>
        <v>0.521466710721946</v>
      </c>
      <c r="H234" s="1" t="n">
        <f aca="false">(H232+G232)/2*H233</f>
        <v>0.780803624544456</v>
      </c>
      <c r="I234" s="1" t="n">
        <f aca="false">(I232+H232)/2*I233</f>
        <v>1.06510398583486</v>
      </c>
      <c r="J234" s="1" t="n">
        <f aca="false">(J232+I232)/2*J233</f>
        <v>1.37184770154413</v>
      </c>
      <c r="K234" s="1" t="n">
        <f aca="false">(K232+J232)/2*K233</f>
        <v>1.69651063438852</v>
      </c>
      <c r="L234" s="1" t="n">
        <f aca="false">(L232+K232)/2*L233</f>
        <v>2.03642110532199</v>
      </c>
      <c r="M234" s="1" t="n">
        <f aca="false">(M232+L232)/2*M233</f>
        <v>2.32201757160244</v>
      </c>
      <c r="N234" s="1" t="n">
        <f aca="false">(N232+M232)/2*N233</f>
        <v>2.38363324871292</v>
      </c>
      <c r="O234" s="1" t="n">
        <f aca="false">(O232+N232)/2*O233</f>
        <v>2.4022792075912</v>
      </c>
      <c r="P234" s="1" t="n">
        <f aca="false">(P232+O232)/2*P233</f>
        <v>2.31918488154799</v>
      </c>
      <c r="Q234" s="1" t="n">
        <f aca="false">(Q232+P232)/2*Q233</f>
        <v>2.16678481253822</v>
      </c>
      <c r="R234" s="1" t="n">
        <f aca="false">(R232+Q232)/2*R233</f>
        <v>2.02385782786019</v>
      </c>
      <c r="S234" s="1" t="n">
        <f aca="false">(S232+R232)/2*S233</f>
        <v>1.89113094504313</v>
      </c>
      <c r="T234" s="1" t="n">
        <f aca="false">(T232+S232)/2*T233</f>
        <v>1.76778165854591</v>
      </c>
      <c r="U234" s="1" t="n">
        <f aca="false">(U232+T232)/2*U233</f>
        <v>1.65305837594779</v>
      </c>
      <c r="V234" s="1" t="n">
        <f aca="false">(V232+U232)/2*V233</f>
        <v>1.54628118744769</v>
      </c>
      <c r="W234" s="1" t="n">
        <f aca="false">(W232+V232)/2*W233</f>
        <v>1.44683583751095</v>
      </c>
      <c r="X234" s="1" t="n">
        <f aca="false">(X232+W232)/2*X233</f>
        <v>1.35457266886039</v>
      </c>
      <c r="Y234" s="1" t="n">
        <f aca="false">(Y232+X232)/2*Y233</f>
        <v>1.26887850347966</v>
      </c>
      <c r="Z234" s="1" t="n">
        <f aca="false">(Z232+Y232)/2*Z233</f>
        <v>1.18920257599318</v>
      </c>
      <c r="AA234" s="1" t="n">
        <f aca="false">(AA232+Z232)/2*AA233</f>
        <v>1.11504890732213</v>
      </c>
      <c r="AB234" s="1" t="n">
        <f aca="false">(AB232+AA232)/2*AB233</f>
        <v>1.04597035397743</v>
      </c>
      <c r="AC234" s="1" t="n">
        <f aca="false">(AC232+AB232)/2*AC233</f>
        <v>0.981556966987939</v>
      </c>
      <c r="AD234" s="1" t="n">
        <f aca="false">(AD232+AC232)/2*AD233</f>
        <v>0.921438866832255</v>
      </c>
      <c r="AE234" s="1" t="n">
        <f aca="false">(AE232+AD232)/2*AE233</f>
        <v>0.865281551304689</v>
      </c>
      <c r="AF234" s="1" t="n">
        <f aca="false">(AF232+AE232)/2*AF233</f>
        <v>0.812781858209954</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0.188727116952576</v>
      </c>
      <c r="F236" s="1" t="n">
        <f aca="false">MAX(0,F234-F235)</f>
        <v>0.479470272348824</v>
      </c>
      <c r="G236" s="1" t="n">
        <f aca="false">MAX(0,G234-G235)</f>
        <v>0.407144717479139</v>
      </c>
      <c r="H236" s="1" t="n">
        <f aca="false">MAX(0,H234-H235)</f>
        <v>0.63361207579728</v>
      </c>
      <c r="I236" s="1" t="n">
        <f aca="false">MAX(0,I234-I235)</f>
        <v>0.887162738318464</v>
      </c>
      <c r="J236" s="1" t="n">
        <f aca="false">MAX(0,J234-J235)</f>
        <v>1.16513989604151</v>
      </c>
      <c r="K236" s="1" t="n">
        <f aca="false">MAX(0,K234-K235)</f>
        <v>1.46289151295447</v>
      </c>
      <c r="L236" s="1" t="n">
        <f aca="false">MAX(0,L234-L235)</f>
        <v>1.77762625985769</v>
      </c>
      <c r="M236" s="1" t="n">
        <f aca="false">MAX(0,M234-M235)</f>
        <v>2.04889352239763</v>
      </c>
      <c r="N236" s="1" t="n">
        <f aca="false">MAX(0,N234-N235)</f>
        <v>2.10274181618939</v>
      </c>
      <c r="O236" s="1" t="n">
        <f aca="false">MAX(0,O234-O235)</f>
        <v>2.11891570807629</v>
      </c>
      <c r="P236" s="1" t="n">
        <f aca="false">MAX(0,P234-P235)</f>
        <v>2.05409634844879</v>
      </c>
      <c r="Q236" s="1" t="n">
        <f aca="false">MAX(0,Q234-Q235)</f>
        <v>1.91879263817213</v>
      </c>
      <c r="R236" s="1" t="n">
        <f aca="false">MAX(0,R234-R235)</f>
        <v>1.79185941650754</v>
      </c>
      <c r="S236" s="1" t="n">
        <f aca="false">MAX(0,S234-S235)</f>
        <v>1.67409481070648</v>
      </c>
      <c r="T236" s="1" t="n">
        <f aca="false">MAX(0,T234-T235)</f>
        <v>1.56474283886972</v>
      </c>
      <c r="U236" s="1" t="n">
        <f aca="false">MAX(0,U234-U235)</f>
        <v>1.46311414190814</v>
      </c>
      <c r="V236" s="1" t="n">
        <f aca="false">MAX(0,V234-V235)</f>
        <v>1.36858702973712</v>
      </c>
      <c r="W236" s="1" t="n">
        <f aca="false">MAX(0,W234-W235)</f>
        <v>1.28060171177339</v>
      </c>
      <c r="X236" s="1" t="n">
        <f aca="false">MAX(0,X234-X235)</f>
        <v>1.19905948308228</v>
      </c>
      <c r="Y236" s="1" t="n">
        <f aca="false">MAX(0,Y234-Y235)</f>
        <v>1.12339483191972</v>
      </c>
      <c r="Z236" s="1" t="n">
        <f aca="false">MAX(0,Z234-Z235)</f>
        <v>1.05310158504081</v>
      </c>
      <c r="AA236" s="1" t="n">
        <f aca="false">MAX(0,AA234-AA235)</f>
        <v>0.987725479616462</v>
      </c>
      <c r="AB236" s="1" t="n">
        <f aca="false">MAX(0,AB234-AB235)</f>
        <v>0.926858398000608</v>
      </c>
      <c r="AC236" s="1" t="n">
        <f aca="false">MAX(0,AC234-AC235)</f>
        <v>0.870126900170847</v>
      </c>
      <c r="AD236" s="1" t="n">
        <f aca="false">MAX(0,AD234-AD235)</f>
        <v>0.817195260982325</v>
      </c>
      <c r="AE236" s="1" t="n">
        <f aca="false">MAX(0,AE234-AE235)</f>
        <v>0.767760929887197</v>
      </c>
      <c r="AF236" s="1" t="n">
        <f aca="false">MAX(0,AF234-AF235)</f>
        <v>0.721550635689266</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0.739838392993862</v>
      </c>
      <c r="M238" s="1" t="n">
        <f aca="false">IF(M112&gt;0,M235/M112,0)</f>
        <v>0.753612816243275</v>
      </c>
      <c r="N238" s="1" t="n">
        <f aca="false">IF(N112&gt;0,N235/N112,0)</f>
        <v>0.748647671890606</v>
      </c>
      <c r="O238" s="1" t="n">
        <f aca="false">IF(O112&gt;0,O235/O112,0)</f>
        <v>0.731768765715383</v>
      </c>
      <c r="P238" s="1" t="n">
        <f aca="false">IF(P112&gt;0,P235/P112,0)</f>
        <v>0.668164678788126</v>
      </c>
      <c r="Q238" s="1" t="n">
        <f aca="false">IF(Q112&gt;0,Q235/Q112,0)</f>
        <v>0.610324038070963</v>
      </c>
      <c r="R238" s="1" t="n">
        <f aca="false">IF(R112&gt;0,R235/R112,0)</f>
        <v>0.557836547806344</v>
      </c>
      <c r="S238" s="1" t="n">
        <f aca="false">IF(S112&gt;0,S235/S112,0)</f>
        <v>0.510153558024717</v>
      </c>
      <c r="T238" s="1" t="n">
        <f aca="false">IF(T112&gt;0,T235/T112,0)</f>
        <v>0.466783541054135</v>
      </c>
      <c r="U238" s="1" t="n">
        <f aca="false">IF(U112&gt;0,U235/U112,0)</f>
        <v>0.427293605525467</v>
      </c>
      <c r="V238" s="1" t="n">
        <f aca="false">IF(V112&gt;0,V235/V112,0)</f>
        <v>0.39130105305011</v>
      </c>
      <c r="W238" s="1" t="n">
        <f aca="false">IF(W112&gt;0,W235/W112,0)</f>
        <v>0.358573927611913</v>
      </c>
      <c r="X238" s="1" t="n">
        <f aca="false">IF(X112&gt;0,X235/X112,0)</f>
        <v>0.328777194176873</v>
      </c>
      <c r="Y238" s="1" t="n">
        <f aca="false">IF(Y112&gt;0,Y235/Y112,0)</f>
        <v>0.301615825504195</v>
      </c>
      <c r="Z238" s="1" t="n">
        <f aca="false">IF(Z112&gt;0,Z235/Z112,0)</f>
        <v>0.276829258544398</v>
      </c>
      <c r="AA238" s="1" t="n">
        <f aca="false">IF(AA112&gt;0,AA235/AA112,0)</f>
        <v>0.254186701256118</v>
      </c>
      <c r="AB238" s="1" t="n">
        <f aca="false">IF(AB112&gt;0,AB235/AB112,0)</f>
        <v>0.233481788618025</v>
      </c>
      <c r="AC238" s="1" t="n">
        <f aca="false">IF(AC112&gt;0,AC235/AC112,0)</f>
        <v>0.214531182067987</v>
      </c>
      <c r="AD238" s="1" t="n">
        <f aca="false">IF(AD112&gt;0,AD235/AD112,0)</f>
        <v>0.197171568917599</v>
      </c>
      <c r="AE238" s="1" t="n">
        <f aca="false">IF(AE112&gt;0,AE235/AE112,0)</f>
        <v>0.181257112199963</v>
      </c>
      <c r="AF238" s="1" t="n">
        <f aca="false">IF(AF112&gt;0,AF235/AF112,0)</f>
        <v>0.166657274702371</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0.188727116952576</v>
      </c>
      <c r="F243" s="1" t="n">
        <f aca="false">F236</f>
        <v>0.479470272348824</v>
      </c>
      <c r="G243" s="1" t="n">
        <f aca="false">G236</f>
        <v>0.407144717479139</v>
      </c>
      <c r="H243" s="1" t="n">
        <f aca="false">H236</f>
        <v>0.63361207579728</v>
      </c>
      <c r="I243" s="1" t="n">
        <f aca="false">I236</f>
        <v>0.887162738318464</v>
      </c>
      <c r="J243" s="1" t="n">
        <f aca="false">J236</f>
        <v>1.16513989604151</v>
      </c>
      <c r="K243" s="1" t="n">
        <f aca="false">K236</f>
        <v>1.46289151295447</v>
      </c>
      <c r="L243" s="1" t="n">
        <f aca="false">L236</f>
        <v>1.77762625985769</v>
      </c>
      <c r="M243" s="1" t="n">
        <f aca="false">M236</f>
        <v>2.04889352239763</v>
      </c>
      <c r="N243" s="1" t="n">
        <f aca="false">N236</f>
        <v>2.10274181618939</v>
      </c>
      <c r="O243" s="1" t="n">
        <f aca="false">O236</f>
        <v>2.11891570807629</v>
      </c>
      <c r="P243" s="1" t="n">
        <f aca="false">P236</f>
        <v>2.05409634844879</v>
      </c>
      <c r="Q243" s="1" t="n">
        <f aca="false">Q236</f>
        <v>1.91879263817213</v>
      </c>
      <c r="R243" s="1" t="n">
        <f aca="false">R236</f>
        <v>1.79185941650754</v>
      </c>
      <c r="S243" s="1" t="n">
        <f aca="false">S236</f>
        <v>1.67409481070648</v>
      </c>
      <c r="T243" s="1" t="n">
        <f aca="false">T236</f>
        <v>1.56474283886972</v>
      </c>
      <c r="U243" s="1" t="n">
        <f aca="false">U236</f>
        <v>1.46311414190814</v>
      </c>
      <c r="V243" s="1" t="n">
        <f aca="false">V236</f>
        <v>1.36858702973712</v>
      </c>
      <c r="W243" s="1" t="n">
        <f aca="false">W236</f>
        <v>1.28060171177339</v>
      </c>
      <c r="X243" s="1" t="n">
        <f aca="false">X236</f>
        <v>1.19905948308228</v>
      </c>
      <c r="Y243" s="1" t="n">
        <f aca="false">Y236</f>
        <v>1.12339483191972</v>
      </c>
      <c r="Z243" s="1" t="n">
        <f aca="false">Z236</f>
        <v>1.05310158504081</v>
      </c>
      <c r="AA243" s="1" t="n">
        <f aca="false">AA236</f>
        <v>0.987725479616462</v>
      </c>
      <c r="AB243" s="1" t="n">
        <f aca="false">AB236</f>
        <v>0.926858398000608</v>
      </c>
      <c r="AC243" s="1" t="n">
        <f aca="false">AC236</f>
        <v>0.870126900170847</v>
      </c>
      <c r="AD243" s="1" t="n">
        <f aca="false">AD236</f>
        <v>0.817195260982325</v>
      </c>
      <c r="AE243" s="1" t="n">
        <f aca="false">AE236</f>
        <v>0.767760929887197</v>
      </c>
      <c r="AF243" s="1" t="n">
        <f aca="false">AF236</f>
        <v>0.721550635689266</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0.283849755680774</v>
      </c>
      <c r="F247" s="1" t="n">
        <f aca="false">MAX(0,E248+F243-F244-F245-F246)</f>
        <v>0.763320028029599</v>
      </c>
      <c r="G247" s="1" t="n">
        <f aca="false">MAX(0,F248+G243-G244-G245-G246)</f>
        <v>1.17046474550874</v>
      </c>
      <c r="H247" s="1" t="n">
        <f aca="false">MAX(0,G248+H243-H244-H245-H246)</f>
        <v>1.80407682130602</v>
      </c>
      <c r="I247" s="1" t="n">
        <f aca="false">MAX(0,H248+I243-I244-I245-I246)</f>
        <v>2.69123955962448</v>
      </c>
      <c r="J247" s="1" t="n">
        <f aca="false">MAX(0,I248+J243-J244-J245-J246)</f>
        <v>3.85637945566599</v>
      </c>
      <c r="K247" s="1" t="n">
        <f aca="false">MAX(0,J248+K243-K244-K245-K246)</f>
        <v>5.31927096862046</v>
      </c>
      <c r="L247" s="1" t="n">
        <f aca="false">MAX(0,K248+L243-L244-L245-L246)</f>
        <v>7.09689722847815</v>
      </c>
      <c r="M247" s="1" t="n">
        <f aca="false">MAX(0,L248+M243-M244-M245-M246)</f>
        <v>9.14579075087578</v>
      </c>
      <c r="N247" s="1" t="n">
        <f aca="false">MAX(0,M248+N243-N244-N245-N246)</f>
        <v>11.2485325670652</v>
      </c>
      <c r="O247" s="1" t="n">
        <f aca="false">MAX(0,N248+O243-O244-O245-O246)</f>
        <v>13.3674482751415</v>
      </c>
      <c r="P247" s="1" t="n">
        <f aca="false">MAX(0,O248+P243-P244-P245-P246)</f>
        <v>15.4215446235902</v>
      </c>
      <c r="Q247" s="1" t="n">
        <f aca="false">MAX(0,P248+Q243-Q244-Q245-Q246)</f>
        <v>17.3403372617624</v>
      </c>
      <c r="R247" s="1" t="n">
        <f aca="false">MAX(0,Q248+R243-R244-R245-R246)</f>
        <v>19.1321966782699</v>
      </c>
      <c r="S247" s="1" t="n">
        <f aca="false">MAX(0,R248+S243-S244-S245-S246)</f>
        <v>20.8062914889764</v>
      </c>
      <c r="T247" s="1" t="n">
        <f aca="false">MAX(0,S248+T243-T244-T245-T246)</f>
        <v>22.3710343278461</v>
      </c>
      <c r="U247" s="1" t="n">
        <f aca="false">MAX(0,T248+U243-U244-U245-U246)</f>
        <v>23.8341484697543</v>
      </c>
      <c r="V247" s="1" t="n">
        <f aca="false">MAX(0,U248+V243-V244-V245-V246)</f>
        <v>25.2027354994914</v>
      </c>
      <c r="W247" s="1" t="n">
        <f aca="false">MAX(0,V248+W243-W244-W245-W246)</f>
        <v>26.4833372112648</v>
      </c>
      <c r="X247" s="1" t="n">
        <f aca="false">MAX(0,W248+X243-X244-X245-X246)</f>
        <v>27.682396694347</v>
      </c>
      <c r="Y247" s="1" t="n">
        <f aca="false">MAX(0,X248+Y243-Y244-Y245-Y246)</f>
        <v>28.8057915262668</v>
      </c>
      <c r="Z247" s="1" t="n">
        <f aca="false">MAX(0,Y248+Z243-Z244-Z245-Z246)</f>
        <v>29.8588931113076</v>
      </c>
      <c r="AA247" s="1" t="n">
        <f aca="false">MAX(0,Z248+AA243-AA244-AA245-AA246)</f>
        <v>30.846618590924</v>
      </c>
      <c r="AB247" s="1" t="n">
        <f aca="false">MAX(0,AA248+AB243-AB244-AB245-AB246)</f>
        <v>31.7734769889247</v>
      </c>
      <c r="AC247" s="1" t="n">
        <f aca="false">MAX(0,AB248+AC243-AC244-AC245-AC246)</f>
        <v>32.6436038890955</v>
      </c>
      <c r="AD247" s="1" t="n">
        <f aca="false">MAX(0,AC248+AD243-AD244-AD245-AD246)</f>
        <v>33.4607991500778</v>
      </c>
      <c r="AE247" s="1" t="n">
        <f aca="false">MAX(0,AD248+AE243-AE244-AE245-AE246)</f>
        <v>34.228560079965</v>
      </c>
      <c r="AF247" s="1" t="n">
        <f aca="false">MAX(0,AE248+AF243-AF244-AF245-AF246)</f>
        <v>34.9501107156543</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0.283849755680774</v>
      </c>
      <c r="F248" s="1" t="n">
        <f aca="false">MIN(F247,MAX(0,F276))</f>
        <v>0.763320028029599</v>
      </c>
      <c r="G248" s="1" t="n">
        <f aca="false">MIN(G247,MAX(0,G276))</f>
        <v>1.17046474550874</v>
      </c>
      <c r="H248" s="1" t="n">
        <f aca="false">MIN(H247,MAX(0,H276))</f>
        <v>1.80407682130602</v>
      </c>
      <c r="I248" s="1" t="n">
        <f aca="false">MIN(I247,MAX(0,I276))</f>
        <v>2.69123955962448</v>
      </c>
      <c r="J248" s="1" t="n">
        <f aca="false">MIN(J247,MAX(0,J276))</f>
        <v>3.85637945566599</v>
      </c>
      <c r="K248" s="1" t="n">
        <f aca="false">MIN(K247,MAX(0,K276))</f>
        <v>5.31927096862046</v>
      </c>
      <c r="L248" s="1" t="n">
        <f aca="false">MIN(L247,MAX(0,L276))</f>
        <v>7.09689722847815</v>
      </c>
      <c r="M248" s="1" t="n">
        <f aca="false">MIN(M247,MAX(0,M276))</f>
        <v>9.14579075087578</v>
      </c>
      <c r="N248" s="1" t="n">
        <f aca="false">MIN(N247,MAX(0,N276))</f>
        <v>11.2485325670652</v>
      </c>
      <c r="O248" s="1" t="n">
        <f aca="false">MIN(O247,MAX(0,O276))</f>
        <v>13.3674482751415</v>
      </c>
      <c r="P248" s="1" t="n">
        <f aca="false">MIN(P247,MAX(0,P276))</f>
        <v>15.4215446235902</v>
      </c>
      <c r="Q248" s="1" t="n">
        <f aca="false">MIN(Q247,MAX(0,Q276))</f>
        <v>17.3403372617624</v>
      </c>
      <c r="R248" s="1" t="n">
        <f aca="false">MIN(R247,MAX(0,R276))</f>
        <v>19.1321966782699</v>
      </c>
      <c r="S248" s="1" t="n">
        <f aca="false">MIN(S247,MAX(0,S276))</f>
        <v>20.8062914889764</v>
      </c>
      <c r="T248" s="1" t="n">
        <f aca="false">MIN(T247,MAX(0,T276))</f>
        <v>22.3710343278461</v>
      </c>
      <c r="U248" s="1" t="n">
        <f aca="false">MIN(U247,MAX(0,U276))</f>
        <v>23.8341484697543</v>
      </c>
      <c r="V248" s="1" t="n">
        <f aca="false">MIN(V247,MAX(0,V276))</f>
        <v>25.2027354994914</v>
      </c>
      <c r="W248" s="1" t="n">
        <f aca="false">MIN(W247,MAX(0,W276))</f>
        <v>26.4833372112648</v>
      </c>
      <c r="X248" s="1" t="n">
        <f aca="false">MIN(X247,MAX(0,X276))</f>
        <v>27.682396694347</v>
      </c>
      <c r="Y248" s="1" t="n">
        <f aca="false">MIN(Y247,MAX(0,Y276))</f>
        <v>28.8057915262668</v>
      </c>
      <c r="Z248" s="1" t="n">
        <f aca="false">MIN(Z247,MAX(0,Z276))</f>
        <v>29.8588931113076</v>
      </c>
      <c r="AA248" s="1" t="n">
        <f aca="false">MIN(AA247,MAX(0,AA276))</f>
        <v>30.846618590924</v>
      </c>
      <c r="AB248" s="1" t="n">
        <f aca="false">MIN(AB247,MAX(0,AB276))</f>
        <v>31.7734769889247</v>
      </c>
      <c r="AC248" s="1" t="n">
        <f aca="false">MIN(AC247,MAX(0,AC276))</f>
        <v>32.6436038890955</v>
      </c>
      <c r="AD248" s="1" t="n">
        <f aca="false">MIN(AD247,MAX(0,AD276))</f>
        <v>33.4607991500778</v>
      </c>
      <c r="AE248" s="1" t="n">
        <f aca="false">MIN(AE247,MAX(0,AE276))</f>
        <v>34.228560079965</v>
      </c>
      <c r="AF248" s="1" t="n">
        <f aca="false">MIN(AF247,MAX(0,AF276))</f>
        <v>34.9501107156543</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35.0087369140404</v>
      </c>
      <c r="E250" s="1" t="n">
        <f aca="false">E120-E248</f>
        <v>52.7881563849995</v>
      </c>
      <c r="F250" s="1" t="n">
        <f aca="false">F120-F248</f>
        <v>61.0982111149309</v>
      </c>
      <c r="G250" s="1" t="n">
        <f aca="false">G120-G248</f>
        <v>71.6743211018636</v>
      </c>
      <c r="H250" s="1" t="n">
        <f aca="false">H120-H248</f>
        <v>83.684970392487</v>
      </c>
      <c r="I250" s="1" t="n">
        <f aca="false">I120-I248</f>
        <v>97.1946805088609</v>
      </c>
      <c r="J250" s="1" t="n">
        <f aca="false">J120-J248</f>
        <v>111.755676184188</v>
      </c>
      <c r="K250" s="1" t="n">
        <f aca="false">K120-K248</f>
        <v>127.307048741684</v>
      </c>
      <c r="L250" s="1" t="n">
        <f aca="false">L120-L248</f>
        <v>142.579644493882</v>
      </c>
      <c r="M250" s="1" t="n">
        <f aca="false">M120-M248</f>
        <v>140.199143198682</v>
      </c>
      <c r="N250" s="1" t="n">
        <f aca="false">N120-N248</f>
        <v>139.747114541398</v>
      </c>
      <c r="O250" s="1" t="n">
        <f aca="false">O120-O248</f>
        <v>139.615511991316</v>
      </c>
      <c r="P250" s="1" t="n">
        <f aca="false">P120-P248</f>
        <v>138.878870715526</v>
      </c>
      <c r="Q250" s="1" t="n">
        <f aca="false">Q120-Q248</f>
        <v>138.124549332473</v>
      </c>
      <c r="R250" s="1" t="n">
        <f aca="false">R120-R248</f>
        <v>137.53805541148</v>
      </c>
      <c r="S250" s="1" t="n">
        <f aca="false">S120-S248</f>
        <v>137.105348447453</v>
      </c>
      <c r="T250" s="1" t="n">
        <f aca="false">T120-T248</f>
        <v>136.818868534423</v>
      </c>
      <c r="U250" s="1" t="n">
        <f aca="false">U120-U248</f>
        <v>136.671485899961</v>
      </c>
      <c r="V250" s="1" t="n">
        <f aca="false">V120-V248</f>
        <v>136.656703169376</v>
      </c>
      <c r="W250" s="1" t="n">
        <f aca="false">W120-W248</f>
        <v>136.770871716</v>
      </c>
      <c r="X250" s="1" t="n">
        <f aca="false">X120-X248</f>
        <v>137.008753619706</v>
      </c>
      <c r="Y250" s="1" t="n">
        <f aca="false">Y120-Y248</f>
        <v>137.365455650923</v>
      </c>
      <c r="Z250" s="1" t="n">
        <f aca="false">Z120-Z248</f>
        <v>137.836290868075</v>
      </c>
      <c r="AA250" s="1" t="n">
        <f aca="false">AA120-AA248</f>
        <v>138.417050359468</v>
      </c>
      <c r="AB250" s="1" t="n">
        <f aca="false">AB120-AB248</f>
        <v>139.10390793401</v>
      </c>
      <c r="AC250" s="1" t="n">
        <f aca="false">AC120-AC248</f>
        <v>139.893423585892</v>
      </c>
      <c r="AD250" s="1" t="n">
        <f aca="false">AD120-AD248</f>
        <v>140.782511384091</v>
      </c>
      <c r="AE250" s="1" t="n">
        <f aca="false">AE120-AE248</f>
        <v>141.768413575659</v>
      </c>
      <c r="AF250" s="1" t="n">
        <f aca="false">AF120-AF248</f>
        <v>142.848671456004</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0.00270974872678057</v>
      </c>
      <c r="E252" s="1" t="n">
        <f aca="false">IF(E120&gt;0,E248/E120,0)</f>
        <v>0.00534838941132848</v>
      </c>
      <c r="F252" s="1" t="n">
        <f aca="false">IF(F120&gt;0,F248/F120,0)</f>
        <v>0.0123391712737531</v>
      </c>
      <c r="G252" s="1" t="n">
        <f aca="false">IF(G120&gt;0,G248/G120,0)</f>
        <v>0.0160679276065297</v>
      </c>
      <c r="H252" s="1" t="n">
        <f aca="false">IF(H120&gt;0,H248/H120,0)</f>
        <v>0.0211030170542706</v>
      </c>
      <c r="I252" s="1" t="n">
        <f aca="false">IF(I120&gt;0,I248/I120,0)</f>
        <v>0.0269431323031241</v>
      </c>
      <c r="J252" s="1" t="n">
        <f aca="false">IF(J120&gt;0,J248/J120,0)</f>
        <v>0.033356205235889</v>
      </c>
      <c r="K252" s="1" t="n">
        <f aca="false">IF(K120&gt;0,K248/K120,0)</f>
        <v>0.0401072048160525</v>
      </c>
      <c r="L252" s="1" t="n">
        <f aca="false">IF(L120&gt;0,L248/L120,0)</f>
        <v>0.0474148931209434</v>
      </c>
      <c r="M252" s="1" t="n">
        <f aca="false">IF(M120&gt;0,M248/M120,0)</f>
        <v>0.0612393772524272</v>
      </c>
      <c r="N252" s="1" t="n">
        <f aca="false">IF(N120&gt;0,N248/N120,0)</f>
        <v>0.0744957406552596</v>
      </c>
      <c r="O252" s="1" t="n">
        <f aca="false">IF(O120&gt;0,O248/O120,0)</f>
        <v>0.0873786744083053</v>
      </c>
      <c r="P252" s="1" t="n">
        <f aca="false">IF(P120&gt;0,P248/P120,0)</f>
        <v>0.0999449326801702</v>
      </c>
      <c r="Q252" s="1" t="n">
        <f aca="false">IF(Q120&gt;0,Q248/Q120,0)</f>
        <v>0.111538609403298</v>
      </c>
      <c r="R252" s="1" t="n">
        <f aca="false">IF(R120&gt;0,R248/R120,0)</f>
        <v>0.122117609584938</v>
      </c>
      <c r="S252" s="1" t="n">
        <f aca="false">IF(S120&gt;0,S248/S120,0)</f>
        <v>0.131759074235138</v>
      </c>
      <c r="T252" s="1" t="n">
        <f aca="false">IF(T120&gt;0,T248/T120,0)</f>
        <v>0.140530485449203</v>
      </c>
      <c r="U252" s="1" t="n">
        <f aca="false">IF(U120&gt;0,U248/U120,0)</f>
        <v>0.148494154509577</v>
      </c>
      <c r="V252" s="1" t="n">
        <f aca="false">IF(V120&gt;0,V248/V120,0)</f>
        <v>0.15570754295677</v>
      </c>
      <c r="W252" s="1" t="n">
        <f aca="false">IF(W120&gt;0,W248/W120,0)</f>
        <v>0.162221466664078</v>
      </c>
      <c r="X252" s="1" t="n">
        <f aca="false">IF(X120&gt;0,X248/X120,0)</f>
        <v>0.168086728652747</v>
      </c>
      <c r="Y252" s="1" t="n">
        <f aca="false">IF(Y120&gt;0,Y248/Y120,0)</f>
        <v>0.17335003507286</v>
      </c>
      <c r="Z252" s="1" t="n">
        <f aca="false">IF(Z120&gt;0,Z248/Z120,0)</f>
        <v>0.178054565448812</v>
      </c>
      <c r="AA252" s="1" t="n">
        <f aca="false">IF(AA120&gt;0,AA248/AA120,0)</f>
        <v>0.182240044672343</v>
      </c>
      <c r="AB252" s="1" t="n">
        <f aca="false">IF(AB120&gt;0,AB248/AB120,0)</f>
        <v>0.185943136964874</v>
      </c>
      <c r="AC252" s="1" t="n">
        <f aca="false">IF(AC120&gt;0,AC248/AC120,0)</f>
        <v>0.189197671750939</v>
      </c>
      <c r="AD252" s="1" t="n">
        <f aca="false">IF(AD120&gt;0,AD248/AD120,0)</f>
        <v>0.192034913980334</v>
      </c>
      <c r="AE252" s="1" t="n">
        <f aca="false">IF(AE120&gt;0,AE248/AE120,0)</f>
        <v>0.194483799175664</v>
      </c>
      <c r="AF252" s="1" t="n">
        <f aca="false">IF(AF120&gt;0,AF248/AF120,0)</f>
        <v>0.196571147950334</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0.349799156025208</v>
      </c>
      <c r="M254" s="116" t="n">
        <f aca="false">M112</f>
        <v>0.362419591755768</v>
      </c>
      <c r="N254" s="116" t="n">
        <f aca="false">N112</f>
        <v>0.375198431879403</v>
      </c>
      <c r="O254" s="116" t="n">
        <f aca="false">O112</f>
        <v>0.387230929756743</v>
      </c>
      <c r="P254" s="116" t="n">
        <f aca="false">P112</f>
        <v>0.396741314701046</v>
      </c>
      <c r="Q254" s="116" t="n">
        <f aca="false">Q112</f>
        <v>0.406328702290529</v>
      </c>
      <c r="R254" s="116" t="n">
        <f aca="false">R112</f>
        <v>0.415889586770488</v>
      </c>
      <c r="S254" s="116" t="n">
        <f aca="false">S112</f>
        <v>0.425432952338897</v>
      </c>
      <c r="T254" s="116" t="n">
        <f aca="false">T112</f>
        <v>0.434974247844458</v>
      </c>
      <c r="U254" s="116" t="n">
        <f aca="false">U112</f>
        <v>0.444528613542134</v>
      </c>
      <c r="V254" s="116" t="n">
        <f aca="false">V112</f>
        <v>0.454111115534929</v>
      </c>
      <c r="W254" s="116" t="n">
        <f aca="false">W112</f>
        <v>0.463597916459425</v>
      </c>
      <c r="X254" s="116" t="n">
        <f aca="false">X112</f>
        <v>0.473004784189641</v>
      </c>
      <c r="Y254" s="116" t="n">
        <f aca="false">Y112</f>
        <v>0.482347606650751</v>
      </c>
      <c r="Z254" s="116" t="n">
        <f aca="false">Z112</f>
        <v>0.491642363484281</v>
      </c>
      <c r="AA254" s="116" t="n">
        <f aca="false">AA112</f>
        <v>0.500905149940852</v>
      </c>
      <c r="AB254" s="116" t="n">
        <f aca="false">AB112</f>
        <v>0.510155231728525</v>
      </c>
      <c r="AC254" s="116" t="n">
        <f aca="false">AC112</f>
        <v>0.519411983577191</v>
      </c>
      <c r="AD254" s="116" t="n">
        <f aca="false">AD112</f>
        <v>0.528694914901726</v>
      </c>
      <c r="AE254" s="116" t="n">
        <f aca="false">AE112</f>
        <v>0.538023695919348</v>
      </c>
      <c r="AF254" s="116" t="n">
        <f aca="false">AF112</f>
        <v>0.547418183116313</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0.0910043105609089</v>
      </c>
      <c r="M256" s="1" t="n">
        <f aca="false">MIN(M254-M255,MAX(0,M107-M108+M109+M110+M184-M229-M235))</f>
        <v>0.0892955425509657</v>
      </c>
      <c r="N256" s="1" t="n">
        <f aca="false">MIN(N254-N255,MAX(0,N107-N108+N109+N110+N184-N229-N235))</f>
        <v>0.0943069993558816</v>
      </c>
      <c r="O256" s="1" t="n">
        <f aca="false">MIN(O254-O255,MAX(0,O107-O108+O109+O110+O184-O229-O235))</f>
        <v>0.103867430241831</v>
      </c>
      <c r="P256" s="1" t="n">
        <f aca="false">MIN(P254-P255,MAX(0,P107-P108+P109+P110+P184-P229-P235))</f>
        <v>0.131652781601843</v>
      </c>
      <c r="Q256" s="1" t="n">
        <f aca="false">MIN(Q254-Q255,MAX(0,Q107-Q108+Q109+Q110+Q184-Q229-Q235))</f>
        <v>0.158336527924439</v>
      </c>
      <c r="R256" s="1" t="n">
        <f aca="false">MIN(R254-R255,MAX(0,R107-R108+R109+R110+R184-R229-R235))</f>
        <v>0.183891175417832</v>
      </c>
      <c r="S256" s="1" t="n">
        <f aca="false">MIN(S254-S255,MAX(0,S107-S108+S109+S110+S184-S229-S235))</f>
        <v>0.208396818002249</v>
      </c>
      <c r="T256" s="1" t="n">
        <f aca="false">MIN(T254-T255,MAX(0,T107-T108+T109+T110+T184-T229-T235))</f>
        <v>0.231935428168263</v>
      </c>
      <c r="U256" s="1" t="n">
        <f aca="false">MIN(U254-U255,MAX(0,U107-U108+U109+U110+U184-U229-U235))</f>
        <v>0.254584379502479</v>
      </c>
      <c r="V256" s="1" t="n">
        <f aca="false">MIN(V254-V255,MAX(0,V107-V108+V109+V110+V184-V229-V235))</f>
        <v>0.276416957824351</v>
      </c>
      <c r="W256" s="1" t="n">
        <f aca="false">MIN(W254-W255,MAX(0,W107-W108+W109+W110+W184-W229-W235))</f>
        <v>0.297363790721869</v>
      </c>
      <c r="X256" s="1" t="n">
        <f aca="false">MIN(X254-X255,MAX(0,X107-X108+X109+X110+X184-X229-X235))</f>
        <v>0.317491598411533</v>
      </c>
      <c r="Y256" s="1" t="n">
        <f aca="false">MIN(Y254-Y255,MAX(0,Y107-Y108+Y109+Y110+Y184-Y229-Y235))</f>
        <v>0.336863935090812</v>
      </c>
      <c r="Z256" s="1" t="n">
        <f aca="false">MIN(Z254-Z255,MAX(0,Z107-Z108+Z109+Z110+Z184-Z229-Z235))</f>
        <v>0.355541372531912</v>
      </c>
      <c r="AA256" s="1" t="n">
        <f aca="false">MIN(AA254-AA255,MAX(0,AA107-AA108+AA109+AA110+AA184-AA229-AA235))</f>
        <v>0.373581722235186</v>
      </c>
      <c r="AB256" s="1" t="n">
        <f aca="false">MIN(AB254-AB255,MAX(0,AB107-AB108+AB109+AB110+AB184-AB229-AB235))</f>
        <v>0.391043275751706</v>
      </c>
      <c r="AC256" s="1" t="n">
        <f aca="false">MIN(AC254-AC255,MAX(0,AC107-AC108+AC109+AC110+AC184-AC229-AC235))</f>
        <v>0.407981916760098</v>
      </c>
      <c r="AD256" s="1" t="n">
        <f aca="false">MIN(AD254-AD255,MAX(0,AD107-AD108+AD109+AD110+AD184-AD229-AD235))</f>
        <v>0.424451309051796</v>
      </c>
      <c r="AE256" s="1" t="n">
        <f aca="false">MIN(AE254-AE255,MAX(0,AE107-AE108+AE109+AE110+AE184-AE229-AE235))</f>
        <v>0.440503074501856</v>
      </c>
      <c r="AF256" s="1" t="n">
        <f aca="false">MIN(AF254-AF255,MAX(0,AF107-AF108+AF109+AF110+AF184-AF229-AF235))</f>
        <v>0.456186960595625</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187.652339662692</v>
      </c>
      <c r="M261" s="1" t="n">
        <f aca="false">(M83-M326)+M181</f>
        <v>201.492878723063</v>
      </c>
      <c r="N261" s="1" t="n">
        <f aca="false">(N83-N326)+N181</f>
        <v>206.829277243367</v>
      </c>
      <c r="O261" s="1" t="n">
        <f aca="false">(O83-O326)+O181</f>
        <v>212.558232271394</v>
      </c>
      <c r="P261" s="1" t="n">
        <f aca="false">(P83-P326)+P181</f>
        <v>217.630537405409</v>
      </c>
      <c r="Q261" s="1" t="n">
        <f aca="false">(Q83-Q326)+Q181</f>
        <v>222.629726854445</v>
      </c>
      <c r="R261" s="1" t="n">
        <f aca="false">(R83-R326)+R181</f>
        <v>227.748809972758</v>
      </c>
      <c r="S261" s="1" t="n">
        <f aca="false">(S83-S326)+S181</f>
        <v>232.98489610812</v>
      </c>
      <c r="T261" s="1" t="n">
        <f aca="false">(T83-T326)+T181</f>
        <v>238.341019354479</v>
      </c>
      <c r="U261" s="1" t="n">
        <f aca="false">(U83-U326)+U181</f>
        <v>243.819986216626</v>
      </c>
      <c r="V261" s="1" t="n">
        <f aca="false">(V83-V326)+V181</f>
        <v>249.424652261082</v>
      </c>
      <c r="W261" s="1" t="n">
        <f aca="false">(W83-W326)+W181</f>
        <v>255.156730508175</v>
      </c>
      <c r="X261" s="1" t="n">
        <f aca="false">(X83-X326)+X181</f>
        <v>261.019778087828</v>
      </c>
      <c r="Y261" s="1" t="n">
        <f aca="false">(Y83-Y326)+Y181</f>
        <v>267.017177200432</v>
      </c>
      <c r="Z261" s="1" t="n">
        <f aca="false">(Z83-Z326)+Z181</f>
        <v>273.152056277433</v>
      </c>
      <c r="AA261" s="1" t="n">
        <f aca="false">(AA83-AA326)+AA181</f>
        <v>279.427615184108</v>
      </c>
      <c r="AB261" s="1" t="n">
        <f aca="false">(AB83-AB326)+AB181</f>
        <v>285.847153400369</v>
      </c>
      <c r="AC261" s="1" t="n">
        <f aca="false">(AC83-AC326)+AC181</f>
        <v>292.414032621873</v>
      </c>
      <c r="AD261" s="1" t="n">
        <f aca="false">(AD83-AD326)+AD181</f>
        <v>299.131684022107</v>
      </c>
      <c r="AE261" s="1" t="n">
        <f aca="false">(AE83-AE326)+AE181</f>
        <v>306.003617221235</v>
      </c>
      <c r="AF261" s="1" t="n">
        <f aca="false">(AF83-AF326)+AF181</f>
        <v>313.033422132787</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9.38261698313461</v>
      </c>
      <c r="M262" s="1" t="n">
        <f aca="false">$C$260*M261</f>
        <v>10.0746439361531</v>
      </c>
      <c r="N262" s="1" t="n">
        <f aca="false">$C$260*N261</f>
        <v>10.3414638621683</v>
      </c>
      <c r="O262" s="1" t="n">
        <f aca="false">$C$260*O261</f>
        <v>10.6279116135697</v>
      </c>
      <c r="P262" s="1" t="n">
        <f aca="false">$C$260*P261</f>
        <v>10.8815268702704</v>
      </c>
      <c r="Q262" s="1" t="n">
        <f aca="false">$C$260*Q261</f>
        <v>11.1314863427223</v>
      </c>
      <c r="R262" s="1" t="n">
        <f aca="false">$C$260*R261</f>
        <v>11.3874404986379</v>
      </c>
      <c r="S262" s="1" t="n">
        <f aca="false">$C$260*S261</f>
        <v>11.649244805406</v>
      </c>
      <c r="T262" s="1" t="n">
        <f aca="false">$C$260*T261</f>
        <v>11.917050967724</v>
      </c>
      <c r="U262" s="1" t="n">
        <f aca="false">$C$260*U261</f>
        <v>12.1909993108313</v>
      </c>
      <c r="V262" s="1" t="n">
        <f aca="false">$C$260*V261</f>
        <v>12.4712326130541</v>
      </c>
      <c r="W262" s="1" t="n">
        <f aca="false">$C$260*W261</f>
        <v>12.7578365254088</v>
      </c>
      <c r="X262" s="1" t="n">
        <f aca="false">$C$260*X261</f>
        <v>13.0509889043914</v>
      </c>
      <c r="Y262" s="1" t="n">
        <f aca="false">$C$260*Y261</f>
        <v>13.3508588600216</v>
      </c>
      <c r="Z262" s="1" t="n">
        <f aca="false">$C$260*Z261</f>
        <v>13.6576028138717</v>
      </c>
      <c r="AA262" s="1" t="n">
        <f aca="false">$C$260*AA261</f>
        <v>13.9713807592054</v>
      </c>
      <c r="AB262" s="1" t="n">
        <f aca="false">$C$260*AB261</f>
        <v>14.2923576700185</v>
      </c>
      <c r="AC262" s="1" t="n">
        <f aca="false">$C$260*AC261</f>
        <v>14.6207016310937</v>
      </c>
      <c r="AD262" s="1" t="n">
        <f aca="false">$C$260*AD261</f>
        <v>14.9565842011053</v>
      </c>
      <c r="AE262" s="1" t="n">
        <f aca="false">$C$260*AE261</f>
        <v>15.3001808610617</v>
      </c>
      <c r="AF262" s="1" t="n">
        <f aca="false">$C$260*AF261</f>
        <v>15.6516711066393</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43.9305875036706</v>
      </c>
      <c r="M263" s="1" t="n">
        <f aca="false">MAX(0,(M70+L121-L227)*0.25/0.55)</f>
        <v>46.0828230724965</v>
      </c>
      <c r="N263" s="1" t="n">
        <f aca="false">MAX(0,(N70+M121-M227)*0.25/0.55)</f>
        <v>48.7870226750456</v>
      </c>
      <c r="O263" s="1" t="n">
        <f aca="false">MAX(0,(O70+N121-N227)*0.25/0.55)</f>
        <v>51.5516958825247</v>
      </c>
      <c r="P263" s="1" t="n">
        <f aca="false">MAX(0,(P70+O121-O227)*0.25/0.55)</f>
        <v>54.3787318533012</v>
      </c>
      <c r="Q263" s="1" t="n">
        <f aca="false">MAX(0,(Q70+P121-P227)*0.25/0.55)</f>
        <v>57.1835316503027</v>
      </c>
      <c r="R263" s="1" t="n">
        <f aca="false">MAX(0,(R70+Q121-Q227)*0.25/0.55)</f>
        <v>59.9616396625403</v>
      </c>
      <c r="S263" s="1" t="n">
        <f aca="false">MAX(0,(S70+R121-R227)*0.25/0.55)</f>
        <v>62.7184345835736</v>
      </c>
      <c r="T263" s="1" t="n">
        <f aca="false">MAX(0,(T70+S121-S227)*0.25/0.55)</f>
        <v>65.4621951639849</v>
      </c>
      <c r="U263" s="1" t="n">
        <f aca="false">MAX(0,(U70+T121-T227)*0.25/0.55)</f>
        <v>68.2010212867403</v>
      </c>
      <c r="V263" s="1" t="n">
        <f aca="false">MAX(0,(V70+U121-U227)*0.25/0.55)</f>
        <v>70.9429403240436</v>
      </c>
      <c r="W263" s="1" t="n">
        <f aca="false">MAX(0,(W70+V121-V227)*0.25/0.55)</f>
        <v>73.6959194674849</v>
      </c>
      <c r="X263" s="1" t="n">
        <f aca="false">MAX(0,(X70+W121-W227)*0.25/0.55)</f>
        <v>76.4679588648295</v>
      </c>
      <c r="Y263" s="1" t="n">
        <f aca="false">MAX(0,(Y70+X121-X227)*0.25/0.55)</f>
        <v>79.2670683602605</v>
      </c>
      <c r="Z263" s="1" t="n">
        <f aca="false">MAX(0,(Z70+Y121-Y227)*0.25/0.55)</f>
        <v>82.1012541717521</v>
      </c>
      <c r="AA263" s="1" t="n">
        <f aca="false">MAX(0,(AA70+Z121-Z227)*0.25/0.55)</f>
        <v>84.9785292788982</v>
      </c>
      <c r="AB263" s="1" t="n">
        <f aca="false">MAX(0,(AB70+AA121-AA227)*0.25/0.55)</f>
        <v>87.9069218384836</v>
      </c>
      <c r="AC263" s="1" t="n">
        <f aca="false">MAX(0,(AC70+AB121-AB227)*0.25/0.55)</f>
        <v>90.8944864294584</v>
      </c>
      <c r="AD263" s="1" t="n">
        <f aca="false">MAX(0,(AD70+AC121-AC227)*0.25/0.55)</f>
        <v>93.9493156942463</v>
      </c>
      <c r="AE263" s="1" t="n">
        <f aca="false">MAX(0,(AE70+AD121-AD227)*0.25/0.55)</f>
        <v>97.0795521702593</v>
      </c>
      <c r="AF263" s="1" t="n">
        <f aca="false">MAX(0,(AF70+AE121-AE227)*0.25/0.55)</f>
        <v>100.293399810128</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0.213578226841393</v>
      </c>
      <c r="M266" s="1" t="n">
        <f aca="false">IF(M263&gt;0,M262/M263,0)</f>
        <v>0.218620372287174</v>
      </c>
      <c r="N266" s="1" t="n">
        <f aca="false">IF(N263&gt;0,N262/N263,0)</f>
        <v>0.211971612431639</v>
      </c>
      <c r="O266" s="1" t="n">
        <f aca="false">IF(O263&gt;0,O262/O263,0)</f>
        <v>0.206160271386386</v>
      </c>
      <c r="P266" s="1" t="n">
        <f aca="false">IF(P263&gt;0,P262/P263,0)</f>
        <v>0.200106300743198</v>
      </c>
      <c r="Q266" s="1" t="n">
        <f aca="false">IF(Q263&gt;0,Q262/Q263,0)</f>
        <v>0.19466244951073</v>
      </c>
      <c r="R266" s="1" t="n">
        <f aca="false">IF(R263&gt;0,R262/R263,0)</f>
        <v>0.189912093176997</v>
      </c>
      <c r="S266" s="1" t="n">
        <f aca="false">IF(S263&gt;0,S262/S263,0)</f>
        <v>0.185738768557483</v>
      </c>
      <c r="T266" s="1" t="n">
        <f aca="false">IF(T263&gt;0,T262/T263,0)</f>
        <v>0.182044780775704</v>
      </c>
      <c r="U266" s="1" t="n">
        <f aca="false">IF(U263&gt;0,U262/U263,0)</f>
        <v>0.178750978809778</v>
      </c>
      <c r="V266" s="1" t="n">
        <f aca="false">IF(V263&gt;0,V262/V263,0)</f>
        <v>0.17579244046116</v>
      </c>
      <c r="W266" s="1" t="n">
        <f aca="false">IF(W263&gt;0,W262/W263,0)</f>
        <v>0.173114558005313</v>
      </c>
      <c r="X266" s="1" t="n">
        <f aca="false">IF(X263&gt;0,X262/X263,0)</f>
        <v>0.17067264640163</v>
      </c>
      <c r="Y266" s="1" t="n">
        <f aca="false">IF(Y263&gt;0,Y262/Y263,0)</f>
        <v>0.168428820898779</v>
      </c>
      <c r="Z266" s="1" t="n">
        <f aca="false">IF(Z263&gt;0,Z262/Z263,0)</f>
        <v>0.166350720846488</v>
      </c>
      <c r="AA266" s="1" t="n">
        <f aca="false">IF(AA263&gt;0,AA262/AA263,0)</f>
        <v>0.164410715009571</v>
      </c>
      <c r="AB266" s="1" t="n">
        <f aca="false">IF(AB263&gt;0,AB262/AB263,0)</f>
        <v>0.162585122662794</v>
      </c>
      <c r="AC266" s="1" t="n">
        <f aca="false">IF(AC263&gt;0,AC262/AC263,0)</f>
        <v>0.160853558949811</v>
      </c>
      <c r="AD266" s="1" t="n">
        <f aca="false">IF(AD263&gt;0,AD262/AD263,0)</f>
        <v>0.15919843684419</v>
      </c>
      <c r="AE266" s="1" t="n">
        <f aca="false">IF(AE263&gt;0,AE262/AE263,0)</f>
        <v>0.157604567790219</v>
      </c>
      <c r="AF266" s="1" t="n">
        <f aca="false">IF(AF263&gt;0,AF262/AF263,0)</f>
        <v>0.156058834741574</v>
      </c>
    </row>
    <row r="267" customFormat="false" ht="14.25" hidden="false" customHeight="true" outlineLevel="0" collapsed="false">
      <c r="B267" s="1" t="s">
        <v>1262</v>
      </c>
      <c r="C267" s="1" t="n">
        <f aca="false">C120-C264</f>
        <v>17.9458778419531</v>
      </c>
      <c r="D267" s="1" t="n">
        <f aca="false">D120-D264</f>
        <v>33.1280169060563</v>
      </c>
      <c r="E267" s="1" t="n">
        <f aca="false">E120-E264</f>
        <v>50.0498831427186</v>
      </c>
      <c r="F267" s="1" t="n">
        <f aca="false">F120-F264</f>
        <v>61.8615311429605</v>
      </c>
      <c r="G267" s="1" t="n">
        <f aca="false">G120-G264</f>
        <v>72.8447858473724</v>
      </c>
      <c r="H267" s="1" t="n">
        <f aca="false">H120-H264</f>
        <v>85.489047213793</v>
      </c>
      <c r="I267" s="1" t="n">
        <f aca="false">I120-I264</f>
        <v>99.8859200684854</v>
      </c>
      <c r="J267" s="1" t="n">
        <f aca="false">J120-J264</f>
        <v>115.612055639854</v>
      </c>
      <c r="K267" s="1" t="n">
        <f aca="false">K120-K264</f>
        <v>132.626319710305</v>
      </c>
      <c r="L267" s="1" t="n">
        <f aca="false">L120-L264</f>
        <v>149.676541722361</v>
      </c>
      <c r="M267" s="1" t="n">
        <f aca="false">M120-M264</f>
        <v>149.344933949558</v>
      </c>
      <c r="N267" s="1" t="n">
        <f aca="false">N120-N264</f>
        <v>150.995647108463</v>
      </c>
      <c r="O267" s="1" t="n">
        <f aca="false">O120-O264</f>
        <v>152.982960266457</v>
      </c>
      <c r="P267" s="1" t="n">
        <f aca="false">P120-P264</f>
        <v>154.300415339116</v>
      </c>
      <c r="Q267" s="1" t="n">
        <f aca="false">Q120-Q264</f>
        <v>155.464886594235</v>
      </c>
      <c r="R267" s="1" t="n">
        <f aca="false">R120-R264</f>
        <v>156.67025208975</v>
      </c>
      <c r="S267" s="1" t="n">
        <f aca="false">S120-S264</f>
        <v>157.91163993643</v>
      </c>
      <c r="T267" s="1" t="n">
        <f aca="false">T120-T264</f>
        <v>159.189902862269</v>
      </c>
      <c r="U267" s="1" t="n">
        <f aca="false">U120-U264</f>
        <v>160.505634369716</v>
      </c>
      <c r="V267" s="1" t="n">
        <f aca="false">V120-V264</f>
        <v>161.859438668867</v>
      </c>
      <c r="W267" s="1" t="n">
        <f aca="false">W120-W264</f>
        <v>163.254208927265</v>
      </c>
      <c r="X267" s="1" t="n">
        <f aca="false">X120-X264</f>
        <v>164.691150314053</v>
      </c>
      <c r="Y267" s="1" t="n">
        <f aca="false">Y120-Y264</f>
        <v>166.17124717719</v>
      </c>
      <c r="Z267" s="1" t="n">
        <f aca="false">Z120-Z264</f>
        <v>167.695183979383</v>
      </c>
      <c r="AA267" s="1" t="n">
        <f aca="false">AA120-AA264</f>
        <v>169.263668950392</v>
      </c>
      <c r="AB267" s="1" t="n">
        <f aca="false">AB120-AB264</f>
        <v>170.877384922935</v>
      </c>
      <c r="AC267" s="1" t="n">
        <f aca="false">AC120-AC264</f>
        <v>172.537027474988</v>
      </c>
      <c r="AD267" s="1" t="n">
        <f aca="false">AD120-AD264</f>
        <v>174.243310534169</v>
      </c>
      <c r="AE267" s="1" t="n">
        <f aca="false">AE120-AE264</f>
        <v>175.996973655624</v>
      </c>
      <c r="AF267" s="1" t="n">
        <f aca="false">AF120-AF264</f>
        <v>177.798782171659</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9.38261698313461</v>
      </c>
      <c r="M270" s="1" t="n">
        <f aca="false">01_Supuestos!$C$173*M261</f>
        <v>10.0746439361531</v>
      </c>
      <c r="N270" s="1" t="n">
        <f aca="false">01_Supuestos!$C$173*N261</f>
        <v>10.3414638621683</v>
      </c>
      <c r="O270" s="1" t="n">
        <f aca="false">01_Supuestos!$C$173*O261</f>
        <v>10.6279116135697</v>
      </c>
      <c r="P270" s="1" t="n">
        <f aca="false">01_Supuestos!$C$173*P261</f>
        <v>10.8815268702704</v>
      </c>
      <c r="Q270" s="1" t="n">
        <f aca="false">01_Supuestos!$C$173*Q261</f>
        <v>11.1314863427223</v>
      </c>
      <c r="R270" s="1" t="n">
        <f aca="false">01_Supuestos!$C$173*R261</f>
        <v>11.3874404986379</v>
      </c>
      <c r="S270" s="1" t="n">
        <f aca="false">01_Supuestos!$C$173*S261</f>
        <v>11.649244805406</v>
      </c>
      <c r="T270" s="1" t="n">
        <f aca="false">01_Supuestos!$C$173*T261</f>
        <v>11.917050967724</v>
      </c>
      <c r="U270" s="1" t="n">
        <f aca="false">01_Supuestos!$C$173*U261</f>
        <v>12.1909993108313</v>
      </c>
      <c r="V270" s="1" t="n">
        <f aca="false">01_Supuestos!$C$173*V261</f>
        <v>12.4712326130541</v>
      </c>
      <c r="W270" s="1" t="n">
        <f aca="false">01_Supuestos!$C$173*W261</f>
        <v>12.7578365254088</v>
      </c>
      <c r="X270" s="1" t="n">
        <f aca="false">01_Supuestos!$C$173*X261</f>
        <v>13.0509889043914</v>
      </c>
      <c r="Y270" s="1" t="n">
        <f aca="false">01_Supuestos!$C$173*Y261</f>
        <v>13.3508588600216</v>
      </c>
      <c r="Z270" s="1" t="n">
        <f aca="false">01_Supuestos!$C$173*Z261</f>
        <v>13.6576028138717</v>
      </c>
      <c r="AA270" s="1" t="n">
        <f aca="false">01_Supuestos!$C$173*AA261</f>
        <v>13.9713807592054</v>
      </c>
      <c r="AB270" s="1" t="n">
        <f aca="false">01_Supuestos!$C$173*AB261</f>
        <v>14.2923576700185</v>
      </c>
      <c r="AC270" s="1" t="n">
        <f aca="false">01_Supuestos!$C$173*AC261</f>
        <v>14.6207016310937</v>
      </c>
      <c r="AD270" s="1" t="n">
        <f aca="false">01_Supuestos!$C$173*AD261</f>
        <v>14.9565842011053</v>
      </c>
      <c r="AE270" s="1" t="n">
        <f aca="false">01_Supuestos!$C$173*AE261</f>
        <v>15.3001808610617</v>
      </c>
      <c r="AF270" s="1" t="n">
        <f aca="false">01_Supuestos!$C$173*AF261</f>
        <v>15.6516711066393</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9.38261698313461</v>
      </c>
      <c r="M271" s="1" t="n">
        <f aca="false">MIN(M270,M263)</f>
        <v>10.0746439361531</v>
      </c>
      <c r="N271" s="1" t="n">
        <f aca="false">MIN(N270,N263)</f>
        <v>10.3414638621683</v>
      </c>
      <c r="O271" s="1" t="n">
        <f aca="false">MIN(O270,O263)</f>
        <v>10.6279116135697</v>
      </c>
      <c r="P271" s="1" t="n">
        <f aca="false">MIN(P270,P263)</f>
        <v>10.8815268702704</v>
      </c>
      <c r="Q271" s="1" t="n">
        <f aca="false">MIN(Q270,Q263)</f>
        <v>11.1314863427223</v>
      </c>
      <c r="R271" s="1" t="n">
        <f aca="false">MIN(R270,R263)</f>
        <v>11.3874404986379</v>
      </c>
      <c r="S271" s="1" t="n">
        <f aca="false">MIN(S270,S263)</f>
        <v>11.649244805406</v>
      </c>
      <c r="T271" s="1" t="n">
        <f aca="false">MIN(T270,T263)</f>
        <v>11.917050967724</v>
      </c>
      <c r="U271" s="1" t="n">
        <f aca="false">MIN(U270,U263)</f>
        <v>12.1909993108313</v>
      </c>
      <c r="V271" s="1" t="n">
        <f aca="false">MIN(V270,V263)</f>
        <v>12.4712326130541</v>
      </c>
      <c r="W271" s="1" t="n">
        <f aca="false">MIN(W270,W263)</f>
        <v>12.7578365254088</v>
      </c>
      <c r="X271" s="1" t="n">
        <f aca="false">MIN(X270,X263)</f>
        <v>13.0509889043914</v>
      </c>
      <c r="Y271" s="1" t="n">
        <f aca="false">MIN(Y270,Y263)</f>
        <v>13.3508588600216</v>
      </c>
      <c r="Z271" s="1" t="n">
        <f aca="false">MIN(Z270,Z263)</f>
        <v>13.6576028138717</v>
      </c>
      <c r="AA271" s="1" t="n">
        <f aca="false">MIN(AA270,AA263)</f>
        <v>13.9713807592054</v>
      </c>
      <c r="AB271" s="1" t="n">
        <f aca="false">MIN(AB270,AB263)</f>
        <v>14.2923576700185</v>
      </c>
      <c r="AC271" s="1" t="n">
        <f aca="false">MIN(AC270,AC263)</f>
        <v>14.6207016310937</v>
      </c>
      <c r="AD271" s="1" t="n">
        <f aca="false">MIN(AD270,AD263)</f>
        <v>14.9565842011053</v>
      </c>
      <c r="AE271" s="1" t="n">
        <f aca="false">MIN(AE270,AE263)</f>
        <v>15.3001808610617</v>
      </c>
      <c r="AF271" s="1" t="n">
        <f aca="false">MIN(AF270,AF263)</f>
        <v>15.6516711066393</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0.0938261698313462</v>
      </c>
      <c r="M274" s="1" t="n">
        <f aca="false">IF(01_Supuestos!$C$174="Sí",01_Supuestos!$C$172*M271,01_Supuestos!$I$134*(M271+MIN(MIN(M270-M271,MAX(0,L120)),M264))+$C$10*MAX(0,MIN(M270-M271,MAX(0,L120))-M264))</f>
        <v>0.100746439361531</v>
      </c>
      <c r="N274" s="1" t="n">
        <f aca="false">IF(01_Supuestos!$C$174="Sí",01_Supuestos!$C$172*N271,01_Supuestos!$I$134*(N271+MIN(MIN(N270-N271,MAX(0,M120)),N264))+$C$10*MAX(0,MIN(N270-N271,MAX(0,M120))-N264))</f>
        <v>0.103414638621683</v>
      </c>
      <c r="O274" s="1" t="n">
        <f aca="false">IF(01_Supuestos!$C$174="Sí",01_Supuestos!$C$172*O271,01_Supuestos!$I$134*(O271+MIN(MIN(O270-O271,MAX(0,N120)),O264))+$C$10*MAX(0,MIN(O270-O271,MAX(0,N120))-O264))</f>
        <v>0.106279116135697</v>
      </c>
      <c r="P274" s="1" t="n">
        <f aca="false">IF(01_Supuestos!$C$174="Sí",01_Supuestos!$C$172*P271,01_Supuestos!$I$134*(P271+MIN(MIN(P270-P271,MAX(0,O120)),P264))+$C$10*MAX(0,MIN(P270-P271,MAX(0,O120))-P264))</f>
        <v>0.108815268702704</v>
      </c>
      <c r="Q274" s="1" t="n">
        <f aca="false">IF(01_Supuestos!$C$174="Sí",01_Supuestos!$C$172*Q271,01_Supuestos!$I$134*(Q271+MIN(MIN(Q270-Q271,MAX(0,P120)),Q264))+$C$10*MAX(0,MIN(Q270-Q271,MAX(0,P120))-Q264))</f>
        <v>0.111314863427223</v>
      </c>
      <c r="R274" s="1" t="n">
        <f aca="false">IF(01_Supuestos!$C$174="Sí",01_Supuestos!$C$172*R271,01_Supuestos!$I$134*(R271+MIN(MIN(R270-R271,MAX(0,Q120)),R264))+$C$10*MAX(0,MIN(R270-R271,MAX(0,Q120))-R264))</f>
        <v>0.113874404986379</v>
      </c>
      <c r="S274" s="1" t="n">
        <f aca="false">IF(01_Supuestos!$C$174="Sí",01_Supuestos!$C$172*S271,01_Supuestos!$I$134*(S271+MIN(MIN(S270-S271,MAX(0,R120)),S264))+$C$10*MAX(0,MIN(S270-S271,MAX(0,R120))-S264))</f>
        <v>0.11649244805406</v>
      </c>
      <c r="T274" s="1" t="n">
        <f aca="false">IF(01_Supuestos!$C$174="Sí",01_Supuestos!$C$172*T271,01_Supuestos!$I$134*(T271+MIN(MIN(T270-T271,MAX(0,S120)),T264))+$C$10*MAX(0,MIN(T270-T271,MAX(0,S120))-T264))</f>
        <v>0.11917050967724</v>
      </c>
      <c r="U274" s="1" t="n">
        <f aca="false">IF(01_Supuestos!$C$174="Sí",01_Supuestos!$C$172*U271,01_Supuestos!$I$134*(U271+MIN(MIN(U270-U271,MAX(0,T120)),U264))+$C$10*MAX(0,MIN(U270-U271,MAX(0,T120))-U264))</f>
        <v>0.121909993108313</v>
      </c>
      <c r="V274" s="1" t="n">
        <f aca="false">IF(01_Supuestos!$C$174="Sí",01_Supuestos!$C$172*V271,01_Supuestos!$I$134*(V271+MIN(MIN(V270-V271,MAX(0,U120)),V264))+$C$10*MAX(0,MIN(V270-V271,MAX(0,U120))-V264))</f>
        <v>0.124712326130541</v>
      </c>
      <c r="W274" s="1" t="n">
        <f aca="false">IF(01_Supuestos!$C$174="Sí",01_Supuestos!$C$172*W271,01_Supuestos!$I$134*(W271+MIN(MIN(W270-W271,MAX(0,V120)),W264))+$C$10*MAX(0,MIN(W270-W271,MAX(0,V120))-W264))</f>
        <v>0.127578365254088</v>
      </c>
      <c r="X274" s="1" t="n">
        <f aca="false">IF(01_Supuestos!$C$174="Sí",01_Supuestos!$C$172*X271,01_Supuestos!$I$134*(X271+MIN(MIN(X270-X271,MAX(0,W120)),X264))+$C$10*MAX(0,MIN(X270-X271,MAX(0,W120))-X264))</f>
        <v>0.130509889043914</v>
      </c>
      <c r="Y274" s="1" t="n">
        <f aca="false">IF(01_Supuestos!$C$174="Sí",01_Supuestos!$C$172*Y271,01_Supuestos!$I$134*(Y271+MIN(MIN(Y270-Y271,MAX(0,X120)),Y264))+$C$10*MAX(0,MIN(Y270-Y271,MAX(0,X120))-Y264))</f>
        <v>0.133508588600216</v>
      </c>
      <c r="Z274" s="1" t="n">
        <f aca="false">IF(01_Supuestos!$C$174="Sí",01_Supuestos!$C$172*Z271,01_Supuestos!$I$134*(Z271+MIN(MIN(Z270-Z271,MAX(0,Y120)),Z264))+$C$10*MAX(0,MIN(Z270-Z271,MAX(0,Y120))-Z264))</f>
        <v>0.136576028138717</v>
      </c>
      <c r="AA274" s="1" t="n">
        <f aca="false">IF(01_Supuestos!$C$174="Sí",01_Supuestos!$C$172*AA271,01_Supuestos!$I$134*(AA271+MIN(MIN(AA270-AA271,MAX(0,Z120)),AA264))+$C$10*MAX(0,MIN(AA270-AA271,MAX(0,Z120))-AA264))</f>
        <v>0.139713807592054</v>
      </c>
      <c r="AB274" s="1" t="n">
        <f aca="false">IF(01_Supuestos!$C$174="Sí",01_Supuestos!$C$172*AB271,01_Supuestos!$I$134*(AB271+MIN(MIN(AB270-AB271,MAX(0,AA120)),AB264))+$C$10*MAX(0,MIN(AB270-AB271,MAX(0,AA120))-AB264))</f>
        <v>0.142923576700185</v>
      </c>
      <c r="AC274" s="1" t="n">
        <f aca="false">IF(01_Supuestos!$C$174="Sí",01_Supuestos!$C$172*AC271,01_Supuestos!$I$134*(AC271+MIN(MIN(AC270-AC271,MAX(0,AB120)),AC264))+$C$10*MAX(0,MIN(AC270-AC271,MAX(0,AB120))-AC264))</f>
        <v>0.146207016310937</v>
      </c>
      <c r="AD274" s="1" t="n">
        <f aca="false">IF(01_Supuestos!$C$174="Sí",01_Supuestos!$C$172*AD271,01_Supuestos!$I$134*(AD271+MIN(MIN(AD270-AD271,MAX(0,AC120)),AD264))+$C$10*MAX(0,MIN(AD270-AD271,MAX(0,AC120))-AD264))</f>
        <v>0.149565842011053</v>
      </c>
      <c r="AE274" s="1" t="n">
        <f aca="false">IF(01_Supuestos!$C$174="Sí",01_Supuestos!$C$172*AE271,01_Supuestos!$I$134*(AE271+MIN(MIN(AE270-AE271,MAX(0,AD120)),AE264))+$C$10*MAX(0,MIN(AE270-AE271,MAX(0,AD120))-AE264))</f>
        <v>0.153001808610617</v>
      </c>
      <c r="AF274" s="1" t="n">
        <f aca="false">IF(01_Supuestos!$C$174="Sí",01_Supuestos!$C$172*AF271,01_Supuestos!$I$134*(AF271+MIN(MIN(AF270-AF271,MAX(0,AE120)),AF264))+$C$10*MAX(0,MIN(AF270-AF271,MAX(0,AE120))-AF264))</f>
        <v>0.156516711066393</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33.1280169060563</v>
      </c>
      <c r="E276" s="1" t="n">
        <f aca="false">E120-MAX(E264,E272)</f>
        <v>50.0498831427186</v>
      </c>
      <c r="F276" s="1" t="n">
        <f aca="false">F120-MAX(F264,F272)</f>
        <v>61.8615311429605</v>
      </c>
      <c r="G276" s="1" t="n">
        <f aca="false">G120-MAX(G264,G272)</f>
        <v>72.8447858473724</v>
      </c>
      <c r="H276" s="1" t="n">
        <f aca="false">H120-MAX(H264,H272)</f>
        <v>85.489047213793</v>
      </c>
      <c r="I276" s="1" t="n">
        <f aca="false">I120-MAX(I264,I272)</f>
        <v>99.8859200684854</v>
      </c>
      <c r="J276" s="1" t="n">
        <f aca="false">J120-MAX(J264,J272)</f>
        <v>115.612055639854</v>
      </c>
      <c r="K276" s="1" t="n">
        <f aca="false">K120-MAX(K264,K272)</f>
        <v>132.626319710305</v>
      </c>
      <c r="L276" s="1" t="n">
        <f aca="false">L120-MAX(L264,L272)</f>
        <v>149.676541722361</v>
      </c>
      <c r="M276" s="1" t="n">
        <f aca="false">M120-MAX(M264,M272)</f>
        <v>149.344933949558</v>
      </c>
      <c r="N276" s="1" t="n">
        <f aca="false">N120-MAX(N264,N272)</f>
        <v>150.995647108463</v>
      </c>
      <c r="O276" s="1" t="n">
        <f aca="false">O120-MAX(O264,O272)</f>
        <v>152.982960266457</v>
      </c>
      <c r="P276" s="1" t="n">
        <f aca="false">P120-MAX(P264,P272)</f>
        <v>154.300415339116</v>
      </c>
      <c r="Q276" s="1" t="n">
        <f aca="false">Q120-MAX(Q264,Q272)</f>
        <v>155.464886594235</v>
      </c>
      <c r="R276" s="1" t="n">
        <f aca="false">R120-MAX(R264,R272)</f>
        <v>156.67025208975</v>
      </c>
      <c r="S276" s="1" t="n">
        <f aca="false">S120-MAX(S264,S272)</f>
        <v>157.91163993643</v>
      </c>
      <c r="T276" s="1" t="n">
        <f aca="false">T120-MAX(T264,T272)</f>
        <v>159.189902862269</v>
      </c>
      <c r="U276" s="1" t="n">
        <f aca="false">U120-MAX(U264,U272)</f>
        <v>160.505634369716</v>
      </c>
      <c r="V276" s="1" t="n">
        <f aca="false">V120-MAX(V264,V272)</f>
        <v>161.859438668867</v>
      </c>
      <c r="W276" s="1" t="n">
        <f aca="false">W120-MAX(W264,W272)</f>
        <v>163.254208927265</v>
      </c>
      <c r="X276" s="1" t="n">
        <f aca="false">X120-MAX(X264,X272)</f>
        <v>164.691150314053</v>
      </c>
      <c r="Y276" s="1" t="n">
        <f aca="false">Y120-MAX(Y264,Y272)</f>
        <v>166.17124717719</v>
      </c>
      <c r="Z276" s="1" t="n">
        <f aca="false">Z120-MAX(Z264,Z272)</f>
        <v>167.695183979383</v>
      </c>
      <c r="AA276" s="1" t="n">
        <f aca="false">AA120-MAX(AA264,AA272)</f>
        <v>169.263668950392</v>
      </c>
      <c r="AB276" s="1" t="n">
        <f aca="false">AB120-MAX(AB264,AB272)</f>
        <v>170.877384922935</v>
      </c>
      <c r="AC276" s="1" t="n">
        <f aca="false">AC120-MAX(AC264,AC272)</f>
        <v>172.537027474988</v>
      </c>
      <c r="AD276" s="1" t="n">
        <f aca="false">AD120-MAX(AD264,AD272)</f>
        <v>174.243310534169</v>
      </c>
      <c r="AE276" s="1" t="n">
        <f aca="false">AE120-MAX(AE264,AE272)</f>
        <v>175.996973655624</v>
      </c>
      <c r="AF276" s="1" t="n">
        <f aca="false">AF120-MAX(AF264,AF272)</f>
        <v>177.798782171659</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39.9515643351644</v>
      </c>
      <c r="M284" s="1" t="n">
        <f aca="false">$C$279*M87</f>
        <v>49.1136605353627</v>
      </c>
      <c r="N284" s="1" t="n">
        <f aca="false">$C$279*N87</f>
        <v>52.8528158397428</v>
      </c>
      <c r="O284" s="1" t="n">
        <f aca="false">$C$279*O87</f>
        <v>53.9612381848173</v>
      </c>
      <c r="P284" s="1" t="n">
        <f aca="false">$C$279*P87</f>
        <v>55.1833183459313</v>
      </c>
      <c r="Q284" s="1" t="n">
        <f aca="false">$C$279*Q87</f>
        <v>56.4379710413199</v>
      </c>
      <c r="R284" s="1" t="n">
        <f aca="false">$C$279*R87</f>
        <v>57.729261658961</v>
      </c>
      <c r="S284" s="1" t="n">
        <f aca="false">$C$279*S87</f>
        <v>59.0577306673275</v>
      </c>
      <c r="T284" s="1" t="n">
        <f aca="false">$C$279*T87</f>
        <v>60.4237338382204</v>
      </c>
      <c r="U284" s="1" t="n">
        <f aca="false">$C$279*U87</f>
        <v>61.8276560395859</v>
      </c>
      <c r="V284" s="1" t="n">
        <f aca="false">$C$279*V87</f>
        <v>63.2699042962346</v>
      </c>
      <c r="W284" s="1" t="n">
        <f aca="false">$C$279*W87</f>
        <v>64.7552813691315</v>
      </c>
      <c r="X284" s="1" t="n">
        <f aca="false">$C$279*X87</f>
        <v>66.2842131975945</v>
      </c>
      <c r="Y284" s="1" t="n">
        <f aca="false">$C$279*Y87</f>
        <v>67.8571431597596</v>
      </c>
      <c r="Z284" s="1" t="n">
        <f aca="false">$C$279*Z87</f>
        <v>69.4745334531963</v>
      </c>
      <c r="AA284" s="1" t="n">
        <f aca="false">$C$279*AA87</f>
        <v>71.1368648415822</v>
      </c>
      <c r="AB284" s="1" t="n">
        <f aca="false">$C$279*AB87</f>
        <v>72.8445409377591</v>
      </c>
      <c r="AC284" s="1" t="n">
        <f aca="false">$C$279*AC87</f>
        <v>74.5979851614819</v>
      </c>
      <c r="AD284" s="1" t="n">
        <f aca="false">$C$279*AD87</f>
        <v>76.3976404655748</v>
      </c>
      <c r="AE284" s="1" t="n">
        <f aca="false">$C$279*AE87</f>
        <v>78.2439690600742</v>
      </c>
      <c r="AF284" s="1" t="n">
        <f aca="false">$C$279*AF87</f>
        <v>80.1374521694451</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1.99558063854146</v>
      </c>
      <c r="N285" s="1" t="n">
        <f aca="false">MAX(M284*(1-$C$340)/$C$280,M284-N341-N284)</f>
        <v>2.45322734374137</v>
      </c>
      <c r="O285" s="1" t="n">
        <f aca="false">MAX(N284*(1-$C$340)/$C$280,N284-O341-O284)</f>
        <v>2.63999815119515</v>
      </c>
      <c r="P285" s="1" t="n">
        <f aca="false">MAX(O284*(1-$C$340)/$C$280,O284-P341-P284)</f>
        <v>2.69536384733162</v>
      </c>
      <c r="Q285" s="1" t="n">
        <f aca="false">MAX(P284*(1-$C$340)/$C$280,P284-Q341-Q284)</f>
        <v>2.75640675137927</v>
      </c>
      <c r="R285" s="1" t="n">
        <f aca="false">MAX(Q284*(1-$C$340)/$C$280,Q284-R341-R284)</f>
        <v>2.81907665351393</v>
      </c>
      <c r="S285" s="1" t="n">
        <f aca="false">MAX(R284*(1-$C$340)/$C$280,R284-S341-S284)</f>
        <v>2.8835766198651</v>
      </c>
      <c r="T285" s="1" t="n">
        <f aca="false">MAX(S284*(1-$C$340)/$C$280,S284-T341-T284)</f>
        <v>2.94993364683301</v>
      </c>
      <c r="U285" s="1" t="n">
        <f aca="false">MAX(T284*(1-$C$340)/$C$280,T284-U341-U284)</f>
        <v>3.01816550521911</v>
      </c>
      <c r="V285" s="1" t="n">
        <f aca="false">MAX(U284*(1-$C$340)/$C$280,U284-V341-V284)</f>
        <v>3.08829141917732</v>
      </c>
      <c r="W285" s="1" t="n">
        <f aca="false">MAX(V284*(1-$C$340)/$C$280,V284-W341-W284)</f>
        <v>3.16033171959692</v>
      </c>
      <c r="X285" s="1" t="n">
        <f aca="false">MAX(W284*(1-$C$340)/$C$280,W284-X341-X284)</f>
        <v>3.23452630438812</v>
      </c>
      <c r="Y285" s="1" t="n">
        <f aca="false">MAX(X284*(1-$C$340)/$C$280,X284-Y341-Y284)</f>
        <v>3.31089644921985</v>
      </c>
      <c r="Z285" s="1" t="n">
        <f aca="false">MAX(Y284*(1-$C$340)/$C$280,Y284-Z341-Z284)</f>
        <v>3.38946430082999</v>
      </c>
      <c r="AA285" s="1" t="n">
        <f aca="false">MAX(Z284*(1-$C$340)/$C$280,Z284-AA341-AA284)</f>
        <v>3.47025294598716</v>
      </c>
      <c r="AB285" s="1" t="n">
        <f aca="false">MAX(AA284*(1-$C$340)/$C$280,AA284-AB341-AB284)</f>
        <v>3.55328639883703</v>
      </c>
      <c r="AC285" s="1" t="n">
        <f aca="false">MAX(AB284*(1-$C$340)/$C$280,AB284-AC341-AC284)</f>
        <v>3.63858481984107</v>
      </c>
      <c r="AD285" s="1" t="n">
        <f aca="false">MAX(AC284*(1-$C$340)/$C$280,AC284-AD341-AD284)</f>
        <v>3.72616935881602</v>
      </c>
      <c r="AE285" s="1" t="n">
        <f aca="false">MAX(AD284*(1-$C$340)/$C$280,AD284-AE341-AE284)</f>
        <v>3.81606214125546</v>
      </c>
      <c r="AF285" s="1" t="n">
        <f aca="false">MAX(AE284*(1-$C$340)/$C$280,AE284-AF341-AF284)</f>
        <v>3.90828625455071</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7.45431134650823</v>
      </c>
      <c r="M286" s="1" t="n">
        <f aca="false">M284-L284+M285+M341</f>
        <v>11.197628403075</v>
      </c>
      <c r="N286" s="1" t="n">
        <f aca="false">N284-M284+N285+N341</f>
        <v>6.2414963086568</v>
      </c>
      <c r="O286" s="1" t="n">
        <f aca="false">O284-N284+O285+O341</f>
        <v>3.80127331210938</v>
      </c>
      <c r="P286" s="1" t="n">
        <f aca="false">P284-O284+P285+P341</f>
        <v>3.97140524663045</v>
      </c>
      <c r="Q286" s="1" t="n">
        <f aca="false">Q284-P284+Q285+Q341</f>
        <v>4.06624276511379</v>
      </c>
      <c r="R286" s="1" t="n">
        <f aca="false">R284-Q284+R285+R341</f>
        <v>4.16680524219637</v>
      </c>
      <c r="S286" s="1" t="n">
        <f aca="false">S284-R284+S285+S341</f>
        <v>4.26977488989052</v>
      </c>
      <c r="T286" s="1" t="n">
        <f aca="false">T284-S284+T285+T341</f>
        <v>4.37499454839323</v>
      </c>
      <c r="U286" s="1" t="n">
        <f aca="false">U284-T284+U285+U341</f>
        <v>4.4825114404229</v>
      </c>
      <c r="V286" s="1" t="n">
        <f aca="false">V284-U284+V285+V341</f>
        <v>4.59236733186561</v>
      </c>
      <c r="W286" s="1" t="n">
        <f aca="false">W284-V284+W285+W341</f>
        <v>4.70897869678996</v>
      </c>
      <c r="X286" s="1" t="n">
        <f aca="false">X284-W284+X285+X341</f>
        <v>4.82821341422031</v>
      </c>
      <c r="Y286" s="1" t="n">
        <f aca="false">Y284-X284+Y285+Y341</f>
        <v>4.95011062458256</v>
      </c>
      <c r="Z286" s="1" t="n">
        <f aca="false">Z284-Y284+Z285+Z341</f>
        <v>5.07471173742647</v>
      </c>
      <c r="AA286" s="1" t="n">
        <f aca="false">AA284-Z284+AA285+AA341</f>
        <v>5.20205886782625</v>
      </c>
      <c r="AB286" s="1" t="n">
        <f aca="false">AB284-AA284+AB285+AB341</f>
        <v>5.33209935985546</v>
      </c>
      <c r="AC286" s="1" t="n">
        <f aca="false">AC284-AB284+AC285+AC341</f>
        <v>5.46487358450161</v>
      </c>
      <c r="AD286" s="1" t="n">
        <f aca="false">AD284-AC284+AD285+AD341</f>
        <v>5.6004226480704</v>
      </c>
      <c r="AE286" s="1" t="n">
        <f aca="false">AE284-AD284+AE285+AE341</f>
        <v>5.73878837622045</v>
      </c>
      <c r="AF286" s="1" t="n">
        <f aca="false">AF284-AE284+AF285+AF341</f>
        <v>5.88001333298167</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1.71619934914566</v>
      </c>
      <c r="M287" s="1" t="n">
        <f aca="false">M284*(1-$C$340)*$C$175</f>
        <v>2.10977551561758</v>
      </c>
      <c r="N287" s="1" t="n">
        <f aca="false">N284*(1-$C$340)*$C$175</f>
        <v>2.27039841002783</v>
      </c>
      <c r="O287" s="1" t="n">
        <f aca="false">O284*(1-$C$340)*$C$175</f>
        <v>2.3180129087052</v>
      </c>
      <c r="P287" s="1" t="n">
        <f aca="false">P284*(1-$C$340)*$C$175</f>
        <v>2.37050980618617</v>
      </c>
      <c r="Q287" s="1" t="n">
        <f aca="false">Q284*(1-$C$340)*$C$175</f>
        <v>2.42440592202198</v>
      </c>
      <c r="R287" s="1" t="n">
        <f aca="false">R284*(1-$C$340)*$C$175</f>
        <v>2.47987589308399</v>
      </c>
      <c r="S287" s="1" t="n">
        <f aca="false">S284*(1-$C$340)*$C$175</f>
        <v>2.53694293627639</v>
      </c>
      <c r="T287" s="1" t="n">
        <f aca="false">T284*(1-$C$340)*$C$175</f>
        <v>2.59562233448843</v>
      </c>
      <c r="U287" s="1" t="n">
        <f aca="false">U284*(1-$C$340)*$C$175</f>
        <v>2.65593062049249</v>
      </c>
      <c r="V287" s="1" t="n">
        <f aca="false">V284*(1-$C$340)*$C$175</f>
        <v>2.71788527885335</v>
      </c>
      <c r="W287" s="1" t="n">
        <f aca="false">W284*(1-$C$340)*$C$175</f>
        <v>2.78169262177378</v>
      </c>
      <c r="X287" s="1" t="n">
        <f aca="false">X284*(1-$C$340)*$C$175</f>
        <v>2.84737094632907</v>
      </c>
      <c r="Y287" s="1" t="n">
        <f aca="false">Y284*(1-$C$340)*$C$175</f>
        <v>2.91493929871379</v>
      </c>
      <c r="Z287" s="1" t="n">
        <f aca="false">Z284*(1-$C$340)*$C$175</f>
        <v>2.98441753354896</v>
      </c>
      <c r="AA287" s="1" t="n">
        <f aca="false">AA284*(1-$C$340)*$C$175</f>
        <v>3.05582630299985</v>
      </c>
      <c r="AB287" s="1" t="n">
        <f aca="false">AB284*(1-$C$340)*$C$175</f>
        <v>3.12918294506332</v>
      </c>
      <c r="AC287" s="1" t="n">
        <f aca="false">AC284*(1-$C$340)*$C$175</f>
        <v>3.20450564858178</v>
      </c>
      <c r="AD287" s="1" t="n">
        <f aca="false">AD284*(1-$C$340)*$C$175</f>
        <v>3.28181344147969</v>
      </c>
      <c r="AE287" s="1" t="n">
        <f aca="false">AE284*(1-$C$340)*$C$175</f>
        <v>3.36112617891361</v>
      </c>
      <c r="AF287" s="1" t="n">
        <f aca="false">AF284*(1-$C$340)*$C$175</f>
        <v>3.44246453284285</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55.1712078914175</v>
      </c>
      <c r="M289" s="1" t="n">
        <f aca="false">(1-$C$279)*M87</f>
        <v>67.8236264535962</v>
      </c>
      <c r="N289" s="1" t="n">
        <f aca="false">(1-$C$279)*N87</f>
        <v>72.9872218739306</v>
      </c>
      <c r="O289" s="1" t="n">
        <f aca="false">(1-$C$279)*O87</f>
        <v>74.517900350462</v>
      </c>
      <c r="P289" s="1" t="n">
        <f aca="false">(1-$C$279)*P87</f>
        <v>76.2055348586671</v>
      </c>
      <c r="Q289" s="1" t="n">
        <f aca="false">(1-$C$279)*Q87</f>
        <v>77.9381504856322</v>
      </c>
      <c r="R289" s="1" t="n">
        <f aca="false">(1-$C$279)*R87</f>
        <v>79.7213613385652</v>
      </c>
      <c r="S289" s="1" t="n">
        <f aca="false">(1-$C$279)*S87</f>
        <v>81.5559137786903</v>
      </c>
      <c r="T289" s="1" t="n">
        <f aca="false">(1-$C$279)*T87</f>
        <v>83.4422991099234</v>
      </c>
      <c r="U289" s="1" t="n">
        <f aca="false">(1-$C$279)*U87</f>
        <v>85.3810488165711</v>
      </c>
      <c r="V289" s="1" t="n">
        <f aca="false">(1-$C$279)*V87</f>
        <v>87.3727249805145</v>
      </c>
      <c r="W289" s="1" t="n">
        <f aca="false">(1-$C$279)*W87</f>
        <v>89.4239599859434</v>
      </c>
      <c r="X289" s="1" t="n">
        <f aca="false">(1-$C$279)*X87</f>
        <v>91.5353420347734</v>
      </c>
      <c r="Y289" s="1" t="n">
        <f aca="false">(1-$C$279)*Y87</f>
        <v>93.7074834110967</v>
      </c>
      <c r="Z289" s="1" t="n">
        <f aca="false">(1-$C$279)*Z87</f>
        <v>95.9410223877474</v>
      </c>
      <c r="AA289" s="1" t="n">
        <f aca="false">(1-$C$279)*AA87</f>
        <v>98.2366228764707</v>
      </c>
      <c r="AB289" s="1" t="n">
        <f aca="false">(1-$C$279)*AB87</f>
        <v>100.594842247382</v>
      </c>
      <c r="AC289" s="1" t="n">
        <f aca="false">(1-$C$279)*AC87</f>
        <v>103.016265222999</v>
      </c>
      <c r="AD289" s="1" t="n">
        <f aca="false">(1-$C$279)*AD87</f>
        <v>105.501503500079</v>
      </c>
      <c r="AE289" s="1" t="n">
        <f aca="false">(1-$C$279)*AE87</f>
        <v>108.051195368674</v>
      </c>
      <c r="AF289" s="1" t="n">
        <f aca="false">(1-$C$279)*AF87</f>
        <v>110.666005376853</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11.0232073367052</v>
      </c>
      <c r="N290" s="1" t="n">
        <f aca="false">MAX(M289*(1-$C$340)/$C$281+IF(AND(01_Supuestos!$C$189&gt;0,N$39=01_Supuestos!$C$189),01_Supuestos!$C$190*M289*(1-$C$340)*(1-1/$C$281),0),M289-N342-N289)</f>
        <v>13.5511605654285</v>
      </c>
      <c r="O290" s="1" t="n">
        <f aca="false">MAX(N289*(1-$C$340)/$C$281+IF(AND(01_Supuestos!$C$189&gt;0,O$39=01_Supuestos!$C$189),01_Supuestos!$C$190*N289*(1-$C$340)*(1-1/$C$281),0),N289-O342-O289)</f>
        <v>14.5828469304113</v>
      </c>
      <c r="P290" s="1" t="n">
        <f aca="false">MAX(O289*(1-$C$340)/$C$281+IF(AND(01_Supuestos!$C$189&gt;0,P$39=01_Supuestos!$C$189),01_Supuestos!$C$190*O289*(1-$C$340)*(1-1/$C$281),0),O289-P342-P289)</f>
        <v>14.8886764900223</v>
      </c>
      <c r="Q290" s="1" t="n">
        <f aca="false">MAX(P289*(1-$C$340)/$C$281+IF(AND(01_Supuestos!$C$189&gt;0,Q$39=01_Supuestos!$C$189),01_Supuestos!$C$190*P289*(1-$C$340)*(1-1/$C$281),0),P289-Q342-Q289)</f>
        <v>15.2258658647617</v>
      </c>
      <c r="R290" s="1" t="n">
        <f aca="false">MAX(Q289*(1-$C$340)/$C$281+IF(AND(01_Supuestos!$C$189&gt;0,R$39=01_Supuestos!$C$189),01_Supuestos!$C$190*Q289*(1-$C$340)*(1-1/$C$281),0),Q289-R342-R289)</f>
        <v>15.5720424670293</v>
      </c>
      <c r="S290" s="1" t="n">
        <f aca="false">MAX(R289*(1-$C$340)/$C$281+IF(AND(01_Supuestos!$C$189&gt;0,S$39=01_Supuestos!$C$189),01_Supuestos!$C$190*R289*(1-$C$340)*(1-1/$C$281),0),R289-S342-S289)</f>
        <v>15.9283279954453</v>
      </c>
      <c r="T290" s="1" t="n">
        <f aca="false">MAX(S289*(1-$C$340)/$C$281+IF(AND(01_Supuestos!$C$189&gt;0,T$39=01_Supuestos!$C$189),01_Supuestos!$C$190*S289*(1-$C$340)*(1-1/$C$281),0),S289-T342-T289)</f>
        <v>16.2948715729823</v>
      </c>
      <c r="U290" s="1" t="n">
        <f aca="false">MAX(T289*(1-$C$340)/$C$281+IF(AND(01_Supuestos!$C$189&gt;0,U$39=01_Supuestos!$C$189),01_Supuestos!$C$190*T289*(1-$C$340)*(1-1/$C$281),0),T289-U342-U289)</f>
        <v>16.6717713621627</v>
      </c>
      <c r="V290" s="1" t="n">
        <f aca="false">MAX(U289*(1-$C$340)/$C$281+IF(AND(01_Supuestos!$C$189&gt;0,V$39=01_Supuestos!$C$189),01_Supuestos!$C$190*U289*(1-$C$340)*(1-1/$C$281),0),U289-V342-V289)</f>
        <v>17.0591335535509</v>
      </c>
      <c r="W290" s="1" t="n">
        <f aca="false">MAX(V289*(1-$C$340)/$C$281+IF(AND(01_Supuestos!$C$189&gt;0,W$39=01_Supuestos!$C$189),01_Supuestos!$C$190*V289*(1-$C$340)*(1-1/$C$281),0),V289-W342-W289)</f>
        <v>17.4570704511068</v>
      </c>
      <c r="X290" s="1" t="n">
        <f aca="false">MAX(W289*(1-$C$340)/$C$281+IF(AND(01_Supuestos!$C$189&gt;0,X$39=01_Supuestos!$C$189),01_Supuestos!$C$190*W289*(1-$C$340)*(1-1/$C$281),0),W289-X342-X289)</f>
        <v>17.8669072051915</v>
      </c>
      <c r="Y290" s="1" t="n">
        <f aca="false">MAX(X289*(1-$C$340)/$C$281+IF(AND(01_Supuestos!$C$189&gt;0,Y$39=01_Supuestos!$C$189),01_Supuestos!$C$190*X289*(1-$C$340)*(1-1/$C$281),0),X289-Y342-Y289)</f>
        <v>18.2887613385477</v>
      </c>
      <c r="Z290" s="1" t="n">
        <f aca="false">MAX(Y289*(1-$C$340)/$C$281+IF(AND(01_Supuestos!$C$189&gt;0,Z$39=01_Supuestos!$C$189),01_Supuestos!$C$190*Y289*(1-$C$340)*(1-1/$C$281),0),Y289-Z342-Z289)</f>
        <v>18.7227551855371</v>
      </c>
      <c r="AA290" s="1" t="n">
        <f aca="false">MAX(Z289*(1-$C$340)/$C$281+IF(AND(01_Supuestos!$C$189&gt;0,AA$39=01_Supuestos!$C$189),01_Supuestos!$C$190*Z289*(1-$C$340)*(1-1/$C$281),0),Z289-AA342-AA289)</f>
        <v>19.1690162730719</v>
      </c>
      <c r="AB290" s="1" t="n">
        <f aca="false">MAX(AA289*(1-$C$340)/$C$281+IF(AND(01_Supuestos!$C$189&gt;0,AB$39=01_Supuestos!$C$189),01_Supuestos!$C$190*AA289*(1-$C$340)*(1-1/$C$281),0),AA289-AB342-AB289)</f>
        <v>19.6276772507189</v>
      </c>
      <c r="AC290" s="1" t="n">
        <f aca="false">MAX(AB289*(1-$C$340)/$C$281+IF(AND(01_Supuestos!$C$189&gt;0,AC$39=01_Supuestos!$C$189),01_Supuestos!$C$190*AB289*(1-$C$340)*(1-1/$C$281),0),AB289-AC342-AC289)</f>
        <v>20.0988494810268</v>
      </c>
      <c r="AD290" s="1" t="n">
        <f aca="false">MAX(AC289*(1-$C$340)/$C$281+IF(AND(01_Supuestos!$C$189&gt;0,AD$39=01_Supuestos!$C$189),01_Supuestos!$C$190*AC289*(1-$C$340)*(1-1/$C$281),0),AC289-AD342-AD289)</f>
        <v>20.5826497915552</v>
      </c>
      <c r="AE290" s="1" t="n">
        <f aca="false">MAX(AD289*(1-$C$340)/$C$281+IF(AND(01_Supuestos!$C$189&gt;0,AE$39=01_Supuestos!$C$189),01_Supuestos!$C$190*AD289*(1-$C$340)*(1-1/$C$281),0),AD289-AE342-AE289)</f>
        <v>21.0792003993159</v>
      </c>
      <c r="AF290" s="1" t="n">
        <f aca="false">MAX(AE289*(1-$C$340)/$C$281+IF(AND(01_Supuestos!$C$189&gt;0,AF$39=01_Supuestos!$C$189),01_Supuestos!$C$190*AE289*(1-$C$340)*(1-1/$C$281),0),AE289-AF342-AF289)</f>
        <v>21.588628834661</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17.3799161953361</v>
      </c>
      <c r="M291" s="1" t="n">
        <f aca="false">M289-L289+M290+M342</f>
        <v>23.7307971067753</v>
      </c>
      <c r="N291" s="1" t="n">
        <f aca="false">N289-M289+N290+N342</f>
        <v>18.7825796122165</v>
      </c>
      <c r="O291" s="1" t="n">
        <f aca="false">O289-N289+O290+O342</f>
        <v>16.1865126288167</v>
      </c>
      <c r="P291" s="1" t="n">
        <f aca="false">P289-O289+P290+P342</f>
        <v>16.6508288985778</v>
      </c>
      <c r="Q291" s="1" t="n">
        <f aca="false">Q289-P289+Q290+Q342</f>
        <v>17.0346870265855</v>
      </c>
      <c r="R291" s="1" t="n">
        <f aca="false">R289-Q289+R290+R342</f>
        <v>17.4331914704479</v>
      </c>
      <c r="S291" s="1" t="n">
        <f aca="false">S289-R289+S290+S342</f>
        <v>17.842601796909</v>
      </c>
      <c r="T291" s="1" t="n">
        <f aca="false">T289-S289+T290+T342</f>
        <v>18.2628128179941</v>
      </c>
      <c r="U291" s="1" t="n">
        <f aca="false">U289-T289+U290+U342</f>
        <v>18.6939633679203</v>
      </c>
      <c r="V291" s="1" t="n">
        <f aca="false">V289-U289+V290+V342</f>
        <v>19.1361907663109</v>
      </c>
      <c r="W291" s="1" t="n">
        <f aca="false">W289-V289+W290+W342</f>
        <v>19.5956781815162</v>
      </c>
      <c r="X291" s="1" t="n">
        <f aca="false">X289-W289+X290+X342</f>
        <v>20.0677132140074</v>
      </c>
      <c r="Y291" s="1" t="n">
        <f aca="false">Y289-X289+Y290+Y342</f>
        <v>20.5524380569058</v>
      </c>
      <c r="Z291" s="1" t="n">
        <f aca="false">Z289-Y289+Z290+Z342</f>
        <v>21.0500016455989</v>
      </c>
      <c r="AA291" s="1" t="n">
        <f aca="false">AA289-Z289+AA290+AA342</f>
        <v>21.5605577841831</v>
      </c>
      <c r="AB291" s="1" t="n">
        <f aca="false">AB289-AA289+AB290+AB342</f>
        <v>22.0841332445062</v>
      </c>
      <c r="AC291" s="1" t="n">
        <f aca="false">AC289-AB289+AC290+AC342</f>
        <v>22.6208672988914</v>
      </c>
      <c r="AD291" s="1" t="n">
        <f aca="false">AD289-AC289+AD290+AD342</f>
        <v>23.1709043338588</v>
      </c>
      <c r="AE291" s="1" t="n">
        <f aca="false">AE289-AD289+AE290+AE342</f>
        <v>23.7343937714104</v>
      </c>
      <c r="AF291" s="1" t="n">
        <f aca="false">AF289-AE289+AF290+AF342</f>
        <v>24.3114900382086</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2.36998957739162</v>
      </c>
      <c r="M292" s="1" t="n">
        <f aca="false">M289*(1-$C$340)*$C$175</f>
        <v>2.91349952156713</v>
      </c>
      <c r="N292" s="1" t="n">
        <f aca="false">N289*(1-$C$340)*$C$175</f>
        <v>3.13531209003843</v>
      </c>
      <c r="O292" s="1" t="n">
        <f aca="false">O289*(1-$C$340)*$C$175</f>
        <v>3.2010654453548</v>
      </c>
      <c r="P292" s="1" t="n">
        <f aca="false">P289*(1-$C$340)*$C$175</f>
        <v>3.27356116092376</v>
      </c>
      <c r="Q292" s="1" t="n">
        <f aca="false">Q289*(1-$C$340)*$C$175</f>
        <v>3.3479891304113</v>
      </c>
      <c r="R292" s="1" t="n">
        <f aca="false">R289*(1-$C$340)*$C$175</f>
        <v>3.42459051902075</v>
      </c>
      <c r="S292" s="1" t="n">
        <f aca="false">S289*(1-$C$340)*$C$175</f>
        <v>3.5033973881912</v>
      </c>
      <c r="T292" s="1" t="n">
        <f aca="false">T289*(1-$C$340)*$C$175</f>
        <v>3.58443084286498</v>
      </c>
      <c r="U292" s="1" t="n">
        <f aca="false">U289*(1-$C$340)*$C$175</f>
        <v>3.66771371401344</v>
      </c>
      <c r="V292" s="1" t="n">
        <f aca="false">V289*(1-$C$340)*$C$175</f>
        <v>3.75327014698796</v>
      </c>
      <c r="W292" s="1" t="n">
        <f aca="false">W289*(1-$C$340)*$C$175</f>
        <v>3.84138504911617</v>
      </c>
      <c r="X292" s="1" t="n">
        <f aca="false">X289*(1-$C$340)*$C$175</f>
        <v>3.93208368778776</v>
      </c>
      <c r="Y292" s="1" t="n">
        <f aca="false">Y289*(1-$C$340)*$C$175</f>
        <v>4.02539236489048</v>
      </c>
      <c r="Z292" s="1" t="n">
        <f aca="false">Z289*(1-$C$340)*$C$175</f>
        <v>4.12133849871046</v>
      </c>
      <c r="AA292" s="1" t="n">
        <f aca="false">AA289*(1-$C$340)*$C$175</f>
        <v>4.21995060890455</v>
      </c>
      <c r="AB292" s="1" t="n">
        <f aca="false">AB289*(1-$C$340)*$C$175</f>
        <v>4.32125263842077</v>
      </c>
      <c r="AC292" s="1" t="n">
        <f aca="false">AC289*(1-$C$340)*$C$175</f>
        <v>4.42526970518436</v>
      </c>
      <c r="AD292" s="1" t="n">
        <f aca="false">AD289*(1-$C$340)*$C$175</f>
        <v>4.53202808585291</v>
      </c>
      <c r="AE292" s="1" t="n">
        <f aca="false">AE289*(1-$C$340)*$C$175</f>
        <v>4.64155519945212</v>
      </c>
      <c r="AF292" s="1" t="n">
        <f aca="false">AF289*(1-$C$340)*$C$175</f>
        <v>4.75387959297346</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41.9758987230249</v>
      </c>
      <c r="M294" s="116" t="n">
        <f aca="false">M85</f>
        <v>33.5807189784199</v>
      </c>
      <c r="N294" s="116" t="n">
        <f aca="false">N85</f>
        <v>28.1398823909552</v>
      </c>
      <c r="O294" s="116" t="n">
        <f aca="false">O85</f>
        <v>29.0423197317557</v>
      </c>
      <c r="P294" s="116" t="n">
        <f aca="false">P85</f>
        <v>29.7555986025785</v>
      </c>
      <c r="Q294" s="116" t="n">
        <f aca="false">Q85</f>
        <v>30.4746526717897</v>
      </c>
      <c r="R294" s="116" t="n">
        <f aca="false">R85</f>
        <v>31.1917190077866</v>
      </c>
      <c r="S294" s="116" t="n">
        <f aca="false">S85</f>
        <v>31.9074714254173</v>
      </c>
      <c r="T294" s="116" t="n">
        <f aca="false">T85</f>
        <v>32.6230685883343</v>
      </c>
      <c r="U294" s="116" t="n">
        <f aca="false">U85</f>
        <v>33.33964601566</v>
      </c>
      <c r="V294" s="116" t="n">
        <f aca="false">V85</f>
        <v>34.0583336651197</v>
      </c>
      <c r="W294" s="116" t="n">
        <f aca="false">W85</f>
        <v>34.7698437344569</v>
      </c>
      <c r="X294" s="116" t="n">
        <f aca="false">X85</f>
        <v>35.4753588142231</v>
      </c>
      <c r="Y294" s="116" t="n">
        <f aca="false">Y85</f>
        <v>36.1760704988063</v>
      </c>
      <c r="Z294" s="116" t="n">
        <f aca="false">Z85</f>
        <v>36.8731772613211</v>
      </c>
      <c r="AA294" s="116" t="n">
        <f aca="false">AA85</f>
        <v>37.5678862455639</v>
      </c>
      <c r="AB294" s="116" t="n">
        <f aca="false">AB85</f>
        <v>38.2616423796394</v>
      </c>
      <c r="AC294" s="116" t="n">
        <f aca="false">AC85</f>
        <v>38.9558987682893</v>
      </c>
      <c r="AD294" s="116" t="n">
        <f aca="false">AD85</f>
        <v>39.6521186176294</v>
      </c>
      <c r="AE294" s="116" t="n">
        <f aca="false">AE85</f>
        <v>40.3517771939511</v>
      </c>
      <c r="AF294" s="116" t="n">
        <f aca="false">AF85</f>
        <v>41.0563637337235</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8.39517974460498</v>
      </c>
      <c r="N295" s="1" t="n">
        <f aca="false">MAX(M294/$C$282,M294-N294)</f>
        <v>5.44083658746472</v>
      </c>
      <c r="O295" s="1" t="n">
        <f aca="false">MAX(N294/$C$282,N294-O294)</f>
        <v>2.81398823909552</v>
      </c>
      <c r="P295" s="1" t="n">
        <f aca="false">MAX(O294/$C$282,O294-P294)</f>
        <v>2.90423197317557</v>
      </c>
      <c r="Q295" s="1" t="n">
        <f aca="false">MAX(P294/$C$282,P294-Q294)</f>
        <v>2.97555986025785</v>
      </c>
      <c r="R295" s="1" t="n">
        <f aca="false">MAX(Q294/$C$282,Q294-R294)</f>
        <v>3.04746526717897</v>
      </c>
      <c r="S295" s="1" t="n">
        <f aca="false">MAX(R294/$C$282,R294-S294)</f>
        <v>3.11917190077866</v>
      </c>
      <c r="T295" s="1" t="n">
        <f aca="false">MAX(S294/$C$282,S294-T294)</f>
        <v>3.19074714254173</v>
      </c>
      <c r="U295" s="1" t="n">
        <f aca="false">MAX(T294/$C$282,T294-U294)</f>
        <v>3.26230685883343</v>
      </c>
      <c r="V295" s="1" t="n">
        <f aca="false">MAX(U294/$C$282,U294-V294)</f>
        <v>3.333964601566</v>
      </c>
      <c r="W295" s="1" t="n">
        <f aca="false">MAX(V294/$C$282,V294-W294)</f>
        <v>3.40583336651197</v>
      </c>
      <c r="X295" s="1" t="n">
        <f aca="false">MAX(W294/$C$282,W294-X294)</f>
        <v>3.47698437344569</v>
      </c>
      <c r="Y295" s="1" t="n">
        <f aca="false">MAX(X294/$C$282,X294-Y294)</f>
        <v>3.54753588142231</v>
      </c>
      <c r="Z295" s="1" t="n">
        <f aca="false">MAX(Y294/$C$282,Y294-Z294)</f>
        <v>3.61760704988063</v>
      </c>
      <c r="AA295" s="1" t="n">
        <f aca="false">MAX(Z294/$C$282,Z294-AA294)</f>
        <v>3.68731772613211</v>
      </c>
      <c r="AB295" s="1" t="n">
        <f aca="false">MAX(AA294/$C$282,AA294-AB294)</f>
        <v>3.75678862455639</v>
      </c>
      <c r="AC295" s="1" t="n">
        <f aca="false">MAX(AB294/$C$282,AB294-AC294)</f>
        <v>3.82616423796394</v>
      </c>
      <c r="AD295" s="1" t="n">
        <f aca="false">MAX(AC294/$C$282,AC294-AD294)</f>
        <v>3.89558987682893</v>
      </c>
      <c r="AE295" s="1" t="n">
        <f aca="false">MAX(AD294/$C$282,AD294-AE294)</f>
        <v>3.96521186176294</v>
      </c>
      <c r="AF295" s="1" t="n">
        <f aca="false">MAX(AE294/$C$282,AE294-AF294)</f>
        <v>4.03517771939511</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5.60178469810331</v>
      </c>
      <c r="M296" s="1" t="n">
        <f aca="false">M294-L294+M295</f>
        <v>0</v>
      </c>
      <c r="N296" s="1" t="n">
        <f aca="false">N294-M294+N295</f>
        <v>0</v>
      </c>
      <c r="O296" s="1" t="n">
        <f aca="false">O294-N294+O295</f>
        <v>3.71642557989603</v>
      </c>
      <c r="P296" s="1" t="n">
        <f aca="false">P294-O294+P295</f>
        <v>3.61751084399832</v>
      </c>
      <c r="Q296" s="1" t="n">
        <f aca="false">Q294-P294+Q295</f>
        <v>3.69461392946908</v>
      </c>
      <c r="R296" s="1" t="n">
        <f aca="false">R294-Q294+R295</f>
        <v>3.7645316031759</v>
      </c>
      <c r="S296" s="1" t="n">
        <f aca="false">S294-R294+S295</f>
        <v>3.83492431840932</v>
      </c>
      <c r="T296" s="1" t="n">
        <f aca="false">T294-S294+T295</f>
        <v>3.90634430545878</v>
      </c>
      <c r="U296" s="1" t="n">
        <f aca="false">U294-T294+U295</f>
        <v>3.97888428615914</v>
      </c>
      <c r="V296" s="1" t="n">
        <f aca="false">V294-U294+V295</f>
        <v>4.05265225102565</v>
      </c>
      <c r="W296" s="1" t="n">
        <f aca="false">W294-V294+W295</f>
        <v>4.11734343584916</v>
      </c>
      <c r="X296" s="1" t="n">
        <f aca="false">X294-W294+X295</f>
        <v>4.18249945321188</v>
      </c>
      <c r="Y296" s="1" t="n">
        <f aca="false">Y294-X294+Y295</f>
        <v>4.24824756600557</v>
      </c>
      <c r="Z296" s="1" t="n">
        <f aca="false">Z294-Y294+Z295</f>
        <v>4.31471381239539</v>
      </c>
      <c r="AA296" s="1" t="n">
        <f aca="false">AA294-Z294+AA295</f>
        <v>4.38202671037491</v>
      </c>
      <c r="AB296" s="1" t="n">
        <f aca="false">AB294-AA294+AB295</f>
        <v>4.45054475863185</v>
      </c>
      <c r="AC296" s="1" t="n">
        <f aca="false">AC294-AB294+AC295</f>
        <v>4.52042062661387</v>
      </c>
      <c r="AD296" s="1" t="n">
        <f aca="false">AD294-AC294+AD295</f>
        <v>4.59180972616908</v>
      </c>
      <c r="AE296" s="1" t="n">
        <f aca="false">AE294-AD294+AE295</f>
        <v>4.66487043808463</v>
      </c>
      <c r="AF296" s="1" t="n">
        <f aca="false">AF294-AE294+AF295</f>
        <v>4.73976425916746</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1.679035948921</v>
      </c>
      <c r="M297" s="1" t="n">
        <f aca="false">M294*01_Supuestos!$I$126</f>
        <v>1.3432287591368</v>
      </c>
      <c r="N297" s="1" t="n">
        <f aca="false">N294*01_Supuestos!$I$126</f>
        <v>1.12559529563821</v>
      </c>
      <c r="O297" s="1" t="n">
        <f aca="false">O294*01_Supuestos!$I$126</f>
        <v>1.16169278927023</v>
      </c>
      <c r="P297" s="1" t="n">
        <f aca="false">P294*01_Supuestos!$I$126</f>
        <v>1.19022394410314</v>
      </c>
      <c r="Q297" s="1" t="n">
        <f aca="false">Q294*01_Supuestos!$I$126</f>
        <v>1.21898610687159</v>
      </c>
      <c r="R297" s="1" t="n">
        <f aca="false">R294*01_Supuestos!$I$126</f>
        <v>1.24766876031146</v>
      </c>
      <c r="S297" s="1" t="n">
        <f aca="false">S294*01_Supuestos!$I$126</f>
        <v>1.27629885701669</v>
      </c>
      <c r="T297" s="1" t="n">
        <f aca="false">T294*01_Supuestos!$I$126</f>
        <v>1.30492274353337</v>
      </c>
      <c r="U297" s="1" t="n">
        <f aca="false">U294*01_Supuestos!$I$126</f>
        <v>1.3335858406264</v>
      </c>
      <c r="V297" s="1" t="n">
        <f aca="false">V294*01_Supuestos!$I$126</f>
        <v>1.36233334660479</v>
      </c>
      <c r="W297" s="1" t="n">
        <f aca="false">W294*01_Supuestos!$I$126</f>
        <v>1.39079374937828</v>
      </c>
      <c r="X297" s="1" t="n">
        <f aca="false">X294*01_Supuestos!$I$126</f>
        <v>1.41901435256892</v>
      </c>
      <c r="Y297" s="1" t="n">
        <f aca="false">Y294*01_Supuestos!$I$126</f>
        <v>1.44704281995225</v>
      </c>
      <c r="Z297" s="1" t="n">
        <f aca="false">Z294*01_Supuestos!$I$126</f>
        <v>1.47492709045284</v>
      </c>
      <c r="AA297" s="1" t="n">
        <f aca="false">AA294*01_Supuestos!$I$126</f>
        <v>1.50271544982256</v>
      </c>
      <c r="AB297" s="1" t="n">
        <f aca="false">AB294*01_Supuestos!$I$126</f>
        <v>1.53046569518557</v>
      </c>
      <c r="AC297" s="1" t="n">
        <f aca="false">AC294*01_Supuestos!$I$126</f>
        <v>1.55823595073157</v>
      </c>
      <c r="AD297" s="1" t="n">
        <f aca="false">AD294*01_Supuestos!$I$126</f>
        <v>1.58608474470518</v>
      </c>
      <c r="AE297" s="1" t="n">
        <f aca="false">AE294*01_Supuestos!$I$126</f>
        <v>1.61407108775804</v>
      </c>
      <c r="AF297" s="1" t="n">
        <f aca="false">AF294*01_Supuestos!$I$126</f>
        <v>1.64225454934894</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34.9284255098503</v>
      </c>
      <c r="N299" s="1" t="n">
        <f aca="false">N286+N291+N296</f>
        <v>25.0240759208733</v>
      </c>
      <c r="O299" s="1" t="n">
        <f aca="false">O286+O291+O296</f>
        <v>23.7042115208221</v>
      </c>
      <c r="P299" s="1" t="n">
        <f aca="false">P286+P291+P296</f>
        <v>24.2397449892066</v>
      </c>
      <c r="Q299" s="1" t="n">
        <f aca="false">Q286+Q291+Q296</f>
        <v>24.7955437211684</v>
      </c>
      <c r="R299" s="1" t="n">
        <f aca="false">R286+R291+R296</f>
        <v>25.3645283158202</v>
      </c>
      <c r="S299" s="1" t="n">
        <f aca="false">S286+S291+S296</f>
        <v>25.9473010052088</v>
      </c>
      <c r="T299" s="1" t="n">
        <f aca="false">T286+T291+T296</f>
        <v>26.5441516718461</v>
      </c>
      <c r="U299" s="1" t="n">
        <f aca="false">U286+U291+U296</f>
        <v>27.1553590945024</v>
      </c>
      <c r="V299" s="1" t="n">
        <f aca="false">V286+V291+V296</f>
        <v>27.7812103492022</v>
      </c>
      <c r="W299" s="1" t="n">
        <f aca="false">W286+W291+W296</f>
        <v>28.4220003141554</v>
      </c>
      <c r="X299" s="1" t="n">
        <f aca="false">X286+X291+X296</f>
        <v>29.0784260814396</v>
      </c>
      <c r="Y299" s="1" t="n">
        <f aca="false">Y286+Y291+Y296</f>
        <v>29.7507962474939</v>
      </c>
      <c r="Z299" s="1" t="n">
        <f aca="false">Z286+Z291+Z296</f>
        <v>30.4394271954208</v>
      </c>
      <c r="AA299" s="1" t="n">
        <f aca="false">AA286+AA291+AA296</f>
        <v>31.1446433623842</v>
      </c>
      <c r="AB299" s="1" t="n">
        <f aca="false">AB286+AB291+AB296</f>
        <v>31.8667773629935</v>
      </c>
      <c r="AC299" s="1" t="n">
        <f aca="false">AC286+AC291+AC296</f>
        <v>32.6061615100069</v>
      </c>
      <c r="AD299" s="1" t="n">
        <f aca="false">AD286+AD291+AD296</f>
        <v>33.3631367080983</v>
      </c>
      <c r="AE299" s="1" t="n">
        <f aca="false">AE286+AE291+AE296</f>
        <v>34.1380525857155</v>
      </c>
      <c r="AF299" s="1" t="n">
        <f aca="false">AF286+AF291+AF296</f>
        <v>34.9312676303577</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21.4139677198517</v>
      </c>
      <c r="N300" s="1" t="n">
        <f aca="false">N285+N290+N295</f>
        <v>21.4452244966346</v>
      </c>
      <c r="O300" s="1" t="n">
        <f aca="false">O285+O290+O295</f>
        <v>20.036833320702</v>
      </c>
      <c r="P300" s="1" t="n">
        <f aca="false">P285+P290+P295</f>
        <v>20.4882723105295</v>
      </c>
      <c r="Q300" s="1" t="n">
        <f aca="false">Q285+Q290+Q295</f>
        <v>20.9578324763988</v>
      </c>
      <c r="R300" s="1" t="n">
        <f aca="false">R285+R290+R295</f>
        <v>21.4385843877222</v>
      </c>
      <c r="S300" s="1" t="n">
        <f aca="false">S285+S290+S295</f>
        <v>21.9310765160891</v>
      </c>
      <c r="T300" s="1" t="n">
        <f aca="false">T285+T290+T295</f>
        <v>22.4355523623571</v>
      </c>
      <c r="U300" s="1" t="n">
        <f aca="false">U285+U290+U295</f>
        <v>22.9522437262152</v>
      </c>
      <c r="V300" s="1" t="n">
        <f aca="false">V285+V290+V295</f>
        <v>23.4813895742942</v>
      </c>
      <c r="W300" s="1" t="n">
        <f aca="false">W285+W290+W295</f>
        <v>24.0232355372157</v>
      </c>
      <c r="X300" s="1" t="n">
        <f aca="false">X285+X290+X295</f>
        <v>24.5784178830253</v>
      </c>
      <c r="Y300" s="1" t="n">
        <f aca="false">Y285+Y290+Y295</f>
        <v>25.1471936691899</v>
      </c>
      <c r="Z300" s="1" t="n">
        <f aca="false">Z285+Z290+Z295</f>
        <v>25.7298265362477</v>
      </c>
      <c r="AA300" s="1" t="n">
        <f aca="false">AA285+AA290+AA295</f>
        <v>26.3265869451912</v>
      </c>
      <c r="AB300" s="1" t="n">
        <f aca="false">AB285+AB290+AB295</f>
        <v>26.9377522741123</v>
      </c>
      <c r="AC300" s="1" t="n">
        <f aca="false">AC285+AC290+AC295</f>
        <v>27.5635985388318</v>
      </c>
      <c r="AD300" s="1" t="n">
        <f aca="false">AD285+AD290+AD295</f>
        <v>28.2044090272001</v>
      </c>
      <c r="AE300" s="1" t="n">
        <f aca="false">AE285+AE290+AE295</f>
        <v>28.8604744023343</v>
      </c>
      <c r="AF300" s="1" t="n">
        <f aca="false">AF285+AF290+AF295</f>
        <v>29.5320928086069</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5.76522487545828</v>
      </c>
      <c r="M302" s="1" t="n">
        <f aca="false">M287+M292+M297</f>
        <v>6.3665037963215</v>
      </c>
      <c r="N302" s="1" t="n">
        <f aca="false">N287+N292+N297</f>
        <v>6.53130579570447</v>
      </c>
      <c r="O302" s="1" t="n">
        <f aca="false">O287+O292+O297</f>
        <v>6.68077114333022</v>
      </c>
      <c r="P302" s="1" t="n">
        <f aca="false">P287+P292+P297</f>
        <v>6.83429491121307</v>
      </c>
      <c r="Q302" s="1" t="n">
        <f aca="false">Q287+Q292+Q297</f>
        <v>6.99138115930487</v>
      </c>
      <c r="R302" s="1" t="n">
        <f aca="false">R287+R292+R297</f>
        <v>7.1521351724162</v>
      </c>
      <c r="S302" s="1" t="n">
        <f aca="false">S287+S292+S297</f>
        <v>7.31663918148428</v>
      </c>
      <c r="T302" s="1" t="n">
        <f aca="false">T287+T292+T297</f>
        <v>7.48497592088678</v>
      </c>
      <c r="U302" s="1" t="n">
        <f aca="false">U287+U292+U297</f>
        <v>7.65723017513234</v>
      </c>
      <c r="V302" s="1" t="n">
        <f aca="false">V287+V292+V297</f>
        <v>7.8334887724461</v>
      </c>
      <c r="W302" s="1" t="n">
        <f aca="false">W287+W292+W297</f>
        <v>8.01387142026823</v>
      </c>
      <c r="X302" s="1" t="n">
        <f aca="false">X287+X292+X297</f>
        <v>8.19846898668575</v>
      </c>
      <c r="Y302" s="1" t="n">
        <f aca="false">Y287+Y292+Y297</f>
        <v>8.38737448355653</v>
      </c>
      <c r="Z302" s="1" t="n">
        <f aca="false">Z287+Z292+Z297</f>
        <v>8.58068312271226</v>
      </c>
      <c r="AA302" s="1" t="n">
        <f aca="false">AA287+AA292+AA297</f>
        <v>8.77849236172696</v>
      </c>
      <c r="AB302" s="1" t="n">
        <f aca="false">AB287+AB292+AB297</f>
        <v>8.98090127866966</v>
      </c>
      <c r="AC302" s="1" t="n">
        <f aca="false">AC287+AC292+AC297</f>
        <v>9.18801130449771</v>
      </c>
      <c r="AD302" s="1" t="n">
        <f aca="false">AD287+AD292+AD297</f>
        <v>9.39992627203778</v>
      </c>
      <c r="AE302" s="1" t="n">
        <f aca="false">AE287+AE292+AE297</f>
        <v>9.61675246612377</v>
      </c>
      <c r="AF302" s="1" t="n">
        <f aca="false">AF287+AF292+AF297</f>
        <v>9.83859867516525</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349.799156025208</v>
      </c>
      <c r="M307" s="116" t="n">
        <f aca="false">M81</f>
        <v>362.419591755768</v>
      </c>
      <c r="N307" s="116" t="n">
        <f aca="false">N81</f>
        <v>375.198431879403</v>
      </c>
      <c r="O307" s="116" t="n">
        <f aca="false">O81</f>
        <v>387.230929756743</v>
      </c>
      <c r="P307" s="116" t="n">
        <f aca="false">P81</f>
        <v>396.741314701046</v>
      </c>
      <c r="Q307" s="116" t="n">
        <f aca="false">Q81</f>
        <v>406.328702290529</v>
      </c>
      <c r="R307" s="116" t="n">
        <f aca="false">R81</f>
        <v>415.889586770488</v>
      </c>
      <c r="S307" s="116" t="n">
        <f aca="false">S81</f>
        <v>425.432952338897</v>
      </c>
      <c r="T307" s="116" t="n">
        <f aca="false">T81</f>
        <v>434.974247844458</v>
      </c>
      <c r="U307" s="116" t="n">
        <f aca="false">U81</f>
        <v>444.528613542134</v>
      </c>
      <c r="V307" s="116" t="n">
        <f aca="false">V81</f>
        <v>454.111115534929</v>
      </c>
      <c r="W307" s="116" t="n">
        <f aca="false">W81</f>
        <v>463.597916459425</v>
      </c>
      <c r="X307" s="116" t="n">
        <f aca="false">X81</f>
        <v>473.004784189641</v>
      </c>
      <c r="Y307" s="116" t="n">
        <f aca="false">Y81</f>
        <v>482.347606650751</v>
      </c>
      <c r="Z307" s="116" t="n">
        <f aca="false">Z81</f>
        <v>491.642363484281</v>
      </c>
      <c r="AA307" s="116" t="n">
        <f aca="false">AA81</f>
        <v>500.905149940852</v>
      </c>
      <c r="AB307" s="116" t="n">
        <f aca="false">AB81</f>
        <v>510.155231728525</v>
      </c>
      <c r="AC307" s="116" t="n">
        <f aca="false">AC81</f>
        <v>519.411983577191</v>
      </c>
      <c r="AD307" s="116" t="n">
        <f aca="false">AD81</f>
        <v>528.694914901726</v>
      </c>
      <c r="AE307" s="116" t="n">
        <f aca="false">AE81</f>
        <v>538.023695919348</v>
      </c>
      <c r="AF307" s="116" t="n">
        <f aca="false">AF81</f>
        <v>547.418183116313</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212.700485075601</v>
      </c>
      <c r="M309" s="1" t="n">
        <f aca="false">M307-M308</f>
        <v>211.901585788389</v>
      </c>
      <c r="N309" s="1" t="n">
        <f aca="false">N307-N308</f>
        <v>221.218511774774</v>
      </c>
      <c r="O309" s="1" t="n">
        <f aca="false">O307-O308</f>
        <v>229.709471489708</v>
      </c>
      <c r="P309" s="1" t="n">
        <f aca="false">P307-P308</f>
        <v>235.596862893869</v>
      </c>
      <c r="Q309" s="1" t="n">
        <f aca="false">Q307-Q308</f>
        <v>241.477928091787</v>
      </c>
      <c r="R309" s="1" t="n">
        <f aca="false">R307-R308</f>
        <v>247.247244765175</v>
      </c>
      <c r="S309" s="1" t="n">
        <f aca="false">S307-S308</f>
        <v>252.911836467462</v>
      </c>
      <c r="T309" s="1" t="n">
        <f aca="false">T307-T308</f>
        <v>258.48514630798</v>
      </c>
      <c r="U309" s="1" t="n">
        <f aca="false">U307-U308</f>
        <v>263.980262670317</v>
      </c>
      <c r="V309" s="1" t="n">
        <f aca="false">V307-V308</f>
        <v>269.41015259306</v>
      </c>
      <c r="W309" s="1" t="n">
        <f aca="false">W307-W308</f>
        <v>274.648831369893</v>
      </c>
      <c r="X309" s="1" t="n">
        <f aca="false">X307-X308</f>
        <v>279.70987014305</v>
      </c>
      <c r="Y309" s="1" t="n">
        <f aca="false">Y307-Y308</f>
        <v>284.606909581089</v>
      </c>
      <c r="Z309" s="1" t="n">
        <f aca="false">Z307-Z308</f>
        <v>289.353630382016</v>
      </c>
      <c r="AA309" s="1" t="n">
        <f aca="false">AA307-AA308</f>
        <v>293.963775977235</v>
      </c>
      <c r="AB309" s="1" t="n">
        <f aca="false">AB307-AB308</f>
        <v>298.454206163745</v>
      </c>
      <c r="AC309" s="1" t="n">
        <f aca="false">AC307-AC308</f>
        <v>302.841834424421</v>
      </c>
      <c r="AD309" s="1" t="n">
        <f aca="false">AD307-AD308</f>
        <v>307.143652318442</v>
      </c>
      <c r="AE309" s="1" t="n">
        <f aca="false">AE307-AE308</f>
        <v>311.376754296649</v>
      </c>
      <c r="AF309" s="1" t="n">
        <f aca="false">AF307-AF308</f>
        <v>315.558361836292</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39.1935396607209</v>
      </c>
      <c r="M310" s="1" t="n">
        <f aca="false">IF(M307&gt;0,100*M308/M307,0)</f>
        <v>41.5314208699876</v>
      </c>
      <c r="N310" s="1" t="n">
        <f aca="false">IF(N307&gt;0,100*N308/N307,0)</f>
        <v>41.0395958568721</v>
      </c>
      <c r="O310" s="1" t="n">
        <f aca="false">IF(O307&gt;0,100*O308/O307,0)</f>
        <v>40.6789453430255</v>
      </c>
      <c r="P310" s="1" t="n">
        <f aca="false">IF(P307&gt;0,100*P308/P307,0)</f>
        <v>40.6170080695032</v>
      </c>
      <c r="Q310" s="1" t="n">
        <f aca="false">IF(Q307&gt;0,100*Q308/Q307,0)</f>
        <v>40.5707923829786</v>
      </c>
      <c r="R310" s="1" t="n">
        <f aca="false">IF(R307&gt;0,100*R308/R307,0)</f>
        <v>40.5497870997139</v>
      </c>
      <c r="S310" s="1" t="n">
        <f aca="false">IF(S307&gt;0,100*S308/S307,0)</f>
        <v>40.5518930592866</v>
      </c>
      <c r="T310" s="1" t="n">
        <f aca="false">IF(T307&gt;0,100*T308/T307,0)</f>
        <v>40.5746092811427</v>
      </c>
      <c r="U310" s="1" t="n">
        <f aca="false">IF(U307&gt;0,100*U308/U307,0)</f>
        <v>40.6156871282492</v>
      </c>
      <c r="V310" s="1" t="n">
        <f aca="false">IF(V307&gt;0,100*V308/V307,0)</f>
        <v>40.6730768358966</v>
      </c>
      <c r="W310" s="1" t="n">
        <f aca="false">IF(W307&gt;0,100*W308/W307,0)</f>
        <v>40.7571040294071</v>
      </c>
      <c r="X310" s="1" t="n">
        <f aca="false">IF(X307&gt;0,100*X308/X307,0)</f>
        <v>40.8653190216134</v>
      </c>
      <c r="Y310" s="1" t="n">
        <f aca="false">IF(Y307&gt;0,100*Y308/Y307,0)</f>
        <v>40.9954759478757</v>
      </c>
      <c r="Z310" s="1" t="n">
        <f aca="false">IF(Z307&gt;0,100*Z308/Z307,0)</f>
        <v>41.1455049700436</v>
      </c>
      <c r="AA310" s="1" t="n">
        <f aca="false">IF(AA307&gt;0,100*AA308/AA307,0)</f>
        <v>41.3134849957228</v>
      </c>
      <c r="AB310" s="1" t="n">
        <f aca="false">IF(AB307&gt;0,100*AB308/AB307,0)</f>
        <v>41.4973742104903</v>
      </c>
      <c r="AC310" s="1" t="n">
        <f aca="false">IF(AC307&gt;0,100*AC308/AC307,0)</f>
        <v>41.6952546341444</v>
      </c>
      <c r="AD310" s="1" t="n">
        <f aca="false">IF(AD307&gt;0,100*AD308/AD307,0)</f>
        <v>41.9053136957948</v>
      </c>
      <c r="AE310" s="1" t="n">
        <f aca="false">IF(AE307&gt;0,100*AE308/AE307,0)</f>
        <v>42.1258289071109</v>
      </c>
      <c r="AF310" s="1" t="n">
        <f aca="false">IF(AF307&gt;0,100*AF308/AF307,0)</f>
        <v>42.3551552416659</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5.76522487545828</v>
      </c>
      <c r="M314" s="1" t="n">
        <f aca="false">M302</f>
        <v>6.3665037963215</v>
      </c>
      <c r="N314" s="1" t="n">
        <f aca="false">N302</f>
        <v>6.53130579570447</v>
      </c>
      <c r="O314" s="1" t="n">
        <f aca="false">O302</f>
        <v>6.68077114333022</v>
      </c>
      <c r="P314" s="1" t="n">
        <f aca="false">P302</f>
        <v>6.83429491121307</v>
      </c>
      <c r="Q314" s="1" t="n">
        <f aca="false">Q302</f>
        <v>6.99138115930487</v>
      </c>
      <c r="R314" s="1" t="n">
        <f aca="false">R302</f>
        <v>7.1521351724162</v>
      </c>
      <c r="S314" s="1" t="n">
        <f aca="false">S302</f>
        <v>7.31663918148428</v>
      </c>
      <c r="T314" s="1" t="n">
        <f aca="false">T302</f>
        <v>7.48497592088678</v>
      </c>
      <c r="U314" s="1" t="n">
        <f aca="false">U302</f>
        <v>7.65723017513234</v>
      </c>
      <c r="V314" s="1" t="n">
        <f aca="false">V302</f>
        <v>7.8334887724461</v>
      </c>
      <c r="W314" s="1" t="n">
        <f aca="false">W302</f>
        <v>8.01387142026823</v>
      </c>
      <c r="X314" s="1" t="n">
        <f aca="false">X302</f>
        <v>8.19846898668575</v>
      </c>
      <c r="Y314" s="1" t="n">
        <f aca="false">Y302</f>
        <v>8.38737448355653</v>
      </c>
      <c r="Z314" s="1" t="n">
        <f aca="false">Z302</f>
        <v>8.58068312271226</v>
      </c>
      <c r="AA314" s="1" t="n">
        <f aca="false">AA302</f>
        <v>8.77849236172696</v>
      </c>
      <c r="AB314" s="1" t="n">
        <f aca="false">AB302</f>
        <v>8.98090127866966</v>
      </c>
      <c r="AC314" s="1" t="n">
        <f aca="false">AC302</f>
        <v>9.18801130449771</v>
      </c>
      <c r="AD314" s="1" t="n">
        <f aca="false">AD302</f>
        <v>9.39992627203778</v>
      </c>
      <c r="AE314" s="1" t="n">
        <f aca="false">AE302</f>
        <v>9.61675246612377</v>
      </c>
      <c r="AF314" s="1" t="n">
        <f aca="false">AF302</f>
        <v>9.83859867516525</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57.066429452404</v>
      </c>
      <c r="D316" s="1" t="n">
        <f aca="false">IF(D313&gt;0,100*(D314+D315)/D313,0)</f>
        <v>48.8274483834642</v>
      </c>
      <c r="E316" s="1" t="n">
        <f aca="false">IF(E313&gt;0,100*(E314+E315)/E313,0)</f>
        <v>47.6514402741486</v>
      </c>
      <c r="F316" s="1" t="n">
        <f aca="false">IF(F313&gt;0,100*(F314+F315)/F313,0)</f>
        <v>26.9990174466285</v>
      </c>
      <c r="G316" s="1" t="n">
        <f aca="false">IF(G313&gt;0,100*(G314+G315)/G313,0)</f>
        <v>32.191742531</v>
      </c>
      <c r="H316" s="1" t="n">
        <f aca="false">IF(H313&gt;0,100*(H314+H315)/H313,0)</f>
        <v>37.4787778154359</v>
      </c>
      <c r="I316" s="1" t="n">
        <f aca="false">IF(I313&gt;0,100*(I314+I315)/I313,0)</f>
        <v>42.8359936611859</v>
      </c>
      <c r="J316" s="1" t="n">
        <f aca="false">IF(J313&gt;0,100*(J314+J315)/J313,0)</f>
        <v>48.2405150894827</v>
      </c>
      <c r="K316" s="1" t="n">
        <f aca="false">IF(K313&gt;0,100*(K314+K315)/K313,0)</f>
        <v>53.671045735849</v>
      </c>
      <c r="L316" s="1" t="n">
        <f aca="false">IF(L313&gt;0,100*(L314+L315)/L313,0)</f>
        <v>59.1078634200925</v>
      </c>
      <c r="M316" s="1" t="n">
        <f aca="false">IF(M313&gt;0,100*(M314+M315)/M313,0)</f>
        <v>63.551357072015</v>
      </c>
      <c r="N316" s="1" t="n">
        <f aca="false">IF(N313&gt;0,100*(N314+N315)/N313,0)</f>
        <v>63.9960990320742</v>
      </c>
      <c r="O316" s="1" t="n">
        <f aca="false">IF(O313&gt;0,100*(O314+O315)/O313,0)</f>
        <v>64.0306796587466</v>
      </c>
      <c r="P316" s="1" t="n">
        <f aca="false">IF(P313&gt;0,100*(P314+P315)/P313,0)</f>
        <v>63.0816453777093</v>
      </c>
      <c r="Q316" s="1" t="n">
        <f aca="false">IF(Q313&gt;0,100*(Q314+Q315)/Q313,0)</f>
        <v>62.2773093519876</v>
      </c>
      <c r="R316" s="1" t="n">
        <f aca="false">IF(R313&gt;0,100*(R314+R315)/R313,0)</f>
        <v>61.6182593510983</v>
      </c>
      <c r="S316" s="1" t="n">
        <f aca="false">IF(S313&gt;0,100*(S314+S315)/S313,0)</f>
        <v>61.0860750609037</v>
      </c>
      <c r="T316" s="1" t="n">
        <f aca="false">IF(T313&gt;0,100*(T314+T315)/T313,0)</f>
        <v>60.6655445268979</v>
      </c>
      <c r="U316" s="1" t="n">
        <f aca="false">IF(U313&gt;0,100*(U314+U315)/U313,0)</f>
        <v>60.3440037282172</v>
      </c>
      <c r="V316" s="1" t="n">
        <f aca="false">IF(V313&gt;0,100*(V314+V315)/V313,0)</f>
        <v>60.1108256348885</v>
      </c>
      <c r="W316" s="1" t="n">
        <f aca="false">IF(W313&gt;0,100*(W314+W315)/W313,0)</f>
        <v>59.9572164267193</v>
      </c>
      <c r="X316" s="1" t="n">
        <f aca="false">IF(X313&gt;0,100*(X314+X315)/X313,0)</f>
        <v>59.8755170953836</v>
      </c>
      <c r="Y316" s="1" t="n">
        <f aca="false">IF(Y313&gt;0,100*(Y314+Y315)/Y313,0)</f>
        <v>59.8591688356263</v>
      </c>
      <c r="Z316" s="1" t="n">
        <f aca="false">IF(Z313&gt;0,100*(Z314+Z315)/Z313,0)</f>
        <v>59.9025222430617</v>
      </c>
      <c r="AA316" s="1" t="n">
        <f aca="false">IF(AA313&gt;0,100*(AA314+AA315)/AA313,0)</f>
        <v>60.0006845397831</v>
      </c>
      <c r="AB316" s="1" t="n">
        <f aca="false">IF(AB313&gt;0,100*(AB314+AB315)/AB313,0)</f>
        <v>60.1493926074987</v>
      </c>
      <c r="AC316" s="1" t="n">
        <f aca="false">IF(AC313&gt;0,100*(AC314+AC315)/AC313,0)</f>
        <v>60.3449167911734</v>
      </c>
      <c r="AD316" s="1" t="n">
        <f aca="false">IF(AD313&gt;0,100*(AD314+AD315)/AD313,0)</f>
        <v>60.5839787630126</v>
      </c>
      <c r="AE316" s="1" t="n">
        <f aca="false">IF(AE313&gt;0,100*(AE314+AE315)/AE313,0)</f>
        <v>60.8636838068923</v>
      </c>
      <c r="AF316" s="1" t="n">
        <f aca="false">IF(AF313&gt;0,100*(AF314+AF315)/AF313,0)</f>
        <v>61.1814646395472</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11.5866107968908</v>
      </c>
      <c r="M317" s="1" t="n">
        <f aca="false">$C$329*M291</f>
        <v>15.8205314045169</v>
      </c>
      <c r="N317" s="1" t="n">
        <f aca="false">$C$329*N291</f>
        <v>12.5217197414777</v>
      </c>
      <c r="O317" s="1" t="n">
        <f aca="false">$C$329*O291</f>
        <v>10.7910084192111</v>
      </c>
      <c r="P317" s="1" t="n">
        <f aca="false">$C$329*P291</f>
        <v>11.1005525990519</v>
      </c>
      <c r="Q317" s="1" t="n">
        <f aca="false">$C$329*Q291</f>
        <v>11.3564580177237</v>
      </c>
      <c r="R317" s="1" t="n">
        <f aca="false">$C$329*R291</f>
        <v>11.6221276469653</v>
      </c>
      <c r="S317" s="1" t="n">
        <f aca="false">$C$329*S291</f>
        <v>11.895067864606</v>
      </c>
      <c r="T317" s="1" t="n">
        <f aca="false">$C$329*T291</f>
        <v>12.1752085453294</v>
      </c>
      <c r="U317" s="1" t="n">
        <f aca="false">$C$329*U291</f>
        <v>12.4626422452802</v>
      </c>
      <c r="V317" s="1" t="n">
        <f aca="false">$C$329*V291</f>
        <v>12.757460510874</v>
      </c>
      <c r="W317" s="1" t="n">
        <f aca="false">$C$329*W291</f>
        <v>13.0637854543442</v>
      </c>
      <c r="X317" s="1" t="n">
        <f aca="false">$C$329*X291</f>
        <v>13.3784754760049</v>
      </c>
      <c r="Y317" s="1" t="n">
        <f aca="false">$C$329*Y291</f>
        <v>13.7016253712705</v>
      </c>
      <c r="Z317" s="1" t="n">
        <f aca="false">$C$329*Z291</f>
        <v>14.0333344303993</v>
      </c>
      <c r="AA317" s="1" t="n">
        <f aca="false">$C$329*AA291</f>
        <v>14.3737051894554</v>
      </c>
      <c r="AB317" s="1" t="n">
        <f aca="false">$C$329*AB291</f>
        <v>14.7227554963375</v>
      </c>
      <c r="AC317" s="1" t="n">
        <f aca="false">$C$329*AC291</f>
        <v>15.0805781992609</v>
      </c>
      <c r="AD317" s="1" t="n">
        <f aca="false">$C$329*AD291</f>
        <v>15.4472695559059</v>
      </c>
      <c r="AE317" s="1" t="n">
        <f aca="false">$C$329*AE291</f>
        <v>15.8229291809403</v>
      </c>
      <c r="AF317" s="1" t="n">
        <f aca="false">$C$329*AF291</f>
        <v>16.2076600254724</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7.38558569639776</v>
      </c>
      <c r="N318" s="1" t="n">
        <f aca="false">$C$329*(N290+(1-$C$279)*N332)</f>
        <v>9.07932279458808</v>
      </c>
      <c r="O318" s="1" t="n">
        <f aca="false">$C$329*(O290+(1-$C$279)*O332)</f>
        <v>9.77055610152351</v>
      </c>
      <c r="P318" s="1" t="n">
        <f aca="false">$C$329*(P290+(1-$C$279)*P332)</f>
        <v>9.97546292691518</v>
      </c>
      <c r="Q318" s="1" t="n">
        <f aca="false">$C$329*(Q290+(1-$C$279)*Q332)</f>
        <v>10.2013809330802</v>
      </c>
      <c r="R318" s="1" t="n">
        <f aca="false">$C$329*(R290+(1-$C$279)*R332)</f>
        <v>10.4333204116766</v>
      </c>
      <c r="S318" s="1" t="n">
        <f aca="false">$C$329*(S290+(1-$C$279)*S332)</f>
        <v>10.6720329045226</v>
      </c>
      <c r="T318" s="1" t="n">
        <f aca="false">$C$329*(T290+(1-$C$279)*T332)</f>
        <v>10.9176183245073</v>
      </c>
      <c r="U318" s="1" t="n">
        <f aca="false">$C$329*(U290+(1-$C$279)*U332)</f>
        <v>11.1701424408484</v>
      </c>
      <c r="V318" s="1" t="n">
        <f aca="false">$C$329*(V290+(1-$C$279)*V332)</f>
        <v>11.4296764015783</v>
      </c>
      <c r="W318" s="1" t="n">
        <f aca="false">$C$329*(W290+(1-$C$279)*W332)</f>
        <v>11.6962954507249</v>
      </c>
      <c r="X318" s="1" t="n">
        <f aca="false">$C$329*(X290+(1-$C$279)*X332)</f>
        <v>11.9708874434516</v>
      </c>
      <c r="Y318" s="1" t="n">
        <f aca="false">$C$329*(Y290+(1-$C$279)*Y332)</f>
        <v>12.2535311203883</v>
      </c>
      <c r="Z318" s="1" t="n">
        <f aca="false">$C$329*(Z290+(1-$C$279)*Z332)</f>
        <v>12.5443084459655</v>
      </c>
      <c r="AA318" s="1" t="n">
        <f aca="false">$C$329*(AA290+(1-$C$279)*AA332)</f>
        <v>12.8433048636398</v>
      </c>
      <c r="AB318" s="1" t="n">
        <f aca="false">$C$329*(AB290+(1-$C$279)*AB332)</f>
        <v>13.1506092490636</v>
      </c>
      <c r="AC318" s="1" t="n">
        <f aca="false">$C$329*(AC290+(1-$C$279)*AC332)</f>
        <v>13.4662962155162</v>
      </c>
      <c r="AD318" s="1" t="n">
        <f aca="false">$C$329*(AD290+(1-$C$279)*AD332)</f>
        <v>13.7904440378521</v>
      </c>
      <c r="AE318" s="1" t="n">
        <f aca="false">$C$329*(AE290+(1-$C$279)*AE332)</f>
        <v>14.1231346018773</v>
      </c>
      <c r="AF318" s="1" t="n">
        <f aca="false">$C$329*(AF290+(1-$C$279)*AF332)</f>
        <v>14.4644533533531</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4.51903315921503</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5.90482050104414</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5.33856906289498</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4.4894744999111</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4.40926662163668</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4.51699266522229</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4.62228409586196</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4.73073312407833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4.84206935005941</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4.956313528117</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5.07350237779021</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5.19488168739064</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5.31992118823589</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5.44833515898164</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5.58016286624683</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5.71544499987654</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5.85419716784677</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5.99644900941203</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6.14223868669786</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6.29160570987267</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6.44459092573574</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3.47598323906723</v>
      </c>
      <c r="M320" s="1" t="n">
        <f aca="false">01_Supuestos!$C$185*M317</f>
        <v>4.74615942135506</v>
      </c>
      <c r="N320" s="1" t="n">
        <f aca="false">01_Supuestos!$C$185*N317</f>
        <v>3.7565159224433</v>
      </c>
      <c r="O320" s="1" t="n">
        <f aca="false">01_Supuestos!$C$185*O317</f>
        <v>3.23730252576334</v>
      </c>
      <c r="P320" s="1" t="n">
        <f aca="false">01_Supuestos!$C$185*P317</f>
        <v>3.33016577971557</v>
      </c>
      <c r="Q320" s="1" t="n">
        <f aca="false">01_Supuestos!$C$185*Q317</f>
        <v>3.40693740531711</v>
      </c>
      <c r="R320" s="1" t="n">
        <f aca="false">01_Supuestos!$C$185*R317</f>
        <v>3.48663829408959</v>
      </c>
      <c r="S320" s="1" t="n">
        <f aca="false">01_Supuestos!$C$185*S317</f>
        <v>3.5685203593818</v>
      </c>
      <c r="T320" s="1" t="n">
        <f aca="false">01_Supuestos!$C$185*T317</f>
        <v>3.65256256359881</v>
      </c>
      <c r="U320" s="1" t="n">
        <f aca="false">01_Supuestos!$C$185*U317</f>
        <v>3.73879267358406</v>
      </c>
      <c r="V320" s="1" t="n">
        <f aca="false">01_Supuestos!$C$185*V317</f>
        <v>3.82723815326219</v>
      </c>
      <c r="W320" s="1" t="n">
        <f aca="false">01_Supuestos!$C$185*W317</f>
        <v>3.91913563630325</v>
      </c>
      <c r="X320" s="1" t="n">
        <f aca="false">01_Supuestos!$C$185*X317</f>
        <v>4.01354264280148</v>
      </c>
      <c r="Y320" s="1" t="n">
        <f aca="false">01_Supuestos!$C$185*Y317</f>
        <v>4.11048761138115</v>
      </c>
      <c r="Z320" s="1" t="n">
        <f aca="false">01_Supuestos!$C$185*Z317</f>
        <v>4.21000032911978</v>
      </c>
      <c r="AA320" s="1" t="n">
        <f aca="false">01_Supuestos!$C$185*AA317</f>
        <v>4.31211155683661</v>
      </c>
      <c r="AB320" s="1" t="n">
        <f aca="false">01_Supuestos!$C$185*AB317</f>
        <v>4.41682664890124</v>
      </c>
      <c r="AC320" s="1" t="n">
        <f aca="false">01_Supuestos!$C$185*AC317</f>
        <v>4.52417345977828</v>
      </c>
      <c r="AD320" s="1" t="n">
        <f aca="false">01_Supuestos!$C$185*AD317</f>
        <v>4.63418086677176</v>
      </c>
      <c r="AE320" s="1" t="n">
        <f aca="false">01_Supuestos!$C$185*AE317</f>
        <v>4.74687875428208</v>
      </c>
      <c r="AF320" s="1" t="n">
        <f aca="false">01_Supuestos!$C$185*AF317</f>
        <v>4.86229800764171</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4.51903315921503</v>
      </c>
      <c r="M321" s="1" t="n">
        <f aca="false">L321+M320-M323</f>
        <v>5.90482050104414</v>
      </c>
      <c r="N321" s="1" t="n">
        <f aca="false">M321+N320-N323</f>
        <v>5.33856906289498</v>
      </c>
      <c r="O321" s="1" t="n">
        <f aca="false">N321+O320-O323</f>
        <v>4.4894744999111</v>
      </c>
      <c r="P321" s="1" t="n">
        <f aca="false">O321+P320-P323</f>
        <v>4.40926662163668</v>
      </c>
      <c r="Q321" s="1" t="n">
        <f aca="false">P321+Q320-Q323</f>
        <v>4.51699266522229</v>
      </c>
      <c r="R321" s="1" t="n">
        <f aca="false">Q321+R320-R323</f>
        <v>4.62228409586196</v>
      </c>
      <c r="S321" s="1" t="n">
        <f aca="false">R321+S320-S323</f>
        <v>4.73073312407833</v>
      </c>
      <c r="T321" s="1" t="n">
        <f aca="false">S321+T320-T323</f>
        <v>4.84206935005941</v>
      </c>
      <c r="U321" s="1" t="n">
        <f aca="false">T321+U320-U323</f>
        <v>4.956313528117</v>
      </c>
      <c r="V321" s="1" t="n">
        <f aca="false">U321+V320-V323</f>
        <v>5.07350237779021</v>
      </c>
      <c r="W321" s="1" t="n">
        <f aca="false">V321+W320-W323</f>
        <v>5.19488168739064</v>
      </c>
      <c r="X321" s="1" t="n">
        <f aca="false">W321+X320-X323</f>
        <v>5.31992118823589</v>
      </c>
      <c r="Y321" s="1" t="n">
        <f aca="false">X321+Y320-Y323</f>
        <v>5.44833515898164</v>
      </c>
      <c r="Z321" s="1" t="n">
        <f aca="false">Y321+Z320-Z323</f>
        <v>5.58016286624683</v>
      </c>
      <c r="AA321" s="1" t="n">
        <f aca="false">Z321+AA320-AA323</f>
        <v>5.71544499987654</v>
      </c>
      <c r="AB321" s="1" t="n">
        <f aca="false">AA321+AB320-AB323</f>
        <v>5.85419716784677</v>
      </c>
      <c r="AC321" s="1" t="n">
        <f aca="false">AB321+AC320-AC323</f>
        <v>5.99644900941203</v>
      </c>
      <c r="AD321" s="1" t="n">
        <f aca="false">AC321+AD320-AD323</f>
        <v>6.14223868669786</v>
      </c>
      <c r="AE321" s="1" t="n">
        <f aca="false">AD321+AE320-AE323</f>
        <v>6.29160570987267</v>
      </c>
      <c r="AF321" s="1" t="n">
        <f aca="false">AE321+AF320-AF323</f>
        <v>6.44459092573574</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3.36037207952595</v>
      </c>
      <c r="N323" s="1" t="n">
        <f aca="false">MAX(0,MIN(N318,M321+N320,M321+N320-N319))</f>
        <v>4.32276736059245</v>
      </c>
      <c r="O323" s="1" t="n">
        <f aca="false">MAX(0,MIN(O318,N321+O320,N321+O320-O319))</f>
        <v>4.08639708874722</v>
      </c>
      <c r="P323" s="1" t="n">
        <f aca="false">MAX(0,MIN(P318,O321+P320,O321+P320-P319))</f>
        <v>3.41037365798999</v>
      </c>
      <c r="Q323" s="1" t="n">
        <f aca="false">MAX(0,MIN(Q318,P321+Q320,P321+Q320-Q319))</f>
        <v>3.29921136173149</v>
      </c>
      <c r="R323" s="1" t="n">
        <f aca="false">MAX(0,MIN(R318,Q321+R320,Q321+R320-R319))</f>
        <v>3.38134686344993</v>
      </c>
      <c r="S323" s="1" t="n">
        <f aca="false">MAX(0,MIN(S318,R321+S320,R321+S320-S319))</f>
        <v>3.46007133116543</v>
      </c>
      <c r="T323" s="1" t="n">
        <f aca="false">MAX(0,MIN(T318,S321+T320,S321+T320-T319))</f>
        <v>3.54122633761773</v>
      </c>
      <c r="U323" s="1" t="n">
        <f aca="false">MAX(0,MIN(U318,T321+U320,T321+U320-U319))</f>
        <v>3.62454849552647</v>
      </c>
      <c r="V323" s="1" t="n">
        <f aca="false">MAX(0,MIN(V318,U321+V320,U321+V320-V319))</f>
        <v>3.71004930358898</v>
      </c>
      <c r="W323" s="1" t="n">
        <f aca="false">MAX(0,MIN(W318,V321+W320,V321+W320-W319))</f>
        <v>3.79775632670281</v>
      </c>
      <c r="X323" s="1" t="n">
        <f aca="false">MAX(0,MIN(X318,W321+X320,W321+X320-X319))</f>
        <v>3.88850314195623</v>
      </c>
      <c r="Y323" s="1" t="n">
        <f aca="false">MAX(0,MIN(Y318,X321+Y320,X321+Y320-Y319))</f>
        <v>3.9820736406354</v>
      </c>
      <c r="Z323" s="1" t="n">
        <f aca="false">MAX(0,MIN(Z318,Y321+Z320,Y321+Z320-Z319))</f>
        <v>4.07817262185459</v>
      </c>
      <c r="AA323" s="1" t="n">
        <f aca="false">MAX(0,MIN(AA318,Z321+AA320,Z321+AA320-AA319))</f>
        <v>4.17682942320691</v>
      </c>
      <c r="AB323" s="1" t="n">
        <f aca="false">MAX(0,MIN(AB318,AA321+AB320,AA321+AB320-AB319))</f>
        <v>4.278074480931</v>
      </c>
      <c r="AC323" s="1" t="n">
        <f aca="false">MAX(0,MIN(AC318,AB321+AC320,AB321+AC320-AC319))</f>
        <v>4.38192161821303</v>
      </c>
      <c r="AD323" s="1" t="n">
        <f aca="false">MAX(0,MIN(AD318,AC321+AD320,AC321+AD320-AD319))</f>
        <v>4.48839118948593</v>
      </c>
      <c r="AE323" s="1" t="n">
        <f aca="false">MAX(0,MIN(AE318,AD321+AE320,AD321+AE320-AE319))</f>
        <v>4.59751173110727</v>
      </c>
      <c r="AF323" s="1" t="n">
        <f aca="false">MAX(0,MIN(AF318,AE321+AF320,AE321+AF320-AF319))</f>
        <v>4.70931279177864</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4.51903315921503</v>
      </c>
      <c r="M326" s="1" t="n">
        <f aca="false">IF(01_Supuestos!$C$184="Sí",M321,$C$172*M83)</f>
        <v>5.90482050104414</v>
      </c>
      <c r="N326" s="1" t="n">
        <f aca="false">IF(01_Supuestos!$C$184="Sí",N321,$C$172*N83)</f>
        <v>5.33856906289498</v>
      </c>
      <c r="O326" s="1" t="n">
        <f aca="false">IF(01_Supuestos!$C$184="Sí",O321,$C$172*O83)</f>
        <v>4.4894744999111</v>
      </c>
      <c r="P326" s="1" t="n">
        <f aca="false">IF(01_Supuestos!$C$184="Sí",P321,$C$172*P83)</f>
        <v>4.40926662163668</v>
      </c>
      <c r="Q326" s="1" t="n">
        <f aca="false">IF(01_Supuestos!$C$184="Sí",Q321,$C$172*Q83)</f>
        <v>4.51699266522229</v>
      </c>
      <c r="R326" s="1" t="n">
        <f aca="false">IF(01_Supuestos!$C$184="Sí",R321,$C$172*R83)</f>
        <v>4.62228409586196</v>
      </c>
      <c r="S326" s="1" t="n">
        <f aca="false">IF(01_Supuestos!$C$184="Sí",S321,$C$172*S83)</f>
        <v>4.73073312407833</v>
      </c>
      <c r="T326" s="1" t="n">
        <f aca="false">IF(01_Supuestos!$C$184="Sí",T321,$C$172*T83)</f>
        <v>4.84206935005941</v>
      </c>
      <c r="U326" s="1" t="n">
        <f aca="false">IF(01_Supuestos!$C$184="Sí",U321,$C$172*U83)</f>
        <v>4.956313528117</v>
      </c>
      <c r="V326" s="1" t="n">
        <f aca="false">IF(01_Supuestos!$C$184="Sí",V321,$C$172*V83)</f>
        <v>5.07350237779021</v>
      </c>
      <c r="W326" s="1" t="n">
        <f aca="false">IF(01_Supuestos!$C$184="Sí",W321,$C$172*W83)</f>
        <v>5.19488168739064</v>
      </c>
      <c r="X326" s="1" t="n">
        <f aca="false">IF(01_Supuestos!$C$184="Sí",X321,$C$172*X83)</f>
        <v>5.31992118823589</v>
      </c>
      <c r="Y326" s="1" t="n">
        <f aca="false">IF(01_Supuestos!$C$184="Sí",Y321,$C$172*Y83)</f>
        <v>5.44833515898164</v>
      </c>
      <c r="Z326" s="1" t="n">
        <f aca="false">IF(01_Supuestos!$C$184="Sí",Z321,$C$172*Z83)</f>
        <v>5.58016286624683</v>
      </c>
      <c r="AA326" s="1" t="n">
        <f aca="false">IF(01_Supuestos!$C$184="Sí",AA321,$C$172*AA83)</f>
        <v>5.71544499987654</v>
      </c>
      <c r="AB326" s="1" t="n">
        <f aca="false">IF(01_Supuestos!$C$184="Sí",AB321,$C$172*AB83)</f>
        <v>5.85419716784677</v>
      </c>
      <c r="AC326" s="1" t="n">
        <f aca="false">IF(01_Supuestos!$C$184="Sí",AC321,$C$172*AC83)</f>
        <v>5.99644900941203</v>
      </c>
      <c r="AD326" s="1" t="n">
        <f aca="false">IF(01_Supuestos!$C$184="Sí",AD321,$C$172*AD83)</f>
        <v>6.14223868669786</v>
      </c>
      <c r="AE326" s="1" t="n">
        <f aca="false">IF(01_Supuestos!$C$184="Sí",AE321,$C$172*AE83)</f>
        <v>6.29160570987267</v>
      </c>
      <c r="AF326" s="1" t="n">
        <f aca="false">IF(01_Supuestos!$C$184="Sí",AF321,$C$172*AF83)</f>
        <v>6.44459092573574</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0.114206263674219</v>
      </c>
      <c r="N327" s="1" t="n">
        <f aca="false">IF(01_Supuestos!$C$184="Sí",MAX(0.001,IF(M299&gt;0,M320/M299,$C$328*(1-$C$279))),$C$172)</f>
        <v>0.135882432490883</v>
      </c>
      <c r="O327" s="1" t="n">
        <f aca="false">IF(01_Supuestos!$C$184="Sí",MAX(0.001,IF(N299&gt;0,N320/N299,$C$328*(1-$C$279))),$C$172)</f>
        <v>0.150116069593199</v>
      </c>
      <c r="P327" s="1" t="n">
        <f aca="false">IF(01_Supuestos!$C$184="Sí",MAX(0.001,IF(O299&gt;0,O320/O299,$C$328*(1-$C$279))),$C$172)</f>
        <v>0.136570774476917</v>
      </c>
      <c r="Q327" s="1" t="n">
        <f aca="false">IF(01_Supuestos!$C$184="Sí",MAX(0.001,IF(P299&gt;0,P320/P299,$C$328*(1-$C$279))),$C$172)</f>
        <v>0.13738452204008</v>
      </c>
      <c r="R327" s="1" t="n">
        <f aca="false">IF(01_Supuestos!$C$184="Sí",MAX(0.001,IF(Q299&gt;0,Q320/Q299,$C$328*(1-$C$279))),$C$172)</f>
        <v>0.137401197716368</v>
      </c>
      <c r="S327" s="1" t="n">
        <f aca="false">IF(01_Supuestos!$C$184="Sí",MAX(0.001,IF(R299&gt;0,R320/R299,$C$328*(1-$C$279))),$C$172)</f>
        <v>0.137461191892732</v>
      </c>
      <c r="T327" s="1" t="n">
        <f aca="false">IF(01_Supuestos!$C$184="Sí",MAX(0.001,IF(S299&gt;0,S320/S299,$C$328*(1-$C$279))),$C$172)</f>
        <v>0.137529539533435</v>
      </c>
      <c r="U327" s="1" t="n">
        <f aca="false">IF(01_Supuestos!$C$184="Sí",MAX(0.001,IF(T299&gt;0,T320/T299,$C$328*(1-$C$279))),$C$172)</f>
        <v>0.137603288617164</v>
      </c>
      <c r="V327" s="1" t="n">
        <f aca="false">IF(01_Supuestos!$C$184="Sí",MAX(0.001,IF(U299&gt;0,U320/U299,$C$328*(1-$C$279))),$C$172)</f>
        <v>0.13768157734806</v>
      </c>
      <c r="W327" s="1" t="n">
        <f aca="false">IF(01_Supuestos!$C$184="Sí",MAX(0.001,IF(V299&gt;0,V320/V299,$C$328*(1-$C$279))),$C$172)</f>
        <v>0.137763549721371</v>
      </c>
      <c r="X327" s="1" t="n">
        <f aca="false">IF(01_Supuestos!$C$184="Sí",MAX(0.001,IF(W299&gt;0,W320/W299,$C$328*(1-$C$279))),$C$172)</f>
        <v>0.137890915241154</v>
      </c>
      <c r="Y327" s="1" t="n">
        <f aca="false">IF(01_Supuestos!$C$184="Sí",MAX(0.001,IF(X299&gt;0,X320/X299,$C$328*(1-$C$279))),$C$172)</f>
        <v>0.138024755245033</v>
      </c>
      <c r="Z327" s="1" t="n">
        <f aca="false">IF(01_Supuestos!$C$184="Sí",MAX(0.001,IF(Y299&gt;0,Y320/Y299,$C$328*(1-$C$279))),$C$172)</f>
        <v>0.138163952896804</v>
      </c>
      <c r="AA327" s="1" t="n">
        <f aca="false">IF(01_Supuestos!$C$184="Sí",MAX(0.001,IF(Z299&gt;0,Z320/Z299,$C$328*(1-$C$279))),$C$172)</f>
        <v>0.138307475436106</v>
      </c>
      <c r="AB327" s="1" t="n">
        <f aca="false">IF(01_Supuestos!$C$184="Sí",MAX(0.001,IF(AA299&gt;0,AA320/AA299,$C$328*(1-$C$279))),$C$172)</f>
        <v>0.138454356553804</v>
      </c>
      <c r="AC327" s="1" t="n">
        <f aca="false">IF(01_Supuestos!$C$184="Sí",MAX(0.001,IF(AB299&gt;0,AB320/AB299,$C$328*(1-$C$279))),$C$172)</f>
        <v>0.138602865253342</v>
      </c>
      <c r="AD327" s="1" t="n">
        <f aca="false">IF(01_Supuestos!$C$184="Sí",MAX(0.001,IF(AC299&gt;0,AC320/AC299,$C$328*(1-$C$279))),$C$172)</f>
        <v>0.138752102371504</v>
      </c>
      <c r="AE327" s="1" t="n">
        <f aca="false">IF(01_Supuestos!$C$184="Sí",MAX(0.001,IF(AD299&gt;0,AD320/AD299,$C$328*(1-$C$279))),$C$172)</f>
        <v>0.138901234236975</v>
      </c>
      <c r="AF327" s="1" t="n">
        <f aca="false">IF(01_Supuestos!$C$184="Sí",MAX(0.001,IF(AE299&gt;0,AE320/AE299,$C$328*(1-$C$279))),$C$172)</f>
        <v>0.139049488612843</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0.0951227722265819</v>
      </c>
      <c r="N330" s="1" t="n">
        <f aca="false">N343</f>
        <v>0.116937286988959</v>
      </c>
      <c r="O330" s="1" t="n">
        <f aca="false">O343</f>
        <v>0.125840037713673</v>
      </c>
      <c r="P330" s="1" t="n">
        <f aca="false">P343</f>
        <v>0.128479138535279</v>
      </c>
      <c r="Q330" s="1" t="n">
        <f aca="false">Q343</f>
        <v>0.131388853204598</v>
      </c>
      <c r="R330" s="1" t="n">
        <f aca="false">R343</f>
        <v>0.134376121526952</v>
      </c>
      <c r="S330" s="1" t="n">
        <f aca="false">S343</f>
        <v>0.137450622997526</v>
      </c>
      <c r="T330" s="1" t="n">
        <f aca="false">T343</f>
        <v>0.140613644446018</v>
      </c>
      <c r="U330" s="1" t="n">
        <f aca="false">U343</f>
        <v>0.143866032948144</v>
      </c>
      <c r="V330" s="1" t="n">
        <f aca="false">V343</f>
        <v>0.147208704856157</v>
      </c>
      <c r="W330" s="1" t="n">
        <f aca="false">W343</f>
        <v>0.150642629276749</v>
      </c>
      <c r="X330" s="1" t="n">
        <f aca="false">X343</f>
        <v>0.154179241355075</v>
      </c>
      <c r="Y330" s="1" t="n">
        <f aca="false">Y343</f>
        <v>0.157819555232368</v>
      </c>
      <c r="Z330" s="1" t="n">
        <f aca="false">Z343</f>
        <v>0.161564626570856</v>
      </c>
      <c r="AA330" s="1" t="n">
        <f aca="false">AA343</f>
        <v>0.165415555840944</v>
      </c>
      <c r="AB330" s="1" t="n">
        <f aca="false">AB343</f>
        <v>0.169373487718053</v>
      </c>
      <c r="AC330" s="1" t="n">
        <f aca="false">AC343</f>
        <v>0.173439383185141</v>
      </c>
      <c r="AD330" s="1" t="n">
        <f aca="false">AD343</f>
        <v>0.177614250384481</v>
      </c>
      <c r="AE330" s="1" t="n">
        <f aca="false">AE343</f>
        <v>0.181899143965654</v>
      </c>
      <c r="AF330" s="1" t="n">
        <f aca="false">AF343</f>
        <v>0.186295164428748</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0.0951227722265819</v>
      </c>
      <c r="N331" s="1" t="n">
        <f aca="false">N330*$C$338</f>
        <v>0.116937286988959</v>
      </c>
      <c r="O331" s="1" t="n">
        <f aca="false">O330*$C$338</f>
        <v>0.125840037713673</v>
      </c>
      <c r="P331" s="1" t="n">
        <f aca="false">P330*$C$338</f>
        <v>0.128479138535279</v>
      </c>
      <c r="Q331" s="1" t="n">
        <f aca="false">Q330*$C$338</f>
        <v>0.131388853204598</v>
      </c>
      <c r="R331" s="1" t="n">
        <f aca="false">R330*$C$338</f>
        <v>0.134376121526952</v>
      </c>
      <c r="S331" s="1" t="n">
        <f aca="false">S330*$C$338</f>
        <v>0.137450622997526</v>
      </c>
      <c r="T331" s="1" t="n">
        <f aca="false">T330*$C$338</f>
        <v>0.140613644446018</v>
      </c>
      <c r="U331" s="1" t="n">
        <f aca="false">U330*$C$338</f>
        <v>0.143866032948144</v>
      </c>
      <c r="V331" s="1" t="n">
        <f aca="false">V330*$C$338</f>
        <v>0.147208704856157</v>
      </c>
      <c r="W331" s="1" t="n">
        <f aca="false">W330*$C$338</f>
        <v>0.150642629276749</v>
      </c>
      <c r="X331" s="1" t="n">
        <f aca="false">X330*$C$338</f>
        <v>0.154179241355075</v>
      </c>
      <c r="Y331" s="1" t="n">
        <f aca="false">Y330*$C$338</f>
        <v>0.157819555232368</v>
      </c>
      <c r="Z331" s="1" t="n">
        <f aca="false">Z330*$C$338</f>
        <v>0.161564626570856</v>
      </c>
      <c r="AA331" s="1" t="n">
        <f aca="false">AA330*$C$338</f>
        <v>0.165415555840944</v>
      </c>
      <c r="AB331" s="1" t="n">
        <f aca="false">AB330*$C$338</f>
        <v>0.169373487718053</v>
      </c>
      <c r="AC331" s="1" t="n">
        <f aca="false">AC330*$C$338</f>
        <v>0.173439383185141</v>
      </c>
      <c r="AD331" s="1" t="n">
        <f aca="false">AD330*$C$338</f>
        <v>0.177614250384481</v>
      </c>
      <c r="AE331" s="1" t="n">
        <f aca="false">AE330*$C$338</f>
        <v>0.181899143965654</v>
      </c>
      <c r="AF331" s="1" t="n">
        <f aca="false">AF330*$C$338</f>
        <v>0.186295164428748</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0.0951227722265819</v>
      </c>
      <c r="N332" s="1" t="n">
        <f aca="false">IF($C$339&lt;=0,N331,IF($C$339=1,M331,L331))</f>
        <v>0.116937286988959</v>
      </c>
      <c r="O332" s="1" t="n">
        <f aca="false">IF($C$339&lt;=0,O331,IF($C$339=1,N331,M331))</f>
        <v>0.125840037713673</v>
      </c>
      <c r="P332" s="1" t="n">
        <f aca="false">IF($C$339&lt;=0,P331,IF($C$339=1,O331,N331))</f>
        <v>0.128479138535279</v>
      </c>
      <c r="Q332" s="1" t="n">
        <f aca="false">IF($C$339&lt;=0,Q331,IF($C$339=1,P331,O331))</f>
        <v>0.131388853204598</v>
      </c>
      <c r="R332" s="1" t="n">
        <f aca="false">IF($C$339&lt;=0,R331,IF($C$339=1,Q331,P331))</f>
        <v>0.134376121526952</v>
      </c>
      <c r="S332" s="1" t="n">
        <f aca="false">IF($C$339&lt;=0,S331,IF($C$339=1,R331,Q331))</f>
        <v>0.137450622997526</v>
      </c>
      <c r="T332" s="1" t="n">
        <f aca="false">IF($C$339&lt;=0,T331,IF($C$339=1,S331,R331))</f>
        <v>0.140613644446018</v>
      </c>
      <c r="U332" s="1" t="n">
        <f aca="false">IF($C$339&lt;=0,U331,IF($C$339=1,T331,S331))</f>
        <v>0.143866032948144</v>
      </c>
      <c r="V332" s="1" t="n">
        <f aca="false">IF($C$339&lt;=0,V331,IF($C$339=1,U331,T331))</f>
        <v>0.147208704856157</v>
      </c>
      <c r="W332" s="1" t="n">
        <f aca="false">IF($C$339&lt;=0,W331,IF($C$339=1,V331,U331))</f>
        <v>0.150642629276749</v>
      </c>
      <c r="X332" s="1" t="n">
        <f aca="false">IF($C$339&lt;=0,X331,IF($C$339=1,W331,V331))</f>
        <v>0.154179241355075</v>
      </c>
      <c r="Y332" s="1" t="n">
        <f aca="false">IF($C$339&lt;=0,Y331,IF($C$339=1,X331,W331))</f>
        <v>0.157819555232368</v>
      </c>
      <c r="Z332" s="1" t="n">
        <f aca="false">IF($C$339&lt;=0,Z331,IF($C$339=1,Y331,X331))</f>
        <v>0.161564626570856</v>
      </c>
      <c r="AA332" s="1" t="n">
        <f aca="false">IF($C$339&lt;=0,AA331,IF($C$339=1,Z331,Y331))</f>
        <v>0.165415555840944</v>
      </c>
      <c r="AB332" s="1" t="n">
        <f aca="false">IF($C$339&lt;=0,AB331,IF($C$339=1,AA331,Z331))</f>
        <v>0.169373487718053</v>
      </c>
      <c r="AC332" s="1" t="n">
        <f aca="false">IF($C$339&lt;=0,AC331,IF($C$339=1,AB331,AA331))</f>
        <v>0.173439383185141</v>
      </c>
      <c r="AD332" s="1" t="n">
        <f aca="false">IF($C$339&lt;=0,AD331,IF($C$339=1,AC331,AB331))</f>
        <v>0.177614250384481</v>
      </c>
      <c r="AE332" s="1" t="n">
        <f aca="false">IF($C$339&lt;=0,AE331,IF($C$339=1,AD331,AC331))</f>
        <v>0.181899143965654</v>
      </c>
      <c r="AF332" s="1" t="n">
        <f aca="false">IF($C$339&lt;=0,AF331,IF($C$339=1,AE331,AD331))</f>
        <v>0.186295164428748</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0.0399515643351644</v>
      </c>
      <c r="N341" s="1" t="n">
        <f aca="false">M284*$C$340</f>
        <v>0.0491136605353627</v>
      </c>
      <c r="O341" s="1" t="n">
        <f aca="false">N284*$C$340</f>
        <v>0.0528528158397428</v>
      </c>
      <c r="P341" s="1" t="n">
        <f aca="false">O284*$C$340</f>
        <v>0.0539612381848173</v>
      </c>
      <c r="Q341" s="1" t="n">
        <f aca="false">P284*$C$340</f>
        <v>0.0551833183459313</v>
      </c>
      <c r="R341" s="1" t="n">
        <f aca="false">Q284*$C$340</f>
        <v>0.0564379710413199</v>
      </c>
      <c r="S341" s="1" t="n">
        <f aca="false">R284*$C$340</f>
        <v>0.057729261658961</v>
      </c>
      <c r="T341" s="1" t="n">
        <f aca="false">S284*$C$340</f>
        <v>0.0590577306673275</v>
      </c>
      <c r="U341" s="1" t="n">
        <f aca="false">T284*$C$340</f>
        <v>0.0604237338382204</v>
      </c>
      <c r="V341" s="1" t="n">
        <f aca="false">U284*$C$340</f>
        <v>0.0618276560395859</v>
      </c>
      <c r="W341" s="1" t="n">
        <f aca="false">V284*$C$340</f>
        <v>0.0632699042962347</v>
      </c>
      <c r="X341" s="1" t="n">
        <f aca="false">W284*$C$340</f>
        <v>0.0647552813691315</v>
      </c>
      <c r="Y341" s="1" t="n">
        <f aca="false">X284*$C$340</f>
        <v>0.0662842131975945</v>
      </c>
      <c r="Z341" s="1" t="n">
        <f aca="false">Y284*$C$340</f>
        <v>0.0678571431597596</v>
      </c>
      <c r="AA341" s="1" t="n">
        <f aca="false">Z284*$C$340</f>
        <v>0.0694745334531964</v>
      </c>
      <c r="AB341" s="1" t="n">
        <f aca="false">AA284*$C$340</f>
        <v>0.0711368648415822</v>
      </c>
      <c r="AC341" s="1" t="n">
        <f aca="false">AB284*$C$340</f>
        <v>0.0728445409377591</v>
      </c>
      <c r="AD341" s="1" t="n">
        <f aca="false">AC284*$C$340</f>
        <v>0.0745979851614819</v>
      </c>
      <c r="AE341" s="1" t="n">
        <f aca="false">AD284*$C$340</f>
        <v>0.0763976404655748</v>
      </c>
      <c r="AF341" s="1" t="n">
        <f aca="false">AE284*$C$340</f>
        <v>0.0782439690600742</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0.0551712078914175</v>
      </c>
      <c r="N342" s="1" t="n">
        <f aca="false">M289*$C$340</f>
        <v>0.0678236264535962</v>
      </c>
      <c r="O342" s="1" t="n">
        <f aca="false">N289*$C$340</f>
        <v>0.0729872218739306</v>
      </c>
      <c r="P342" s="1" t="n">
        <f aca="false">O289*$C$340</f>
        <v>0.074517900350462</v>
      </c>
      <c r="Q342" s="1" t="n">
        <f aca="false">P289*$C$340</f>
        <v>0.0762055348586671</v>
      </c>
      <c r="R342" s="1" t="n">
        <f aca="false">Q289*$C$340</f>
        <v>0.0779381504856322</v>
      </c>
      <c r="S342" s="1" t="n">
        <f aca="false">R289*$C$340</f>
        <v>0.0797213613385652</v>
      </c>
      <c r="T342" s="1" t="n">
        <f aca="false">S289*$C$340</f>
        <v>0.0815559137786903</v>
      </c>
      <c r="U342" s="1" t="n">
        <f aca="false">T289*$C$340</f>
        <v>0.0834422991099234</v>
      </c>
      <c r="V342" s="1" t="n">
        <f aca="false">U289*$C$340</f>
        <v>0.0853810488165711</v>
      </c>
      <c r="W342" s="1" t="n">
        <f aca="false">V289*$C$340</f>
        <v>0.0873727249805145</v>
      </c>
      <c r="X342" s="1" t="n">
        <f aca="false">W289*$C$340</f>
        <v>0.0894239599859435</v>
      </c>
      <c r="Y342" s="1" t="n">
        <f aca="false">X289*$C$340</f>
        <v>0.0915353420347734</v>
      </c>
      <c r="Z342" s="1" t="n">
        <f aca="false">Y289*$C$340</f>
        <v>0.0937074834110967</v>
      </c>
      <c r="AA342" s="1" t="n">
        <f aca="false">Z289*$C$340</f>
        <v>0.0959410223877474</v>
      </c>
      <c r="AB342" s="1" t="n">
        <f aca="false">AA289*$C$340</f>
        <v>0.0982366228764707</v>
      </c>
      <c r="AC342" s="1" t="n">
        <f aca="false">AB289*$C$340</f>
        <v>0.100594842247382</v>
      </c>
      <c r="AD342" s="1" t="n">
        <f aca="false">AC289*$C$340</f>
        <v>0.103016265222999</v>
      </c>
      <c r="AE342" s="1" t="n">
        <f aca="false">AD289*$C$340</f>
        <v>0.105501503500079</v>
      </c>
      <c r="AF342" s="1" t="n">
        <f aca="false">AE289*$C$340</f>
        <v>0.108051195368674</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0.0951227722265819</v>
      </c>
      <c r="N343" s="1" t="n">
        <f aca="false">N341+N342</f>
        <v>0.116937286988959</v>
      </c>
      <c r="O343" s="1" t="n">
        <f aca="false">O341+O342</f>
        <v>0.125840037713673</v>
      </c>
      <c r="P343" s="1" t="n">
        <f aca="false">P341+P342</f>
        <v>0.128479138535279</v>
      </c>
      <c r="Q343" s="1" t="n">
        <f aca="false">Q341+Q342</f>
        <v>0.131388853204598</v>
      </c>
      <c r="R343" s="1" t="n">
        <f aca="false">R341+R342</f>
        <v>0.134376121526952</v>
      </c>
      <c r="S343" s="1" t="n">
        <f aca="false">S341+S342</f>
        <v>0.137450622997526</v>
      </c>
      <c r="T343" s="1" t="n">
        <f aca="false">T341+T342</f>
        <v>0.140613644446018</v>
      </c>
      <c r="U343" s="1" t="n">
        <f aca="false">U341+U342</f>
        <v>0.143866032948144</v>
      </c>
      <c r="V343" s="1" t="n">
        <f aca="false">V341+V342</f>
        <v>0.147208704856157</v>
      </c>
      <c r="W343" s="1" t="n">
        <f aca="false">W341+W342</f>
        <v>0.150642629276749</v>
      </c>
      <c r="X343" s="1" t="n">
        <f aca="false">X341+X342</f>
        <v>0.154179241355075</v>
      </c>
      <c r="Y343" s="1" t="n">
        <f aca="false">Y341+Y342</f>
        <v>0.157819555232368</v>
      </c>
      <c r="Z343" s="1" t="n">
        <f aca="false">Z341+Z342</f>
        <v>0.161564626570856</v>
      </c>
      <c r="AA343" s="1" t="n">
        <f aca="false">AA341+AA342</f>
        <v>0.165415555840944</v>
      </c>
      <c r="AB343" s="1" t="n">
        <f aca="false">AB341+AB342</f>
        <v>0.169373487718053</v>
      </c>
      <c r="AC343" s="1" t="n">
        <f aca="false">AC341+AC342</f>
        <v>0.173439383185141</v>
      </c>
      <c r="AD343" s="1" t="n">
        <f aca="false">AD341+AD342</f>
        <v>0.177614250384481</v>
      </c>
      <c r="AE343" s="1" t="n">
        <f aca="false">AE341+AE342</f>
        <v>0.181899143965654</v>
      </c>
      <c r="AF343" s="1" t="n">
        <f aca="false">AF341+AF342</f>
        <v>0.186295164428748</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1342</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0.0022</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5</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11.440447555496</v>
      </c>
      <c r="D48" s="116" t="n">
        <f aca="false">SUMPRODUCT(($C$39:$BT$39&gt;=D$39-$C$29+1)*($C$39:$BT$39&lt;=D$39)*($C$45:$BT$45))/$C$29+D47</f>
        <v>18.433684727896</v>
      </c>
      <c r="E48" s="116" t="n">
        <f aca="false">SUMPRODUCT(($C$39:$BT$39&gt;=E$39-$C$29+1)*($C$39:$BT$39&lt;=E$39)*($C$45:$BT$45))/$C$29+E47</f>
        <v>24.380839607896</v>
      </c>
      <c r="F48" s="116" t="n">
        <f aca="false">SUMPRODUCT(($C$39:$BT$39&gt;=F$39-$C$29+1)*($C$39:$BT$39&lt;=F$39)*($C$45:$BT$45))/$C$29+F47</f>
        <v>40.7905342941664</v>
      </c>
      <c r="G48" s="116" t="n">
        <f aca="false">SUMPRODUCT(($C$39:$BT$39&gt;=G$39-$C$29+1)*($C$39:$BT$39&lt;=G$39)*($C$45:$BT$45))/$C$29+G47</f>
        <v>40.7905342941664</v>
      </c>
      <c r="H48" s="116" t="n">
        <f aca="false">SUMPRODUCT(($C$39:$BT$39&gt;=H$39-$C$29+1)*($C$39:$BT$39&lt;=H$39)*($C$45:$BT$45))/$C$29+H47</f>
        <v>29.3500867386704</v>
      </c>
      <c r="I48" s="116" t="n">
        <f aca="false">SUMPRODUCT(($C$39:$BT$39&gt;=I$39-$C$29+1)*($C$39:$BT$39&lt;=I$39)*($C$45:$BT$45))/$C$29+I47</f>
        <v>22.3568495662704</v>
      </c>
      <c r="J48" s="116" t="n">
        <f aca="false">SUMPRODUCT(($C$39:$BT$39&gt;=J$39-$C$29+1)*($C$39:$BT$39&lt;=J$39)*($C$45:$BT$45))/$C$29+J47</f>
        <v>16.4096946862704</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9.1280816</v>
      </c>
      <c r="G49" s="116" t="n">
        <f aca="false">SUMPRODUCT(($C$39:$BT$39&gt;=G$39-$C$29+1)*($C$39:$BT$39&lt;=G$39)*($C$46:$BT$46))/$C$29</f>
        <v>9.1280816</v>
      </c>
      <c r="H49" s="116" t="n">
        <f aca="false">SUMPRODUCT(($C$39:$BT$39&gt;=H$39-$C$29+1)*($C$39:$BT$39&lt;=H$39)*($C$46:$BT$46))/$C$29</f>
        <v>9.1280816</v>
      </c>
      <c r="I49" s="116" t="n">
        <f aca="false">SUMPRODUCT(($C$39:$BT$39&gt;=I$39-$C$29+1)*($C$39:$BT$39&lt;=I$39)*($C$46:$BT$46))/$C$29</f>
        <v>9.1280816</v>
      </c>
      <c r="J49" s="116" t="n">
        <f aca="false">SUMPRODUCT(($C$39:$BT$39&gt;=J$39-$C$29+1)*($C$39:$BT$39&lt;=J$39)*($C$46:$BT$46))/$C$29</f>
        <v>9.1280816</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10.9916285</v>
      </c>
      <c r="E54" s="116" t="n">
        <f aca="false">01_Supuestos!$I$132*(1+01_Supuestos!$I$133)^(E$39-1)*(1+$C$14)^(E$39-1)</f>
        <v>11.2912053347675</v>
      </c>
      <c r="F54" s="116" t="n">
        <f aca="false">01_Supuestos!$I$132*(1+01_Supuestos!$I$133)^(F$39-1)*(1+$C$14)^(F$39-1)</f>
        <v>11.5989471361666</v>
      </c>
      <c r="G54" s="116" t="n">
        <f aca="false">01_Supuestos!$I$132*(1+01_Supuestos!$I$133)^(G$39-1)*(1+$C$14)^(G$39-1)</f>
        <v>11.9150764403628</v>
      </c>
      <c r="H54" s="116" t="n">
        <f aca="false">01_Supuestos!$I$132*(1+01_Supuestos!$I$133)^(H$39-1)*(1+$C$14)^(H$39-1)</f>
        <v>12.2398218487449</v>
      </c>
      <c r="I54" s="116" t="n">
        <f aca="false">01_Supuestos!$I$132*(1+01_Supuestos!$I$133)^(I$39-1)*(1+$C$14)^(I$39-1)</f>
        <v>12.5734181932324</v>
      </c>
      <c r="J54" s="116" t="n">
        <f aca="false">01_Supuestos!$I$132*(1+01_Supuestos!$I$133)^(J$39-1)*(1+$C$14)^(J$39-1)</f>
        <v>12.916106706089</v>
      </c>
      <c r="K54" s="116" t="n">
        <f aca="false">01_Supuestos!$I$132*(1+01_Supuestos!$I$133)^(K$39-1)*(1+$C$14)^(K$39-1)</f>
        <v>13.2681351943634</v>
      </c>
      <c r="L54" s="116" t="n">
        <f aca="false">01_Supuestos!$I$132*(1+01_Supuestos!$I$133)^(L$39-1)*(1+$C$14)^(L$39-1)</f>
        <v>13.6297582190858</v>
      </c>
      <c r="M54" s="116" t="n">
        <f aca="false">01_Supuestos!$I$132*(1+01_Supuestos!$I$133)^(M$39-1)*(1+$C$14)^(M$39-1)</f>
        <v>14.001237279347</v>
      </c>
      <c r="N54" s="116" t="n">
        <f aca="false">01_Supuestos!$I$132*(1+01_Supuestos!$I$133)^(N$39-1)*(1+$C$14)^(N$39-1)</f>
        <v>14.3828410013956</v>
      </c>
      <c r="O54" s="116" t="n">
        <f aca="false">01_Supuestos!$I$132*(1+01_Supuestos!$I$133)^(O$39-1)*(1+$C$14)^(O$39-1)</f>
        <v>14.7748453328886</v>
      </c>
      <c r="P54" s="116" t="n">
        <f aca="false">01_Supuestos!$I$132*(1+01_Supuestos!$I$133)^(P$39-1)*(1+$C$14)^(P$39-1)</f>
        <v>15.1775337424365</v>
      </c>
      <c r="Q54" s="116" t="n">
        <f aca="false">01_Supuestos!$I$132*(1+01_Supuestos!$I$133)^(Q$39-1)*(1+$C$14)^(Q$39-1)</f>
        <v>15.5911974245866</v>
      </c>
      <c r="R54" s="116" t="n">
        <f aca="false">01_Supuestos!$I$132*(1+01_Supuestos!$I$133)^(R$39-1)*(1+$C$14)^(R$39-1)</f>
        <v>16.0161355103937</v>
      </c>
      <c r="S54" s="116" t="n">
        <f aca="false">01_Supuestos!$I$132*(1+01_Supuestos!$I$133)^(S$39-1)*(1+$C$14)^(S$39-1)</f>
        <v>16.4526552837295</v>
      </c>
      <c r="T54" s="116" t="n">
        <f aca="false">01_Supuestos!$I$132*(1+01_Supuestos!$I$133)^(T$39-1)*(1+$C$14)^(T$39-1)</f>
        <v>16.9010724034875</v>
      </c>
      <c r="U54" s="116" t="n">
        <f aca="false">01_Supuestos!$I$132*(1+01_Supuestos!$I$133)^(U$39-1)*(1+$C$14)^(U$39-1)</f>
        <v>17.3617111318446</v>
      </c>
      <c r="V54" s="116" t="n">
        <f aca="false">01_Supuestos!$I$132*(1+01_Supuestos!$I$133)^(V$39-1)*(1+$C$14)^(V$39-1)</f>
        <v>17.834904568743</v>
      </c>
      <c r="W54" s="116" t="n">
        <f aca="false">01_Supuestos!$I$132*(1+01_Supuestos!$I$133)^(W$39-1)*(1+$C$14)^(W$39-1)</f>
        <v>18.3209948927641</v>
      </c>
      <c r="X54" s="116" t="n">
        <f aca="false">01_Supuestos!$I$132*(1+01_Supuestos!$I$133)^(X$39-1)*(1+$C$14)^(X$39-1)</f>
        <v>18.8203336085664</v>
      </c>
      <c r="Y54" s="116" t="n">
        <f aca="false">01_Supuestos!$I$132*(1+01_Supuestos!$I$133)^(Y$39-1)*(1+$C$14)^(Y$39-1)</f>
        <v>19.3332818010679</v>
      </c>
      <c r="Z54" s="116" t="n">
        <f aca="false">01_Supuestos!$I$132*(1+01_Supuestos!$I$133)^(Z$39-1)*(1+$C$14)^(Z$39-1)</f>
        <v>19.860210396556</v>
      </c>
      <c r="AA54" s="116" t="n">
        <f aca="false">01_Supuestos!$I$132*(1+01_Supuestos!$I$133)^(AA$39-1)*(1+$C$14)^(AA$39-1)</f>
        <v>20.4015004309141</v>
      </c>
      <c r="AB54" s="116" t="n">
        <f aca="false">01_Supuestos!$I$132*(1+01_Supuestos!$I$133)^(AB$39-1)*(1+$C$14)^(AB$39-1)</f>
        <v>20.9575433251587</v>
      </c>
      <c r="AC54" s="116" t="n">
        <f aca="false">01_Supuestos!$I$132*(1+01_Supuestos!$I$133)^(AC$39-1)*(1+$C$14)^(AC$39-1)</f>
        <v>21.5287411684858</v>
      </c>
      <c r="AD54" s="116" t="n">
        <f aca="false">01_Supuestos!$I$132*(1+01_Supuestos!$I$133)^(AD$39-1)*(1+$C$14)^(AD$39-1)</f>
        <v>22.1155070090329</v>
      </c>
      <c r="AE54" s="116" t="n">
        <f aca="false">01_Supuestos!$I$132*(1+01_Supuestos!$I$133)^(AE$39-1)*(1+$C$14)^(AE$39-1)</f>
        <v>22.7182651525641</v>
      </c>
      <c r="AF54" s="116" t="n">
        <f aca="false">01_Supuestos!$I$132*(1+01_Supuestos!$I$133)^(AF$39-1)*(1+$C$14)^(AF$39-1)</f>
        <v>23.3374514692973</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1.09916285</v>
      </c>
      <c r="E56" s="116" t="n">
        <f aca="false">IF($C$11="Libro",E55*E54,IF(E$39&lt;=20,01_Supuestos!$I$26+(01_Supuestos!$I$27-01_Supuestos!$I$26)*(E$39-1)/19,01_Supuestos!$I$27*IF($C$6="Sí",(1+01_Supuestos!$I$9)^(E$39-20),1))*E55/0.1)</f>
        <v>1.12912053347675</v>
      </c>
      <c r="F56" s="116" t="n">
        <f aca="false">IF($C$11="Libro",F55*F54,IF(F$39&lt;=20,01_Supuestos!$I$26+(01_Supuestos!$I$27-01_Supuestos!$I$26)*(F$39-1)/19,01_Supuestos!$I$27*IF($C$6="Sí",(1+01_Supuestos!$I$9)^(F$39-20),1))*F55/0.1)</f>
        <v>1.15989471361666</v>
      </c>
      <c r="G56" s="116" t="n">
        <f aca="false">IF($C$11="Libro",G55*G54,IF(G$39&lt;=20,01_Supuestos!$I$26+(01_Supuestos!$I$27-01_Supuestos!$I$26)*(G$39-1)/19,01_Supuestos!$I$27*IF($C$6="Sí",(1+01_Supuestos!$I$9)^(G$39-20),1))*G55/0.1)</f>
        <v>1.19150764403628</v>
      </c>
      <c r="H56" s="116" t="n">
        <f aca="false">IF($C$11="Libro",H55*H54,IF(H$39&lt;=20,01_Supuestos!$I$26+(01_Supuestos!$I$27-01_Supuestos!$I$26)*(H$39-1)/19,01_Supuestos!$I$27*IF($C$6="Sí",(1+01_Supuestos!$I$9)^(H$39-20),1))*H55/0.1)</f>
        <v>1.22398218487449</v>
      </c>
      <c r="I56" s="116" t="n">
        <f aca="false">IF($C$11="Libro",I55*I54,IF(I$39&lt;=20,01_Supuestos!$I$26+(01_Supuestos!$I$27-01_Supuestos!$I$26)*(I$39-1)/19,01_Supuestos!$I$27*IF($C$6="Sí",(1+01_Supuestos!$I$9)^(I$39-20),1))*I55/0.1)</f>
        <v>1.25734181932324</v>
      </c>
      <c r="J56" s="116" t="n">
        <f aca="false">IF($C$11="Libro",J55*J54,IF(J$39&lt;=20,01_Supuestos!$I$26+(01_Supuestos!$I$27-01_Supuestos!$I$26)*(J$39-1)/19,01_Supuestos!$I$27*IF($C$6="Sí",(1+01_Supuestos!$I$9)^(J$39-20),1))*J55/0.1)</f>
        <v>1.2916106706089</v>
      </c>
      <c r="K56" s="116" t="n">
        <f aca="false">IF($C$11="Libro",K55*K54,IF(K$39&lt;=20,01_Supuestos!$I$26+(01_Supuestos!$I$27-01_Supuestos!$I$26)*(K$39-1)/19,01_Supuestos!$I$27*IF($C$6="Sí",(1+01_Supuestos!$I$9)^(K$39-20),1))*K55/0.1)</f>
        <v>1.32681351943634</v>
      </c>
      <c r="L56" s="116" t="n">
        <f aca="false">IF($C$11="Libro",L55*L54,IF(L$39&lt;=20,01_Supuestos!$I$26+(01_Supuestos!$I$27-01_Supuestos!$I$26)*(L$39-1)/19,01_Supuestos!$I$27*IF($C$6="Sí",(1+01_Supuestos!$I$9)^(L$39-20),1))*L55/0.1)</f>
        <v>1.36297582190858</v>
      </c>
      <c r="M56" s="116" t="n">
        <f aca="false">IF($C$11="Libro",M55*M54,IF(M$39&lt;=20,01_Supuestos!$I$26+(01_Supuestos!$I$27-01_Supuestos!$I$26)*(M$39-1)/19,01_Supuestos!$I$27*IF($C$6="Sí",(1+01_Supuestos!$I$9)^(M$39-20),1))*M55/0.1)</f>
        <v>1.4001237279347</v>
      </c>
      <c r="N56" s="116" t="n">
        <f aca="false">IF($C$11="Libro",N55*N54,IF(N$39&lt;=20,01_Supuestos!$I$26+(01_Supuestos!$I$27-01_Supuestos!$I$26)*(N$39-1)/19,01_Supuestos!$I$27*IF($C$6="Sí",(1+01_Supuestos!$I$9)^(N$39-20),1))*N55/0.1)</f>
        <v>1.43828410013956</v>
      </c>
      <c r="O56" s="116" t="n">
        <f aca="false">IF($C$11="Libro",O55*O54,IF(O$39&lt;=20,01_Supuestos!$I$26+(01_Supuestos!$I$27-01_Supuestos!$I$26)*(O$39-1)/19,01_Supuestos!$I$27*IF($C$6="Sí",(1+01_Supuestos!$I$9)^(O$39-20),1))*O55/0.1)</f>
        <v>1.47748453328886</v>
      </c>
      <c r="P56" s="116" t="n">
        <f aca="false">IF($C$11="Libro",P55*P54,IF(P$39&lt;=20,01_Supuestos!$I$26+(01_Supuestos!$I$27-01_Supuestos!$I$26)*(P$39-1)/19,01_Supuestos!$I$27*IF($C$6="Sí",(1+01_Supuestos!$I$9)^(P$39-20),1))*P55/0.1)</f>
        <v>1.51775337424365</v>
      </c>
      <c r="Q56" s="116" t="n">
        <f aca="false">IF($C$11="Libro",Q55*Q54,IF(Q$39&lt;=20,01_Supuestos!$I$26+(01_Supuestos!$I$27-01_Supuestos!$I$26)*(Q$39-1)/19,01_Supuestos!$I$27*IF($C$6="Sí",(1+01_Supuestos!$I$9)^(Q$39-20),1))*Q55/0.1)</f>
        <v>1.55911974245866</v>
      </c>
      <c r="R56" s="116" t="n">
        <f aca="false">IF($C$11="Libro",R55*R54,IF(R$39&lt;=20,01_Supuestos!$I$26+(01_Supuestos!$I$27-01_Supuestos!$I$26)*(R$39-1)/19,01_Supuestos!$I$27*IF($C$6="Sí",(1+01_Supuestos!$I$9)^(R$39-20),1))*R55/0.1)</f>
        <v>1.60161355103937</v>
      </c>
      <c r="S56" s="116" t="n">
        <f aca="false">IF($C$11="Libro",S55*S54,IF(S$39&lt;=20,01_Supuestos!$I$26+(01_Supuestos!$I$27-01_Supuestos!$I$26)*(S$39-1)/19,01_Supuestos!$I$27*IF($C$6="Sí",(1+01_Supuestos!$I$9)^(S$39-20),1))*S55/0.1)</f>
        <v>1.64526552837295</v>
      </c>
      <c r="T56" s="116" t="n">
        <f aca="false">IF($C$11="Libro",T55*T54,IF(T$39&lt;=20,01_Supuestos!$I$26+(01_Supuestos!$I$27-01_Supuestos!$I$26)*(T$39-1)/19,01_Supuestos!$I$27*IF($C$6="Sí",(1+01_Supuestos!$I$9)^(T$39-20),1))*T55/0.1)</f>
        <v>1.69010724034875</v>
      </c>
      <c r="U56" s="116" t="n">
        <f aca="false">IF($C$11="Libro",U55*U54,IF(U$39&lt;=20,01_Supuestos!$I$26+(01_Supuestos!$I$27-01_Supuestos!$I$26)*(U$39-1)/19,01_Supuestos!$I$27*IF($C$6="Sí",(1+01_Supuestos!$I$9)^(U$39-20),1))*U55/0.1)</f>
        <v>1.73617111318446</v>
      </c>
      <c r="V56" s="116" t="n">
        <f aca="false">IF($C$11="Libro",V55*V54,IF(V$39&lt;=20,01_Supuestos!$I$26+(01_Supuestos!$I$27-01_Supuestos!$I$26)*(V$39-1)/19,01_Supuestos!$I$27*IF($C$6="Sí",(1+01_Supuestos!$I$9)^(V$39-20),1))*V55/0.1)</f>
        <v>1.7834904568743</v>
      </c>
      <c r="W56" s="116" t="n">
        <f aca="false">IF($C$11="Libro",W55*W54,IF(W$39&lt;=20,01_Supuestos!$I$26+(01_Supuestos!$I$27-01_Supuestos!$I$26)*(W$39-1)/19,01_Supuestos!$I$27*IF($C$6="Sí",(1+01_Supuestos!$I$9)^(W$39-20),1))*W55/0.1)</f>
        <v>1.83209948927641</v>
      </c>
      <c r="X56" s="116" t="n">
        <f aca="false">IF($C$11="Libro",X55*X54,IF(X$39&lt;=20,01_Supuestos!$I$26+(01_Supuestos!$I$27-01_Supuestos!$I$26)*(X$39-1)/19,01_Supuestos!$I$27*IF($C$6="Sí",(1+01_Supuestos!$I$9)^(X$39-20),1))*X55/0.1)</f>
        <v>1.88203336085664</v>
      </c>
      <c r="Y56" s="116" t="n">
        <f aca="false">IF($C$11="Libro",Y55*Y54,IF(Y$39&lt;=20,01_Supuestos!$I$26+(01_Supuestos!$I$27-01_Supuestos!$I$26)*(Y$39-1)/19,01_Supuestos!$I$27*IF($C$6="Sí",(1+01_Supuestos!$I$9)^(Y$39-20),1))*Y55/0.1)</f>
        <v>1.93332818010679</v>
      </c>
      <c r="Z56" s="116" t="n">
        <f aca="false">IF($C$11="Libro",Z55*Z54,IF(Z$39&lt;=20,01_Supuestos!$I$26+(01_Supuestos!$I$27-01_Supuestos!$I$26)*(Z$39-1)/19,01_Supuestos!$I$27*IF($C$6="Sí",(1+01_Supuestos!$I$9)^(Z$39-20),1))*Z55/0.1)</f>
        <v>1.9860210396556</v>
      </c>
      <c r="AA56" s="116" t="n">
        <f aca="false">IF($C$11="Libro",AA55*AA54,IF(AA$39&lt;=20,01_Supuestos!$I$26+(01_Supuestos!$I$27-01_Supuestos!$I$26)*(AA$39-1)/19,01_Supuestos!$I$27*IF($C$6="Sí",(1+01_Supuestos!$I$9)^(AA$39-20),1))*AA55/0.1)</f>
        <v>2.04015004309141</v>
      </c>
      <c r="AB56" s="116" t="n">
        <f aca="false">IF($C$11="Libro",AB55*AB54,IF(AB$39&lt;=20,01_Supuestos!$I$26+(01_Supuestos!$I$27-01_Supuestos!$I$26)*(AB$39-1)/19,01_Supuestos!$I$27*IF($C$6="Sí",(1+01_Supuestos!$I$9)^(AB$39-20),1))*AB55/0.1)</f>
        <v>2.09575433251587</v>
      </c>
      <c r="AC56" s="116" t="n">
        <f aca="false">IF($C$11="Libro",AC55*AC54,IF(AC$39&lt;=20,01_Supuestos!$I$26+(01_Supuestos!$I$27-01_Supuestos!$I$26)*(AC$39-1)/19,01_Supuestos!$I$27*IF($C$6="Sí",(1+01_Supuestos!$I$9)^(AC$39-20),1))*AC55/0.1)</f>
        <v>2.15287411684858</v>
      </c>
      <c r="AD56" s="116" t="n">
        <f aca="false">IF($C$11="Libro",AD55*AD54,IF(AD$39&lt;=20,01_Supuestos!$I$26+(01_Supuestos!$I$27-01_Supuestos!$I$26)*(AD$39-1)/19,01_Supuestos!$I$27*IF($C$6="Sí",(1+01_Supuestos!$I$9)^(AD$39-20),1))*AD55/0.1)</f>
        <v>2.21155070090329</v>
      </c>
      <c r="AE56" s="116" t="n">
        <f aca="false">IF($C$11="Libro",AE55*AE54,IF(AE$39&lt;=20,01_Supuestos!$I$26+(01_Supuestos!$I$27-01_Supuestos!$I$26)*(AE$39-1)/19,01_Supuestos!$I$27*IF($C$6="Sí",(1+01_Supuestos!$I$9)^(AE$39-20),1))*AE55/0.1)</f>
        <v>2.27182651525641</v>
      </c>
      <c r="AF56" s="116" t="n">
        <f aca="false">IF($C$11="Libro",AF55*AF54,IF(AF$39&lt;=20,01_Supuestos!$I$26+(01_Supuestos!$I$27-01_Supuestos!$I$26)*(AF$39-1)/19,01_Supuestos!$I$27*IF($C$6="Sí",(1+01_Supuestos!$I$9)^(AF$39-20),1))*AF55/0.1)</f>
        <v>2.33374514692973</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11.440447555496</v>
      </c>
      <c r="D64" s="116" t="n">
        <f aca="false">D48+D50-D57</f>
        <v>18.433684727896</v>
      </c>
      <c r="E64" s="116" t="n">
        <f aca="false">E48+E50-E57</f>
        <v>24.380839607896</v>
      </c>
      <c r="F64" s="116" t="n">
        <f aca="false">F48+F50-F57</f>
        <v>40.7905342941664</v>
      </c>
      <c r="G64" s="116" t="n">
        <f aca="false">G48+G50-G57</f>
        <v>40.7905342941664</v>
      </c>
      <c r="H64" s="116" t="n">
        <f aca="false">H48+H50-H57</f>
        <v>29.3500867386704</v>
      </c>
      <c r="I64" s="116" t="n">
        <f aca="false">I48+I50-I57</f>
        <v>22.3568495662704</v>
      </c>
      <c r="J64" s="116" t="n">
        <f aca="false">J48+J50-J57</f>
        <v>16.4096946862704</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0.091908323251863</v>
      </c>
      <c r="H65" s="116" t="n">
        <f aca="false">MIN(H58,H64)</f>
        <v>0.0951526870626538</v>
      </c>
      <c r="I65" s="116" t="n">
        <f aca="false">MIN(I58,I64)</f>
        <v>0.0985115769159654</v>
      </c>
      <c r="J65" s="116" t="n">
        <f aca="false">MIN(J58,J64)</f>
        <v>0.101989035581099</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11.360447555496</v>
      </c>
      <c r="D66" s="116" t="n">
        <f aca="false">D64-D65</f>
        <v>18.350860727896</v>
      </c>
      <c r="E66" s="116" t="n">
        <f aca="false">E64-E65</f>
        <v>24.295091920696</v>
      </c>
      <c r="F66" s="116" t="n">
        <f aca="false">F64-F65</f>
        <v>40.7017597136082</v>
      </c>
      <c r="G66" s="116" t="n">
        <f aca="false">G64-G65</f>
        <v>40.6986259709145</v>
      </c>
      <c r="H66" s="116" t="n">
        <f aca="false">H64-H65</f>
        <v>29.2549340516077</v>
      </c>
      <c r="I66" s="116" t="n">
        <f aca="false">I64-I65</f>
        <v>22.2583379893544</v>
      </c>
      <c r="J66" s="116" t="n">
        <f aca="false">J64-J65</f>
        <v>16.3077056506893</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11.360447555496</v>
      </c>
      <c r="D67" s="116" t="n">
        <f aca="false">C67+D66-D63</f>
        <v>29.711308283392</v>
      </c>
      <c r="E67" s="116" t="n">
        <f aca="false">D67+E66-E63</f>
        <v>54.006400204088</v>
      </c>
      <c r="F67" s="116" t="n">
        <f aca="false">E67+F66-F63</f>
        <v>94.7081599176962</v>
      </c>
      <c r="G67" s="116" t="n">
        <f aca="false">F67+G66-G63</f>
        <v>134.022471588611</v>
      </c>
      <c r="H67" s="116" t="n">
        <f aca="false">G67+H66-H63</f>
        <v>161.905582755219</v>
      </c>
      <c r="I67" s="116" t="n">
        <f aca="false">H67+I66-I63</f>
        <v>182.803964703823</v>
      </c>
      <c r="J67" s="116" t="n">
        <f aca="false">I67+J66-J63</f>
        <v>197.7629878158</v>
      </c>
      <c r="K67" s="116" t="n">
        <f aca="false">J67+K66-K63</f>
        <v>196.425015104023</v>
      </c>
      <c r="L67" s="116" t="n">
        <f aca="false">K67+L66-L63</f>
        <v>195.097216727835</v>
      </c>
      <c r="M67" s="116" t="n">
        <f aca="false">L67+M66-M63</f>
        <v>197.863112272247</v>
      </c>
      <c r="N67" s="116" t="n">
        <f aca="false">M67+N66-N63</f>
        <v>200.620857970836</v>
      </c>
      <c r="O67" s="116" t="n">
        <f aca="false">N67+O66-O63</f>
        <v>203.369653623575</v>
      </c>
      <c r="P67" s="116" t="n">
        <f aca="false">O67+P66-P63</f>
        <v>206.108714007195</v>
      </c>
      <c r="Q67" s="116" t="n">
        <f aca="false">P67+Q66-Q63</f>
        <v>208.837267506641</v>
      </c>
      <c r="R67" s="116" t="n">
        <f aca="false">Q67+R66-R63</f>
        <v>211.465283282424</v>
      </c>
      <c r="S67" s="116" t="n">
        <f aca="false">R67+S66-S63</f>
        <v>213.993545598335</v>
      </c>
      <c r="T67" s="116" t="n">
        <f aca="false">S67+T66-T63</f>
        <v>216.42288299438</v>
      </c>
      <c r="U67" s="116" t="n">
        <f aca="false">T67+U66-U63</f>
        <v>218.754167791895</v>
      </c>
      <c r="V67" s="116" t="n">
        <f aca="false">U67+V66-V63</f>
        <v>220.988315650477</v>
      </c>
      <c r="W67" s="116" t="n">
        <f aca="false">V67+W66-W63</f>
        <v>223.126285174392</v>
      </c>
      <c r="X67" s="116" t="n">
        <f aca="false">W67+X66-X63</f>
        <v>225.169077566188</v>
      </c>
      <c r="Y67" s="116" t="n">
        <f aca="false">X67+Y66-Y63</f>
        <v>227.117736325369</v>
      </c>
      <c r="Z67" s="116" t="n">
        <f aca="false">Y67+Z66-Z63</f>
        <v>228.973346990086</v>
      </c>
      <c r="AA67" s="116" t="n">
        <f aca="false">Z67+AA66-AA63</f>
        <v>230.737036919878</v>
      </c>
      <c r="AB67" s="116" t="n">
        <f aca="false">AA67+AB66-AB63</f>
        <v>232.409975117609</v>
      </c>
      <c r="AC67" s="116" t="n">
        <f aca="false">AB67+AC66-AC63</f>
        <v>233.99337208882</v>
      </c>
      <c r="AD67" s="116" t="n">
        <f aca="false">AC67+AD66-AD63</f>
        <v>235.488479736777</v>
      </c>
      <c r="AE67" s="116" t="n">
        <f aca="false">AD67+AE66-AE63</f>
        <v>236.896591291618</v>
      </c>
      <c r="AF67" s="116" t="n">
        <f aca="false">AE67+AF66-AF63</f>
        <v>238.219041272006</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3.86255216886864</v>
      </c>
      <c r="D68" s="116" t="n">
        <f aca="false">C68+(01_Supuestos!$I$125-1)*D66</f>
        <v>10.1018448163533</v>
      </c>
      <c r="E68" s="116" t="n">
        <f aca="false">D68+(01_Supuestos!$I$125-1)*E66</f>
        <v>18.3621760693899</v>
      </c>
      <c r="F68" s="116" t="n">
        <f aca="false">E68+(01_Supuestos!$I$125-1)*F66</f>
        <v>32.2007743720167</v>
      </c>
      <c r="G68" s="116" t="n">
        <f aca="false">F68+(01_Supuestos!$I$125-1)*G66</f>
        <v>46.0383072021277</v>
      </c>
      <c r="H68" s="116" t="n">
        <f aca="false">G68+(01_Supuestos!$I$125-1)*H66</f>
        <v>55.9849847796743</v>
      </c>
      <c r="I68" s="116" t="n">
        <f aca="false">H68+(01_Supuestos!$I$125-1)*I66</f>
        <v>63.5528196960548</v>
      </c>
      <c r="J68" s="116" t="n">
        <f aca="false">I68+(01_Supuestos!$I$125-1)*J66</f>
        <v>69.0974396172892</v>
      </c>
      <c r="K68" s="116" t="n">
        <f aca="false">J68+(01_Supuestos!$I$125-1)*K66</f>
        <v>69.0974396172892</v>
      </c>
      <c r="L68" s="116" t="n">
        <f aca="false">K68+(01_Supuestos!$I$125-1)*L66</f>
        <v>69.0974396172892</v>
      </c>
      <c r="M68" s="116" t="n">
        <f aca="false">L68+(01_Supuestos!$I$125-1)*M66</f>
        <v>70.4860092398981</v>
      </c>
      <c r="N68" s="116" t="n">
        <f aca="false">M68+(01_Supuestos!$I$125-1)*N66</f>
        <v>71.8686859200515</v>
      </c>
      <c r="O68" s="116" t="n">
        <f aca="false">N68+(01_Supuestos!$I$125-1)*O66</f>
        <v>73.2453536894845</v>
      </c>
      <c r="P68" s="116" t="n">
        <f aca="false">O68+(01_Supuestos!$I$125-1)*P66</f>
        <v>74.6158938670418</v>
      </c>
      <c r="Q68" s="116" t="n">
        <f aca="false">P68+(01_Supuestos!$I$125-1)*Q66</f>
        <v>75.9801849836237</v>
      </c>
      <c r="R68" s="116" t="n">
        <f aca="false">Q68+(01_Supuestos!$I$125-1)*R66</f>
        <v>77.3077503898218</v>
      </c>
      <c r="S68" s="116" t="n">
        <f aca="false">R68+(01_Supuestos!$I$125-1)*S66</f>
        <v>78.5989838795414</v>
      </c>
      <c r="T68" s="116" t="n">
        <f aca="false">S68+(01_Supuestos!$I$125-1)*T66</f>
        <v>79.8542879433915</v>
      </c>
      <c r="U68" s="116" t="n">
        <f aca="false">T68+(01_Supuestos!$I$125-1)*U66</f>
        <v>81.0740739182815</v>
      </c>
      <c r="V68" s="116" t="n">
        <f aca="false">U68+(01_Supuestos!$I$125-1)*V66</f>
        <v>82.2587621387476</v>
      </c>
      <c r="W68" s="116" t="n">
        <f aca="false">V68+(01_Supuestos!$I$125-1)*W66</f>
        <v>83.4087820899994</v>
      </c>
      <c r="X68" s="116" t="n">
        <f aca="false">W68+(01_Supuestos!$I$125-1)*X66</f>
        <v>84.5245725626746</v>
      </c>
      <c r="Y68" s="116" t="n">
        <f aca="false">X68+(01_Supuestos!$I$125-1)*Y66</f>
        <v>85.6065818092878</v>
      </c>
      <c r="Z68" s="116" t="n">
        <f aca="false">Y68+(01_Supuestos!$I$125-1)*Z66</f>
        <v>86.6552677023584</v>
      </c>
      <c r="AA68" s="116" t="n">
        <f aca="false">Z68+(01_Supuestos!$I$125-1)*AA66</f>
        <v>87.6710978942011</v>
      </c>
      <c r="AB68" s="116" t="n">
        <f aca="false">AA68+(01_Supuestos!$I$125-1)*AB66</f>
        <v>88.6545499783577</v>
      </c>
      <c r="AC68" s="116" t="n">
        <f aca="false">AB68+(01_Supuestos!$I$125-1)*AC66</f>
        <v>89.6061116526506</v>
      </c>
      <c r="AD68" s="116" t="n">
        <f aca="false">AC68+(01_Supuestos!$I$125-1)*AD66</f>
        <v>90.5262808838337</v>
      </c>
      <c r="AE68" s="116" t="n">
        <f aca="false">AD68+(01_Supuestos!$I$125-1)*AE66</f>
        <v>91.415566073813</v>
      </c>
      <c r="AF68" s="116" t="n">
        <f aca="false">AE68+(01_Supuestos!$I$125-1)*AF66</f>
        <v>92.2744862274117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11.440447555496</v>
      </c>
      <c r="D69" s="116" t="n">
        <f aca="false">C69+D48+D49+D50+D51-D63+D245</f>
        <v>29.874132283392</v>
      </c>
      <c r="E69" s="116" t="n">
        <f aca="false">D69+E48+E49+E50+E51-E63+E245</f>
        <v>54.254971891288</v>
      </c>
      <c r="F69" s="116" t="n">
        <f aca="false">E69+F48+F49+F50+F51-F63+F245</f>
        <v>111.305792382096</v>
      </c>
      <c r="G69" s="116" t="n">
        <f aca="false">F69+G48+G49+G50+G51-G63+G245</f>
        <v>167.002986494726</v>
      </c>
      <c r="H69" s="116" t="n">
        <f aca="false">G69+H48+H49+H50+H51-H63+H245</f>
        <v>211.303372707508</v>
      </c>
      <c r="I69" s="116" t="n">
        <f aca="false">H69+I48+I49+I50+I51-I63+I245</f>
        <v>248.654004056397</v>
      </c>
      <c r="J69" s="116" t="n">
        <f aca="false">I69+J48+J49+J50+J51-J63+J245</f>
        <v>280.100843723546</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316.463648127935</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16.5976324644002</v>
      </c>
      <c r="G70" s="116" t="n">
        <f aca="false">F70+G49+G51+G57+G65+G245</f>
        <v>32.9805149061151</v>
      </c>
      <c r="H70" s="116" t="n">
        <f aca="false">G70+H49+H51+H57+H65+H245</f>
        <v>49.3977899522891</v>
      </c>
      <c r="I70" s="116" t="n">
        <f aca="false">H70+I49+I51+I57+I65+I245</f>
        <v>65.8500393525744</v>
      </c>
      <c r="J70" s="116" t="n">
        <f aca="false">I70+J49+J51+J57+J65+J245</f>
        <v>82.3378559077468</v>
      </c>
      <c r="K70" s="116" t="n">
        <f aca="false">J70+K49+K51+K57+K65+K245</f>
        <v>89.6281728690032</v>
      </c>
      <c r="L70" s="116" t="n">
        <f aca="false">K70+L49+L51+L57+L65+L245</f>
        <v>96.9515494375499</v>
      </c>
      <c r="M70" s="116" t="n">
        <f aca="false">L70+M49+M51+M57+M65+M245</f>
        <v>100.224453205705</v>
      </c>
      <c r="N70" s="116" t="n">
        <f aca="false">M70+N49+N51+N57+N65+N245</f>
        <v>103.548747991474</v>
      </c>
      <c r="O70" s="116" t="n">
        <f aca="false">N70+O49+O51+O57+O65+O245</f>
        <v>106.925285760496</v>
      </c>
      <c r="P70" s="116" t="n">
        <f aca="false">O70+P49+P51+P57+P65+P245</f>
        <v>110.354934120741</v>
      </c>
      <c r="Q70" s="116" t="n">
        <f aca="false">P70+Q49+Q51+Q57+Q65+Q245</f>
        <v>113.838576658198</v>
      </c>
      <c r="R70" s="116" t="n">
        <f aca="false">Q70+R49+R51+R57+R65+R245</f>
        <v>117.377113281174</v>
      </c>
      <c r="S70" s="116" t="n">
        <f aca="false">R70+S49+S51+S57+S65+S245</f>
        <v>120.971460573447</v>
      </c>
      <c r="T70" s="116" t="n">
        <f aca="false">S70+T49+T51+T57+T65+T245</f>
        <v>124.622552156542</v>
      </c>
      <c r="U70" s="116" t="n">
        <f aca="false">T70+U49+U51+U57+U65+U245</f>
        <v>128.331339061394</v>
      </c>
      <c r="V70" s="116" t="n">
        <f aca="false">U70+V49+V51+V57+V65+V245</f>
        <v>132.098790109696</v>
      </c>
      <c r="W70" s="116" t="n">
        <f aca="false">V70+W49+W51+W57+W65+W245</f>
        <v>135.925892305196</v>
      </c>
      <c r="X70" s="116" t="n">
        <f aca="false">W70+X49+X51+X57+X65+X245</f>
        <v>139.813651235269</v>
      </c>
      <c r="Y70" s="116" t="n">
        <f aca="false">X70+Y49+Y51+Y57+Y65+Y245</f>
        <v>143.763091483051</v>
      </c>
      <c r="Z70" s="116" t="n">
        <f aca="false">Y70+Z49+Z51+Z57+Z65+Z245</f>
        <v>147.77525705047</v>
      </c>
      <c r="AA70" s="116" t="n">
        <f aca="false">Z70+AA49+AA51+AA57+AA65+AA245</f>
        <v>151.851211792491</v>
      </c>
      <c r="AB70" s="116" t="n">
        <f aca="false">AA70+AB49+AB51+AB57+AB65+AB245</f>
        <v>155.99203986293</v>
      </c>
      <c r="AC70" s="116" t="n">
        <f aca="false">AB70+AC49+AC51+AC57+AC65+AC245</f>
        <v>160.198846172171</v>
      </c>
      <c r="AD70" s="116" t="n">
        <f aca="false">AC70+AD49+AD51+AD57+AD65+AD245</f>
        <v>164.47275685716</v>
      </c>
      <c r="AE70" s="116" t="n">
        <f aca="false">AD70+AE49+AE51+AE57+AE65+AE245</f>
        <v>168.814919764058</v>
      </c>
      <c r="AF70" s="116" t="n">
        <f aca="false">AE70+AF49+AF51+AF57+AF65+AF245</f>
        <v>173.22650494392</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11.1524547186432</v>
      </c>
      <c r="D72" s="116" t="n">
        <f aca="false">IF($C$173="Sí",(D83-D326)+D181,$C$15*C83)</f>
        <v>29.8374659994949</v>
      </c>
      <c r="E72" s="116" t="n">
        <f aca="false">IF($C$173="Sí",(E83-E326)+E181,$C$15*D83)</f>
        <v>54.2843851251349</v>
      </c>
      <c r="F72" s="116" t="n">
        <f aca="false">IF($C$173="Sí",(F83-F326)+F181,$C$15*E83)</f>
        <v>77.2105613266551</v>
      </c>
      <c r="G72" s="116" t="n">
        <f aca="false">IF($C$173="Sí",(G83-G326)+G181,$C$15*F83)</f>
        <v>100.650551950204</v>
      </c>
      <c r="H72" s="116" t="n">
        <f aca="false">IF($C$173="Sí",(H83-H326)+H181,$C$15*G83)</f>
        <v>115.810481569389</v>
      </c>
      <c r="I72" s="116" t="n">
        <f aca="false">IF($C$173="Sí",(I83-I326)+I181,$C$15*H83)</f>
        <v>131.300780009557</v>
      </c>
      <c r="J72" s="116" t="n">
        <f aca="false">IF($C$173="Sí",(J83-J326)+J181,$C$15*I83)</f>
        <v>147.150220092028</v>
      </c>
      <c r="K72" s="116" t="n">
        <f aca="false">IF($C$173="Sí",(K83-K326)+K181,$C$15*J83)</f>
        <v>163.065463399121</v>
      </c>
      <c r="L72" s="116" t="n">
        <f aca="false">IF($C$173="Sí",(L83-L326)+L181,$C$15*K83)</f>
        <v>179.5378550441</v>
      </c>
      <c r="M72" s="116" t="n">
        <f aca="false">IF($C$173="Sí",(M83-M326)+M181,$C$15*L83)</f>
        <v>195.367413863722</v>
      </c>
      <c r="N72" s="116" t="n">
        <f aca="false">IF($C$173="Sí",(N83-N326)+N181,$C$15*M83)</f>
        <v>206.305093945176</v>
      </c>
      <c r="O72" s="116" t="n">
        <f aca="false">IF($C$173="Sí",(O83-O326)+O181,$C$15*N83)</f>
        <v>212.396978887353</v>
      </c>
      <c r="P72" s="116" t="n">
        <f aca="false">IF($C$173="Sí",(P83-P326)+P181,$C$15*O83)</f>
        <v>217.657876729913</v>
      </c>
      <c r="Q72" s="116" t="n">
        <f aca="false">IF($C$173="Sí",(Q83-Q326)+Q181,$C$15*P83)</f>
        <v>222.660724171441</v>
      </c>
      <c r="R72" s="116" t="n">
        <f aca="false">IF($C$173="Sí",(R83-R326)+R181,$C$15*Q83)</f>
        <v>227.777295600699</v>
      </c>
      <c r="S72" s="116" t="n">
        <f aca="false">IF($C$173="Sí",(S83-S326)+S181,$C$15*R83)</f>
        <v>233.011069802762</v>
      </c>
      <c r="T72" s="116" t="n">
        <f aca="false">IF($C$173="Sí",(T83-T326)+T181,$C$15*S83)</f>
        <v>238.365036929381</v>
      </c>
      <c r="U72" s="116" t="n">
        <f aca="false">IF($C$173="Sí",(U83-U326)+U181,$C$15*T83)</f>
        <v>243.845484332918</v>
      </c>
      <c r="V72" s="116" t="n">
        <f aca="false">IF($C$173="Sí",(V83-V326)+V181,$C$15*U83)</f>
        <v>249.45285267566</v>
      </c>
      <c r="W72" s="116" t="n">
        <f aca="false">IF($C$173="Sí",(W83-W326)+W181,$C$15*V83)</f>
        <v>255.187669382421</v>
      </c>
      <c r="X72" s="116" t="n">
        <f aca="false">IF($C$173="Sí",(X83-X326)+X181,$C$15*W83)</f>
        <v>261.053493678634</v>
      </c>
      <c r="Y72" s="116" t="n">
        <f aca="false">IF($C$173="Sí",(Y83-Y326)+Y181,$C$15*X83)</f>
        <v>267.053710561545</v>
      </c>
      <c r="Z72" s="116" t="n">
        <f aca="false">IF($C$173="Sí",(Z83-Z326)+Z181,$C$15*Y83)</f>
        <v>273.191451586121</v>
      </c>
      <c r="AA72" s="116" t="n">
        <f aca="false">IF($C$173="Sí",(AA83-AA326)+AA181,$C$15*Z83)</f>
        <v>279.469919816571</v>
      </c>
      <c r="AB72" s="116" t="n">
        <f aca="false">IF($C$173="Sí",(AB83-AB326)+AB181,$C$15*AA83)</f>
        <v>285.892417920394</v>
      </c>
      <c r="AC72" s="116" t="n">
        <f aca="false">IF($C$173="Sí",(AC83-AC326)+AC181,$C$15*AB83)</f>
        <v>292.462310776834</v>
      </c>
      <c r="AD72" s="116" t="n">
        <f aca="false">IF($C$173="Sí",(AD83-AD326)+AD181,$C$15*AC83)</f>
        <v>299.183032746183</v>
      </c>
      <c r="AE72" s="116" t="n">
        <f aca="false">IF($C$173="Sí",(AE83-AE326)+AE181,$C$15*AD83)</f>
        <v>306.058096645657</v>
      </c>
      <c r="AF72" s="116" t="n">
        <f aca="false">IF($C$173="Sí",(AF83-AF326)+AF181,$C$15*AE83)</f>
        <v>313.091095602917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11.1524547186432</v>
      </c>
      <c r="D73" s="116" t="n">
        <f aca="false">D72-C72</f>
        <v>18.6850112808517</v>
      </c>
      <c r="E73" s="116" t="n">
        <f aca="false">E72-D72</f>
        <v>24.44691912564</v>
      </c>
      <c r="F73" s="116" t="n">
        <f aca="false">F72-E72</f>
        <v>22.9261762015202</v>
      </c>
      <c r="G73" s="116" t="n">
        <f aca="false">G72-F72</f>
        <v>23.4399906235491</v>
      </c>
      <c r="H73" s="116" t="n">
        <f aca="false">H72-G72</f>
        <v>15.1599296191844</v>
      </c>
      <c r="I73" s="116" t="n">
        <f aca="false">I72-H72</f>
        <v>15.4902984401684</v>
      </c>
      <c r="J73" s="116" t="n">
        <f aca="false">J72-I72</f>
        <v>15.8494400824711</v>
      </c>
      <c r="K73" s="116" t="n">
        <f aca="false">K72-J72</f>
        <v>15.9152433070929</v>
      </c>
      <c r="L73" s="116" t="n">
        <f aca="false">L72-K72</f>
        <v>16.4723916449787</v>
      </c>
      <c r="M73" s="116" t="n">
        <f aca="false">M72-L72</f>
        <v>15.8295588196224</v>
      </c>
      <c r="N73" s="116" t="n">
        <f aca="false">N72-M72</f>
        <v>10.9376800814535</v>
      </c>
      <c r="O73" s="116" t="n">
        <f aca="false">O72-N72</f>
        <v>6.09188494217773</v>
      </c>
      <c r="P73" s="116" t="n">
        <f aca="false">P72-O72</f>
        <v>5.26089784255925</v>
      </c>
      <c r="Q73" s="116" t="n">
        <f aca="false">Q72-P72</f>
        <v>5.0028474415283</v>
      </c>
      <c r="R73" s="116" t="n">
        <f aca="false">R72-Q72</f>
        <v>5.11657142925807</v>
      </c>
      <c r="S73" s="116" t="n">
        <f aca="false">S72-R72</f>
        <v>5.23377420206299</v>
      </c>
      <c r="T73" s="116" t="n">
        <f aca="false">T72-S72</f>
        <v>5.35396712661867</v>
      </c>
      <c r="U73" s="116" t="n">
        <f aca="false">U72-T72</f>
        <v>5.48044740353754</v>
      </c>
      <c r="V73" s="116" t="n">
        <f aca="false">V72-U72</f>
        <v>5.60736834274147</v>
      </c>
      <c r="W73" s="116" t="n">
        <f aca="false">W72-V72</f>
        <v>5.73481670676117</v>
      </c>
      <c r="X73" s="116" t="n">
        <f aca="false">X72-W72</f>
        <v>5.86582429621319</v>
      </c>
      <c r="Y73" s="116" t="n">
        <f aca="false">Y72-X72</f>
        <v>6.00021688291071</v>
      </c>
      <c r="Z73" s="116" t="n">
        <f aca="false">Z72-Y72</f>
        <v>6.13774102457626</v>
      </c>
      <c r="AA73" s="116" t="n">
        <f aca="false">AA72-Z72</f>
        <v>6.27846823045007</v>
      </c>
      <c r="AB73" s="116" t="n">
        <f aca="false">AB72-AA72</f>
        <v>6.42249810382339</v>
      </c>
      <c r="AC73" s="116" t="n">
        <f aca="false">AC72-AB72</f>
        <v>6.56989285643959</v>
      </c>
      <c r="AD73" s="116" t="n">
        <f aca="false">AD72-AC72</f>
        <v>6.72072196934892</v>
      </c>
      <c r="AE73" s="116" t="n">
        <f aca="false">AE72-AD72</f>
        <v>6.87506389947373</v>
      </c>
      <c r="AF73" s="116" t="n">
        <f aca="false">AF72-AE72</f>
        <v>7.03299895726013</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0.591335138619143</v>
      </c>
      <c r="E75" s="116" t="n">
        <f aca="false">$C$19*D81</f>
        <v>1.56352859909571</v>
      </c>
      <c r="F75" s="116" t="n">
        <f aca="false">$C$19*E81</f>
        <v>2.88845391499938</v>
      </c>
      <c r="G75" s="116" t="n">
        <f aca="false">$C$19*F81</f>
        <v>5.93353802915385</v>
      </c>
      <c r="H75" s="116" t="n">
        <f aca="false">$C$19*G81</f>
        <v>8.94858927079596</v>
      </c>
      <c r="I75" s="116" t="n">
        <f aca="false">$C$19*H81</f>
        <v>11.4435335053334</v>
      </c>
      <c r="J75" s="116" t="n">
        <f aca="false">$C$19*I81</f>
        <v>13.6288291712582</v>
      </c>
      <c r="K75" s="116" t="n">
        <f aca="false">$C$19*J81</f>
        <v>15.5466583527021</v>
      </c>
      <c r="L75" s="116" t="n">
        <f aca="false">$C$19*K81</f>
        <v>16.1897627632625</v>
      </c>
      <c r="M75" s="116" t="n">
        <f aca="false">$C$19*L81</f>
        <v>16.8350288709669</v>
      </c>
      <c r="N75" s="116" t="n">
        <f aca="false">$C$19*M81</f>
        <v>17.5368925350673</v>
      </c>
      <c r="O75" s="116" t="n">
        <f aca="false">$C$19*N81</f>
        <v>18.28428453489</v>
      </c>
      <c r="P75" s="116" t="n">
        <f aca="false">$C$19*O81</f>
        <v>19.0218183670794</v>
      </c>
      <c r="Q75" s="116" t="n">
        <f aca="false">$C$19*P81</f>
        <v>19.7092105699423</v>
      </c>
      <c r="R75" s="116" t="n">
        <f aca="false">$C$19*Q81</f>
        <v>20.3445135835459</v>
      </c>
      <c r="S75" s="116" t="n">
        <f aca="false">$C$19*R81</f>
        <v>20.9372100507149</v>
      </c>
      <c r="T75" s="116" t="n">
        <f aca="false">$C$19*S81</f>
        <v>21.4960447346372</v>
      </c>
      <c r="U75" s="116" t="n">
        <f aca="false">$C$19*T81</f>
        <v>22.0293070308428</v>
      </c>
      <c r="V75" s="116" t="n">
        <f aca="false">$C$19*U81</f>
        <v>22.5634706564692</v>
      </c>
      <c r="W75" s="116" t="n">
        <f aca="false">$C$19*V81</f>
        <v>23.0993932283417</v>
      </c>
      <c r="X75" s="116" t="n">
        <f aca="false">$C$19*W81</f>
        <v>23.6309686363564</v>
      </c>
      <c r="Y75" s="116" t="n">
        <f aca="false">$C$19*X81</f>
        <v>24.1590650578344</v>
      </c>
      <c r="Z75" s="116" t="n">
        <f aca="false">$C$19*Y81</f>
        <v>24.684552977385</v>
      </c>
      <c r="AA75" s="116" t="n">
        <f aca="false">$C$19*Z81</f>
        <v>25.208306029739</v>
      </c>
      <c r="AB75" s="116" t="n">
        <f aca="false">$C$19*AA81</f>
        <v>25.7312024102164</v>
      </c>
      <c r="AC75" s="116" t="n">
        <f aca="false">$C$19*AB81</f>
        <v>26.254277821039</v>
      </c>
      <c r="AD75" s="116" t="n">
        <f aca="false">$C$19*AC81</f>
        <v>26.7785725942552</v>
      </c>
      <c r="AE75" s="116" t="n">
        <f aca="false">$C$19*AD81</f>
        <v>27.3051331614054</v>
      </c>
      <c r="AF75" s="116" t="n">
        <f aca="false">$C$19*AE81</f>
        <v>27.8350135385349</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444.612236159998</v>
      </c>
      <c r="E76" s="116" t="n">
        <f aca="false">(IF($C$173="Sí",(MAX(0,E74-D96)+MAX(0,D276+E53-E75))/E327,E73+MAX(0,E74-D96)+MAX(0,D276+E53-E75)))+IF($C$173="Sí",MAX(0,$C$226*(E70+D121)*0.3/0.55-D227)/E327,0)</f>
        <v>624.520827668294</v>
      </c>
      <c r="F76" s="116" t="n">
        <f aca="false">(IF($C$173="Sí",(MAX(0,F74-E96)+MAX(0,E276+F53-F75))/F327,F73+MAX(0,F74-E96)+MAX(0,E276+F53-F75)))+IF($C$173="Sí",MAX(0,$C$226*(F70+E121)*0.3/0.55-E227)/F327,0)</f>
        <v>808.028912499033</v>
      </c>
      <c r="G76" s="116" t="n">
        <f aca="false">(IF($C$173="Sí",(MAX(0,G74-F96)+MAX(0,F276+G53-G75))/G327,G73+MAX(0,G74-F96)+MAX(0,F276+G53-G75)))+IF($C$173="Sí",MAX(0,$C$226*(G70+F121)*0.3/0.55-F227)/G327,0)</f>
        <v>1288.41900632737</v>
      </c>
      <c r="H76" s="116" t="n">
        <f aca="false">(IF($C$173="Sí",(MAX(0,H74-G96)+MAX(0,G276+H53-H75))/H327,H73+MAX(0,H74-G96)+MAX(0,G276+H53-H75)))+IF($C$173="Sí",MAX(0,$C$226*(H70+G121)*0.3/0.55-G227)/H327,0)</f>
        <v>1402.84478361281</v>
      </c>
      <c r="I76" s="116" t="n">
        <f aca="false">(IF($C$173="Sí",(MAX(0,I74-H96)+MAX(0,H276+I53-I75))/I327,I73+MAX(0,I74-H96)+MAX(0,H276+I53-I75)))+IF($C$173="Sí",MAX(0,$C$226*(I70+H121)*0.3/0.55-H227)/I327,0)</f>
        <v>1394.8467993095</v>
      </c>
      <c r="J76" s="116" t="n">
        <f aca="false">(IF($C$173="Sí",(MAX(0,J74-I96)+MAX(0,I276+J53-J75))/J327,J73+MAX(0,J74-I96)+MAX(0,I276+J53-J75)))+IF($C$173="Sí",MAX(0,$C$226*(J70+I121)*0.3/0.55-I227)/J327,0)</f>
        <v>1436.58378041672</v>
      </c>
      <c r="K76" s="116" t="n">
        <f aca="false">(IF($C$173="Sí",(MAX(0,K74-J96)+MAX(0,J276+K53-K75))/K327,K73+MAX(0,K74-J96)+MAX(0,J276+K53-K75)))+IF($C$173="Sí",MAX(0,$C$226*(K70+J121)*0.3/0.55-J227)/K327,0)</f>
        <v>1491.57978565623</v>
      </c>
      <c r="L76" s="116" t="n">
        <f aca="false">(IF($C$173="Sí",(MAX(0,L74-K96)+MAX(0,K276+L53-L75))/L327,L73+MAX(0,L74-K96)+MAX(0,K276+L53-L75)))+IF($C$173="Sí",MAX(0,$C$226*(L70+K121)*0.3/0.55-K227)/L327,0)</f>
        <v>1427.37333510561</v>
      </c>
      <c r="M76" s="116" t="n">
        <f aca="false">(IF($C$173="Sí",(MAX(0,M74-L96)+MAX(0,L276+M53-M75))/M327,M73+MAX(0,M74-L96)+MAX(0,L276+M53-M75)))+IF($C$173="Sí",MAX(0,$C$226*(M70+L121)*0.3/0.55-L227)/M327,0)</f>
        <v>1350.25811832263</v>
      </c>
      <c r="N76" s="116" t="n">
        <f aca="false">(IF($C$173="Sí",(MAX(0,N74-M96)+MAX(0,M276+N53-N75))/N327,N73+MAX(0,N74-M96)+MAX(0,M276+N53-N75)))+IF($C$173="Sí",MAX(0,$C$226*(N70+M121)*0.3/0.55-M227)/N327,0)</f>
        <v>1130.90483180707</v>
      </c>
      <c r="O76" s="116" t="n">
        <f aca="false">(IF($C$173="Sí",(MAX(0,O74-N96)+MAX(0,N276+O53-O75))/O327,O73+MAX(0,O74-N96)+MAX(0,N276+O53-O75)))+IF($C$173="Sí",MAX(0,$C$226*(O70+N121)*0.3/0.55-N227)/O327,0)</f>
        <v>1058.17639954096</v>
      </c>
      <c r="P76" s="116" t="n">
        <f aca="false">(IF($C$173="Sí",(MAX(0,P74-O96)+MAX(0,O276+P53-P75))/P327,P73+MAX(0,P74-O96)+MAX(0,O276+P53-P75)))+IF($C$173="Sí",MAX(0,$C$226*(P70+O121)*0.3/0.55-O227)/P327,0)</f>
        <v>1128.43271290997</v>
      </c>
      <c r="Q76" s="116" t="n">
        <f aca="false">(IF($C$173="Sí",(MAX(0,Q74-P96)+MAX(0,P276+Q53-Q75))/Q327,Q73+MAX(0,Q74-P96)+MAX(0,P276+Q53-Q75)))+IF($C$173="Sí",MAX(0,$C$226*(Q70+P121)*0.3/0.55-P227)/Q327,0)</f>
        <v>1132.93585753404</v>
      </c>
      <c r="R76" s="116" t="n">
        <f aca="false">(IF($C$173="Sí",(MAX(0,R74-Q96)+MAX(0,Q276+R53-R75))/R327,R73+MAX(0,R74-Q96)+MAX(0,Q276+R53-R75)))+IF($C$173="Sí",MAX(0,$C$226*(R70+Q121)*0.3/0.55-Q227)/R327,0)</f>
        <v>1134.93608887841</v>
      </c>
      <c r="S76" s="116" t="n">
        <f aca="false">(IF($C$173="Sí",(MAX(0,S74-R96)+MAX(0,R276+S53-S75))/S327,S73+MAX(0,S74-R96)+MAX(0,R276+S53-S75)))+IF($C$173="Sí",MAX(0,$C$226*(S70+R121)*0.3/0.55-R227)/S327,0)</f>
        <v>1137.72200845152</v>
      </c>
      <c r="T76" s="116" t="n">
        <f aca="false">(IF($C$173="Sí",(MAX(0,T74-S96)+MAX(0,S276+T53-T75))/T327,T73+MAX(0,T74-S96)+MAX(0,S276+T53-T75)))+IF($C$173="Sí",MAX(0,$C$226*(T70+S121)*0.3/0.55-S227)/T327,0)</f>
        <v>1141.24841498255</v>
      </c>
      <c r="U76" s="116" t="n">
        <f aca="false">(IF($C$173="Sí",(MAX(0,U74-T96)+MAX(0,T276+U53-U75))/U327,U73+MAX(0,U74-T96)+MAX(0,T276+U53-U75)))+IF($C$173="Sí",MAX(0,$C$226*(U70+T121)*0.3/0.55-T227)/U327,0)</f>
        <v>1145.47767416514</v>
      </c>
      <c r="V76" s="116" t="n">
        <f aca="false">(IF($C$173="Sí",(MAX(0,V74-U96)+MAX(0,U276+V53-V75))/V327,V73+MAX(0,V74-U96)+MAX(0,U276+V53-V75)))+IF($C$173="Sí",MAX(0,$C$226*(V70+U121)*0.3/0.55-U227)/V327,0)</f>
        <v>1151.19313400796</v>
      </c>
      <c r="W76" s="116" t="n">
        <f aca="false">(IF($C$173="Sí",(MAX(0,W74-V96)+MAX(0,V276+W53-W75))/W327,W73+MAX(0,W74-V96)+MAX(0,V276+W53-W75)))+IF($C$173="Sí",MAX(0,$C$226*(W70+V121)*0.3/0.55-V227)/W327,0)</f>
        <v>1157.17600666886</v>
      </c>
      <c r="X76" s="116" t="n">
        <f aca="false">(IF($C$173="Sí",(MAX(0,X74-W96)+MAX(0,W276+X53-X75))/X327,X73+MAX(0,X74-W96)+MAX(0,W276+X53-X75)))+IF($C$173="Sí",MAX(0,$C$226*(X70+W121)*0.3/0.55-W227)/X327,0)</f>
        <v>1163.12982840671</v>
      </c>
      <c r="Y76" s="116" t="n">
        <f aca="false">(IF($C$173="Sí",(MAX(0,Y74-X96)+MAX(0,X276+Y53-Y75))/Y327,Y73+MAX(0,Y74-X96)+MAX(0,X276+Y53-Y75)))+IF($C$173="Sí",MAX(0,$C$226*(Y70+X121)*0.3/0.55-X227)/Y327,0)</f>
        <v>1169.38473316687</v>
      </c>
      <c r="Z76" s="116" t="n">
        <f aca="false">(IF($C$173="Sí",(MAX(0,Z74-Y96)+MAX(0,Y276+Z53-Z75))/Z327,Z73+MAX(0,Z74-Y96)+MAX(0,Y276+Z53-Z75)))+IF($C$173="Sí",MAX(0,$C$226*(Z70+Y121)*0.3/0.55-Y227)/Z327,0)</f>
        <v>1175.95168821408</v>
      </c>
      <c r="AA76" s="116" t="n">
        <f aca="false">(IF($C$173="Sí",(MAX(0,AA74-Z96)+MAX(0,Z276+AA53-AA75))/AA327,AA73+MAX(0,AA74-Z96)+MAX(0,Z276+AA53-AA75)))+IF($C$173="Sí",MAX(0,$C$226*(AA70+Z121)*0.3/0.55-Z227)/AA327,0)</f>
        <v>1182.8389640992</v>
      </c>
      <c r="AB76" s="116" t="n">
        <f aca="false">(IF($C$173="Sí",(MAX(0,AB74-AA96)+MAX(0,AA276+AB53-AB75))/AB327,AB73+MAX(0,AB74-AA96)+MAX(0,AA276+AB53-AB75)))+IF($C$173="Sí",MAX(0,$C$226*(AB70+AA121)*0.3/0.55-AA227)/AB327,0)</f>
        <v>1190.05455157908</v>
      </c>
      <c r="AC76" s="116" t="n">
        <f aca="false">(IF($C$173="Sí",(MAX(0,AC74-AB96)+MAX(0,AB276+AC53-AC75))/AC327,AC73+MAX(0,AC74-AB96)+MAX(0,AB276+AC53-AC75)))+IF($C$173="Sí",MAX(0,$C$226*(AC70+AB121)*0.3/0.55-AB227)/AC327,0)</f>
        <v>1197.61193992666</v>
      </c>
      <c r="AD76" s="116" t="n">
        <f aca="false">(IF($C$173="Sí",(MAX(0,AD74-AC96)+MAX(0,AC276+AD53-AD75))/AD327,AD73+MAX(0,AD74-AC96)+MAX(0,AC276+AD53-AD75)))+IF($C$173="Sí",MAX(0,$C$226*(AD70+AC121)*0.3/0.55-AC227)/AD327,0)</f>
        <v>1205.51774560364</v>
      </c>
      <c r="AE76" s="116" t="n">
        <f aca="false">(IF($C$173="Sí",(MAX(0,AE74-AD96)+MAX(0,AD276+AE53-AE75))/AE327,AE73+MAX(0,AE74-AD96)+MAX(0,AD276+AE53-AE75)))+IF($C$173="Sí",MAX(0,$C$226*(AE70+AD121)*0.3/0.55-AD227)/AE327,0)</f>
        <v>1213.77831666598</v>
      </c>
      <c r="AF76" s="116" t="n">
        <f aca="false">(IF($C$173="Sí",(MAX(0,AF74-AE96)+MAX(0,AE276+AF53-AF75))/AF327,AF73+MAX(0,AF74-AE96)+MAX(0,AE276+AF53-AF75)))+IF($C$173="Sí",MAX(0,$C$226*(AF70+AE121)*0.3/0.55-AE227)/AF327,0)</f>
        <v>1222.39981818336</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20.1853498759641</v>
      </c>
      <c r="E78" s="116" t="n">
        <f aca="false">MIN(MIN(D83+IF(E$39&lt;=01_Supuestos!$C$182,01_Supuestos!$C$181,$C$174)*E41,D83+E76),IF(01_Supuestos!$C$179&gt;0,01_Supuestos!$C$179/(1-01_Supuestos!$C$179)*64_Inflacion!$C$5*E41/$C$41,1E+099))</f>
        <v>31.5940666948854</v>
      </c>
      <c r="F78" s="116" t="n">
        <f aca="false">MIN(MIN(E83+IF(F$39&lt;=01_Supuestos!$C$182,01_Supuestos!$C$181,$C$174)*F41,E83+F76),IF(01_Supuestos!$C$179&gt;0,01_Supuestos!$C$179/(1-01_Supuestos!$C$179)*64_Inflacion!$C$5*F41/$C$41,1E+099))</f>
        <v>45.5118558658854</v>
      </c>
      <c r="G78" s="116" t="n">
        <f aca="false">MIN(MIN(F83+IF(G$39&lt;=01_Supuestos!$C$182,01_Supuestos!$C$181,$C$174)*G41,F83+G76),IF(01_Supuestos!$C$179&gt;0,01_Supuestos!$C$179/(1-01_Supuestos!$C$179)*64_Inflacion!$C$5*G41/$C$41,1E+099))</f>
        <v>59.7497541878184</v>
      </c>
      <c r="H78" s="116" t="n">
        <f aca="false">MIN(MIN(G83+IF(H$39&lt;=01_Supuestos!$C$182,01_Supuestos!$C$181,$C$174)*H41,G83+H76),IF(01_Supuestos!$C$179&gt;0,01_Supuestos!$C$179/(1-01_Supuestos!$C$179)*64_Inflacion!$C$5*H41/$C$41,1E+099))</f>
        <v>74.3151241711558</v>
      </c>
      <c r="I78" s="116" t="n">
        <f aca="false">MIN(MIN(H83+IF(I$39&lt;=01_Supuestos!$C$182,01_Supuestos!$C$181,$C$174)*I41,H83+I76),IF(01_Supuestos!$C$179&gt;0,01_Supuestos!$C$179/(1-01_Supuestos!$C$179)*64_Inflacion!$C$5*I41/$C$41,1E+099))</f>
        <v>89.21549766411</v>
      </c>
      <c r="J78" s="116" t="n">
        <f aca="false">MIN(MIN(I83+IF(J$39&lt;=01_Supuestos!$C$182,01_Supuestos!$C$181,$C$174)*J41,I83+J76),IF(01_Supuestos!$C$179&gt;0,01_Supuestos!$C$179/(1-01_Supuestos!$C$179)*64_Inflacion!$C$5*J41/$C$41,1E+099))</f>
        <v>104.458579747402</v>
      </c>
      <c r="K78" s="116" t="n">
        <f aca="false">MIN(MIN(J83+IF(K$39&lt;=01_Supuestos!$C$182,01_Supuestos!$C$181,$C$174)*K41,J83+K76),IF(01_Supuestos!$C$179&gt;0,01_Supuestos!$C$179/(1-01_Supuestos!$C$179)*64_Inflacion!$C$5*K41/$C$41,1E+099))</f>
        <v>120.05225271861</v>
      </c>
      <c r="L78" s="116" t="n">
        <f aca="false">MIN(MIN(K83+IF(L$39&lt;=01_Supuestos!$C$182,01_Supuestos!$C$181,$C$174)*L41,K83+L76),IF(01_Supuestos!$C$179&gt;0,01_Supuestos!$C$179/(1-01_Supuestos!$C$179)*64_Inflacion!$C$5*L41/$C$41,1E+099))</f>
        <v>136.004580168156</v>
      </c>
      <c r="M78" s="116" t="n">
        <f aca="false">MIN(MIN(L83+IF(M$39&lt;=01_Supuestos!$C$182,01_Supuestos!$C$181,$C$174)*M41,L83+M76),IF(01_Supuestos!$C$179&gt;0,01_Supuestos!$C$179/(1-01_Supuestos!$C$179)*64_Inflacion!$C$5*M41/$C$41,1E+099))</f>
        <v>152.323811149041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6.88634987596409</v>
      </c>
      <c r="D79" s="116" t="n">
        <f aca="false">MAX(0,MIN(D67,$C$9*(D69+D68+C121),D78))</f>
        <v>17.9891896948854</v>
      </c>
      <c r="E79" s="116" t="n">
        <f aca="false">MAX(0,MIN(E67,$C$9*(E69+E68+D121),E78))</f>
        <v>31.5940666948854</v>
      </c>
      <c r="F79" s="116" t="n">
        <f aca="false">MAX(0,MIN(F67,$C$9*(F69+F68+E121),F78))</f>
        <v>45.5118558658854</v>
      </c>
      <c r="G79" s="116" t="n">
        <f aca="false">MAX(0,MIN(G67,$C$9*(G69+G68+F121),G78))</f>
        <v>59.7497541878184</v>
      </c>
      <c r="H79" s="116" t="n">
        <f aca="false">MAX(0,MIN(H67,$C$9*(H69+H68+G121),H78))</f>
        <v>74.3151241711558</v>
      </c>
      <c r="I79" s="116" t="n">
        <f aca="false">MAX(0,MIN(I67,$C$9*(I69+I68+H121),I78))</f>
        <v>89.21549766411</v>
      </c>
      <c r="J79" s="116" t="n">
        <f aca="false">MAX(0,MIN(J67,$C$9*(J69+J68+I121),J78))</f>
        <v>104.458579747402</v>
      </c>
      <c r="K79" s="116" t="n">
        <f aca="false">MAX(0,MIN(K67,$C$9*(K69+K68+J121),K78))</f>
        <v>120.05225271861</v>
      </c>
      <c r="L79" s="116" t="n">
        <f aca="false">MAX(0,MIN(L67,$C$9*(L69+L68+K121),L78))</f>
        <v>136.004580168156</v>
      </c>
      <c r="M79" s="116" t="n">
        <f aca="false">MAX(0,MIN(M67,$C$9*(M69+M68+L121),M78))</f>
        <v>152.323811149041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236.896591291618</v>
      </c>
      <c r="AF79" s="116" t="n">
        <f aca="false">MAX(0,MIN(AF67,$C$9*(AF69+AF68+AE121),AF78))</f>
        <v>238.219041272006</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0.386255216886864</v>
      </c>
      <c r="D80" s="116" t="n">
        <f aca="false">IF($C$177&lt;=1,D68,SUMPRODUCT($C$189:D189,((D$39-$C$39:D$39+1)&gt;=$C$177)+((D$39-$C$39:D$39+1)&lt;$C$177)*(D$39-$C$39:D$39+1)/$C$177))</f>
        <v>1.39643969852219</v>
      </c>
      <c r="E80" s="116" t="n">
        <f aca="false">IF($C$177&lt;=1,E68,SUMPRODUCT($C$189:E189,((E$39-$C$39:E$39+1)&gt;=$C$177)+((E$39-$C$39:E$39+1)&lt;$C$177)*(E$39-$C$39:E$39+1)/$C$177))</f>
        <v>3.23265730546119</v>
      </c>
      <c r="F80" s="116" t="n">
        <f aca="false">IF($C$177&lt;=1,F68,SUMPRODUCT($C$189:F189,((F$39-$C$39:F$39+1)&gt;=$C$177)+((F$39-$C$39:F$39+1)&lt;$C$177)*(F$39-$C$39:F$39+1)/$C$177))</f>
        <v>6.45273474266286</v>
      </c>
      <c r="G80" s="116" t="n">
        <f aca="false">IF($C$177&lt;=1,G68,SUMPRODUCT($C$189:G189,((G$39-$C$39:G$39+1)&gt;=$C$177)+((G$39-$C$39:G$39+1)&lt;$C$177)*(G$39-$C$39:G$39+1)/$C$177))</f>
        <v>11.0565654628756</v>
      </c>
      <c r="H80" s="116" t="n">
        <f aca="false">IF($C$177&lt;=1,H68,SUMPRODUCT($C$189:H189,((H$39-$C$39:H$39+1)&gt;=$C$177)+((H$39-$C$39:H$39+1)&lt;$C$177)*(H$39-$C$39:H$39+1)/$C$177))</f>
        <v>16.6550639408431</v>
      </c>
      <c r="I80" s="116" t="n">
        <f aca="false">IF($C$177&lt;=1,I68,SUMPRODUCT($C$189:I189,((I$39-$C$39:I$39+1)&gt;=$C$177)+((I$39-$C$39:I$39+1)&lt;$C$177)*(I$39-$C$39:I$39+1)/$C$177))</f>
        <v>23.0103459104485</v>
      </c>
      <c r="J80" s="116" t="n">
        <f aca="false">IF($C$177&lt;=1,J68,SUMPRODUCT($C$189:J189,((J$39-$C$39:J$39+1)&gt;=$C$177)+((J$39-$C$39:J$39+1)&lt;$C$177)*(J$39-$C$39:J$39+1)/$C$177))</f>
        <v>29.9200898721775</v>
      </c>
      <c r="K80" s="116" t="n">
        <f aca="false">IF($C$177&lt;=1,K68,SUMPRODUCT($C$189:K189,((K$39-$C$39:K$39+1)&gt;=$C$177)+((K$39-$C$39:K$39+1)&lt;$C$177)*(K$39-$C$39:K$39+1)/$C$177))</f>
        <v>36.8298338339064</v>
      </c>
      <c r="L80" s="116" t="n">
        <f aca="false">IF($C$177&lt;=1,L68,SUMPRODUCT($C$189:L189,((L$39-$C$39:L$39+1)&gt;=$C$177)+((L$39-$C$39:L$39+1)&lt;$C$177)*(L$39-$C$39:L$39+1)/$C$177))</f>
        <v>43.7395777956353</v>
      </c>
      <c r="M80" s="116" t="n">
        <f aca="false">IF($C$177&lt;=1,M68,SUMPRODUCT($C$189:M189,((M$39-$C$39:M$39+1)&gt;=$C$177)+((M$39-$C$39:M$39+1)&lt;$C$177)*(M$39-$C$39:M$39+1)/$C$177))</f>
        <v>50.4019235027382</v>
      </c>
      <c r="N80" s="116" t="n">
        <f aca="false">IF($C$177&lt;=1,N68,SUMPRODUCT($C$189:N189,((N$39-$C$39:N$39+1)&gt;=$C$177)+((N$39-$C$39:N$39+1)&lt;$C$177)*(N$39-$C$39:N$39+1)/$C$177))</f>
        <v>56.5786076131081</v>
      </c>
      <c r="O80" s="116" t="n">
        <f aca="false">IF($C$177&lt;=1,O68,SUMPRODUCT($C$189:O189,((O$39-$C$39:O$39+1)&gt;=$C$177)+((O$39-$C$39:O$39+1)&lt;$C$177)*(O$39-$C$39:O$39+1)/$C$177))</f>
        <v>62.0669253751175</v>
      </c>
      <c r="P80" s="116" t="n">
        <f aca="false">IF($C$177&lt;=1,P68,SUMPRODUCT($C$189:P189,((P$39-$C$39:P$39+1)&gt;=$C$177)+((P$39-$C$39:P$39+1)&lt;$C$177)*(P$39-$C$39:P$39+1)/$C$177))</f>
        <v>66.30843732462</v>
      </c>
      <c r="Q80" s="116" t="n">
        <f aca="false">IF($C$177&lt;=1,Q68,SUMPRODUCT($C$189:Q189,((Q$39-$C$39:Q$39+1)&gt;=$C$177)+((Q$39-$C$39:Q$39+1)&lt;$C$177)*(Q$39-$C$39:Q$39+1)/$C$177))</f>
        <v>69.3026251027696</v>
      </c>
      <c r="R80" s="116" t="n">
        <f aca="false">IF($C$177&lt;=1,R68,SUMPRODUCT($C$189:R189,((R$39-$C$39:R$39+1)&gt;=$C$177)+((R$39-$C$39:R$39+1)&lt;$C$177)*(R$39-$C$39:R$39+1)/$C$177))</f>
        <v>71.4349016637844</v>
      </c>
      <c r="S80" s="116" t="n">
        <f aca="false">IF($C$177&lt;=1,S68,SUMPRODUCT($C$189:S189,((S$39-$C$39:S$39+1)&gt;=$C$177)+((S$39-$C$39:S$39+1)&lt;$C$177)*(S$39-$C$39:S$39+1)/$C$177))</f>
        <v>72.939518082133</v>
      </c>
      <c r="T80" s="116" t="n">
        <f aca="false">IF($C$177&lt;=1,T68,SUMPRODUCT($C$189:T189,((T$39-$C$39:T$39+1)&gt;=$C$177)+((T$39-$C$39:T$39+1)&lt;$C$177)*(T$39-$C$39:T$39+1)/$C$177))</f>
        <v>74.0152029147433</v>
      </c>
      <c r="U80" s="116" t="n">
        <f aca="false">IF($C$177&lt;=1,U68,SUMPRODUCT($C$189:U189,((U$39-$C$39:U$39+1)&gt;=$C$177)+((U$39-$C$39:U$39+1)&lt;$C$177)*(U$39-$C$39:U$39+1)/$C$177))</f>
        <v>75.2128663448425</v>
      </c>
      <c r="V80" s="116" t="n">
        <f aca="false">IF($C$177&lt;=1,V68,SUMPRODUCT($C$189:V189,((V$39-$C$39:V$39+1)&gt;=$C$177)+((V$39-$C$39:V$39+1)&lt;$C$177)*(V$39-$C$39:V$39+1)/$C$177))</f>
        <v>76.5289985969883</v>
      </c>
      <c r="W80" s="116" t="n">
        <f aca="false">IF($C$177&lt;=1,W68,SUMPRODUCT($C$189:W189,((W$39-$C$39:W$39+1)&gt;=$C$177)+((W$39-$C$39:W$39+1)&lt;$C$177)*(W$39-$C$39:W$39+1)/$C$177))</f>
        <v>77.8212758819985</v>
      </c>
      <c r="X80" s="116" t="n">
        <f aca="false">IF($C$177&lt;=1,X68,SUMPRODUCT($C$189:X189,((X$39-$C$39:X$39+1)&gt;=$C$177)+((X$39-$C$39:X$39+1)&lt;$C$177)*(X$39-$C$39:X$39+1)/$C$177))</f>
        <v>79.0868645462608</v>
      </c>
      <c r="Y80" s="116" t="n">
        <f aca="false">IF($C$177&lt;=1,Y68,SUMPRODUCT($C$189:Y189,((Y$39-$C$39:Y$39+1)&gt;=$C$177)+((Y$39-$C$39:Y$39+1)&lt;$C$177)*(Y$39-$C$39:Y$39+1)/$C$177))</f>
        <v>80.3229873582411</v>
      </c>
      <c r="Z80" s="116" t="n">
        <f aca="false">IF($C$177&lt;=1,Z68,SUMPRODUCT($C$189:Z189,((Z$39-$C$39:Z$39+1)&gt;=$C$177)+((Z$39-$C$39:Z$39+1)&lt;$C$177)*(Z$39-$C$39:Z$39+1)/$C$177))</f>
        <v>81.5269247417728</v>
      </c>
      <c r="AA80" s="116" t="n">
        <f aca="false">IF($C$177&lt;=1,AA68,SUMPRODUCT($C$189:AA189,((AA$39-$C$39:AA$39+1)&gt;=$C$177)+((AA$39-$C$39:AA$39+1)&lt;$C$177)*(AA$39-$C$39:AA$39+1)/$C$177))</f>
        <v>82.6960160328305</v>
      </c>
      <c r="AB80" s="116" t="n">
        <f aca="false">IF($C$177&lt;=1,AB68,SUMPRODUCT($C$189:AB189,((AB$39-$C$39:AB$39+1)&gt;=$C$177)+((AB$39-$C$39:AB$39+1)&lt;$C$177)*(AB$39-$C$39:AB$39+1)/$C$177))</f>
        <v>83.8306959916841</v>
      </c>
      <c r="AC80" s="116" t="n">
        <f aca="false">IF($C$177&lt;=1,AC68,SUMPRODUCT($C$189:AC189,((AC$39-$C$39:AC$39+1)&gt;=$C$177)+((AC$39-$C$39:AC$39+1)&lt;$C$177)*(AC$39-$C$39:AC$39+1)/$C$177))</f>
        <v>84.931408768995</v>
      </c>
      <c r="AD80" s="116" t="n">
        <f aca="false">IF($C$177&lt;=1,AD68,SUMPRODUCT($C$189:AD189,((AD$39-$C$39:AD$39+1)&gt;=$C$177)+((AD$39-$C$39:AD$39+1)&lt;$C$177)*(AD$39-$C$39:AD$39+1)/$C$177))</f>
        <v>85.9986080630392</v>
      </c>
      <c r="AE80" s="116" t="n">
        <f aca="false">IF($C$177&lt;=1,AE68,SUMPRODUCT($C$189:AE189,((AE$39-$C$39:AE$39+1)&gt;=$C$177)+((AE$39-$C$39:AE$39+1)&lt;$C$177)*(AE$39-$C$39:AE$39+1)/$C$177))</f>
        <v>87.0327572785924</v>
      </c>
      <c r="AF80" s="116" t="n">
        <f aca="false">IF($C$177&lt;=1,AF68,SUMPRODUCT($C$189:AF189,((AF$39-$C$39:AF$39+1)&gt;=$C$177)+((AF$39-$C$39:AF$39+1)&lt;$C$177)*(AF$39-$C$39:AF$39+1)/$C$177))</f>
        <v>88.0343296874588</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11.8267027723829</v>
      </c>
      <c r="D81" s="116" t="n">
        <f aca="false">D69+D80+C121</f>
        <v>31.2705719819142</v>
      </c>
      <c r="E81" s="116" t="n">
        <f aca="false">E69+E80+D121</f>
        <v>57.7690782999876</v>
      </c>
      <c r="F81" s="116" t="n">
        <f aca="false">F69+F80+E121</f>
        <v>118.670760583077</v>
      </c>
      <c r="G81" s="116" t="n">
        <f aca="false">G69+G80+F121</f>
        <v>178.971785415919</v>
      </c>
      <c r="H81" s="116" t="n">
        <f aca="false">H69+H80+G121</f>
        <v>228.870670106668</v>
      </c>
      <c r="I81" s="116" t="n">
        <f aca="false">I69+I80+H121</f>
        <v>272.576583425164</v>
      </c>
      <c r="J81" s="116" t="n">
        <f aca="false">J69+J80+I121</f>
        <v>310.933167054042</v>
      </c>
      <c r="K81" s="116" t="n">
        <f aca="false">K69+K80+J121</f>
        <v>323.79525526525</v>
      </c>
      <c r="L81" s="116" t="n">
        <f aca="false">L69+L80+K121</f>
        <v>336.700577419338</v>
      </c>
      <c r="M81" s="116" t="n">
        <f aca="false">M69+M80+L121</f>
        <v>350.737850701345</v>
      </c>
      <c r="N81" s="116" t="n">
        <f aca="false">N69+N80+M121</f>
        <v>365.6856906978</v>
      </c>
      <c r="O81" s="116" t="n">
        <f aca="false">O69+O80+N121</f>
        <v>380.436367341588</v>
      </c>
      <c r="P81" s="116" t="n">
        <f aca="false">P69+P80+O121</f>
        <v>394.184211398846</v>
      </c>
      <c r="Q81" s="116" t="n">
        <f aca="false">Q69+Q80+P121</f>
        <v>406.890271670918</v>
      </c>
      <c r="R81" s="116" t="n">
        <f aca="false">R69+R80+Q121</f>
        <v>418.744201014297</v>
      </c>
      <c r="S81" s="116" t="n">
        <f aca="false">S69+S80+R121</f>
        <v>429.920894692744</v>
      </c>
      <c r="T81" s="116" t="n">
        <f aca="false">T69+T80+S121</f>
        <v>440.586140616856</v>
      </c>
      <c r="U81" s="116" t="n">
        <f aca="false">U69+U80+T121</f>
        <v>451.269413129384</v>
      </c>
      <c r="V81" s="116" t="n">
        <f aca="false">V69+V80+U121</f>
        <v>461.987864566834</v>
      </c>
      <c r="W81" s="116" t="n">
        <f aca="false">W69+W80+V121</f>
        <v>472.619372727127</v>
      </c>
      <c r="X81" s="116" t="n">
        <f aca="false">X69+X80+W121</f>
        <v>483.181301156689</v>
      </c>
      <c r="Y81" s="116" t="n">
        <f aca="false">Y69+Y80+X121</f>
        <v>493.691059547701</v>
      </c>
      <c r="Z81" s="116" t="n">
        <f aca="false">Z69+Z80+Y121</f>
        <v>504.16612059478</v>
      </c>
      <c r="AA81" s="116" t="n">
        <f aca="false">AA69+AA80+Z121</f>
        <v>514.624048204328</v>
      </c>
      <c r="AB81" s="116" t="n">
        <f aca="false">AB69+AB80+AA121</f>
        <v>525.08555642078</v>
      </c>
      <c r="AC81" s="116" t="n">
        <f aca="false">AC69+AC80+AB121</f>
        <v>535.571451885103</v>
      </c>
      <c r="AD81" s="116" t="n">
        <f aca="false">AD69+AD80+AC121</f>
        <v>546.102663228108</v>
      </c>
      <c r="AE81" s="116" t="n">
        <f aca="false">AE69+AE80+AD121</f>
        <v>556.700270770699</v>
      </c>
      <c r="AF81" s="116" t="n">
        <f aca="false">AF69+AF80+AE121</f>
        <v>567.385535438893</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1.67913673227582</v>
      </c>
      <c r="AF82" s="116" t="n">
        <f aca="false">MAX(0,MIN(AF80,$C$9*AF81-AF79,AF78-AF79))</f>
        <v>5.84392849643754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6.88634987596409</v>
      </c>
      <c r="D83" s="136" t="n">
        <f aca="false">D79+D82</f>
        <v>17.9891896948854</v>
      </c>
      <c r="E83" s="136" t="n">
        <f aca="false">E79+E82</f>
        <v>31.5940666948854</v>
      </c>
      <c r="F83" s="136" t="n">
        <f aca="false">F79+F82</f>
        <v>45.5118558658854</v>
      </c>
      <c r="G83" s="136" t="n">
        <f aca="false">G79+G82</f>
        <v>59.7497541878184</v>
      </c>
      <c r="H83" s="136" t="n">
        <f aca="false">H79+H82</f>
        <v>74.3151241711558</v>
      </c>
      <c r="I83" s="136" t="n">
        <f aca="false">I79+I82</f>
        <v>89.21549766411</v>
      </c>
      <c r="J83" s="136" t="n">
        <f aca="false">J79+J82</f>
        <v>104.458579747402</v>
      </c>
      <c r="K83" s="136" t="n">
        <f aca="false">K79+K82</f>
        <v>120.05225271861</v>
      </c>
      <c r="L83" s="136" t="n">
        <f aca="false">L79+L82</f>
        <v>136.004580168156</v>
      </c>
      <c r="M83" s="136" t="n">
        <f aca="false">M79+M82</f>
        <v>152.323811149041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4.86035289641877</v>
      </c>
      <c r="D84" s="116" t="n">
        <f aca="false">D67-D79+D80-D82</f>
        <v>13.1185582870288</v>
      </c>
      <c r="E84" s="116" t="n">
        <f aca="false">E67-E79+E80-E82</f>
        <v>25.6449908146638</v>
      </c>
      <c r="F84" s="116" t="n">
        <f aca="false">F67-F79+F80-F82</f>
        <v>55.6490387944737</v>
      </c>
      <c r="G84" s="116" t="n">
        <f aca="false">G67-G79+G80-G82</f>
        <v>85.3292828636681</v>
      </c>
      <c r="H84" s="116" t="n">
        <f aca="false">H67-H79+H80-H82</f>
        <v>104.245522524906</v>
      </c>
      <c r="I84" s="116" t="n">
        <f aca="false">I67-I79+I80-I82</f>
        <v>116.598812950161</v>
      </c>
      <c r="J84" s="116" t="n">
        <f aca="false">J67-J79+J80-J82</f>
        <v>123.224497940575</v>
      </c>
      <c r="K84" s="116" t="n">
        <f aca="false">K67-K79+K80-K82</f>
        <v>113.202596219319</v>
      </c>
      <c r="L84" s="116" t="n">
        <f aca="false">L67-L79+L80-L82</f>
        <v>102.832214355314</v>
      </c>
      <c r="M84" s="116" t="n">
        <f aca="false">M67-M79+M80-M82</f>
        <v>95.9412246259443</v>
      </c>
      <c r="N84" s="116" t="n">
        <f aca="false">N67-N79+N80-N82</f>
        <v>95.1153391580188</v>
      </c>
      <c r="O84" s="116" t="n">
        <f aca="false">O67-O79+O80-O82</f>
        <v>99.6245176649716</v>
      </c>
      <c r="P84" s="116" t="n">
        <f aca="false">P67-P79+P80-P82</f>
        <v>102.791412587418</v>
      </c>
      <c r="Q84" s="116" t="n">
        <f aca="false">Q67-Q79+Q80-Q82</f>
        <v>104.612761873893</v>
      </c>
      <c r="R84" s="116" t="n">
        <f aca="false">R67-R79+R80-R82</f>
        <v>105.381930203774</v>
      </c>
      <c r="S84" s="116" t="n">
        <f aca="false">S67-S79+S80-S82</f>
        <v>105.331889078957</v>
      </c>
      <c r="T84" s="116" t="n">
        <f aca="false">T67-T79+T80-T82</f>
        <v>104.660084291778</v>
      </c>
      <c r="U84" s="116" t="n">
        <f aca="false">U67-U79+U80-U82</f>
        <v>103.916138482194</v>
      </c>
      <c r="V84" s="116" t="n">
        <f aca="false">V67-V79+V80-V82</f>
        <v>103.095247992867</v>
      </c>
      <c r="W84" s="116" t="n">
        <f aca="false">W67-W79+W80-W82</f>
        <v>102.053787277936</v>
      </c>
      <c r="X84" s="116" t="n">
        <f aca="false">X67-X79+X80-X82</f>
        <v>100.78761153709</v>
      </c>
      <c r="Y84" s="116" t="n">
        <f aca="false">Y67-Y79+Y80-Y82</f>
        <v>99.2926215050182</v>
      </c>
      <c r="Z84" s="116" t="n">
        <f aca="false">Z67-Z79+Z80-Z82</f>
        <v>97.5647632031592</v>
      </c>
      <c r="AA84" s="116" t="n">
        <f aca="false">AA67-AA79+AA80-AA82</f>
        <v>95.6000277278484</v>
      </c>
      <c r="AB84" s="116" t="n">
        <f aca="false">AB67-AB79+AB80-AB82</f>
        <v>93.3974863042618</v>
      </c>
      <c r="AC84" s="116" t="n">
        <f aca="false">AC67-AC79+AC80-AC82</f>
        <v>90.9562028022673</v>
      </c>
      <c r="AD84" s="116" t="n">
        <f aca="false">AD67-AD79+AD80-AD82</f>
        <v>88.2752324489916</v>
      </c>
      <c r="AE84" s="116" t="n">
        <f aca="false">AE67-AE79+AE80-AE82</f>
        <v>85.3536205463166</v>
      </c>
      <c r="AF84" s="116" t="n">
        <f aca="false">AF67-AF79+AF80-AF82</f>
        <v>82.1904011910212</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1.41920433268594</v>
      </c>
      <c r="D85" s="116" t="n">
        <f aca="false">IF(AND($C$31&gt;0,D$39&gt;10),MIN(D83,MAX(01_Supuestos!$I$137*D81,C85*(1-1/MAX(1,$C$31)))),MIN(IF(D$39&lt;=10,01_Supuestos!$I$136,01_Supuestos!$I$137)*D81,D83))</f>
        <v>3.7524686378297</v>
      </c>
      <c r="E85" s="116" t="n">
        <f aca="false">IF(AND($C$31&gt;0,E$39&gt;10),MIN(E83,MAX(01_Supuestos!$I$137*E81,D85*(1-1/MAX(1,$C$31)))),MIN(IF(E$39&lt;=10,01_Supuestos!$I$136,01_Supuestos!$I$137)*E81,E83))</f>
        <v>6.93228939599851</v>
      </c>
      <c r="F85" s="116" t="n">
        <f aca="false">IF(AND($C$31&gt;0,F$39&gt;10),MIN(F83,MAX(01_Supuestos!$I$137*F81,E85*(1-1/MAX(1,$C$31)))),MIN(IF(F$39&lt;=10,01_Supuestos!$I$136,01_Supuestos!$I$137)*F81,F83))</f>
        <v>14.2404912699692</v>
      </c>
      <c r="G85" s="116" t="n">
        <f aca="false">IF(AND($C$31&gt;0,G$39&gt;10),MIN(G83,MAX(01_Supuestos!$I$137*G81,F85*(1-1/MAX(1,$C$31)))),MIN(IF(G$39&lt;=10,01_Supuestos!$I$136,01_Supuestos!$I$137)*G81,G83))</f>
        <v>21.4766142499103</v>
      </c>
      <c r="H85" s="116" t="n">
        <f aca="false">IF(AND($C$31&gt;0,H$39&gt;10),MIN(H83,MAX(01_Supuestos!$I$137*H81,G85*(1-1/MAX(1,$C$31)))),MIN(IF(H$39&lt;=10,01_Supuestos!$I$136,01_Supuestos!$I$137)*H81,H83))</f>
        <v>27.4644804128002</v>
      </c>
      <c r="I85" s="116" t="n">
        <f aca="false">IF(AND($C$31&gt;0,I$39&gt;10),MIN(I83,MAX(01_Supuestos!$I$137*I81,H85*(1-1/MAX(1,$C$31)))),MIN(IF(I$39&lt;=10,01_Supuestos!$I$136,01_Supuestos!$I$137)*I81,I83))</f>
        <v>32.7091900110196</v>
      </c>
      <c r="J85" s="116" t="n">
        <f aca="false">IF(AND($C$31&gt;0,J$39&gt;10),MIN(J83,MAX(01_Supuestos!$I$137*J81,I85*(1-1/MAX(1,$C$31)))),MIN(IF(J$39&lt;=10,01_Supuestos!$I$136,01_Supuestos!$I$137)*J81,J83))</f>
        <v>37.311980046485</v>
      </c>
      <c r="K85" s="116" t="n">
        <f aca="false">IF(AND($C$31&gt;0,K$39&gt;10),MIN(K83,MAX(01_Supuestos!$I$137*K81,J85*(1-1/MAX(1,$C$31)))),MIN(IF(K$39&lt;=10,01_Supuestos!$I$136,01_Supuestos!$I$137)*K81,K83))</f>
        <v>38.85543063183</v>
      </c>
      <c r="L85" s="116" t="n">
        <f aca="false">IF(AND($C$31&gt;0,L$39&gt;10),MIN(L83,MAX(01_Supuestos!$I$137*L81,K85*(1-1/MAX(1,$C$31)))),MIN(IF(L$39&lt;=10,01_Supuestos!$I$136,01_Supuestos!$I$137)*L81,L83))</f>
        <v>40.4040692903205</v>
      </c>
      <c r="M85" s="116" t="n">
        <f aca="false">IF(AND($C$31&gt;0,M$39&gt;10),MIN(M83,MAX(01_Supuestos!$I$137*M81,L85*(1-1/MAX(1,$C$31)))),MIN(IF(M$39&lt;=10,01_Supuestos!$I$136,01_Supuestos!$I$137)*M81,M83))</f>
        <v>32.3232554322564</v>
      </c>
      <c r="N85" s="116" t="n">
        <f aca="false">IF(AND($C$31&gt;0,N$39&gt;10),MIN(N83,MAX(01_Supuestos!$I$137*N81,M85*(1-1/MAX(1,$C$31)))),MIN(IF(N$39&lt;=10,01_Supuestos!$I$136,01_Supuestos!$I$137)*N81,N83))</f>
        <v>27.426426802335</v>
      </c>
      <c r="O85" s="116" t="n">
        <f aca="false">IF(AND($C$31&gt;0,O$39&gt;10),MIN(O83,MAX(01_Supuestos!$I$137*O81,N85*(1-1/MAX(1,$C$31)))),MIN(IF(O$39&lt;=10,01_Supuestos!$I$136,01_Supuestos!$I$137)*O81,O83))</f>
        <v>28.5327275506191</v>
      </c>
      <c r="P85" s="116" t="n">
        <f aca="false">IF(AND($C$31&gt;0,P$39&gt;10),MIN(P83,MAX(01_Supuestos!$I$137*P81,O85*(1-1/MAX(1,$C$31)))),MIN(IF(P$39&lt;=10,01_Supuestos!$I$136,01_Supuestos!$I$137)*P81,P83))</f>
        <v>29.5638158549135</v>
      </c>
      <c r="Q85" s="116" t="n">
        <f aca="false">IF(AND($C$31&gt;0,Q$39&gt;10),MIN(Q83,MAX(01_Supuestos!$I$137*Q81,P85*(1-1/MAX(1,$C$31)))),MIN(IF(Q$39&lt;=10,01_Supuestos!$I$136,01_Supuestos!$I$137)*Q81,Q83))</f>
        <v>30.5167703753189</v>
      </c>
      <c r="R85" s="116" t="n">
        <f aca="false">IF(AND($C$31&gt;0,R$39&gt;10),MIN(R83,MAX(01_Supuestos!$I$137*R81,Q85*(1-1/MAX(1,$C$31)))),MIN(IF(R$39&lt;=10,01_Supuestos!$I$136,01_Supuestos!$I$137)*R81,R83))</f>
        <v>31.4058150760723</v>
      </c>
      <c r="S85" s="116" t="n">
        <f aca="false">IF(AND($C$31&gt;0,S$39&gt;10),MIN(S83,MAX(01_Supuestos!$I$137*S81,R85*(1-1/MAX(1,$C$31)))),MIN(IF(S$39&lt;=10,01_Supuestos!$I$136,01_Supuestos!$I$137)*S81,S83))</f>
        <v>32.2440671019558</v>
      </c>
      <c r="T85" s="116" t="n">
        <f aca="false">IF(AND($C$31&gt;0,T$39&gt;10),MIN(T83,MAX(01_Supuestos!$I$137*T81,S85*(1-1/MAX(1,$C$31)))),MIN(IF(T$39&lt;=10,01_Supuestos!$I$136,01_Supuestos!$I$137)*T81,T83))</f>
        <v>33.0439605462642</v>
      </c>
      <c r="U85" s="116" t="n">
        <f aca="false">IF(AND($C$31&gt;0,U$39&gt;10),MIN(U83,MAX(01_Supuestos!$I$137*U81,T85*(1-1/MAX(1,$C$31)))),MIN(IF(U$39&lt;=10,01_Supuestos!$I$136,01_Supuestos!$I$137)*U81,U83))</f>
        <v>33.8452059847038</v>
      </c>
      <c r="V85" s="116" t="n">
        <f aca="false">IF(AND($C$31&gt;0,V$39&gt;10),MIN(V83,MAX(01_Supuestos!$I$137*V81,U85*(1-1/MAX(1,$C$31)))),MIN(IF(V$39&lt;=10,01_Supuestos!$I$136,01_Supuestos!$I$137)*V81,V83))</f>
        <v>34.6490898425125</v>
      </c>
      <c r="W85" s="116" t="n">
        <f aca="false">IF(AND($C$31&gt;0,W$39&gt;10),MIN(W83,MAX(01_Supuestos!$I$137*W81,V85*(1-1/MAX(1,$C$31)))),MIN(IF(W$39&lt;=10,01_Supuestos!$I$136,01_Supuestos!$I$137)*W81,W83))</f>
        <v>35.4464529545346</v>
      </c>
      <c r="X85" s="116" t="n">
        <f aca="false">IF(AND($C$31&gt;0,X$39&gt;10),MIN(X83,MAX(01_Supuestos!$I$137*X81,W85*(1-1/MAX(1,$C$31)))),MIN(IF(X$39&lt;=10,01_Supuestos!$I$136,01_Supuestos!$I$137)*X81,X83))</f>
        <v>36.2385975867516</v>
      </c>
      <c r="Y85" s="116" t="n">
        <f aca="false">IF(AND($C$31&gt;0,Y$39&gt;10),MIN(Y83,MAX(01_Supuestos!$I$137*Y81,X85*(1-1/MAX(1,$C$31)))),MIN(IF(Y$39&lt;=10,01_Supuestos!$I$136,01_Supuestos!$I$137)*Y81,Y83))</f>
        <v>37.0268294660776</v>
      </c>
      <c r="Z85" s="116" t="n">
        <f aca="false">IF(AND($C$31&gt;0,Z$39&gt;10),MIN(Z83,MAX(01_Supuestos!$I$137*Z81,Y85*(1-1/MAX(1,$C$31)))),MIN(IF(Z$39&lt;=10,01_Supuestos!$I$136,01_Supuestos!$I$137)*Z81,Z83))</f>
        <v>37.8124590446085</v>
      </c>
      <c r="AA85" s="116" t="n">
        <f aca="false">IF(AND($C$31&gt;0,AA$39&gt;10),MIN(AA83,MAX(01_Supuestos!$I$137*AA81,Z85*(1-1/MAX(1,$C$31)))),MIN(IF(AA$39&lt;=10,01_Supuestos!$I$136,01_Supuestos!$I$137)*AA81,AA83))</f>
        <v>38.5968036153246</v>
      </c>
      <c r="AB85" s="116" t="n">
        <f aca="false">IF(AND($C$31&gt;0,AB$39&gt;10),MIN(AB83,MAX(01_Supuestos!$I$137*AB81,AA85*(1-1/MAX(1,$C$31)))),MIN(IF(AB$39&lt;=10,01_Supuestos!$I$136,01_Supuestos!$I$137)*AB81,AB83))</f>
        <v>39.3814167315585</v>
      </c>
      <c r="AC85" s="116" t="n">
        <f aca="false">IF(AND($C$31&gt;0,AC$39&gt;10),MIN(AC83,MAX(01_Supuestos!$I$137*AC81,AB85*(1-1/MAX(1,$C$31)))),MIN(IF(AC$39&lt;=10,01_Supuestos!$I$136,01_Supuestos!$I$137)*AC81,AC83))</f>
        <v>40.1678588913827</v>
      </c>
      <c r="AD85" s="116" t="n">
        <f aca="false">IF(AND($C$31&gt;0,AD$39&gt;10),MIN(AD83,MAX(01_Supuestos!$I$137*AD81,AC85*(1-1/MAX(1,$C$31)))),MIN(IF(AD$39&lt;=10,01_Supuestos!$I$136,01_Supuestos!$I$137)*AD81,AD83))</f>
        <v>40.9576997421081</v>
      </c>
      <c r="AE85" s="116" t="n">
        <f aca="false">IF(AND($C$31&gt;0,AE$39&gt;10),MIN(AE83,MAX(01_Supuestos!$I$137*AE81,AD85*(1-1/MAX(1,$C$31)))),MIN(IF(AE$39&lt;=10,01_Supuestos!$I$136,01_Supuestos!$I$137)*AE81,AE83))</f>
        <v>41.7525203078024</v>
      </c>
      <c r="AF85" s="116" t="n">
        <f aca="false">IF(AND($C$31&gt;0,AF$39&gt;10),MIN(AF83,MAX(01_Supuestos!$I$137*AF81,AE85*(1-1/MAX(1,$C$31)))),MIN(IF(AF$39&lt;=10,01_Supuestos!$I$136,01_Supuestos!$I$137)*AF81,AF83))</f>
        <v>42.553915157917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0.344317493798204</v>
      </c>
      <c r="D86" s="116" t="n">
        <f aca="false">01_Supuestos!$I$127*D83</f>
        <v>0.899459484744269</v>
      </c>
      <c r="E86" s="116" t="n">
        <f aca="false">01_Supuestos!$I$127*E83</f>
        <v>1.57970333474427</v>
      </c>
      <c r="F86" s="116" t="n">
        <f aca="false">01_Supuestos!$I$127*F83</f>
        <v>2.27559279329427</v>
      </c>
      <c r="G86" s="116" t="n">
        <f aca="false">01_Supuestos!$I$127*G83</f>
        <v>2.98748770939092</v>
      </c>
      <c r="H86" s="116" t="n">
        <f aca="false">01_Supuestos!$I$127*H83</f>
        <v>3.71575620855779</v>
      </c>
      <c r="I86" s="116" t="n">
        <f aca="false">01_Supuestos!$I$127*I83</f>
        <v>4.4607748832055</v>
      </c>
      <c r="J86" s="116" t="n">
        <f aca="false">01_Supuestos!$I$127*J83</f>
        <v>5.22292898737011</v>
      </c>
      <c r="K86" s="116" t="n">
        <f aca="false">01_Supuestos!$I$127*K83</f>
        <v>6.0026126359305</v>
      </c>
      <c r="L86" s="116" t="n">
        <f aca="false">01_Supuestos!$I$127*L83</f>
        <v>6.80022900840779</v>
      </c>
      <c r="M86" s="116" t="n">
        <f aca="false">01_Supuestos!$I$127*M83</f>
        <v>7.61619055745205</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5.12282804947994</v>
      </c>
      <c r="D87" s="116" t="n">
        <f aca="false">D83-D85-D86</f>
        <v>13.3372615723114</v>
      </c>
      <c r="E87" s="116" t="n">
        <f aca="false">E83-E85-E86</f>
        <v>23.0820739641426</v>
      </c>
      <c r="F87" s="116" t="n">
        <f aca="false">F83-F85-F86</f>
        <v>28.9957718026219</v>
      </c>
      <c r="G87" s="116" t="n">
        <f aca="false">G83-G85-G86</f>
        <v>35.2856522285171</v>
      </c>
      <c r="H87" s="116" t="n">
        <f aca="false">H83-H85-H86</f>
        <v>43.1348875497978</v>
      </c>
      <c r="I87" s="116" t="n">
        <f aca="false">I83-I85-I86</f>
        <v>52.0455327698849</v>
      </c>
      <c r="J87" s="116" t="n">
        <f aca="false">J83-J85-J86</f>
        <v>61.9236707135471</v>
      </c>
      <c r="K87" s="116" t="n">
        <f aca="false">K83-K85-K86</f>
        <v>75.1942094508496</v>
      </c>
      <c r="L87" s="116" t="n">
        <f aca="false">L83-L85-L86</f>
        <v>88.8002818694274</v>
      </c>
      <c r="M87" s="116" t="n">
        <f aca="false">M83-M85-M86</f>
        <v>112.384365159332</v>
      </c>
      <c r="N87" s="116" t="n">
        <f aca="false">N83-N85-N86</f>
        <v>126.553493302294</v>
      </c>
      <c r="O87" s="116" t="n">
        <f aca="false">O83-O85-O86</f>
        <v>128.988730716416</v>
      </c>
      <c r="P87" s="116" t="n">
        <f aca="false">P83-P85-P86</f>
        <v>131.580635952263</v>
      </c>
      <c r="Q87" s="116" t="n">
        <f aca="false">Q83-Q85-Q86</f>
        <v>134.334003823423</v>
      </c>
      <c r="R87" s="116" t="n">
        <f aca="false">R83-R85-R86</f>
        <v>137.236526929241</v>
      </c>
      <c r="S87" s="116" t="n">
        <f aca="false">S83-S85-S86</f>
        <v>140.277048769479</v>
      </c>
      <c r="T87" s="116" t="n">
        <f aca="false">T83-T85-T86</f>
        <v>143.445140990214</v>
      </c>
      <c r="U87" s="116" t="n">
        <f aca="false">U83-U85-U86</f>
        <v>146.703144887113</v>
      </c>
      <c r="V87" s="116" t="n">
        <f aca="false">V83-V85-V86</f>
        <v>150.051873099356</v>
      </c>
      <c r="W87" s="116" t="n">
        <f aca="false">W83-W85-W86</f>
        <v>153.502632134997</v>
      </c>
      <c r="X87" s="116" t="n">
        <f aca="false">X83-X85-X86</f>
        <v>157.056316459839</v>
      </c>
      <c r="Y87" s="116" t="n">
        <f aca="false">Y83-Y85-Y86</f>
        <v>160.713867603585</v>
      </c>
      <c r="Z87" s="116" t="n">
        <f aca="false">Z83-Z85-Z86</f>
        <v>164.476274057656</v>
      </c>
      <c r="AA87" s="116" t="n">
        <f aca="false">AA83-AA85-AA86</f>
        <v>168.344570348292</v>
      </c>
      <c r="AB87" s="116" t="n">
        <f aca="false">AB83-AB85-AB86</f>
        <v>172.319608833222</v>
      </c>
      <c r="AC87" s="116" t="n">
        <f aca="false">AC83-AC85-AC86</f>
        <v>176.402290261387</v>
      </c>
      <c r="AD87" s="116" t="n">
        <f aca="false">AD83-AD85-AD86</f>
        <v>180.593562841176</v>
      </c>
      <c r="AE87" s="116" t="n">
        <f aca="false">AE83-AE85-AE86</f>
        <v>184.894421314897</v>
      </c>
      <c r="AF87" s="116" t="n">
        <f aca="false">AF83-AF85-AF86</f>
        <v>189.305906122104</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0.019367859026149</v>
      </c>
      <c r="D88" s="116" t="n">
        <f aca="false">D86/01_Supuestos!$I$131*01_Supuestos!$I$129*01_Supuestos!$I$130*01_Supuestos!$I$128</f>
        <v>0.0505945960168651</v>
      </c>
      <c r="E88" s="116" t="n">
        <f aca="false">E86/01_Supuestos!$I$131*01_Supuestos!$I$129*01_Supuestos!$I$130*01_Supuestos!$I$128</f>
        <v>0.0888583125793651</v>
      </c>
      <c r="F88" s="116" t="n">
        <f aca="false">F86/01_Supuestos!$I$131*01_Supuestos!$I$129*01_Supuestos!$I$130*01_Supuestos!$I$128</f>
        <v>0.128002094622803</v>
      </c>
      <c r="G88" s="116" t="n">
        <f aca="false">G86/01_Supuestos!$I$131*01_Supuestos!$I$129*01_Supuestos!$I$130*01_Supuestos!$I$128</f>
        <v>0.168046183653239</v>
      </c>
      <c r="H88" s="116" t="n">
        <f aca="false">H86/01_Supuestos!$I$131*01_Supuestos!$I$129*01_Supuestos!$I$130*01_Supuestos!$I$128</f>
        <v>0.209011286731376</v>
      </c>
      <c r="I88" s="116" t="n">
        <f aca="false">I86/01_Supuestos!$I$131*01_Supuestos!$I$129*01_Supuestos!$I$130*01_Supuestos!$I$128</f>
        <v>0.250918587180309</v>
      </c>
      <c r="J88" s="116" t="n">
        <f aca="false">J86/01_Supuestos!$I$131*01_Supuestos!$I$129*01_Supuestos!$I$130*01_Supuestos!$I$128</f>
        <v>0.293789755539569</v>
      </c>
      <c r="K88" s="116" t="n">
        <f aca="false">K86/01_Supuestos!$I$131*01_Supuestos!$I$129*01_Supuestos!$I$130*01_Supuestos!$I$128</f>
        <v>0.337646960771091</v>
      </c>
      <c r="L88" s="116" t="n">
        <f aca="false">L86/01_Supuestos!$I$131*01_Supuestos!$I$129*01_Supuestos!$I$130*01_Supuestos!$I$128</f>
        <v>0.382512881722938</v>
      </c>
      <c r="M88" s="116" t="n">
        <f aca="false">M86/01_Supuestos!$I$131*01_Supuestos!$I$129*01_Supuestos!$I$130*01_Supuestos!$I$128</f>
        <v>0.428410718856678</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0.594248053739674</v>
      </c>
      <c r="D90" s="116" t="n">
        <f aca="false">D83-C83-D73+D185-D228</f>
        <v>0.676033928679594</v>
      </c>
      <c r="E90" s="116" t="n">
        <f aca="false">E83-D83-E73+E185-E228</f>
        <v>0.528178187331148</v>
      </c>
      <c r="F90" s="116" t="n">
        <f aca="false">F83-E83-F73+F185-F228</f>
        <v>-0.094471620120185</v>
      </c>
      <c r="G90" s="116" t="n">
        <f aca="false">G83-F83-G73+G185-G228</f>
        <v>0.108908653782933</v>
      </c>
      <c r="H90" s="116" t="n">
        <f aca="false">H83-G83-H73+H185-H228</f>
        <v>0.387855348366458</v>
      </c>
      <c r="I90" s="116" t="n">
        <f aca="false">I83-H83-I73+I185-I228</f>
        <v>0.415085581636077</v>
      </c>
      <c r="J90" s="116" t="n">
        <f aca="false">J83-I83-J73+J185-J228</f>
        <v>0.421767771834837</v>
      </c>
      <c r="K90" s="116" t="n">
        <f aca="false">K83-J83-K73+K185-K228</f>
        <v>0.730202327862124</v>
      </c>
      <c r="L90" s="116" t="n">
        <f aca="false">L83-K83-L73+L185-L228</f>
        <v>0.55589923958032</v>
      </c>
      <c r="M90" s="116" t="n">
        <f aca="false">M83-L83-M73+M185-M228</f>
        <v>1.59038275528145</v>
      </c>
      <c r="N90" s="116" t="n">
        <f aca="false">N83-M83-N73+N185-N228</f>
        <v>-0.0513378668885665</v>
      </c>
      <c r="O90" s="116" t="n">
        <f aca="false">O83-N83-O73+O185-O228</f>
        <v>-1.21202447713374</v>
      </c>
      <c r="P90" s="116" t="n">
        <f aca="false">P83-O83-P73+P185-P228</f>
        <v>-0.268800586819189</v>
      </c>
      <c r="Q90" s="116" t="n">
        <f aca="false">Q83-P83-Q73+Q185-Q228</f>
        <v>0.104068051093684</v>
      </c>
      <c r="R90" s="116" t="n">
        <f aca="false">R83-Q83-R73+R185-R228</f>
        <v>0.107803119694225</v>
      </c>
      <c r="S90" s="116" t="n">
        <f aca="false">S83-R83-S73+S185-S228</f>
        <v>0.110760961515282</v>
      </c>
      <c r="T90" s="116" t="n">
        <f aca="false">T83-S83-T73+T185-T228</f>
        <v>0.113492345721866</v>
      </c>
      <c r="U90" s="116" t="n">
        <f aca="false">U83-T83-U73+U185-U228</f>
        <v>0.11276363666682</v>
      </c>
      <c r="V90" s="116" t="n">
        <f aca="false">V83-U83-V73+V185-V228</f>
        <v>0.114486551387643</v>
      </c>
      <c r="W90" s="116" t="n">
        <f aca="false">W83-V83-W73+W185-W228</f>
        <v>0.118640849932824</v>
      </c>
      <c r="X90" s="116" t="n">
        <f aca="false">X83-W83-X73+X185-X228</f>
        <v>0.1222627842848</v>
      </c>
      <c r="Y90" s="116" t="n">
        <f aca="false">Y83-X83-Y73+Y185-Y228</f>
        <v>0.125596200438778</v>
      </c>
      <c r="Z90" s="116" t="n">
        <f aca="false">Z83-Y83-Z73+Z185-Z228</f>
        <v>0.128965759690232</v>
      </c>
      <c r="AA90" s="116" t="n">
        <f aca="false">AA83-Z83-AA73+AA185-AA228</f>
        <v>0.13237280985453</v>
      </c>
      <c r="AB90" s="116" t="n">
        <f aca="false">AB83-AA83-AB73+AB185-AB228</f>
        <v>0.135792280408211</v>
      </c>
      <c r="AC90" s="116" t="n">
        <f aca="false">AC83-AB83-AC73+AC185-AC228</f>
        <v>0.139238206629329</v>
      </c>
      <c r="AD90" s="116" t="n">
        <f aca="false">AD83-AC83-AD73+AD185-AD228</f>
        <v>0.142719108170624</v>
      </c>
      <c r="AE90" s="116" t="n">
        <f aca="false">AE83-AD83-AE73+AE185-AE228</f>
        <v>0.146236322828756</v>
      </c>
      <c r="AF90" s="116" t="n">
        <f aca="false">AF83-AE83-AF73+AF185-AF228</f>
        <v>0.149791170155325</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0.594248053739674</v>
      </c>
      <c r="D92" s="116" t="n">
        <f aca="false">IF(D90&gt;0,IF($C$20="BC",MIN(D90-D91,MAX(0,C276+D53-D75)),MIN(D90,MAX(0,C276+D53-D75))),0)</f>
        <v>0.676033928679594</v>
      </c>
      <c r="E92" s="116" t="n">
        <f aca="false">IF(E90&gt;0,IF($C$20="BC",MIN(E90-E91,MAX(0,D276+E53-E75)),MIN(E90,MAX(0,D276+E53-E75))),0)</f>
        <v>0.528178187331148</v>
      </c>
      <c r="F92" s="116" t="n">
        <f aca="false">IF(F90&gt;0,IF($C$20="BC",MIN(F90-F91,MAX(0,E276+F53-F75)),MIN(F90,MAX(0,E276+F53-F75))),0)</f>
        <v>0</v>
      </c>
      <c r="G92" s="116" t="n">
        <f aca="false">IF(G90&gt;0,IF($C$20="BC",MIN(G90-G91,MAX(0,F276+G53-G75)),MIN(G90,MAX(0,F276+G53-G75))),0)</f>
        <v>0.108908653782933</v>
      </c>
      <c r="H92" s="116" t="n">
        <f aca="false">IF(H90&gt;0,IF($C$20="BC",MIN(H90-H91,MAX(0,G276+H53-H75)),MIN(H90,MAX(0,G276+H53-H75))),0)</f>
        <v>0.387855348366458</v>
      </c>
      <c r="I92" s="116" t="n">
        <f aca="false">IF(I90&gt;0,IF($C$20="BC",MIN(I90-I91,MAX(0,H276+I53-I75)),MIN(I90,MAX(0,H276+I53-I75))),0)</f>
        <v>0.415085581636077</v>
      </c>
      <c r="J92" s="116" t="n">
        <f aca="false">IF(J90&gt;0,IF($C$20="BC",MIN(J90-J91,MAX(0,I276+J53-J75)),MIN(J90,MAX(0,I276+J53-J75))),0)</f>
        <v>0.421767771834837</v>
      </c>
      <c r="K92" s="116" t="n">
        <f aca="false">IF(K90&gt;0,IF($C$20="BC",MIN(K90-K91,MAX(0,J276+K53-K75)),MIN(K90,MAX(0,J276+K53-K75))),0)</f>
        <v>0.730202327862124</v>
      </c>
      <c r="L92" s="116" t="n">
        <f aca="false">IF(L90&gt;0,IF($C$20="BC",MIN(L90-L91,MAX(0,K276+L53-L75)),MIN(L90,MAX(0,K276+L53-L75))),0)</f>
        <v>0.55589923958032</v>
      </c>
      <c r="M92" s="116" t="n">
        <f aca="false">IF(M90&gt;0,IF($C$20="BC",MIN(M90-M91,MAX(0,L276+M53-M75)),MIN(M90,MAX(0,L276+M53-M75))),0)</f>
        <v>1.59038275528145</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0.104068051093684</v>
      </c>
      <c r="R92" s="116" t="n">
        <f aca="false">IF(R90&gt;0,IF($C$20="BC",MIN(R90-R91,MAX(0,Q276+R53-R75)),MIN(R90,MAX(0,Q276+R53-R75))),0)</f>
        <v>0.107803119694225</v>
      </c>
      <c r="S92" s="116" t="n">
        <f aca="false">IF(S90&gt;0,IF($C$20="BC",MIN(S90-S91,MAX(0,R276+S53-S75)),MIN(S90,MAX(0,R276+S53-S75))),0)</f>
        <v>0.110760961515282</v>
      </c>
      <c r="T92" s="116" t="n">
        <f aca="false">IF(T90&gt;0,IF($C$20="BC",MIN(T90-T91,MAX(0,S276+T53-T75)),MIN(T90,MAX(0,S276+T53-T75))),0)</f>
        <v>0.113492345721866</v>
      </c>
      <c r="U92" s="116" t="n">
        <f aca="false">IF(U90&gt;0,IF($C$20="BC",MIN(U90-U91,MAX(0,T276+U53-U75)),MIN(U90,MAX(0,T276+U53-U75))),0)</f>
        <v>0.11276363666682</v>
      </c>
      <c r="V92" s="116" t="n">
        <f aca="false">IF(V90&gt;0,IF($C$20="BC",MIN(V90-V91,MAX(0,U276+V53-V75)),MIN(V90,MAX(0,U276+V53-V75))),0)</f>
        <v>0.114486551387643</v>
      </c>
      <c r="W92" s="116" t="n">
        <f aca="false">IF(W90&gt;0,IF($C$20="BC",MIN(W90-W91,MAX(0,V276+W53-W75)),MIN(W90,MAX(0,V276+W53-W75))),0)</f>
        <v>0.118640849932824</v>
      </c>
      <c r="X92" s="116" t="n">
        <f aca="false">IF(X90&gt;0,IF($C$20="BC",MIN(X90-X91,MAX(0,W276+X53-X75)),MIN(X90,MAX(0,W276+X53-X75))),0)</f>
        <v>0.1222627842848</v>
      </c>
      <c r="Y92" s="116" t="n">
        <f aca="false">IF(Y90&gt;0,IF($C$20="BC",MIN(Y90-Y91,MAX(0,X276+Y53-Y75)),MIN(Y90,MAX(0,X276+Y53-Y75))),0)</f>
        <v>0.125596200438778</v>
      </c>
      <c r="Z92" s="116" t="n">
        <f aca="false">IF(Z90&gt;0,IF($C$20="BC",MIN(Z90-Z91,MAX(0,Y276+Z53-Z75)),MIN(Z90,MAX(0,Y276+Z53-Z75))),0)</f>
        <v>0.128965759690232</v>
      </c>
      <c r="AA92" s="116" t="n">
        <f aca="false">IF(AA90&gt;0,IF($C$20="BC",MIN(AA90-AA91,MAX(0,Z276+AA53-AA75)),MIN(AA90,MAX(0,Z276+AA53-AA75))),0)</f>
        <v>0.13237280985453</v>
      </c>
      <c r="AB92" s="116" t="n">
        <f aca="false">IF(AB90&gt;0,IF($C$20="BC",MIN(AB90-AB91,MAX(0,AA276+AB53-AB75)),MIN(AB90,MAX(0,AA276+AB53-AB75))),0)</f>
        <v>0.135792280408211</v>
      </c>
      <c r="AC92" s="116" t="n">
        <f aca="false">IF(AC90&gt;0,IF($C$20="BC",MIN(AC90-AC91,MAX(0,AB276+AC53-AC75)),MIN(AC90,MAX(0,AB276+AC53-AC75))),0)</f>
        <v>0.139238206629329</v>
      </c>
      <c r="AD92" s="116" t="n">
        <f aca="false">IF(AD90&gt;0,IF($C$20="BC",MIN(AD90-AD91,MAX(0,AC276+AD53-AD75)),MIN(AD90,MAX(0,AC276+AD53-AD75))),0)</f>
        <v>0.142719108170624</v>
      </c>
      <c r="AE92" s="116" t="n">
        <f aca="false">IF(AE90&gt;0,IF($C$20="BC",MIN(AE90-AE91,MAX(0,AD276+AE53-AE75)),MIN(AE90,MAX(0,AD276+AE53-AE75))),0)</f>
        <v>0.146236322828756</v>
      </c>
      <c r="AF92" s="116" t="n">
        <f aca="false">IF(AF90&gt;0,IF($C$20="BC",MIN(AF90-AF91,MAX(0,AE276+AF53-AF75)),MIN(AF90,MAX(0,AE276+AF53-AF75))),0)</f>
        <v>0.149791170155325</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0.094471620120185</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0.0513378668885665</v>
      </c>
      <c r="O94" s="116" t="n">
        <f aca="false">IF(O90&lt;0,-O90-O93,0)</f>
        <v>1.21202447713374</v>
      </c>
      <c r="P94" s="116" t="n">
        <f aca="false">IF(P90&lt;0,-P90-P93,0)</f>
        <v>0.268800586819189</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0.295667569309572</v>
      </c>
      <c r="D100" s="116" t="n">
        <f aca="false">$C$21*$C$22*D81</f>
        <v>0.781764299547855</v>
      </c>
      <c r="E100" s="116" t="n">
        <f aca="false">$C$21*$C$22*E81</f>
        <v>1.44422695749969</v>
      </c>
      <c r="F100" s="116" t="n">
        <f aca="false">$C$21*$C$22*F81</f>
        <v>2.96676901457693</v>
      </c>
      <c r="G100" s="116" t="n">
        <f aca="false">$C$21*$C$22*G81</f>
        <v>4.47429463539798</v>
      </c>
      <c r="H100" s="116" t="n">
        <f aca="false">$C$21*$C$22*H81</f>
        <v>5.72176675266671</v>
      </c>
      <c r="I100" s="116" t="n">
        <f aca="false">$C$21*$C$22*I81</f>
        <v>6.81441458562909</v>
      </c>
      <c r="J100" s="116" t="n">
        <f aca="false">$C$21*$C$22*J81</f>
        <v>7.77332917635104</v>
      </c>
      <c r="K100" s="116" t="n">
        <f aca="false">$C$21*$C$22*K81</f>
        <v>8.09488138163125</v>
      </c>
      <c r="L100" s="116" t="n">
        <f aca="false">$C$21*$C$22*L81</f>
        <v>8.41751443548344</v>
      </c>
      <c r="M100" s="116" t="n">
        <f aca="false">$C$21*$C$22*M81</f>
        <v>8.76844626753364</v>
      </c>
      <c r="N100" s="116" t="n">
        <f aca="false">$C$21*$C$22*N81</f>
        <v>9.14214226744501</v>
      </c>
      <c r="O100" s="116" t="n">
        <f aca="false">$C$21*$C$22*O81</f>
        <v>9.5109091835397</v>
      </c>
      <c r="P100" s="116" t="n">
        <f aca="false">$C$21*$C$22*P81</f>
        <v>9.85460528497115</v>
      </c>
      <c r="Q100" s="116" t="n">
        <f aca="false">$C$21*$C$22*Q81</f>
        <v>10.172256791773</v>
      </c>
      <c r="R100" s="116" t="n">
        <f aca="false">$C$21*$C$22*R81</f>
        <v>10.4686050253574</v>
      </c>
      <c r="S100" s="116" t="n">
        <f aca="false">$C$21*$C$22*S81</f>
        <v>10.7480223673186</v>
      </c>
      <c r="T100" s="116" t="n">
        <f aca="false">$C$21*$C$22*T81</f>
        <v>11.0146535154214</v>
      </c>
      <c r="U100" s="116" t="n">
        <f aca="false">$C$21*$C$22*U81</f>
        <v>11.2817353282346</v>
      </c>
      <c r="V100" s="116" t="n">
        <f aca="false">$C$21*$C$22*V81</f>
        <v>11.5496966141708</v>
      </c>
      <c r="W100" s="116" t="n">
        <f aca="false">$C$21*$C$22*W81</f>
        <v>11.8154843181782</v>
      </c>
      <c r="X100" s="116" t="n">
        <f aca="false">$C$21*$C$22*X81</f>
        <v>12.0795325289172</v>
      </c>
      <c r="Y100" s="116" t="n">
        <f aca="false">$C$21*$C$22*Y81</f>
        <v>12.3422764886925</v>
      </c>
      <c r="Z100" s="116" t="n">
        <f aca="false">$C$21*$C$22*Z81</f>
        <v>12.6041530148695</v>
      </c>
      <c r="AA100" s="116" t="n">
        <f aca="false">$C$21*$C$22*AA81</f>
        <v>12.8656012051082</v>
      </c>
      <c r="AB100" s="116" t="n">
        <f aca="false">$C$21*$C$22*AB81</f>
        <v>13.1271389105195</v>
      </c>
      <c r="AC100" s="116" t="n">
        <f aca="false">$C$21*$C$22*AC81</f>
        <v>13.3892862971276</v>
      </c>
      <c r="AD100" s="116" t="n">
        <f aca="false">$C$21*$C$22*AD81</f>
        <v>13.6525665807027</v>
      </c>
      <c r="AE100" s="116" t="n">
        <f aca="false">$C$21*$C$22*AE81</f>
        <v>13.9175067692675</v>
      </c>
      <c r="AF100" s="116" t="n">
        <f aca="false">$C$21*$C$22*AF81</f>
        <v>14.1846383859723</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0.000781764299547855</v>
      </c>
      <c r="F102" s="116" t="n">
        <f aca="false">E104*$C$24</f>
        <v>0.00144422695749969</v>
      </c>
      <c r="G102" s="116" t="n">
        <f aca="false">F104*$C$24</f>
        <v>0.00296676901457693</v>
      </c>
      <c r="H102" s="116" t="n">
        <f aca="false">G104*$C$24</f>
        <v>0.00447429463539798</v>
      </c>
      <c r="I102" s="116" t="n">
        <f aca="false">H104*$C$24</f>
        <v>0.00572176675266671</v>
      </c>
      <c r="J102" s="116" t="n">
        <f aca="false">I104*$C$24</f>
        <v>0.00681441458562909</v>
      </c>
      <c r="K102" s="116" t="n">
        <f aca="false">J104*$C$24</f>
        <v>0.00777332917635104</v>
      </c>
      <c r="L102" s="116" t="n">
        <f aca="false">K104*$C$24</f>
        <v>0.00809488138163125</v>
      </c>
      <c r="M102" s="116" t="n">
        <f aca="false">L104*$C$24</f>
        <v>0.00841751443548344</v>
      </c>
      <c r="N102" s="116" t="n">
        <f aca="false">M104*$C$24</f>
        <v>0.00876844626753364</v>
      </c>
      <c r="O102" s="116" t="n">
        <f aca="false">N104*$C$24</f>
        <v>0.00914214226744501</v>
      </c>
      <c r="P102" s="116" t="n">
        <f aca="false">O104*$C$24</f>
        <v>0.0095109091835397</v>
      </c>
      <c r="Q102" s="116" t="n">
        <f aca="false">P104*$C$24</f>
        <v>0.00985460528497115</v>
      </c>
      <c r="R102" s="116" t="n">
        <f aca="false">Q104*$C$24</f>
        <v>0.010172256791773</v>
      </c>
      <c r="S102" s="116" t="n">
        <f aca="false">R104*$C$24</f>
        <v>0.0104686050253574</v>
      </c>
      <c r="T102" s="116" t="n">
        <f aca="false">S104*$C$24</f>
        <v>0.0107480223673186</v>
      </c>
      <c r="U102" s="116" t="n">
        <f aca="false">T104*$C$24</f>
        <v>0.0110146535154214</v>
      </c>
      <c r="V102" s="116" t="n">
        <f aca="false">U104*$C$24</f>
        <v>0.0112817353282346</v>
      </c>
      <c r="W102" s="116" t="n">
        <f aca="false">V104*$C$24</f>
        <v>0.0115496966141708</v>
      </c>
      <c r="X102" s="116" t="n">
        <f aca="false">W104*$C$24</f>
        <v>0.0118154843181782</v>
      </c>
      <c r="Y102" s="116" t="n">
        <f aca="false">X104*$C$24</f>
        <v>0.0120795325289172</v>
      </c>
      <c r="Z102" s="116" t="n">
        <f aca="false">Y104*$C$24</f>
        <v>0.0123422764886925</v>
      </c>
      <c r="AA102" s="116" t="n">
        <f aca="false">Z104*$C$24</f>
        <v>0.0126041530148695</v>
      </c>
      <c r="AB102" s="116" t="n">
        <f aca="false">AA104*$C$24</f>
        <v>0.0128656012051082</v>
      </c>
      <c r="AC102" s="116" t="n">
        <f aca="false">AB104*$C$24</f>
        <v>0.0131271389105195</v>
      </c>
      <c r="AD102" s="116" t="n">
        <f aca="false">AC104*$C$24</f>
        <v>0.0133892862971276</v>
      </c>
      <c r="AE102" s="116" t="n">
        <f aca="false">AD104*$C$24</f>
        <v>0.0136525665807027</v>
      </c>
      <c r="AF102" s="116" t="n">
        <f aca="false">AE104*$C$24</f>
        <v>0.0139175067692675</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0.781764299547855</v>
      </c>
      <c r="E103" s="116" t="n">
        <f aca="false">MIN(MAX(0,E100-D104-E101),MAX(0,D276))</f>
        <v>0.662462657951834</v>
      </c>
      <c r="F103" s="116" t="n">
        <f aca="false">MIN(MAX(0,F100-E104-F101),MAX(0,E276))</f>
        <v>1.52254205707724</v>
      </c>
      <c r="G103" s="116" t="n">
        <f aca="false">MIN(MAX(0,G100-F104-G101),MAX(0,F276))</f>
        <v>1.50752562082106</v>
      </c>
      <c r="H103" s="116" t="n">
        <f aca="false">MIN(MAX(0,H100-G104-H101),MAX(0,G276))</f>
        <v>1.24747211726873</v>
      </c>
      <c r="I103" s="116" t="n">
        <f aca="false">MIN(MAX(0,I100-H104-I101),MAX(0,H276))</f>
        <v>1.09264783296238</v>
      </c>
      <c r="J103" s="116" t="n">
        <f aca="false">MIN(MAX(0,J100-I104-J101),MAX(0,I276))</f>
        <v>0.95891459072195</v>
      </c>
      <c r="K103" s="116" t="n">
        <f aca="false">MIN(MAX(0,K100-J104-K101),MAX(0,J276))</f>
        <v>0.321552205280211</v>
      </c>
      <c r="L103" s="116" t="n">
        <f aca="false">MIN(MAX(0,L100-K104-L101),MAX(0,K276))</f>
        <v>0.322633053852188</v>
      </c>
      <c r="M103" s="116" t="n">
        <f aca="false">MIN(MAX(0,M100-L104-M101),MAX(0,L276))</f>
        <v>0.350931832050197</v>
      </c>
      <c r="N103" s="116" t="n">
        <f aca="false">MIN(MAX(0,N100-M104-N101),MAX(0,M276))</f>
        <v>0.373695999911369</v>
      </c>
      <c r="O103" s="116" t="n">
        <f aca="false">MIN(MAX(0,O100-N104-O101),MAX(0,N276))</f>
        <v>0.368766916094694</v>
      </c>
      <c r="P103" s="116" t="n">
        <f aca="false">MIN(MAX(0,P100-O104-P101),MAX(0,O276))</f>
        <v>0.343696101431449</v>
      </c>
      <c r="Q103" s="116" t="n">
        <f aca="false">MIN(MAX(0,Q100-P104-Q101),MAX(0,P276))</f>
        <v>0.317651506801802</v>
      </c>
      <c r="R103" s="116" t="n">
        <f aca="false">MIN(MAX(0,R100-Q104-R101),MAX(0,Q276))</f>
        <v>0.296348233584482</v>
      </c>
      <c r="S103" s="116" t="n">
        <f aca="false">MIN(MAX(0,S100-R104-S101),MAX(0,R276))</f>
        <v>0.279417341961167</v>
      </c>
      <c r="T103" s="116" t="n">
        <f aca="false">MIN(MAX(0,T100-S104-T101),MAX(0,S276))</f>
        <v>0.266631148102787</v>
      </c>
      <c r="U103" s="116" t="n">
        <f aca="false">MIN(MAX(0,U100-T104-U101),MAX(0,T276))</f>
        <v>0.267081812813204</v>
      </c>
      <c r="V103" s="116" t="n">
        <f aca="false">MIN(MAX(0,V100-U104-V101),MAX(0,U276))</f>
        <v>0.26796128593625</v>
      </c>
      <c r="W103" s="116" t="n">
        <f aca="false">MIN(MAX(0,W100-V104-W101),MAX(0,V276))</f>
        <v>0.265787704007343</v>
      </c>
      <c r="X103" s="116" t="n">
        <f aca="false">MIN(MAX(0,X100-W104-X101),MAX(0,W276))</f>
        <v>0.264048210739027</v>
      </c>
      <c r="Y103" s="116" t="n">
        <f aca="false">MIN(MAX(0,Y100-X104-Y101),MAX(0,X276))</f>
        <v>0.26274395977531</v>
      </c>
      <c r="Z103" s="116" t="n">
        <f aca="false">MIN(MAX(0,Z100-Y104-Z101),MAX(0,Y276))</f>
        <v>0.261876526176977</v>
      </c>
      <c r="AA103" s="116" t="n">
        <f aca="false">MIN(MAX(0,AA100-Z104-AA101),MAX(0,Z276))</f>
        <v>0.261448190238692</v>
      </c>
      <c r="AB103" s="116" t="n">
        <f aca="false">MIN(MAX(0,AB100-AA104-AB101),MAX(0,AA276))</f>
        <v>0.261537705411303</v>
      </c>
      <c r="AC103" s="116" t="n">
        <f aca="false">MIN(MAX(0,AC100-AB104-AC101),MAX(0,AB276))</f>
        <v>0.262147386608087</v>
      </c>
      <c r="AD103" s="116" t="n">
        <f aca="false">MIN(MAX(0,AD100-AC104-AD101),MAX(0,AC276))</f>
        <v>0.263280283575128</v>
      </c>
      <c r="AE103" s="116" t="n">
        <f aca="false">MIN(MAX(0,AE100-AD104-AE101),MAX(0,AD276))</f>
        <v>0.264940188564765</v>
      </c>
      <c r="AF103" s="116" t="n">
        <f aca="false">MIN(MAX(0,AF100-AE104-AF101),MAX(0,AE276))</f>
        <v>0.267131616704846</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0.781764299547855</v>
      </c>
      <c r="E104" s="136" t="n">
        <f aca="false">D104+E101+E103</f>
        <v>1.44422695749969</v>
      </c>
      <c r="F104" s="136" t="n">
        <f aca="false">E104+F101+F103</f>
        <v>2.96676901457693</v>
      </c>
      <c r="G104" s="136" t="n">
        <f aca="false">F104+G101+G103</f>
        <v>4.47429463539798</v>
      </c>
      <c r="H104" s="136" t="n">
        <f aca="false">G104+H101+H103</f>
        <v>5.72176675266671</v>
      </c>
      <c r="I104" s="136" t="n">
        <f aca="false">H104+I101+I103</f>
        <v>6.81441458562909</v>
      </c>
      <c r="J104" s="136" t="n">
        <f aca="false">I104+J101+J103</f>
        <v>7.77332917635104</v>
      </c>
      <c r="K104" s="136" t="n">
        <f aca="false">J104+K101+K103</f>
        <v>8.09488138163125</v>
      </c>
      <c r="L104" s="136" t="n">
        <f aca="false">K104+L101+L103</f>
        <v>8.41751443548344</v>
      </c>
      <c r="M104" s="136" t="n">
        <f aca="false">L104+M101+M103</f>
        <v>8.76844626753364</v>
      </c>
      <c r="N104" s="136" t="n">
        <f aca="false">M104+N101+N103</f>
        <v>9.14214226744501</v>
      </c>
      <c r="O104" s="136" t="n">
        <f aca="false">N104+O101+O103</f>
        <v>9.5109091835397</v>
      </c>
      <c r="P104" s="136" t="n">
        <f aca="false">O104+P101+P103</f>
        <v>9.85460528497115</v>
      </c>
      <c r="Q104" s="136" t="n">
        <f aca="false">P104+Q101+Q103</f>
        <v>10.172256791773</v>
      </c>
      <c r="R104" s="136" t="n">
        <f aca="false">Q104+R101+R103</f>
        <v>10.4686050253574</v>
      </c>
      <c r="S104" s="136" t="n">
        <f aca="false">R104+S101+S103</f>
        <v>10.7480223673186</v>
      </c>
      <c r="T104" s="136" t="n">
        <f aca="false">S104+T101+T103</f>
        <v>11.0146535154214</v>
      </c>
      <c r="U104" s="136" t="n">
        <f aca="false">T104+U101+U103</f>
        <v>11.2817353282346</v>
      </c>
      <c r="V104" s="136" t="n">
        <f aca="false">U104+V101+V103</f>
        <v>11.5496966141708</v>
      </c>
      <c r="W104" s="136" t="n">
        <f aca="false">V104+W101+W103</f>
        <v>11.8154843181782</v>
      </c>
      <c r="X104" s="136" t="n">
        <f aca="false">W104+X101+X103</f>
        <v>12.0795325289172</v>
      </c>
      <c r="Y104" s="136" t="n">
        <f aca="false">X104+Y101+Y103</f>
        <v>12.3422764886925</v>
      </c>
      <c r="Z104" s="136" t="n">
        <f aca="false">Y104+Z101+Z103</f>
        <v>12.6041530148695</v>
      </c>
      <c r="AA104" s="136" t="n">
        <f aca="false">Z104+AA101+AA103</f>
        <v>12.8656012051082</v>
      </c>
      <c r="AB104" s="136" t="n">
        <f aca="false">AA104+AB101+AB103</f>
        <v>13.1271389105195</v>
      </c>
      <c r="AC104" s="136" t="n">
        <f aca="false">AB104+AC101+AC103</f>
        <v>13.3892862971276</v>
      </c>
      <c r="AD104" s="136" t="n">
        <f aca="false">AC104+AD101+AD103</f>
        <v>13.6525665807027</v>
      </c>
      <c r="AE104" s="136" t="n">
        <f aca="false">AD104+AE101+AE103</f>
        <v>13.9175067692675</v>
      </c>
      <c r="AF104" s="136" t="n">
        <f aca="false">AE104+AF101+AF103</f>
        <v>14.1846383859723</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6.08767078810544</v>
      </c>
      <c r="E105" s="139" t="n">
        <f aca="false">E104/($C$36*(1+$C$23)^(E$39-1))</f>
        <v>11.246328676879</v>
      </c>
      <c r="F105" s="139" t="n">
        <f aca="false">F104/($C$36*(1+$C$23)^(F$39-1))</f>
        <v>23.1025042657256</v>
      </c>
      <c r="G105" s="139" t="n">
        <f aca="false">G104/($C$36*(1+$C$23)^(G$39-1))</f>
        <v>34.8417454788389</v>
      </c>
      <c r="H105" s="139" t="n">
        <f aca="false">H104/($C$36*(1+$C$23)^(H$39-1))</f>
        <v>44.5559260466458</v>
      </c>
      <c r="I105" s="139" t="n">
        <f aca="false">I104/($C$36*(1+$C$23)^(I$39-1))</f>
        <v>53.0644756162013</v>
      </c>
      <c r="J105" s="139" t="n">
        <f aca="false">J104/($C$36*(1+$C$23)^(J$39-1))</f>
        <v>60.5316320796038</v>
      </c>
      <c r="K105" s="139" t="n">
        <f aca="false">K104/($C$36*(1+$C$23)^(K$39-1))</f>
        <v>63.0355887940091</v>
      </c>
      <c r="L105" s="139" t="n">
        <f aca="false">L104/($C$36*(1+$C$23)^(L$39-1))</f>
        <v>65.5479621760492</v>
      </c>
      <c r="M105" s="139" t="n">
        <f aca="false">M104/($C$36*(1+$C$23)^(M$39-1))</f>
        <v>68.280700757005</v>
      </c>
      <c r="N105" s="139" t="n">
        <f aca="false">N104/($C$36*(1+$C$23)^(N$39-1))</f>
        <v>71.1907060151218</v>
      </c>
      <c r="O105" s="139" t="n">
        <f aca="false">O104/($C$36*(1+$C$23)^(O$39-1))</f>
        <v>74.0623280424103</v>
      </c>
      <c r="P105" s="139" t="n">
        <f aca="false">P104/($C$36*(1+$C$23)^(P$39-1))</f>
        <v>76.738721320896</v>
      </c>
      <c r="Q105" s="139" t="n">
        <f aca="false">Q104/($C$36*(1+$C$23)^(Q$39-1))</f>
        <v>79.2123029360624</v>
      </c>
      <c r="R105" s="139" t="n">
        <f aca="false">R104/($C$36*(1+$C$23)^(R$39-1))</f>
        <v>81.5199939955573</v>
      </c>
      <c r="S105" s="139" t="n">
        <f aca="false">S104/($C$36*(1+$C$23)^(S$39-1))</f>
        <v>83.6958426385958</v>
      </c>
      <c r="T105" s="139" t="n">
        <f aca="false">T104/($C$36*(1+$C$23)^(T$39-1))</f>
        <v>85.7721240093914</v>
      </c>
      <c r="U105" s="139" t="n">
        <f aca="false">U104/($C$36*(1+$C$23)^(U$39-1))</f>
        <v>87.8519147479012</v>
      </c>
      <c r="V105" s="139" t="n">
        <f aca="false">V104/($C$36*(1+$C$23)^(V$39-1))</f>
        <v>89.93855402483</v>
      </c>
      <c r="W105" s="139" t="n">
        <f aca="false">W104/($C$36*(1+$C$23)^(W$39-1))</f>
        <v>92.0082674185715</v>
      </c>
      <c r="X105" s="139" t="n">
        <f aca="false">X104/($C$36*(1+$C$23)^(X$39-1))</f>
        <v>94.0644352176091</v>
      </c>
      <c r="Y105" s="139" t="n">
        <f aca="false">Y104/($C$36*(1+$C$23)^(Y$39-1))</f>
        <v>96.1104466939586</v>
      </c>
      <c r="Z105" s="139" t="n">
        <f aca="false">Z104/($C$36*(1+$C$23)^(Z$39-1))</f>
        <v>98.1497033847798</v>
      </c>
      <c r="AA105" s="139" t="n">
        <f aca="false">AA104/($C$36*(1+$C$23)^(AA$39-1))</f>
        <v>100.185624584097</v>
      </c>
      <c r="AB105" s="139" t="n">
        <f aca="false">AB104/($C$36*(1+$C$23)^(AB$39-1))</f>
        <v>102.22224284633</v>
      </c>
      <c r="AC105" s="139" t="n">
        <f aca="false">AC104/($C$36*(1+$C$23)^(AC$39-1))</f>
        <v>104.263608752339</v>
      </c>
      <c r="AD105" s="139" t="n">
        <f aca="false">AD104/($C$36*(1+$C$23)^(AD$39-1))</f>
        <v>106.313796631642</v>
      </c>
      <c r="AE105" s="139" t="n">
        <f aca="false">AE104/($C$36*(1+$C$23)^(AE$39-1))</f>
        <v>108.376910344373</v>
      </c>
      <c r="AF105" s="139" t="n">
        <f aca="false">AF104/($C$36*(1+$C$23)^(AF$39-1))</f>
        <v>110.457088910386</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0.278766283731562</v>
      </c>
      <c r="D107" s="116" t="n">
        <f aca="false">D87*(1-$C$340)*$C$175+D85*01_Supuestos!$I$126+D55*D88</f>
        <v>0.728086950476656</v>
      </c>
      <c r="E107" s="116" t="n">
        <f aca="false">E87*(1-$C$340)*$C$175+E85*01_Supuestos!$I$126+E55*E88</f>
        <v>1.27771405837555</v>
      </c>
      <c r="F107" s="116" t="n">
        <f aca="false">F87*(1-$C$340)*$C$175+F85*01_Supuestos!$I$126+F55*F88</f>
        <v>1.82799122958628</v>
      </c>
      <c r="G107" s="116" t="n">
        <f aca="false">G87*(1-$C$340)*$C$175+G85*01_Supuestos!$I$126+G55*G88</f>
        <v>2.39163495114215</v>
      </c>
      <c r="H107" s="116" t="n">
        <f aca="false">H87*(1-$C$340)*$C$175+H85*01_Supuestos!$I$126+H55*H88</f>
        <v>2.97242570966181</v>
      </c>
      <c r="I107" s="116" t="n">
        <f aca="false">I87*(1-$C$340)*$C$175+I85*01_Supuestos!$I$126+I55*I88</f>
        <v>3.56917941035476</v>
      </c>
      <c r="J107" s="116" t="n">
        <f aca="false">J87*(1-$C$340)*$C$175+J85*01_Supuestos!$I$126+J55*J88</f>
        <v>4.1819133002552</v>
      </c>
      <c r="K107" s="116" t="n">
        <f aca="false">K87*(1-$C$340)*$C$175+K85*01_Supuestos!$I$126+K55*K88</f>
        <v>4.81809957673045</v>
      </c>
      <c r="L107" s="116" t="n">
        <f aca="false">L87*(1-$C$340)*$C$175+L85*01_Supuestos!$I$126+L55*L88</f>
        <v>5.46900776805011</v>
      </c>
      <c r="M107" s="116" t="n">
        <f aca="false">M87*(1-$C$340)*$C$175+M85*01_Supuestos!$I$126+M55*M88</f>
        <v>6.16346646332537</v>
      </c>
      <c r="N107" s="116" t="n">
        <f aca="false">N87*(1-$C$340)*$C$175+N85*01_Supuestos!$I$126+N55*N88</f>
        <v>6.57900164443732</v>
      </c>
      <c r="O107" s="116" t="n">
        <f aca="false">O87*(1-$C$340)*$C$175+O85*01_Supuestos!$I$126+O55*O88</f>
        <v>6.72891264965995</v>
      </c>
      <c r="P107" s="116" t="n">
        <f aca="false">P87*(1-$C$340)*$C$175+P85*01_Supuestos!$I$126+P55*P88</f>
        <v>6.88256925181978</v>
      </c>
      <c r="Q107" s="116" t="n">
        <f aca="false">Q87*(1-$C$340)*$C$175+Q85*01_Supuestos!$I$126+Q55*Q88</f>
        <v>7.0400611227749</v>
      </c>
      <c r="R107" s="116" t="n">
        <f aca="false">R87*(1-$C$340)*$C$175+R85*01_Supuestos!$I$126+R55*R88</f>
        <v>7.20142909948859</v>
      </c>
      <c r="S107" s="116" t="n">
        <f aca="false">S87*(1-$C$340)*$C$175+S85*01_Supuestos!$I$126+S55*S88</f>
        <v>7.36671919842543</v>
      </c>
      <c r="T107" s="116" t="n">
        <f aca="false">T87*(1-$C$340)*$C$175+T85*01_Supuestos!$I$126+T55*T88</f>
        <v>7.53598140632206</v>
      </c>
      <c r="U107" s="116" t="n">
        <f aca="false">U87*(1-$C$340)*$C$175+U85*01_Supuestos!$I$126+U55*U88</f>
        <v>7.70918704870672</v>
      </c>
      <c r="V107" s="116" t="n">
        <f aca="false">V87*(1-$C$340)*$C$175+V85*01_Supuestos!$I$126+V55*V88</f>
        <v>7.88642311256366</v>
      </c>
      <c r="W107" s="116" t="n">
        <f aca="false">W87*(1-$C$340)*$C$175+W85*01_Supuestos!$I$126+W55*W88</f>
        <v>8.06780956067965</v>
      </c>
      <c r="X107" s="116" t="n">
        <f aca="false">X87*(1-$C$340)*$C$175+X85*01_Supuestos!$I$126+X55*X88</f>
        <v>8.2534375576097</v>
      </c>
      <c r="Y107" s="116" t="n">
        <f aca="false">Y87*(1-$C$340)*$C$175+Y85*01_Supuestos!$I$126+Y55*Y88</f>
        <v>8.44340044302803</v>
      </c>
      <c r="Z107" s="116" t="n">
        <f aca="false">Z87*(1-$C$340)*$C$175+Z85*01_Supuestos!$I$126+Z55*Z88</f>
        <v>8.63779377825278</v>
      </c>
      <c r="AA107" s="116" t="n">
        <f aca="false">AA87*(1-$C$340)*$C$175+AA85*01_Supuestos!$I$126+AA55*AA88</f>
        <v>8.83671539140907</v>
      </c>
      <c r="AB107" s="116" t="n">
        <f aca="false">AB87*(1-$C$340)*$C$175+AB85*01_Supuestos!$I$126+AB55*AB88</f>
        <v>9.04026475163745</v>
      </c>
      <c r="AC107" s="116" t="n">
        <f aca="false">AC87*(1-$C$340)*$C$175+AC85*01_Supuestos!$I$126+AC55*AC88</f>
        <v>9.24854370099184</v>
      </c>
      <c r="AD107" s="116" t="n">
        <f aca="false">AD87*(1-$C$340)*$C$175+AD85*01_Supuestos!$I$126+AD55*AD88</f>
        <v>9.46165650297012</v>
      </c>
      <c r="AE107" s="116" t="n">
        <f aca="false">AE87*(1-$C$340)*$C$175+AE85*01_Supuestos!$I$126+AE55*AE88</f>
        <v>9.67970989224283</v>
      </c>
      <c r="AF107" s="116" t="n">
        <f aca="false">AF87*(1-$C$340)*$C$175+AF85*01_Supuestos!$I$126+AF55*AF88</f>
        <v>9.90281312585128</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0.0125277641376345</v>
      </c>
      <c r="F109" s="116" t="n">
        <f aca="false">(F70+E121)*(0.3*$C$5+0.25*01_Supuestos!$I$134)/0.55-E227*$C$5</f>
        <v>0.413869558173333</v>
      </c>
      <c r="G109" s="116" t="n">
        <f aca="false">(G70+F121)*(0.3*$C$5+0.25*01_Supuestos!$I$134)/0.55-F227*$C$5</f>
        <v>0.801101324977503</v>
      </c>
      <c r="H109" s="116" t="n">
        <f aca="false">(H70+G121)*(0.3*$C$5+0.25*01_Supuestos!$I$134)/0.55-G227*$C$5</f>
        <v>1.18914600788707</v>
      </c>
      <c r="I109" s="116" t="n">
        <f aca="false">(I70+H121)*(0.3*$C$5+0.25*01_Supuestos!$I$134)/0.55-H227*$C$5</f>
        <v>1.57801735734836</v>
      </c>
      <c r="J109" s="116" t="n">
        <f aca="false">(J70+I121)*(0.3*$C$5+0.25*01_Supuestos!$I$134)/0.55-I227*$C$5</f>
        <v>1.96772938501607</v>
      </c>
      <c r="K109" s="116" t="n">
        <f aca="false">(K70+J121)*(0.3*$C$5+0.25*01_Supuestos!$I$134)/0.55-J227*$C$5</f>
        <v>2.14004596773668</v>
      </c>
      <c r="L109" s="116" t="n">
        <f aca="false">(L70+K121)*(0.3*$C$5+0.25*01_Supuestos!$I$134)/0.55-K227*$C$5</f>
        <v>2.31314395935687</v>
      </c>
      <c r="M109" s="116" t="n">
        <f aca="false">(M70+L121)*(0.3*$C$5+0.25*01_Supuestos!$I$134)/0.55-L227*$C$5</f>
        <v>2.42208471644124</v>
      </c>
      <c r="N109" s="116" t="n">
        <f aca="false">(N70+M121)*(0.3*$C$5+0.25*01_Supuestos!$I$134)/0.55-M227*$C$5</f>
        <v>2.56421986632752</v>
      </c>
      <c r="O109" s="116" t="n">
        <f aca="false">(O70+N121)*(0.3*$C$5+0.25*01_Supuestos!$I$134)/0.55-N227*$C$5</f>
        <v>2.71817681537753</v>
      </c>
      <c r="P109" s="116" t="n">
        <f aca="false">(P70+O121)*(0.3*$C$5+0.25*01_Supuestos!$I$134)/0.55-O227*$C$5</f>
        <v>2.87813051067529</v>
      </c>
      <c r="Q109" s="116" t="n">
        <f aca="false">(Q70+P121)*(0.3*$C$5+0.25*01_Supuestos!$I$134)/0.55-P227*$C$5</f>
        <v>3.04319077781745</v>
      </c>
      <c r="R109" s="116" t="n">
        <f aca="false">(R70+Q121)*(0.3*$C$5+0.25*01_Supuestos!$I$134)/0.55-Q227*$C$5</f>
        <v>3.21085856160937</v>
      </c>
      <c r="S109" s="116" t="n">
        <f aca="false">(S70+R121)*(0.3*$C$5+0.25*01_Supuestos!$I$134)/0.55-R227*$C$5</f>
        <v>3.37971236938108</v>
      </c>
      <c r="T109" s="116" t="n">
        <f aca="false">(T70+S121)*(0.3*$C$5+0.25*01_Supuestos!$I$134)/0.55-S227*$C$5</f>
        <v>3.54895402036458</v>
      </c>
      <c r="U109" s="116" t="n">
        <f aca="false">(U70+T121)*(0.3*$C$5+0.25*01_Supuestos!$I$134)/0.55-T227*$C$5</f>
        <v>3.71805623073527</v>
      </c>
      <c r="V109" s="116" t="n">
        <f aca="false">(V70+U121)*(0.3*$C$5+0.25*01_Supuestos!$I$134)/0.55-U227*$C$5</f>
        <v>3.88748573482143</v>
      </c>
      <c r="W109" s="116" t="n">
        <f aca="false">(W70+V121)*(0.3*$C$5+0.25*01_Supuestos!$I$134)/0.55-V227*$C$5</f>
        <v>4.05769736676287</v>
      </c>
      <c r="X109" s="116" t="n">
        <f aca="false">(X70+W121)*(0.3*$C$5+0.25*01_Supuestos!$I$134)/0.55-W227*$C$5</f>
        <v>4.22914485013658</v>
      </c>
      <c r="Y109" s="116" t="n">
        <f aca="false">(Y70+X121)*(0.3*$C$5+0.25*01_Supuestos!$I$134)/0.55-X227*$C$5</f>
        <v>4.4022806658785</v>
      </c>
      <c r="Z109" s="116" t="n">
        <f aca="false">(Z70+Y121)*(0.3*$C$5+0.25*01_Supuestos!$I$134)/0.55-Y227*$C$5</f>
        <v>4.57755642766904</v>
      </c>
      <c r="AA109" s="116" t="n">
        <f aca="false">(AA70+Z121)*(0.3*$C$5+0.25*01_Supuestos!$I$134)/0.55-Z227*$C$5</f>
        <v>4.75542352412919</v>
      </c>
      <c r="AB109" s="116" t="n">
        <f aca="false">(AB70+AA121)*(0.3*$C$5+0.25*01_Supuestos!$I$134)/0.55-AA227*$C$5</f>
        <v>4.93633365281696</v>
      </c>
      <c r="AC109" s="116" t="n">
        <f aca="false">(AC70+AB121)*(0.3*$C$5+0.25*01_Supuestos!$I$134)/0.55-AB227*$C$5</f>
        <v>5.12073949700864</v>
      </c>
      <c r="AD109" s="116" t="n">
        <f aca="false">(AD70+AC121)*(0.3*$C$5+0.25*01_Supuestos!$I$134)/0.55-AC227*$C$5</f>
        <v>5.30909541921418</v>
      </c>
      <c r="AE109" s="116" t="n">
        <f aca="false">(AE70+AD121)*(0.3*$C$5+0.25*01_Supuestos!$I$134)/0.55-AD227*$C$5</f>
        <v>5.50185816110246</v>
      </c>
      <c r="AF109" s="116" t="n">
        <f aca="false">(AF70+AE121)*(0.3*$C$5+0.25*01_Supuestos!$I$134)/0.55-AE227*$C$5</f>
        <v>5.69948752405922</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0.731469182184275</v>
      </c>
      <c r="E110" s="116" t="n">
        <f aca="false">D120*$C$10</f>
        <v>1.43991694394631</v>
      </c>
      <c r="F110" s="116" t="n">
        <f aca="false">E120*$C$10</f>
        <v>2.1587637330331</v>
      </c>
      <c r="G110" s="116" t="n">
        <f aca="false">F120*$C$10</f>
        <v>2.71405114770644</v>
      </c>
      <c r="H110" s="116" t="n">
        <f aca="false">G120*$C$10</f>
        <v>3.23309413090033</v>
      </c>
      <c r="I110" s="116" t="n">
        <f aca="false">H120*$C$10</f>
        <v>3.73604233502885</v>
      </c>
      <c r="J110" s="116" t="n">
        <f aca="false">I120*$C$10</f>
        <v>4.24164030821717</v>
      </c>
      <c r="K110" s="116" t="n">
        <f aca="false">J120*$C$10</f>
        <v>4.76187091569408</v>
      </c>
      <c r="L110" s="116" t="n">
        <f aca="false">K120*$C$10</f>
        <v>5.34604553347761</v>
      </c>
      <c r="M110" s="116" t="n">
        <f aca="false">L120*$C$10</f>
        <v>5.94046510611688</v>
      </c>
      <c r="N110" s="116" t="n">
        <f aca="false">M120*$C$10</f>
        <v>5.92152342603799</v>
      </c>
      <c r="O110" s="116" t="n">
        <f aca="false">N120*$C$10</f>
        <v>5.96058083488707</v>
      </c>
      <c r="P110" s="116" t="n">
        <f aca="false">O120*$C$10</f>
        <v>6.04180680818855</v>
      </c>
      <c r="Q110" s="116" t="n">
        <f aca="false">P120*$C$10</f>
        <v>6.09230683327565</v>
      </c>
      <c r="R110" s="116" t="n">
        <f aca="false">Q120*$C$10</f>
        <v>6.13211583973536</v>
      </c>
      <c r="S110" s="116" t="n">
        <f aca="false">R120*$C$10</f>
        <v>6.17402701665698</v>
      </c>
      <c r="T110" s="116" t="n">
        <f aca="false">S120*$C$10</f>
        <v>6.21795506952836</v>
      </c>
      <c r="U110" s="116" t="n">
        <f aca="false">T120*$C$10</f>
        <v>6.2638045006567</v>
      </c>
      <c r="V110" s="116" t="n">
        <f aca="false">U120*$C$10</f>
        <v>6.31127589888636</v>
      </c>
      <c r="W110" s="116" t="n">
        <f aca="false">V120*$C$10</f>
        <v>6.36031239057062</v>
      </c>
      <c r="X110" s="116" t="n">
        <f aca="false">W120*$C$10</f>
        <v>6.41098087330739</v>
      </c>
      <c r="Y110" s="116" t="n">
        <f aca="false">X120*$C$10</f>
        <v>6.46333115611154</v>
      </c>
      <c r="Z110" s="116" t="n">
        <f aca="false">Y120*$C$10</f>
        <v>6.51740573680778</v>
      </c>
      <c r="AA110" s="116" t="n">
        <f aca="false">Z120*$C$10</f>
        <v>6.57323699319038</v>
      </c>
      <c r="AB110" s="116" t="n">
        <f aca="false">AA120*$C$10</f>
        <v>6.63085850969531</v>
      </c>
      <c r="AC110" s="116" t="n">
        <f aca="false">AB120*$C$10</f>
        <v>6.69030336182969</v>
      </c>
      <c r="AD110" s="116" t="n">
        <f aca="false">AC120*$C$10</f>
        <v>6.75160546015608</v>
      </c>
      <c r="AE110" s="116" t="n">
        <f aca="false">AD120*$C$10</f>
        <v>6.81479975597659</v>
      </c>
      <c r="AF110" s="116" t="n">
        <f aca="false">AE120*$C$10</f>
        <v>6.87992250611179</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0.55357665388876</v>
      </c>
      <c r="D111" s="136" t="n">
        <f aca="false">D69*01_Supuestos!$I$107-D218</f>
        <v>1.42828368911724</v>
      </c>
      <c r="E111" s="136" t="n">
        <f aca="false">E69*01_Supuestos!$I$107-E218</f>
        <v>2.56406832333937</v>
      </c>
      <c r="F111" s="136" t="n">
        <f aca="false">F69*01_Supuestos!$I$107-F218</f>
        <v>5.25823646792848</v>
      </c>
      <c r="G111" s="136" t="n">
        <f aca="false">G69*01_Supuestos!$I$107-G218</f>
        <v>7.81445218707433</v>
      </c>
      <c r="H111" s="136" t="n">
        <f aca="false">H69*01_Supuestos!$I$107-H218</f>
        <v>9.75353412410511</v>
      </c>
      <c r="I111" s="136" t="n">
        <f aca="false">I69*01_Supuestos!$I$107-I218</f>
        <v>11.3121603976831</v>
      </c>
      <c r="J111" s="136" t="n">
        <f aca="false">J69*01_Supuestos!$I$107-J218</f>
        <v>12.554344116208</v>
      </c>
      <c r="K111" s="136" t="n">
        <f aca="false">K69*01_Supuestos!$I$107-K218</f>
        <v>12.5430959657652</v>
      </c>
      <c r="L111" s="136" t="n">
        <f aca="false">L69*01_Supuestos!$I$107-L218</f>
        <v>12.5539291709401</v>
      </c>
      <c r="M111" s="136" t="n">
        <f aca="false">M69*01_Supuestos!$I$107-M218</f>
        <v>12.6040041356533</v>
      </c>
      <c r="N111" s="136" t="n">
        <f aca="false">N69*01_Supuestos!$I$107-N218</f>
        <v>12.7022057898569</v>
      </c>
      <c r="O111" s="136" t="n">
        <f aca="false">O69*01_Supuestos!$I$107-O218</f>
        <v>12.8551610729204</v>
      </c>
      <c r="P111" s="136" t="n">
        <f aca="false">P69*01_Supuestos!$I$107-P218</f>
        <v>13.1006576867833</v>
      </c>
      <c r="Q111" s="136" t="n">
        <f aca="false">Q69*01_Supuestos!$I$107-Q218</f>
        <v>13.4328728308249</v>
      </c>
      <c r="R111" s="136" t="n">
        <f aca="false">R69*01_Supuestos!$I$107-R218</f>
        <v>13.8234517264671</v>
      </c>
      <c r="S111" s="136" t="n">
        <f aca="false">S69*01_Supuestos!$I$107-S218</f>
        <v>14.2572928032501</v>
      </c>
      <c r="T111" s="136" t="n">
        <f aca="false">T69*01_Supuestos!$I$107-T218</f>
        <v>14.7219636118845</v>
      </c>
      <c r="U111" s="136" t="n">
        <f aca="false">U69*01_Supuestos!$I$107-U218</f>
        <v>15.174255795122</v>
      </c>
      <c r="V111" s="136" t="n">
        <f aca="false">V69*01_Supuestos!$I$107-V218</f>
        <v>15.6149317737772</v>
      </c>
      <c r="W111" s="136" t="n">
        <f aca="false">W69*01_Supuestos!$I$107-W218</f>
        <v>16.0447139309782</v>
      </c>
      <c r="X111" s="136" t="n">
        <f aca="false">X69*01_Supuestos!$I$107-X218</f>
        <v>16.4642873941887</v>
      </c>
      <c r="Y111" s="136" t="n">
        <f aca="false">Y69*01_Supuestos!$I$107-Y218</f>
        <v>16.8743026407694</v>
      </c>
      <c r="Z111" s="136" t="n">
        <f aca="false">Z69*01_Supuestos!$I$107-Z218</f>
        <v>17.2753779385507</v>
      </c>
      <c r="AA111" s="136" t="n">
        <f aca="false">AA69*01_Supuestos!$I$107-AA218</f>
        <v>17.6681016321512</v>
      </c>
      <c r="AB111" s="136" t="n">
        <f aca="false">AB69*01_Supuestos!$I$107-AB218</f>
        <v>18.0530342850812</v>
      </c>
      <c r="AC111" s="136" t="n">
        <f aca="false">AC69*01_Supuestos!$I$107-AC218</f>
        <v>18.4307106870257</v>
      </c>
      <c r="AD111" s="136" t="n">
        <f aca="false">AD69*01_Supuestos!$I$107-AD218</f>
        <v>18.8016417350931</v>
      </c>
      <c r="AE111" s="136" t="n">
        <f aca="false">AE69*01_Supuestos!$I$107-AE218</f>
        <v>19.1663161972498</v>
      </c>
      <c r="AF111" s="136" t="n">
        <f aca="false">AF69*01_Supuestos!$I$107-AF218</f>
        <v>19.5252023656322</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0.0118267027723829</v>
      </c>
      <c r="D112" s="116" t="n">
        <f aca="false">D81*$C$7</f>
        <v>0.0312705719819142</v>
      </c>
      <c r="E112" s="116" t="n">
        <f aca="false">E81*$C$7</f>
        <v>0.0577690782999876</v>
      </c>
      <c r="F112" s="116" t="n">
        <f aca="false">F81*$C$7</f>
        <v>0.118670760583077</v>
      </c>
      <c r="G112" s="116" t="n">
        <f aca="false">G81*$C$7</f>
        <v>0.178971785415919</v>
      </c>
      <c r="H112" s="116" t="n">
        <f aca="false">H81*$C$7</f>
        <v>0.228870670106668</v>
      </c>
      <c r="I112" s="116" t="n">
        <f aca="false">I81*$C$7</f>
        <v>0.272576583425164</v>
      </c>
      <c r="J112" s="116" t="n">
        <f aca="false">J81*$C$7</f>
        <v>0.310933167054042</v>
      </c>
      <c r="K112" s="116" t="n">
        <f aca="false">K81*$C$7</f>
        <v>0.32379525526525</v>
      </c>
      <c r="L112" s="116" t="n">
        <f aca="false">L81*$C$7</f>
        <v>0.336700577419338</v>
      </c>
      <c r="M112" s="116" t="n">
        <f aca="false">M81*$C$7</f>
        <v>0.350737850701345</v>
      </c>
      <c r="N112" s="116" t="n">
        <f aca="false">N81*$C$7</f>
        <v>0.3656856906978</v>
      </c>
      <c r="O112" s="116" t="n">
        <f aca="false">O81*$C$7</f>
        <v>0.380436367341588</v>
      </c>
      <c r="P112" s="116" t="n">
        <f aca="false">P81*$C$7</f>
        <v>0.394184211398846</v>
      </c>
      <c r="Q112" s="116" t="n">
        <f aca="false">Q81*$C$7</f>
        <v>0.406890271670918</v>
      </c>
      <c r="R112" s="116" t="n">
        <f aca="false">R81*$C$7</f>
        <v>0.418744201014297</v>
      </c>
      <c r="S112" s="116" t="n">
        <f aca="false">S81*$C$7</f>
        <v>0.429920894692744</v>
      </c>
      <c r="T112" s="116" t="n">
        <f aca="false">T81*$C$7</f>
        <v>0.440586140616856</v>
      </c>
      <c r="U112" s="116" t="n">
        <f aca="false">U81*$C$7</f>
        <v>0.451269413129384</v>
      </c>
      <c r="V112" s="116" t="n">
        <f aca="false">V81*$C$7</f>
        <v>0.461987864566834</v>
      </c>
      <c r="W112" s="116" t="n">
        <f aca="false">W81*$C$7</f>
        <v>0.472619372727127</v>
      </c>
      <c r="X112" s="116" t="n">
        <f aca="false">X81*$C$7</f>
        <v>0.483181301156689</v>
      </c>
      <c r="Y112" s="116" t="n">
        <f aca="false">Y81*$C$7</f>
        <v>0.493691059547701</v>
      </c>
      <c r="Z112" s="116" t="n">
        <f aca="false">Z81*$C$7</f>
        <v>0.50416612059478</v>
      </c>
      <c r="AA112" s="116" t="n">
        <f aca="false">AA81*$C$7</f>
        <v>0.514624048204328</v>
      </c>
      <c r="AB112" s="116" t="n">
        <f aca="false">AB81*$C$7</f>
        <v>0.52508555642078</v>
      </c>
      <c r="AC112" s="116" t="n">
        <f aca="false">AC81*$C$7</f>
        <v>0.535571451885103</v>
      </c>
      <c r="AD112" s="116" t="n">
        <f aca="false">AD81*$C$7</f>
        <v>0.546102663228108</v>
      </c>
      <c r="AE112" s="116" t="n">
        <f aca="false">AE81*$C$7</f>
        <v>0.556700270770699</v>
      </c>
      <c r="AF112" s="116" t="n">
        <f aca="false">AF81*$C$7</f>
        <v>0.567385535438893</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-0.176632455281051</v>
      </c>
      <c r="D113" s="136" t="n">
        <f aca="false">D107+D109+D110-D111-D112-D108-D97-D98-D102+D184-D190-D229-D265-D268-D274</f>
        <v>0.281449103238381</v>
      </c>
      <c r="E113" s="136" t="n">
        <f aca="false">E107+E109+E110-E111-E112-E108-E97-E98-E102+E184-E190-E229-E265-E268-E274</f>
        <v>0.630784355079319</v>
      </c>
      <c r="F113" s="136" t="n">
        <f aca="false">F107+F109+F110-F111-F112-F108-F97-F98-F102+F184-F190-F229-F265-F268-F274</f>
        <v>-0.181264865079674</v>
      </c>
      <c r="G113" s="136" t="n">
        <f aca="false">G107+G109+G110-G111-G112-G108-G97-G98-G102+G184-G190-G229-G265-G268-G274</f>
        <v>-1.07208621950886</v>
      </c>
      <c r="H113" s="136" t="n">
        <f aca="false">H107+H109+H110-H111-H112-H108-H97-H98-H102+H184-H190-H229-H265-H268-H274</f>
        <v>-1.55771573243235</v>
      </c>
      <c r="I113" s="136" t="n">
        <f aca="false">I107+I109+I110-I111-I112-I108-I97-I98-I102+I184-I190-I229-I265-I268-I274</f>
        <v>-1.6553420231622</v>
      </c>
      <c r="J113" s="136" t="n">
        <f aca="false">J107+J109+J110-J111-J112-J108-J97-J98-J102+J184-J190-J229-J265-J268-J274</f>
        <v>-1.41115265815834</v>
      </c>
      <c r="K113" s="136" t="n">
        <f aca="false">K107+K109+K110-K111-K112-K108-K97-K98-K102+K184-K190-K229-K265-K268-K274</f>
        <v>-0.0666553489045475</v>
      </c>
      <c r="L113" s="136" t="n">
        <f aca="false">L107+L109+L110-L111-L112-L108-L97-L98-L102+L184-L190-L229-L265-L268-L274</f>
        <v>1.33612826233736</v>
      </c>
      <c r="M113" s="136" t="n">
        <f aca="false">M107+M109+M110-M111-M112-M108-M97-M98-M102+M184-M190-M229-M265-M268-M274</f>
        <v>2.68911540172793</v>
      </c>
      <c r="N113" s="136" t="n">
        <f aca="false">N107+N109+N110-N111-N112-N108-N97-N98-N102+N184-N190-N229-N265-N268-N274</f>
        <v>3.13702546001645</v>
      </c>
      <c r="O113" s="136" t="n">
        <f aca="false">O107+O109+O110-O111-O112-O108-O97-O98-O102+O184-O190-O229-O265-O268-O274</f>
        <v>3.33762336389107</v>
      </c>
      <c r="P113" s="136" t="n">
        <f aca="false">P107+P109+P110-P111-P112-P108-P97-P98-P102+P184-P190-P229-P265-P268-P274</f>
        <v>3.49967645701919</v>
      </c>
      <c r="Q113" s="136" t="n">
        <f aca="false">Q107+Q109+Q110-Q111-Q112-Q108-Q97-Q98-Q102+Q184-Q190-Q229-Q265-Q268-Q274</f>
        <v>3.55510038360525</v>
      </c>
      <c r="R113" s="136" t="n">
        <f aca="false">R107+R109+R110-R111-R112-R108-R97-R98-R102+R184-R190-R229-R265-R268-R274</f>
        <v>3.54946765191439</v>
      </c>
      <c r="S113" s="136" t="n">
        <f aca="false">S107+S109+S110-S111-S112-S108-S97-S98-S102+S184-S190-S229-S265-S268-S274</f>
        <v>3.50913211236113</v>
      </c>
      <c r="T113" s="136" t="n">
        <f aca="false">T107+T109+T110-T111-T112-T108-T97-T98-T102+T184-T190-T229-T265-T268-T274</f>
        <v>3.44553738006146</v>
      </c>
      <c r="U113" s="136" t="n">
        <f aca="false">U107+U109+U110-U111-U112-U108-U97-U98-U102+U184-U190-U229-U265-U268-U274</f>
        <v>3.40072027842042</v>
      </c>
      <c r="V113" s="136" t="n">
        <f aca="false">V107+V109+V110-V111-V112-V108-V97-V98-V102+V184-V190-V229-V265-V268-V274</f>
        <v>3.37415915586819</v>
      </c>
      <c r="W113" s="136" t="n">
        <f aca="false">W107+W109+W110-W111-W112-W108-W97-W98-W102+W184-W190-W229-W265-W268-W274</f>
        <v>3.36578844343026</v>
      </c>
      <c r="X113" s="136" t="n">
        <f aca="false">X107+X109+X110-X111-X112-X108-X97-X98-X102+X184-X190-X229-X265-X268-X274</f>
        <v>3.37553657206846</v>
      </c>
      <c r="Y113" s="136" t="n">
        <f aca="false">Y107+Y109+Y110-Y111-Y112-Y108-Y97-Y98-Y102+Y184-Y190-Y229-Y265-Y268-Y274</f>
        <v>3.40334743141187</v>
      </c>
      <c r="Z113" s="136" t="n">
        <f aca="false">Z107+Z109+Z110-Z111-Z112-Z108-Z97-Z98-Z102+Z184-Z190-Z229-Z265-Z268-Z274</f>
        <v>3.44919164667687</v>
      </c>
      <c r="AA113" s="136" t="n">
        <f aca="false">AA107+AA109+AA110-AA111-AA112-AA108-AA97-AA98-AA102+AA184-AA190-AA229-AA265-AA268-AA274</f>
        <v>3.51306198942808</v>
      </c>
      <c r="AB113" s="136" t="n">
        <f aca="false">AB107+AB109+AB110-AB111-AB112-AB108-AB97-AB98-AB102+AB184-AB190-AB229-AB265-AB268-AB274</f>
        <v>3.59497940656207</v>
      </c>
      <c r="AC113" s="136" t="n">
        <f aca="false">AC107+AC109+AC110-AC111-AC112-AC108-AC97-AC98-AC102+AC184-AC190-AC229-AC265-AC268-AC274</f>
        <v>3.69499371601384</v>
      </c>
      <c r="AD113" s="136" t="n">
        <f aca="false">AD107+AD109+AD110-AD111-AD112-AD108-AD97-AD98-AD102+AD184-AD190-AD229-AD265-AD268-AD274</f>
        <v>3.81318386529843</v>
      </c>
      <c r="AE113" s="136" t="n">
        <f aca="false">AE107+AE109+AE110-AE111-AE112-AE108-AE97-AE98-AE102+AE184-AE190-AE229-AE265-AE268-AE274</f>
        <v>3.94965709907818</v>
      </c>
      <c r="AF113" s="136" t="n">
        <f aca="false">AF107+AF109+AF110-AF111-AF112-AF108-AF97-AF98-AF102+AF184-AF190-AF229-AF265-AF268-AF274</f>
        <v>4.10454828263242</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20.8991194909793</v>
      </c>
      <c r="D114" s="116" t="n">
        <f aca="false">C120+D53+D56-D57+(D58-D65)+D113-D92+D94-D95-D103+D60-D245</f>
        <v>41.4219332159902</v>
      </c>
      <c r="E114" s="116" t="n">
        <f aca="false">D120+E53+E56-E57+(E58-E65)+E113-E92+E94-E95-E103+E60-E245</f>
        <v>62.3097481560249</v>
      </c>
      <c r="F114" s="116" t="n">
        <f aca="false">E120+F53+F56-F57+(F58-F65)+F113-F92+F94-F95-F103+F60-F245</f>
        <v>77.5443185058983</v>
      </c>
      <c r="G114" s="116" t="n">
        <f aca="false">F120+G53+G56-G57+(G58-G65)+G113-G92+G94-G95-G103+G60-G245</f>
        <v>92.3741180257237</v>
      </c>
      <c r="H114" s="116" t="n">
        <f aca="false">G120+H53+H56-H57+(H58-H65)+H113-H92+H94-H95-H103+H60-H245</f>
        <v>106.74406671511</v>
      </c>
      <c r="I114" s="116" t="n">
        <f aca="false">H120+I53+I56-I57+(I58-I65)+I113-I92+I94-I95-I103+I60-I245</f>
        <v>121.189723091919</v>
      </c>
      <c r="J114" s="116" t="n">
        <f aca="false">I120+J53+J56-J57+(J58-J65)+J113-J92+J94-J95-J103+J60-J245</f>
        <v>136.053454734117</v>
      </c>
      <c r="K114" s="116" t="n">
        <f aca="false">J120+K53+K56-K57+(K58-K65)+K113-K92+K94-K95-K103+K60-K245</f>
        <v>152.74415809936</v>
      </c>
      <c r="L114" s="116" t="n">
        <f aca="false">K120+L53+L56-L57+(L58-L65)+L113-L92+L94-L95-L103+L60-L245</f>
        <v>171.06370272282</v>
      </c>
      <c r="M114" s="116" t="n">
        <f aca="false">L120+M53+M56-M57+(M58-M65)+M113-M92+M94-M95-M103+M60-M245</f>
        <v>171.875499002813</v>
      </c>
      <c r="N114" s="116" t="n">
        <f aca="false">M120+N53+N56-N57+(N58-N65)+N113-N92+N94-N95-N103+N60-N245</f>
        <v>173.439335028219</v>
      </c>
      <c r="O114" s="116" t="n">
        <f aca="false">N120+O53+O56-O57+(O58-O65)+O113-O92+O94-O95-O103+O60-O245</f>
        <v>175.960675026421</v>
      </c>
      <c r="P114" s="116" t="n">
        <f aca="false">O120+P53+P56-P57+(P58-P65)+P113-P92+P94-P95-P103+P60-P245</f>
        <v>177.565585979181</v>
      </c>
      <c r="Q114" s="116" t="n">
        <f aca="false">P120+Q53+Q56-Q57+(Q58-Q65)+Q113-Q92+Q94-Q95-Q103+Q60-Q245</f>
        <v>178.75841009033</v>
      </c>
      <c r="R114" s="116" t="n">
        <f aca="false">Q120+R53+R56-R57+(R58-R65)+R113-R92+R94-R95-R103+R60-R245</f>
        <v>179.9502395564</v>
      </c>
      <c r="S114" s="116" t="n">
        <f aca="false">R120+S53+S56-S57+(S58-S65)+S113-S92+S94-S95-S103+S60-S245</f>
        <v>181.164991241743</v>
      </c>
      <c r="T114" s="116" t="n">
        <f aca="false">S120+T53+T56-T57+(T58-T65)+T113-T92+T94-T95-T103+T60-T245</f>
        <v>182.411380255967</v>
      </c>
      <c r="U114" s="116" t="n">
        <f aca="false">T120+U53+U56-U57+(U58-U65)+U113-U92+U94-U95-U103+U60-U245</f>
        <v>183.722888818031</v>
      </c>
      <c r="V114" s="116" t="n">
        <f aca="false">U120+V53+V56-V57+(V58-V65)+V113-V92+V94-V95-V103+V60-V245</f>
        <v>185.097370315029</v>
      </c>
      <c r="W114" s="116" t="n">
        <f aca="false">V120+W53+W56-W57+(W58-W65)+W113-W92+W94-W95-W103+W60-W245</f>
        <v>186.536670537927</v>
      </c>
      <c r="X114" s="116" t="n">
        <f aca="false">W120+X53+X56-X57+(X58-X65)+X113-X92+X94-X95-X103+X60-X245</f>
        <v>188.042141032398</v>
      </c>
      <c r="Y114" s="116" t="n">
        <f aca="false">X120+Y53+Y56-Y57+(Y58-Y65)+Y113-Y92+Y94-Y95-Y103+Y60-Y245</f>
        <v>189.614939911634</v>
      </c>
      <c r="Z114" s="116" t="n">
        <f aca="false">Y120+Z53+Z56-Z57+(Z58-Z65)+Z113-Z92+Z94-Z95-Z103+Z60-Z245</f>
        <v>191.255962880688</v>
      </c>
      <c r="AA114" s="116" t="n">
        <f aca="false">Z120+AA53+AA56-AA57+(AA58-AA65)+AA113-AA92+AA94-AA95-AA103+AA60-AA245</f>
        <v>192.966162266437</v>
      </c>
      <c r="AB114" s="116" t="n">
        <f aca="false">AA120+AB53+AB56-AB57+(AB58-AB65)+AB113-AB92+AB94-AB95-AB103+AB60-AB245</f>
        <v>194.746504030267</v>
      </c>
      <c r="AC114" s="116" t="n">
        <f aca="false">AB120+AC53+AC56-AC57+(AC58-AC65)+AC113-AC92+AC94-AC95-AC103+AC60-AC245</f>
        <v>196.59800686333</v>
      </c>
      <c r="AD114" s="116" t="n">
        <f aca="false">AC120+AD53+AD56-AD57+(AD58-AD65)+AD113-AD92+AD94-AD95-AD103+AD60-AD245</f>
        <v>198.521748321772</v>
      </c>
      <c r="AE114" s="116" t="n">
        <f aca="false">AD120+AE53+AE56-AE57+(AE58-AE65)+AE113-AE92+AE94-AE95-AE103+AE60-AE245</f>
        <v>200.518871559415</v>
      </c>
      <c r="AF114" s="116" t="n">
        <f aca="false">AE120+AF53+AF56-AF57+(AF58-AF65)+AF113-AF92+AF94-AF95-AF103+AF60-AF245</f>
        <v>202.590585103039</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0.281449103238381</v>
      </c>
      <c r="E115" s="116" t="n">
        <f aca="false">IF(E113&gt;0,MIN(E113,01_Supuestos!$I$106*E81),0)</f>
        <v>0.630784355079319</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1.33612826233736</v>
      </c>
      <c r="M115" s="116" t="n">
        <f aca="false">IF(M113&gt;0,MIN(M113,01_Supuestos!$I$106*M81),0)</f>
        <v>2.68911540172793</v>
      </c>
      <c r="N115" s="116" t="n">
        <f aca="false">IF(N113&gt;0,MIN(N113,01_Supuestos!$I$106*N81),0)</f>
        <v>3.13702546001645</v>
      </c>
      <c r="O115" s="116" t="n">
        <f aca="false">IF(O113&gt;0,MIN(O113,01_Supuestos!$I$106*O81),0)</f>
        <v>3.33762336389107</v>
      </c>
      <c r="P115" s="116" t="n">
        <f aca="false">IF(P113&gt;0,MIN(P113,01_Supuestos!$I$106*P81),0)</f>
        <v>3.49967645701919</v>
      </c>
      <c r="Q115" s="116" t="n">
        <f aca="false">IF(Q113&gt;0,MIN(Q113,01_Supuestos!$I$106*Q81),0)</f>
        <v>3.55510038360525</v>
      </c>
      <c r="R115" s="116" t="n">
        <f aca="false">IF(R113&gt;0,MIN(R113,01_Supuestos!$I$106*R81),0)</f>
        <v>3.54946765191439</v>
      </c>
      <c r="S115" s="116" t="n">
        <f aca="false">IF(S113&gt;0,MIN(S113,01_Supuestos!$I$106*S81),0)</f>
        <v>3.50913211236113</v>
      </c>
      <c r="T115" s="116" t="n">
        <f aca="false">IF(T113&gt;0,MIN(T113,01_Supuestos!$I$106*T81),0)</f>
        <v>3.44553738006146</v>
      </c>
      <c r="U115" s="116" t="n">
        <f aca="false">IF(U113&gt;0,MIN(U113,01_Supuestos!$I$106*U81),0)</f>
        <v>3.40072027842042</v>
      </c>
      <c r="V115" s="116" t="n">
        <f aca="false">IF(V113&gt;0,MIN(V113,01_Supuestos!$I$106*V81),0)</f>
        <v>3.37415915586819</v>
      </c>
      <c r="W115" s="116" t="n">
        <f aca="false">IF(W113&gt;0,MIN(W113,01_Supuestos!$I$106*W81),0)</f>
        <v>3.36578844343026</v>
      </c>
      <c r="X115" s="116" t="n">
        <f aca="false">IF(X113&gt;0,MIN(X113,01_Supuestos!$I$106*X81),0)</f>
        <v>3.37553657206846</v>
      </c>
      <c r="Y115" s="116" t="n">
        <f aca="false">IF(Y113&gt;0,MIN(Y113,01_Supuestos!$I$106*Y81),0)</f>
        <v>3.40334743141187</v>
      </c>
      <c r="Z115" s="116" t="n">
        <f aca="false">IF(Z113&gt;0,MIN(Z113,01_Supuestos!$I$106*Z81),0)</f>
        <v>3.44919164667687</v>
      </c>
      <c r="AA115" s="116" t="n">
        <f aca="false">IF(AA113&gt;0,MIN(AA113,01_Supuestos!$I$106*AA81),0)</f>
        <v>3.51306198942808</v>
      </c>
      <c r="AB115" s="116" t="n">
        <f aca="false">IF(AB113&gt;0,MIN(AB113,01_Supuestos!$I$106*AB81),0)</f>
        <v>3.59497940656207</v>
      </c>
      <c r="AC115" s="116" t="n">
        <f aca="false">IF(AC113&gt;0,MIN(AC113,01_Supuestos!$I$106*AC81),0)</f>
        <v>3.69499371601384</v>
      </c>
      <c r="AD115" s="116" t="n">
        <f aca="false">IF(AD113&gt;0,MIN(AD113,01_Supuestos!$I$106*AD81),0)</f>
        <v>3.81318386529843</v>
      </c>
      <c r="AE115" s="116" t="n">
        <f aca="false">IF(AE113&gt;0,MIN(AE113,01_Supuestos!$I$106*AE81),0)</f>
        <v>3.94965709907818</v>
      </c>
      <c r="AF115" s="116" t="n">
        <f aca="false">IF(AF113&gt;0,MIN(AF113,01_Supuestos!$I$106*AF81),0)</f>
        <v>4.10454828263242</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20.8991194909793</v>
      </c>
      <c r="D120" s="136" t="n">
        <f aca="false">D114-D115+D118+D119</f>
        <v>41.1404841127518</v>
      </c>
      <c r="E120" s="136" t="n">
        <f aca="false">E114-E115+E118+E119</f>
        <v>61.6789638009456</v>
      </c>
      <c r="F120" s="136" t="n">
        <f aca="false">F114-F115+F118+F119</f>
        <v>77.5443185058983</v>
      </c>
      <c r="G120" s="136" t="n">
        <f aca="false">G114-G115+G118+G119</f>
        <v>92.3741180257237</v>
      </c>
      <c r="H120" s="136" t="n">
        <f aca="false">H114-H115+H118+H119</f>
        <v>106.74406671511</v>
      </c>
      <c r="I120" s="136" t="n">
        <f aca="false">I114-I115+I118+I119</f>
        <v>121.189723091919</v>
      </c>
      <c r="J120" s="136" t="n">
        <f aca="false">J114-J115+J118+J119</f>
        <v>136.053454734117</v>
      </c>
      <c r="K120" s="136" t="n">
        <f aca="false">K114-K115+K118+K119</f>
        <v>152.74415809936</v>
      </c>
      <c r="L120" s="136" t="n">
        <f aca="false">L114-L115+L118+L119</f>
        <v>169.727574460482</v>
      </c>
      <c r="M120" s="136" t="n">
        <f aca="false">M114-M115+M118+M119</f>
        <v>169.186383601085</v>
      </c>
      <c r="N120" s="136" t="n">
        <f aca="false">N114-N115+N118+N119</f>
        <v>170.302309568202</v>
      </c>
      <c r="O120" s="136" t="n">
        <f aca="false">O114-O115+O118+O119</f>
        <v>172.62305166253</v>
      </c>
      <c r="P120" s="136" t="n">
        <f aca="false">P114-P115+P118+P119</f>
        <v>174.065909522161</v>
      </c>
      <c r="Q120" s="136" t="n">
        <f aca="false">Q114-Q115+Q118+Q119</f>
        <v>175.203309706725</v>
      </c>
      <c r="R120" s="136" t="n">
        <f aca="false">R114-R115+R118+R119</f>
        <v>176.400771904485</v>
      </c>
      <c r="S120" s="136" t="n">
        <f aca="false">S114-S115+S118+S119</f>
        <v>177.655859129382</v>
      </c>
      <c r="T120" s="136" t="n">
        <f aca="false">T114-T115+T118+T119</f>
        <v>178.965842875906</v>
      </c>
      <c r="U120" s="136" t="n">
        <f aca="false">U114-U115+U118+U119</f>
        <v>180.32216853961</v>
      </c>
      <c r="V120" s="136" t="n">
        <f aca="false">V114-V115+V118+V119</f>
        <v>181.723211159161</v>
      </c>
      <c r="W120" s="136" t="n">
        <f aca="false">W114-W115+W118+W119</f>
        <v>183.170882094497</v>
      </c>
      <c r="X120" s="136" t="n">
        <f aca="false">X114-X115+X118+X119</f>
        <v>184.66660446033</v>
      </c>
      <c r="Y120" s="136" t="n">
        <f aca="false">Y114-Y115+Y118+Y119</f>
        <v>186.211592480222</v>
      </c>
      <c r="Z120" s="136" t="n">
        <f aca="false">Z114-Z115+Z118+Z119</f>
        <v>187.806771234011</v>
      </c>
      <c r="AA120" s="136" t="n">
        <f aca="false">AA114-AA115+AA118+AA119</f>
        <v>189.453100277009</v>
      </c>
      <c r="AB120" s="136" t="n">
        <f aca="false">AB114-AB115+AB118+AB119</f>
        <v>191.151524623705</v>
      </c>
      <c r="AC120" s="136" t="n">
        <f aca="false">AC114-AC115+AC118+AC119</f>
        <v>192.903013147316</v>
      </c>
      <c r="AD120" s="136" t="n">
        <f aca="false">AD114-AD115+AD118+AD119</f>
        <v>194.708564456474</v>
      </c>
      <c r="AE120" s="136" t="n">
        <f aca="false">AE114-AE115+AE118+AE119</f>
        <v>196.569214460337</v>
      </c>
      <c r="AF120" s="136" t="n">
        <f aca="false">AF114-AF115+AF118+AF119</f>
        <v>198.486036820406</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0.281449103238381</v>
      </c>
      <c r="E121" s="116" t="n">
        <f aca="false">D121+E115</f>
        <v>0.9122334583177</v>
      </c>
      <c r="F121" s="116" t="n">
        <f aca="false">E121+F115</f>
        <v>0.9122334583177</v>
      </c>
      <c r="G121" s="116" t="n">
        <f aca="false">F121+G115</f>
        <v>0.9122334583177</v>
      </c>
      <c r="H121" s="116" t="n">
        <f aca="false">G121+H115</f>
        <v>0.9122334583177</v>
      </c>
      <c r="I121" s="116" t="n">
        <f aca="false">H121+I115</f>
        <v>0.9122334583177</v>
      </c>
      <c r="J121" s="116" t="n">
        <f aca="false">I121+J115</f>
        <v>0.9122334583177</v>
      </c>
      <c r="K121" s="116" t="n">
        <f aca="false">J121+K115</f>
        <v>0.9122334583177</v>
      </c>
      <c r="L121" s="116" t="n">
        <f aca="false">K121+L115</f>
        <v>2.24836172065506</v>
      </c>
      <c r="M121" s="116" t="n">
        <f aca="false">L121+M115</f>
        <v>4.93747712238299</v>
      </c>
      <c r="N121" s="116" t="n">
        <f aca="false">M121+N115</f>
        <v>8.07450258239944</v>
      </c>
      <c r="O121" s="116" t="n">
        <f aca="false">N121+O115</f>
        <v>11.4121259462905</v>
      </c>
      <c r="P121" s="116" t="n">
        <f aca="false">O121+P115</f>
        <v>14.9118024033097</v>
      </c>
      <c r="Q121" s="116" t="n">
        <f aca="false">P121+Q115</f>
        <v>18.466902786915</v>
      </c>
      <c r="R121" s="116" t="n">
        <f aca="false">Q121+R115</f>
        <v>22.0163704388293</v>
      </c>
      <c r="S121" s="116" t="n">
        <f aca="false">R121+S115</f>
        <v>25.5255025511905</v>
      </c>
      <c r="T121" s="116" t="n">
        <f aca="false">S121+T115</f>
        <v>28.9710399312519</v>
      </c>
      <c r="U121" s="116" t="n">
        <f aca="false">T121+U115</f>
        <v>32.3717602096723</v>
      </c>
      <c r="V121" s="116" t="n">
        <f aca="false">U121+V115</f>
        <v>35.7459193655405</v>
      </c>
      <c r="W121" s="116" t="n">
        <f aca="false">V121+W115</f>
        <v>39.1117078089708</v>
      </c>
      <c r="X121" s="116" t="n">
        <f aca="false">W121+X115</f>
        <v>42.4872443810393</v>
      </c>
      <c r="Y121" s="116" t="n">
        <f aca="false">X121+Y115</f>
        <v>45.8905918124511</v>
      </c>
      <c r="Z121" s="116" t="n">
        <f aca="false">Y121+Z115</f>
        <v>49.339783459128</v>
      </c>
      <c r="AA121" s="116" t="n">
        <f aca="false">Z121+AA115</f>
        <v>52.8528454485561</v>
      </c>
      <c r="AB121" s="116" t="n">
        <f aca="false">AA121+AB115</f>
        <v>56.4478248551181</v>
      </c>
      <c r="AC121" s="116" t="n">
        <f aca="false">AB121+AC115</f>
        <v>60.142818571132</v>
      </c>
      <c r="AD121" s="116" t="n">
        <f aca="false">AC121+AD115</f>
        <v>63.9560024364304</v>
      </c>
      <c r="AE121" s="116" t="n">
        <f aca="false">AD121+AE115</f>
        <v>67.9056595355086</v>
      </c>
      <c r="AF121" s="116" t="n">
        <f aca="false">AE121+AF115</f>
        <v>72.010207818141</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1.72303817755496</v>
      </c>
      <c r="D122" s="87" t="n">
        <f aca="false">D276/(D81+D115)</f>
        <v>1.25895649012989</v>
      </c>
      <c r="E122" s="87" t="n">
        <f aca="false">E276/(E81+E115)</f>
        <v>1.01379798503106</v>
      </c>
      <c r="F122" s="87" t="n">
        <f aca="false">F276/(F81+F115)</f>
        <v>0.653440814947945</v>
      </c>
      <c r="G122" s="87" t="n">
        <f aca="false">G276/(G81+G115)</f>
        <v>0.516137880677963</v>
      </c>
      <c r="H122" s="87" t="n">
        <f aca="false">H276/(H81+H115)</f>
        <v>0.466394696469234</v>
      </c>
      <c r="I122" s="87" t="n">
        <f aca="false">I276/(I81+I115)</f>
        <v>0.444607976111021</v>
      </c>
      <c r="J122" s="87" t="n">
        <f aca="false">J276/(J81+J115)</f>
        <v>0.437564946908574</v>
      </c>
      <c r="K122" s="87" t="n">
        <f aca="false">K276/(K81+K115)</f>
        <v>0.471730686647133</v>
      </c>
      <c r="L122" s="87" t="n">
        <f aca="false">L276/(L81+L115)</f>
        <v>0.502098060973037</v>
      </c>
      <c r="M122" s="87" t="n">
        <f aca="false">M276/(M81+M115)</f>
        <v>0.47870253214279</v>
      </c>
      <c r="N122" s="87" t="n">
        <f aca="false">N276/(N81+N115)</f>
        <v>0.46174571713563</v>
      </c>
      <c r="O122" s="87" t="n">
        <f aca="false">O276/(O81+O115)</f>
        <v>0.449803936283443</v>
      </c>
      <c r="P122" s="87" t="n">
        <f aca="false">P276/(P81+P115)</f>
        <v>0.43769917474064</v>
      </c>
      <c r="Q122" s="87" t="n">
        <f aca="false">Q276/(Q81+Q115)</f>
        <v>0.426861457420576</v>
      </c>
      <c r="R122" s="87" t="n">
        <f aca="false">R276/(R81+R115)</f>
        <v>0.417720617175332</v>
      </c>
      <c r="S122" s="87" t="n">
        <f aca="false">S276/(S81+S115)</f>
        <v>0.409883598602793</v>
      </c>
      <c r="T122" s="87" t="n">
        <f aca="false">T276/(T81+T115)</f>
        <v>0.403047466530414</v>
      </c>
      <c r="U122" s="87" t="n">
        <f aca="false">U276/(U81+U115)</f>
        <v>0.396599985990008</v>
      </c>
      <c r="V122" s="87" t="n">
        <f aca="false">V276/(V81+V115)</f>
        <v>0.390498583673525</v>
      </c>
      <c r="W122" s="87" t="n">
        <f aca="false">W276/(W81+W115)</f>
        <v>0.384824774041353</v>
      </c>
      <c r="X122" s="87" t="n">
        <f aca="false">X276/(X81+X115)</f>
        <v>0.379537579458038</v>
      </c>
      <c r="Y122" s="87" t="n">
        <f aca="false">Y276/(Y81+Y115)</f>
        <v>0.374600055574648</v>
      </c>
      <c r="Z122" s="87" t="n">
        <f aca="false">Z276/(Z81+Z115)</f>
        <v>0.36997853828467</v>
      </c>
      <c r="AA122" s="87" t="n">
        <f aca="false">AA276/(AA81+AA115)</f>
        <v>0.365642793287212</v>
      </c>
      <c r="AB122" s="87" t="n">
        <f aca="false">AB276/(AB81+AB115)</f>
        <v>0.361563385957777</v>
      </c>
      <c r="AC122" s="87" t="n">
        <f aca="false">AC276/(AC81+AC115)</f>
        <v>0.357713732647112</v>
      </c>
      <c r="AD122" s="87" t="n">
        <f aca="false">AD276/(AD81+AD115)</f>
        <v>0.354069746281382</v>
      </c>
      <c r="AE122" s="87" t="n">
        <f aca="false">AE276/(AE81+AE115)</f>
        <v>0.350609542049195</v>
      </c>
      <c r="AF122" s="87" t="n">
        <f aca="false">AF276/(AF81+AF115)</f>
        <v>0.347313177383362</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0.176632455281051</v>
      </c>
      <c r="D127" s="116" t="n">
        <f aca="false">MAX(0,-D113)</f>
        <v>0</v>
      </c>
      <c r="E127" s="116" t="n">
        <f aca="false">MAX(0,-E113)</f>
        <v>0</v>
      </c>
      <c r="F127" s="116" t="n">
        <f aca="false">MAX(0,-F113)</f>
        <v>0.181264865079674</v>
      </c>
      <c r="G127" s="116" t="n">
        <f aca="false">MAX(0,-G113)</f>
        <v>1.07208621950886</v>
      </c>
      <c r="H127" s="116" t="n">
        <f aca="false">MAX(0,-H113)</f>
        <v>1.55771573243235</v>
      </c>
      <c r="I127" s="116" t="n">
        <f aca="false">MAX(0,-I113)</f>
        <v>1.6553420231622</v>
      </c>
      <c r="J127" s="116" t="n">
        <f aca="false">MAX(0,-J113)</f>
        <v>1.41115265815834</v>
      </c>
      <c r="K127" s="116" t="n">
        <f aca="false">MAX(0,-K113)</f>
        <v>0.0666553489045475</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37.1729326468443</v>
      </c>
      <c r="D128" s="116" t="n">
        <f aca="false">IF(AVERAGE(E127:I127)&gt;0,D120/AVERAGE(E127:I127),99)</f>
        <v>46.0554391512729</v>
      </c>
      <c r="E128" s="116" t="n">
        <f aca="false">IF(AVERAGE(F127:J127)&gt;0,E120/AVERAGE(F127:J127),99)</f>
        <v>52.4698583063322</v>
      </c>
      <c r="F128" s="116" t="n">
        <f aca="false">IF(AVERAGE(G127:K127)&gt;0,F120/AVERAGE(G127:K127),99)</f>
        <v>67.2782965621287</v>
      </c>
      <c r="G128" s="116" t="n">
        <f aca="false">IF(AVERAGE(H127:L127)&gt;0,G120/AVERAGE(H127:L127),99)</f>
        <v>98.4616941728393</v>
      </c>
      <c r="H128" s="116" t="n">
        <f aca="false">IF(AVERAGE(I127:M127)&gt;0,H120/AVERAGE(I127:M127),99)</f>
        <v>170.346242097193</v>
      </c>
      <c r="I128" s="116" t="n">
        <f aca="false">IF(AVERAGE(J127:N127)&gt;0,I120/AVERAGE(J127:N127),99)</f>
        <v>410.032028899278</v>
      </c>
      <c r="J128" s="116" t="n">
        <f aca="false">IF(AVERAGE(K127:O127)&gt;0,J120/AVERAGE(K127:O127),99)</f>
        <v>10205.7416974105</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0.0211887688491203</v>
      </c>
      <c r="D129" s="87" t="n">
        <f aca="false">D83/D41</f>
        <v>0.0541068943375754</v>
      </c>
      <c r="E129" s="87" t="n">
        <f aca="false">E83/E41</f>
        <v>0.0928904147972389</v>
      </c>
      <c r="F129" s="87" t="n">
        <f aca="false">F83/F41</f>
        <v>0.130801969498767</v>
      </c>
      <c r="G129" s="87" t="n">
        <f aca="false">G83/G41</f>
        <v>0.167861162755393</v>
      </c>
      <c r="H129" s="87" t="n">
        <f aca="false">H83/H41</f>
        <v>0.204087158118664</v>
      </c>
      <c r="I129" s="87" t="n">
        <f aca="false">I83/I41</f>
        <v>0.239498688288039</v>
      </c>
      <c r="J129" s="87" t="n">
        <f aca="false">J83/J41</f>
        <v>0.274114064797692</v>
      </c>
      <c r="K129" s="87" t="n">
        <f aca="false">K83/K41</f>
        <v>0.307951187485525</v>
      </c>
      <c r="L129" s="87" t="n">
        <f aca="false">L83/L41</f>
        <v>0.341027553749291</v>
      </c>
      <c r="M129" s="87" t="n">
        <f aca="false">M83/M41</f>
        <v>0.373360267594615</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-1.09916285</v>
      </c>
      <c r="E134" s="116" t="n">
        <f aca="false">-E56</f>
        <v>-1.12912053347675</v>
      </c>
      <c r="F134" s="116" t="n">
        <f aca="false">-F56</f>
        <v>-1.15989471361666</v>
      </c>
      <c r="G134" s="116" t="n">
        <f aca="false">-G56</f>
        <v>-1.19150764403628</v>
      </c>
      <c r="H134" s="116" t="n">
        <f aca="false">-H56</f>
        <v>-1.22398218487449</v>
      </c>
      <c r="I134" s="116" t="n">
        <f aca="false">-I56</f>
        <v>-1.25734181932324</v>
      </c>
      <c r="J134" s="116" t="n">
        <f aca="false">-J56</f>
        <v>-1.2916106706089</v>
      </c>
      <c r="K134" s="116" t="n">
        <f aca="false">-K56</f>
        <v>-1.32681351943634</v>
      </c>
      <c r="L134" s="116" t="n">
        <f aca="false">-L56</f>
        <v>-1.36297582190858</v>
      </c>
      <c r="M134" s="116" t="n">
        <f aca="false">-M56</f>
        <v>-1.4001237279347</v>
      </c>
      <c r="N134" s="116" t="n">
        <f aca="false">-N56</f>
        <v>-1.43828410013956</v>
      </c>
      <c r="O134" s="116" t="n">
        <f aca="false">-O56</f>
        <v>-1.47748453328886</v>
      </c>
      <c r="P134" s="116" t="n">
        <f aca="false">-P56</f>
        <v>-1.51775337424365</v>
      </c>
      <c r="Q134" s="116" t="n">
        <f aca="false">-Q56</f>
        <v>-1.55911974245866</v>
      </c>
      <c r="R134" s="116" t="n">
        <f aca="false">-R56</f>
        <v>-1.60161355103937</v>
      </c>
      <c r="S134" s="116" t="n">
        <f aca="false">-S56</f>
        <v>-1.64526552837295</v>
      </c>
      <c r="T134" s="116" t="n">
        <f aca="false">-T56</f>
        <v>-1.69010724034875</v>
      </c>
      <c r="U134" s="116" t="n">
        <f aca="false">-U56</f>
        <v>-1.73617111318446</v>
      </c>
      <c r="V134" s="116" t="n">
        <f aca="false">-V56</f>
        <v>-1.7834904568743</v>
      </c>
      <c r="W134" s="116" t="n">
        <f aca="false">-W56</f>
        <v>-1.83209948927641</v>
      </c>
      <c r="X134" s="116" t="n">
        <f aca="false">-X56</f>
        <v>-1.88203336085664</v>
      </c>
      <c r="Y134" s="116" t="n">
        <f aca="false">-Y56</f>
        <v>-1.93332818010679</v>
      </c>
      <c r="Z134" s="116" t="n">
        <f aca="false">-Z56</f>
        <v>-1.9860210396556</v>
      </c>
      <c r="AA134" s="116" t="n">
        <f aca="false">-AA56</f>
        <v>-2.04015004309141</v>
      </c>
      <c r="AB134" s="116" t="n">
        <f aca="false">-AB56</f>
        <v>-2.09575433251587</v>
      </c>
      <c r="AC134" s="116" t="n">
        <f aca="false">-AC56</f>
        <v>-2.15287411684858</v>
      </c>
      <c r="AD134" s="116" t="n">
        <f aca="false">-AD56</f>
        <v>-2.21155070090329</v>
      </c>
      <c r="AE134" s="116" t="n">
        <f aca="false">-AE56</f>
        <v>-2.27182651525641</v>
      </c>
      <c r="AF134" s="116" t="n">
        <f aca="false">-AF56</f>
        <v>-2.33374514692973</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v>
      </c>
      <c r="F136" s="116" t="n">
        <f aca="false">01_Supuestos!$C$152*MAX(0,F111-01_Supuestos!$C$153-01_Supuestos!$C$154-F59-0.05*SUM($C$51:F51))</f>
        <v>0</v>
      </c>
      <c r="G136" s="116" t="n">
        <f aca="false">01_Supuestos!$C$152*MAX(0,G111-01_Supuestos!$C$153-01_Supuestos!$C$154-G59-0.05*SUM($C$51:G51))</f>
        <v>0.236761694815534</v>
      </c>
      <c r="H136" s="116" t="n">
        <f aca="false">01_Supuestos!$C$152*MAX(0,H111-01_Supuestos!$C$153-01_Supuestos!$C$154-H59-0.05*SUM($C$51:H51))</f>
        <v>0.416004636210159</v>
      </c>
      <c r="I136" s="116" t="n">
        <f aca="false">01_Supuestos!$C$152*MAX(0,I111-01_Supuestos!$C$153-01_Supuestos!$C$154-I59-0.05*SUM($C$51:I51))</f>
        <v>0.556982032474881</v>
      </c>
      <c r="J136" s="116" t="n">
        <f aca="false">01_Supuestos!$C$152*MAX(0,J111-01_Supuestos!$C$153-01_Supuestos!$C$154-J59-0.05*SUM($C$51:J51))</f>
        <v>0.666091894767893</v>
      </c>
      <c r="K136" s="116" t="n">
        <f aca="false">01_Supuestos!$C$152*MAX(0,K111-01_Supuestos!$C$153-01_Supuestos!$C$154-K59-0.05*SUM($C$51:K51))</f>
        <v>0.649631942520744</v>
      </c>
      <c r="L136" s="116" t="n">
        <f aca="false">01_Supuestos!$C$152*MAX(0,L111-01_Supuestos!$C$153-01_Supuestos!$C$154-L59-0.05*SUM($C$51:L51))</f>
        <v>0.635150098777329</v>
      </c>
      <c r="M136" s="116" t="n">
        <f aca="false">01_Supuestos!$C$152*MAX(0,M111-01_Supuestos!$C$153-01_Supuestos!$C$154-M59-0.05*SUM($C$51:M51))</f>
        <v>0.624358953523817</v>
      </c>
      <c r="N136" s="116" t="n">
        <f aca="false">01_Supuestos!$C$152*MAX(0,N111-01_Supuestos!$C$153-01_Supuestos!$C$154-N59-0.05*SUM($C$51:N51))</f>
        <v>0.618143497593481</v>
      </c>
      <c r="O136" s="116" t="n">
        <f aca="false">01_Supuestos!$C$152*MAX(0,O111-01_Supuestos!$C$153-01_Supuestos!$C$154-O59-0.05*SUM($C$51:O51))</f>
        <v>0.617162870228875</v>
      </c>
      <c r="P136" s="116" t="n">
        <f aca="false">01_Supuestos!$C$152*MAX(0,P111-01_Supuestos!$C$153-01_Supuestos!$C$154-P59-0.05*SUM($C$51:P51))</f>
        <v>0.625192233609145</v>
      </c>
      <c r="Q136" s="116" t="n">
        <f aca="false">01_Supuestos!$C$152*MAX(0,Q111-01_Supuestos!$C$153-01_Supuestos!$C$154-Q59-0.05*SUM($C$51:Q51))</f>
        <v>0.641645645537191</v>
      </c>
      <c r="R136" s="116" t="n">
        <f aca="false">01_Supuestos!$C$152*MAX(0,R111-01_Supuestos!$C$153-01_Supuestos!$C$154-R59-0.05*SUM($C$51:R51))</f>
        <v>0.663683911088164</v>
      </c>
      <c r="S136" s="116" t="n">
        <f aca="false">01_Supuestos!$C$152*MAX(0,S111-01_Supuestos!$C$153-01_Supuestos!$C$154-S59-0.05*SUM($C$51:S51))</f>
        <v>0.689793100393004</v>
      </c>
      <c r="T136" s="116" t="n">
        <f aca="false">01_Supuestos!$C$152*MAX(0,T111-01_Supuestos!$C$153-01_Supuestos!$C$154-T59-0.05*SUM($C$51:T51))</f>
        <v>0.718726139107394</v>
      </c>
      <c r="U136" s="116" t="n">
        <f aca="false">01_Supuestos!$C$152*MAX(0,U111-01_Supuestos!$C$153-01_Supuestos!$C$154-U59-0.05*SUM($C$51:U51))</f>
        <v>0.746158304649851</v>
      </c>
      <c r="V136" s="116" t="n">
        <f aca="false">01_Supuestos!$C$152*MAX(0,V111-01_Supuestos!$C$153-01_Supuestos!$C$154-V59-0.05*SUM($C$51:V51))</f>
        <v>0.772161893942363</v>
      </c>
      <c r="W136" s="116" t="n">
        <f aca="false">01_Supuestos!$C$152*MAX(0,W111-01_Supuestos!$C$153-01_Supuestos!$C$154-W59-0.05*SUM($C$51:W51))</f>
        <v>0.796805140960855</v>
      </c>
      <c r="X136" s="116" t="n">
        <f aca="false">01_Supuestos!$C$152*MAX(0,X111-01_Supuestos!$C$153-01_Supuestos!$C$154-X59-0.05*SUM($C$51:X51))</f>
        <v>0.820152494049778</v>
      </c>
      <c r="Y136" s="116" t="n">
        <f aca="false">01_Supuestos!$C$152*MAX(0,Y111-01_Supuestos!$C$153-01_Supuestos!$C$154-Y59-0.05*SUM($C$51:Y51))</f>
        <v>0.842264875577237</v>
      </c>
      <c r="Z136" s="116" t="n">
        <f aca="false">01_Supuestos!$C$152*MAX(0,Z111-01_Supuestos!$C$153-01_Supuestos!$C$154-Z59-0.05*SUM($C$51:Z51))</f>
        <v>0.863199925077802</v>
      </c>
      <c r="AA136" s="116" t="n">
        <f aca="false">01_Supuestos!$C$152*MAX(0,AA111-01_Supuestos!$C$153-01_Supuestos!$C$154-AA59-0.05*SUM($C$51:AA51))</f>
        <v>0.883012226956117</v>
      </c>
      <c r="AB136" s="116" t="n">
        <f aca="false">01_Supuestos!$C$152*MAX(0,AB111-01_Supuestos!$C$153-01_Supuestos!$C$154-AB59-0.05*SUM($C$51:AB51))</f>
        <v>0.901753523755158</v>
      </c>
      <c r="AC136" s="116" t="n">
        <f aca="false">01_Supuestos!$C$152*MAX(0,AC111-01_Supuestos!$C$153-01_Supuestos!$C$154-AC59-0.05*SUM($C$51:AC51))</f>
        <v>0.919472915928244</v>
      </c>
      <c r="AD136" s="116" t="n">
        <f aca="false">01_Supuestos!$C$152*MAX(0,AD111-01_Supuestos!$C$153-01_Supuestos!$C$154-AD59-0.05*SUM($C$51:AD51))</f>
        <v>0.936217048993293</v>
      </c>
      <c r="AE136" s="116" t="n">
        <f aca="false">01_Supuestos!$C$152*MAX(0,AE111-01_Supuestos!$C$153-01_Supuestos!$C$154-AE59-0.05*SUM($C$51:AE51))</f>
        <v>0.952030288891149</v>
      </c>
      <c r="AF136" s="116" t="n">
        <f aca="false">01_Supuestos!$C$152*MAX(0,AF111-01_Supuestos!$C$153-01_Supuestos!$C$154-AF59-0.05*SUM($C$51:AF51))</f>
        <v>0.966954886316809</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0.0174310731235341</v>
      </c>
      <c r="D139" s="116" t="n">
        <f aca="false">(1-D55)*D88</f>
        <v>0.0455351364151786</v>
      </c>
      <c r="E139" s="116" t="n">
        <f aca="false">(1-E55)*E88</f>
        <v>0.0799724813214286</v>
      </c>
      <c r="F139" s="116" t="n">
        <f aca="false">(1-F55)*F88</f>
        <v>0.115201885160522</v>
      </c>
      <c r="G139" s="116" t="n">
        <f aca="false">(1-G55)*G88</f>
        <v>0.151241565287915</v>
      </c>
      <c r="H139" s="116" t="n">
        <f aca="false">(1-H55)*H88</f>
        <v>0.188110158058238</v>
      </c>
      <c r="I139" s="116" t="n">
        <f aca="false">(1-I55)*I88</f>
        <v>0.225826728462279</v>
      </c>
      <c r="J139" s="116" t="n">
        <f aca="false">(1-J55)*J88</f>
        <v>0.264410779985612</v>
      </c>
      <c r="K139" s="116" t="n">
        <f aca="false">(1-K55)*K88</f>
        <v>0.303882264693982</v>
      </c>
      <c r="L139" s="116" t="n">
        <f aca="false">(1-L55)*L88</f>
        <v>0.344261593550644</v>
      </c>
      <c r="M139" s="116" t="n">
        <f aca="false">(1-M55)*M88</f>
        <v>0.38556964697101</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-18.8138689268765</v>
      </c>
      <c r="D140" s="116" t="n">
        <f aca="false">SUM(D133:D139)</f>
        <v>-18.7468908204848</v>
      </c>
      <c r="E140" s="116" t="n">
        <f aca="false">SUM(E133:E139)</f>
        <v>-18.7444522658483</v>
      </c>
      <c r="F140" s="116" t="n">
        <f aca="false">SUM(F133:F139)</f>
        <v>-18.6005707927307</v>
      </c>
      <c r="G140" s="116" t="n">
        <f aca="false">SUM(G133:G139)</f>
        <v>-18.3566675142792</v>
      </c>
      <c r="H140" s="116" t="n">
        <f aca="false">SUM(H133:H139)</f>
        <v>-18.1703971320421</v>
      </c>
      <c r="I140" s="116" t="n">
        <f aca="false">SUM(I133:I139)</f>
        <v>-18.022508412579</v>
      </c>
      <c r="J140" s="116" t="n">
        <f aca="false">SUM(J133:J139)</f>
        <v>-17.9066055944225</v>
      </c>
      <c r="K140" s="116" t="n">
        <f aca="false">SUM(K133:K139)</f>
        <v>-17.9163934878317</v>
      </c>
      <c r="L140" s="116" t="n">
        <f aca="false">SUM(L133:L139)</f>
        <v>-17.9243269849224</v>
      </c>
      <c r="M140" s="116" t="n">
        <f aca="false">SUM(M133:M139)</f>
        <v>2.67130339787858</v>
      </c>
      <c r="N140" s="116" t="n">
        <f aca="false">SUM(N133:N139)</f>
        <v>2.65382690702845</v>
      </c>
      <c r="O140" s="116" t="n">
        <f aca="false">SUM(O133:O139)</f>
        <v>2.62520991481313</v>
      </c>
      <c r="P140" s="116" t="n">
        <f aca="false">SUM(P133:P139)</f>
        <v>2.60468770925572</v>
      </c>
      <c r="Q140" s="116" t="n">
        <f aca="false">SUM(Q133:Q139)</f>
        <v>2.59165213548548</v>
      </c>
      <c r="R140" s="116" t="n">
        <f aca="false">SUM(R133:R139)</f>
        <v>2.58324104961627</v>
      </c>
      <c r="S140" s="116" t="n">
        <f aca="false">SUM(S133:S139)</f>
        <v>2.5779168192633</v>
      </c>
      <c r="T140" s="116" t="n">
        <f aca="false">SUM(T133:T139)</f>
        <v>2.57440789616472</v>
      </c>
      <c r="U140" s="116" t="n">
        <f aca="false">SUM(U133:U139)</f>
        <v>2.56836429397876</v>
      </c>
      <c r="V140" s="116" t="n">
        <f aca="false">SUM(V133:V139)</f>
        <v>2.55983223697619</v>
      </c>
      <c r="W140" s="116" t="n">
        <f aca="false">SUM(W133:W139)</f>
        <v>2.54885305792129</v>
      </c>
      <c r="X140" s="116" t="n">
        <f aca="false">SUM(X133:X139)</f>
        <v>2.53546345508135</v>
      </c>
      <c r="Y140" s="116" t="n">
        <f aca="false">SUM(Y133:Y139)</f>
        <v>2.51969573092577</v>
      </c>
      <c r="Z140" s="116" t="n">
        <f aca="false">SUM(Z133:Z139)</f>
        <v>2.50157801364676</v>
      </c>
      <c r="AA140" s="116" t="n">
        <f aca="false">SUM(AA133:AA139)</f>
        <v>2.48113446255858</v>
      </c>
      <c r="AB140" s="116" t="n">
        <f aca="false">SUM(AB133:AB139)</f>
        <v>2.45838545836267</v>
      </c>
      <c r="AC140" s="116" t="n">
        <f aca="false">SUM(AC133:AC139)</f>
        <v>2.43334777920083</v>
      </c>
      <c r="AD140" s="116" t="n">
        <f aca="false">SUM(AD133:AD139)</f>
        <v>2.4060347633573</v>
      </c>
      <c r="AE140" s="116" t="n">
        <f aca="false">SUM(AE133:AE139)</f>
        <v>2.37645645941343</v>
      </c>
      <c r="AF140" s="116" t="n">
        <f aca="false">SUM(AF133:AF139)</f>
        <v>2.34461976460512</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-0.0567681733074377</v>
      </c>
      <c r="D141" s="116" t="n">
        <f aca="false">-D85*01_Supuestos!$I$126</f>
        <v>-0.150098745513188</v>
      </c>
      <c r="E141" s="116" t="n">
        <f aca="false">-E85*01_Supuestos!$I$126</f>
        <v>-0.27729157583994</v>
      </c>
      <c r="F141" s="116" t="n">
        <f aca="false">-F85*01_Supuestos!$I$126</f>
        <v>-0.56961965079877</v>
      </c>
      <c r="G141" s="116" t="n">
        <f aca="false">-G85*01_Supuestos!$I$126</f>
        <v>-0.859064569996412</v>
      </c>
      <c r="H141" s="116" t="n">
        <f aca="false">-H85*01_Supuestos!$I$126</f>
        <v>-1.09857921651201</v>
      </c>
      <c r="I141" s="116" t="n">
        <f aca="false">-I85*01_Supuestos!$I$126</f>
        <v>-1.30836760044079</v>
      </c>
      <c r="J141" s="116" t="n">
        <f aca="false">-J85*01_Supuestos!$I$126</f>
        <v>-1.4924792018594</v>
      </c>
      <c r="K141" s="116" t="n">
        <f aca="false">-K85*01_Supuestos!$I$126</f>
        <v>-1.5542172252732</v>
      </c>
      <c r="L141" s="116" t="n">
        <f aca="false">-L85*01_Supuestos!$I$126</f>
        <v>-1.61616277161282</v>
      </c>
      <c r="M141" s="116" t="n">
        <f aca="false">-M85*01_Supuestos!$I$126</f>
        <v>-1.29293021729026</v>
      </c>
      <c r="N141" s="116" t="n">
        <f aca="false">-N85*01_Supuestos!$I$126</f>
        <v>-1.0970570720934</v>
      </c>
      <c r="O141" s="116" t="n">
        <f aca="false">-O85*01_Supuestos!$I$126</f>
        <v>-1.14130910202476</v>
      </c>
      <c r="P141" s="116" t="n">
        <f aca="false">-P85*01_Supuestos!$I$126</f>
        <v>-1.18255263419654</v>
      </c>
      <c r="Q141" s="116" t="n">
        <f aca="false">-Q85*01_Supuestos!$I$126</f>
        <v>-1.22067081501275</v>
      </c>
      <c r="R141" s="116" t="n">
        <f aca="false">-R85*01_Supuestos!$I$126</f>
        <v>-1.25623260304289</v>
      </c>
      <c r="S141" s="116" t="n">
        <f aca="false">-S85*01_Supuestos!$I$126</f>
        <v>-1.28976268407823</v>
      </c>
      <c r="T141" s="116" t="n">
        <f aca="false">-T85*01_Supuestos!$I$126</f>
        <v>-1.32175842185057</v>
      </c>
      <c r="U141" s="116" t="n">
        <f aca="false">-U85*01_Supuestos!$I$126</f>
        <v>-1.35380823938815</v>
      </c>
      <c r="V141" s="116" t="n">
        <f aca="false">-V85*01_Supuestos!$I$126</f>
        <v>-1.3859635937005</v>
      </c>
      <c r="W141" s="116" t="n">
        <f aca="false">-W85*01_Supuestos!$I$126</f>
        <v>-1.41785811818138</v>
      </c>
      <c r="X141" s="116" t="n">
        <f aca="false">-X85*01_Supuestos!$I$126</f>
        <v>-1.44954390347007</v>
      </c>
      <c r="Y141" s="116" t="n">
        <f aca="false">-Y85*01_Supuestos!$I$126</f>
        <v>-1.4810731786431</v>
      </c>
      <c r="Z141" s="116" t="n">
        <f aca="false">-Z85*01_Supuestos!$I$126</f>
        <v>-1.51249836178434</v>
      </c>
      <c r="AA141" s="116" t="n">
        <f aca="false">-AA85*01_Supuestos!$I$126</f>
        <v>-1.54387214461298</v>
      </c>
      <c r="AB141" s="116" t="n">
        <f aca="false">-AB85*01_Supuestos!$I$126</f>
        <v>-1.57525666926234</v>
      </c>
      <c r="AC141" s="116" t="n">
        <f aca="false">-AC85*01_Supuestos!$I$126</f>
        <v>-1.60671435565531</v>
      </c>
      <c r="AD141" s="116" t="n">
        <f aca="false">-AD85*01_Supuestos!$I$126</f>
        <v>-1.63830798968433</v>
      </c>
      <c r="AE141" s="116" t="n">
        <f aca="false">-AE85*01_Supuestos!$I$126</f>
        <v>-1.6701008123121</v>
      </c>
      <c r="AF141" s="116" t="n">
        <f aca="false">-AF85*01_Supuestos!$I$126</f>
        <v>-1.70215660631668</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0.0383185169825205</v>
      </c>
      <c r="D142" s="116" t="n">
        <f aca="false">D85*01_Supuestos!$I$101</f>
        <v>0.101316653221402</v>
      </c>
      <c r="E142" s="116" t="n">
        <f aca="false">E85*01_Supuestos!$I$101</f>
        <v>0.18717181369196</v>
      </c>
      <c r="F142" s="116" t="n">
        <f aca="false">F85*01_Supuestos!$I$101</f>
        <v>0.384493264289169</v>
      </c>
      <c r="G142" s="116" t="n">
        <f aca="false">G85*01_Supuestos!$I$101</f>
        <v>0.579868584747578</v>
      </c>
      <c r="H142" s="116" t="n">
        <f aca="false">H85*01_Supuestos!$I$101</f>
        <v>0.741540971145606</v>
      </c>
      <c r="I142" s="116" t="n">
        <f aca="false">I85*01_Supuestos!$I$101</f>
        <v>0.88314813029753</v>
      </c>
      <c r="J142" s="116" t="n">
        <f aca="false">J85*01_Supuestos!$I$101</f>
        <v>1.0074234612551</v>
      </c>
      <c r="K142" s="116" t="n">
        <f aca="false">K85*01_Supuestos!$I$101</f>
        <v>1.04909662705941</v>
      </c>
      <c r="L142" s="116" t="n">
        <f aca="false">L85*01_Supuestos!$I$101</f>
        <v>1.09090987083865</v>
      </c>
      <c r="M142" s="116" t="n">
        <f aca="false">M85*01_Supuestos!$I$101</f>
        <v>0.872727896670923</v>
      </c>
      <c r="N142" s="116" t="n">
        <f aca="false">N85*01_Supuestos!$I$101</f>
        <v>0.740513523663046</v>
      </c>
      <c r="O142" s="116" t="n">
        <f aca="false">O85*01_Supuestos!$I$101</f>
        <v>0.770383643866716</v>
      </c>
      <c r="P142" s="116" t="n">
        <f aca="false">P85*01_Supuestos!$I$101</f>
        <v>0.798223028082663</v>
      </c>
      <c r="Q142" s="116" t="n">
        <f aca="false">Q85*01_Supuestos!$I$101</f>
        <v>0.823952800133609</v>
      </c>
      <c r="R142" s="116" t="n">
        <f aca="false">R85*01_Supuestos!$I$101</f>
        <v>0.847957007053952</v>
      </c>
      <c r="S142" s="116" t="n">
        <f aca="false">S85*01_Supuestos!$I$101</f>
        <v>0.870589811752807</v>
      </c>
      <c r="T142" s="116" t="n">
        <f aca="false">T85*01_Supuestos!$I$101</f>
        <v>0.892186934749132</v>
      </c>
      <c r="U142" s="116" t="n">
        <f aca="false">U85*01_Supuestos!$I$101</f>
        <v>0.913820561587002</v>
      </c>
      <c r="V142" s="116" t="n">
        <f aca="false">V85*01_Supuestos!$I$101</f>
        <v>0.935525425747838</v>
      </c>
      <c r="W142" s="116" t="n">
        <f aca="false">W85*01_Supuestos!$I$101</f>
        <v>0.957054229772433</v>
      </c>
      <c r="X142" s="116" t="n">
        <f aca="false">X85*01_Supuestos!$I$101</f>
        <v>0.978442134842294</v>
      </c>
      <c r="Y142" s="116" t="n">
        <f aca="false">Y85*01_Supuestos!$I$101</f>
        <v>0.999724395584094</v>
      </c>
      <c r="Z142" s="116" t="n">
        <f aca="false">Z85*01_Supuestos!$I$101</f>
        <v>1.02093639420443</v>
      </c>
      <c r="AA142" s="116" t="n">
        <f aca="false">AA85*01_Supuestos!$I$101</f>
        <v>1.04211369761376</v>
      </c>
      <c r="AB142" s="116" t="n">
        <f aca="false">AB85*01_Supuestos!$I$101</f>
        <v>1.06329825175208</v>
      </c>
      <c r="AC142" s="116" t="n">
        <f aca="false">AC85*01_Supuestos!$I$101</f>
        <v>1.08453219006733</v>
      </c>
      <c r="AD142" s="116" t="n">
        <f aca="false">AD85*01_Supuestos!$I$101</f>
        <v>1.10585789303692</v>
      </c>
      <c r="AE142" s="116" t="n">
        <f aca="false">AE85*01_Supuestos!$I$101</f>
        <v>1.12731804831067</v>
      </c>
      <c r="AF142" s="116" t="n">
        <f aca="false">AF85*01_Supuestos!$I$101</f>
        <v>1.14895570926376</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0.714999999999993</v>
      </c>
      <c r="D143" s="116" t="n">
        <f aca="false">D41*((1+$C$14)^D$39-1)</f>
        <v>1.46449917899995</v>
      </c>
      <c r="E143" s="116" t="n">
        <f aca="false">E41*((1+$C$14)^E$39-1)</f>
        <v>2.24974689696922</v>
      </c>
      <c r="F143" s="116" t="n">
        <f aca="false">F41*((1+$C$14)^F$39-1)</f>
        <v>3.07203276037086</v>
      </c>
      <c r="G143" s="116" t="n">
        <f aca="false">G41*((1+$C$14)^G$39-1)</f>
        <v>3.93268783849619</v>
      </c>
      <c r="H143" s="116" t="n">
        <f aca="false">H41*((1+$C$14)^H$39-1)</f>
        <v>4.83308591511447</v>
      </c>
      <c r="I143" s="116" t="n">
        <f aca="false">I41*((1+$C$14)^I$39-1)</f>
        <v>5.77464477643511</v>
      </c>
      <c r="J143" s="116" t="n">
        <f aca="false">J41*((1+$C$14)^J$39-1)</f>
        <v>6.758827536408</v>
      </c>
      <c r="K143" s="116" t="n">
        <f aca="false">K41*((1+$C$14)^K$39-1)</f>
        <v>7.78714400041525</v>
      </c>
      <c r="L143" s="116" t="n">
        <f aca="false">L41*((1+$C$14)^L$39-1)</f>
        <v>8.86115206843713</v>
      </c>
      <c r="M143" s="116" t="n">
        <f aca="false">M41*((1+$C$14)^M$39-1)</f>
        <v>9.98245917880512</v>
      </c>
      <c r="N143" s="116" t="n">
        <f aca="false">N41*((1+$C$14)^N$39-1)</f>
        <v>11.1527237936849</v>
      </c>
      <c r="O143" s="116" t="n">
        <f aca="false">O41*((1+$C$14)^O$39-1)</f>
        <v>12.3736569274655</v>
      </c>
      <c r="P143" s="116" t="n">
        <f aca="false">P41*((1+$C$14)^P$39-1)</f>
        <v>13.64702371926</v>
      </c>
      <c r="Q143" s="116" t="n">
        <f aca="false">Q41*((1+$C$14)^Q$39-1)</f>
        <v>14.9746450507617</v>
      </c>
      <c r="R143" s="116" t="n">
        <f aca="false">R41*((1+$C$14)^R$39-1)</f>
        <v>16.3583992107272</v>
      </c>
      <c r="S143" s="116" t="n">
        <f aca="false">S41*((1+$C$14)^S$39-1)</f>
        <v>17.8002236074001</v>
      </c>
      <c r="T143" s="116" t="n">
        <f aca="false">T41*((1+$C$14)^T$39-1)</f>
        <v>19.3021165302197</v>
      </c>
      <c r="U143" s="116" t="n">
        <f aca="false">U41*((1+$C$14)^U$39-1)</f>
        <v>20.866138962198</v>
      </c>
      <c r="V143" s="116" t="n">
        <f aca="false">V41*((1+$C$14)^V$39-1)</f>
        <v>22.4944164443885</v>
      </c>
      <c r="W143" s="116" t="n">
        <f aca="false">W41*((1+$C$14)^W$39-1)</f>
        <v>24.1891409939062</v>
      </c>
      <c r="X143" s="116" t="n">
        <f aca="false">X41*((1+$C$14)^X$39-1)</f>
        <v>25.9525730769998</v>
      </c>
      <c r="Y143" s="116" t="n">
        <f aca="false">Y41*((1+$C$14)^Y$39-1)</f>
        <v>27.7870436387196</v>
      </c>
      <c r="Z143" s="116" t="n">
        <f aca="false">Z41*((1+$C$14)^Z$39-1)</f>
        <v>29.6949561907647</v>
      </c>
      <c r="AA143" s="116" t="n">
        <f aca="false">AA41*((1+$C$14)^AA$39-1)</f>
        <v>31.6787889591392</v>
      </c>
      <c r="AB143" s="116" t="n">
        <f aca="false">AB41*((1+$C$14)^AB$39-1)</f>
        <v>33.7410970932892</v>
      </c>
      <c r="AC143" s="116" t="n">
        <f aca="false">AC41*((1+$C$14)^AC$39-1)</f>
        <v>35.8845149384416</v>
      </c>
      <c r="AD143" s="116" t="n">
        <f aca="false">AD41*((1+$C$14)^AD$39-1)</f>
        <v>38.1117583729091</v>
      </c>
      <c r="AE143" s="116" t="n">
        <f aca="false">AE41*((1+$C$14)^AE$39-1)</f>
        <v>40.425627212179</v>
      </c>
      <c r="AF143" s="116" t="n">
        <f aca="false">AF41*((1+$C$14)^AF$39-1)</f>
        <v>42.8290076816476</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0.150149999999999</v>
      </c>
      <c r="D144" s="116" t="n">
        <f aca="false">$C$33*D143</f>
        <v>0.30754482758999</v>
      </c>
      <c r="E144" s="116" t="n">
        <f aca="false">$C$33*E143</f>
        <v>0.472446848363536</v>
      </c>
      <c r="F144" s="116" t="n">
        <f aca="false">$C$33*F143</f>
        <v>0.645126879677881</v>
      </c>
      <c r="G144" s="116" t="n">
        <f aca="false">$C$33*G143</f>
        <v>0.825864446084199</v>
      </c>
      <c r="H144" s="116" t="n">
        <f aca="false">$C$33*H143</f>
        <v>1.01494804217404</v>
      </c>
      <c r="I144" s="116" t="n">
        <f aca="false">$C$33*I143</f>
        <v>1.21267540305137</v>
      </c>
      <c r="J144" s="116" t="n">
        <f aca="false">$C$33*J143</f>
        <v>1.41935378264568</v>
      </c>
      <c r="K144" s="116" t="n">
        <f aca="false">$C$33*K143</f>
        <v>1.6353002400872</v>
      </c>
      <c r="L144" s="116" t="n">
        <f aca="false">$C$33*L143</f>
        <v>1.8608419343718</v>
      </c>
      <c r="M144" s="116" t="n">
        <f aca="false">$C$33*M143</f>
        <v>2.09631642754907</v>
      </c>
      <c r="N144" s="116" t="n">
        <f aca="false">$C$33*N143</f>
        <v>2.34207199667383</v>
      </c>
      <c r="O144" s="116" t="n">
        <f aca="false">$C$33*O143</f>
        <v>2.59846795476776</v>
      </c>
      <c r="P144" s="116" t="n">
        <f aca="false">$C$33*P143</f>
        <v>2.8658749810446</v>
      </c>
      <c r="Q144" s="116" t="n">
        <f aca="false">$C$33*Q143</f>
        <v>3.14467546065995</v>
      </c>
      <c r="R144" s="116" t="n">
        <f aca="false">$C$33*R143</f>
        <v>3.4352638342527</v>
      </c>
      <c r="S144" s="116" t="n">
        <f aca="false">$C$33*S143</f>
        <v>3.73804695755403</v>
      </c>
      <c r="T144" s="116" t="n">
        <f aca="false">$C$33*T143</f>
        <v>4.05344447134613</v>
      </c>
      <c r="U144" s="116" t="n">
        <f aca="false">$C$33*U143</f>
        <v>4.38188918206157</v>
      </c>
      <c r="V144" s="116" t="n">
        <f aca="false">$C$33*V143</f>
        <v>4.72382745332158</v>
      </c>
      <c r="W144" s="116" t="n">
        <f aca="false">$C$33*W143</f>
        <v>5.0797196087203</v>
      </c>
      <c r="X144" s="116" t="n">
        <f aca="false">$C$33*X143</f>
        <v>5.45004034616997</v>
      </c>
      <c r="Y144" s="116" t="n">
        <f aca="false">$C$33*Y143</f>
        <v>5.83527916413112</v>
      </c>
      <c r="Z144" s="116" t="n">
        <f aca="false">$C$33*Z143</f>
        <v>6.23594080006058</v>
      </c>
      <c r="AA144" s="116" t="n">
        <f aca="false">$C$33*AA143</f>
        <v>6.65254568141924</v>
      </c>
      <c r="AB144" s="116" t="n">
        <f aca="false">$C$33*AB143</f>
        <v>7.08563038959073</v>
      </c>
      <c r="AC144" s="116" t="n">
        <f aca="false">$C$33*AC143</f>
        <v>7.53574813707273</v>
      </c>
      <c r="AD144" s="116" t="n">
        <f aca="false">$C$33*AD143</f>
        <v>8.0034692583109</v>
      </c>
      <c r="AE144" s="116" t="n">
        <f aca="false">$C$33*AE143</f>
        <v>8.4893817145576</v>
      </c>
      <c r="AF144" s="116" t="n">
        <f aca="false">$C$33*AF143</f>
        <v>8.994091613146</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-18.6821685832014</v>
      </c>
      <c r="D148" s="136" t="n">
        <f aca="false">D140+D141+D142+D144+D145+D146+D147</f>
        <v>-18.4881280851866</v>
      </c>
      <c r="E148" s="136" t="n">
        <f aca="false">E140+E141+E142+E144+E145+E146+E147</f>
        <v>-18.3621251796328</v>
      </c>
      <c r="F148" s="136" t="n">
        <f aca="false">F140+F141+F142+F144+F145+F146+F147</f>
        <v>-18.1405702995625</v>
      </c>
      <c r="G148" s="136" t="n">
        <f aca="false">G140+G141+G142+G144+G145+G146+G147</f>
        <v>-17.8099990534438</v>
      </c>
      <c r="H148" s="136" t="n">
        <f aca="false">H140+H141+H142+H144+H145+H146+H147</f>
        <v>-17.5124873352344</v>
      </c>
      <c r="I148" s="136" t="n">
        <f aca="false">I140+I141+I142+I144+I145+I146+I147</f>
        <v>-17.2350524796709</v>
      </c>
      <c r="J148" s="136" t="n">
        <f aca="false">J140+J141+J142+J144+J145+J146+J147</f>
        <v>-16.9723075523811</v>
      </c>
      <c r="K148" s="136" t="n">
        <f aca="false">K140+K141+K142+K144+K145+K146+K147</f>
        <v>-16.7862138459583</v>
      </c>
      <c r="L148" s="136" t="n">
        <f aca="false">L140+L141+L142+L144+L145+L146+L147</f>
        <v>-16.5887379513248</v>
      </c>
      <c r="M148" s="136" t="n">
        <f aca="false">M140+M141+M142+M144+M145+M146+M147</f>
        <v>4.34741750480833</v>
      </c>
      <c r="N148" s="136" t="n">
        <f aca="false">N140+N141+N142+N144+N145+N146+N147</f>
        <v>4.63935535527192</v>
      </c>
      <c r="O148" s="136" t="n">
        <f aca="false">O140+O141+O142+O144+O145+O146+O147</f>
        <v>4.85275241142284</v>
      </c>
      <c r="P148" s="136" t="n">
        <f aca="false">P140+P141+P142+P144+P145+P146+P147</f>
        <v>5.08623308418645</v>
      </c>
      <c r="Q148" s="136" t="n">
        <f aca="false">Q140+Q141+Q142+Q144+Q145+Q146+Q147</f>
        <v>5.33960958126628</v>
      </c>
      <c r="R148" s="136" t="n">
        <f aca="false">R140+R141+R142+R144+R145+R146+R147</f>
        <v>5.61022928788003</v>
      </c>
      <c r="S148" s="136" t="n">
        <f aca="false">S140+S141+S142+S144+S145+S146+S147</f>
        <v>5.8967909044919</v>
      </c>
      <c r="T148" s="136" t="n">
        <f aca="false">T140+T141+T142+T144+T145+T146+T147</f>
        <v>6.19828088040941</v>
      </c>
      <c r="U148" s="136" t="n">
        <f aca="false">U140+U141+U142+U144+U145+U146+U147</f>
        <v>6.51026579823918</v>
      </c>
      <c r="V148" s="136" t="n">
        <f aca="false">V140+V141+V142+V144+V145+V146+V147</f>
        <v>6.83322152234511</v>
      </c>
      <c r="W148" s="136" t="n">
        <f aca="false">W140+W141+W142+W144+W145+W146+W147</f>
        <v>7.16776877823264</v>
      </c>
      <c r="X148" s="136" t="n">
        <f aca="false">X140+X141+X142+X144+X145+X146+X147</f>
        <v>7.51440203262354</v>
      </c>
      <c r="Y148" s="136" t="n">
        <f aca="false">Y140+Y141+Y142+Y144+Y145+Y146+Y147</f>
        <v>7.87362611199787</v>
      </c>
      <c r="Z148" s="136" t="n">
        <f aca="false">Z140+Z141+Z142+Z144+Z145+Z146+Z147</f>
        <v>8.24595684612743</v>
      </c>
      <c r="AA148" s="136" t="n">
        <f aca="false">AA140+AA141+AA142+AA144+AA145+AA146+AA147</f>
        <v>8.6319216969786</v>
      </c>
      <c r="AB148" s="136" t="n">
        <f aca="false">AB140+AB141+AB142+AB144+AB145+AB146+AB147</f>
        <v>9.03205743044314</v>
      </c>
      <c r="AC148" s="136" t="n">
        <f aca="false">AC140+AC141+AC142+AC144+AC145+AC146+AC147</f>
        <v>9.44691375068558</v>
      </c>
      <c r="AD148" s="136" t="n">
        <f aca="false">AD140+AD141+AD142+AD144+AD145+AD146+AD147</f>
        <v>9.8770539250208</v>
      </c>
      <c r="AE148" s="136" t="n">
        <f aca="false">AE140+AE141+AE142+AE144+AE145+AE146+AE147</f>
        <v>10.3230554099696</v>
      </c>
      <c r="AF148" s="136" t="n">
        <f aca="false">AF140+AF141+AF142+AF144+AF145+AF146+AF147</f>
        <v>10.7855104806982</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-18.6821685832014</v>
      </c>
      <c r="D149" s="138" t="n">
        <f aca="false">C149+D148</f>
        <v>-37.170296668388</v>
      </c>
      <c r="E149" s="138" t="n">
        <f aca="false">D149+E148</f>
        <v>-55.5324218480208</v>
      </c>
      <c r="F149" s="138" t="n">
        <f aca="false">E149+F148</f>
        <v>-73.6729921475832</v>
      </c>
      <c r="G149" s="138" t="n">
        <f aca="false">F149+G148</f>
        <v>-91.4829912010271</v>
      </c>
      <c r="H149" s="138" t="n">
        <f aca="false">G149+H148</f>
        <v>-108.995478536262</v>
      </c>
      <c r="I149" s="138" t="n">
        <f aca="false">H149+I148</f>
        <v>-126.230531015932</v>
      </c>
      <c r="J149" s="138" t="n">
        <f aca="false">I149+J148</f>
        <v>-143.202838568314</v>
      </c>
      <c r="K149" s="138" t="n">
        <f aca="false">J149+K148</f>
        <v>-159.989052414272</v>
      </c>
      <c r="L149" s="138" t="n">
        <f aca="false">K149+L148</f>
        <v>-176.577790365597</v>
      </c>
      <c r="M149" s="138" t="n">
        <f aca="false">L149+M148</f>
        <v>-172.230372860788</v>
      </c>
      <c r="N149" s="138" t="n">
        <f aca="false">M149+N148</f>
        <v>-167.591017505516</v>
      </c>
      <c r="O149" s="138" t="n">
        <f aca="false">N149+O148</f>
        <v>-162.738265094094</v>
      </c>
      <c r="P149" s="138" t="n">
        <f aca="false">O149+P148</f>
        <v>-157.652032009907</v>
      </c>
      <c r="Q149" s="138" t="n">
        <f aca="false">P149+Q148</f>
        <v>-152.312422428641</v>
      </c>
      <c r="R149" s="138" t="n">
        <f aca="false">Q149+R148</f>
        <v>-146.702193140761</v>
      </c>
      <c r="S149" s="138" t="n">
        <f aca="false">R149+S148</f>
        <v>-140.805402236269</v>
      </c>
      <c r="T149" s="138" t="n">
        <f aca="false">S149+T148</f>
        <v>-134.607121355859</v>
      </c>
      <c r="U149" s="138" t="n">
        <f aca="false">T149+U148</f>
        <v>-128.09685555762</v>
      </c>
      <c r="V149" s="138" t="n">
        <f aca="false">U149+V148</f>
        <v>-121.263634035275</v>
      </c>
      <c r="W149" s="138" t="n">
        <f aca="false">V149+W148</f>
        <v>-114.095865257043</v>
      </c>
      <c r="X149" s="138" t="n">
        <f aca="false">W149+X148</f>
        <v>-106.581463224419</v>
      </c>
      <c r="Y149" s="138" t="n">
        <f aca="false">X149+Y148</f>
        <v>-98.7078371124212</v>
      </c>
      <c r="Z149" s="138" t="n">
        <f aca="false">Y149+Z148</f>
        <v>-90.4618802662937</v>
      </c>
      <c r="AA149" s="138" t="n">
        <f aca="false">Z149+AA148</f>
        <v>-81.8299585693151</v>
      </c>
      <c r="AB149" s="138" t="n">
        <f aca="false">AA149+AB148</f>
        <v>-72.797901138872</v>
      </c>
      <c r="AC149" s="138" t="n">
        <f aca="false">AB149+AC148</f>
        <v>-63.3509873881864</v>
      </c>
      <c r="AD149" s="138" t="n">
        <f aca="false">AC149+AD148</f>
        <v>-53.4739334631656</v>
      </c>
      <c r="AE149" s="138" t="n">
        <f aca="false">AD149+AE148</f>
        <v>-43.150878053196</v>
      </c>
      <c r="AF149" s="138" t="n">
        <f aca="false">AE149+AF148</f>
        <v>-32.3653675724978</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6.88634987596409</v>
      </c>
      <c r="D152" s="116" t="n">
        <f aca="false">D83</f>
        <v>17.9891896948854</v>
      </c>
      <c r="E152" s="116" t="n">
        <f aca="false">E83</f>
        <v>31.5940666948854</v>
      </c>
      <c r="F152" s="116" t="n">
        <f aca="false">F83</f>
        <v>45.5118558658854</v>
      </c>
      <c r="G152" s="116" t="n">
        <f aca="false">G83</f>
        <v>59.7497541878184</v>
      </c>
      <c r="H152" s="116" t="n">
        <f aca="false">H83</f>
        <v>74.3151241711558</v>
      </c>
      <c r="I152" s="116" t="n">
        <f aca="false">I83</f>
        <v>89.21549766411</v>
      </c>
      <c r="J152" s="116" t="n">
        <f aca="false">J83</f>
        <v>104.458579747402</v>
      </c>
      <c r="K152" s="116" t="n">
        <f aca="false">K83</f>
        <v>120.05225271861</v>
      </c>
      <c r="L152" s="116" t="n">
        <f aca="false">L83</f>
        <v>136.004580168156</v>
      </c>
      <c r="M152" s="116" t="n">
        <f aca="false">M83</f>
        <v>152.323811149041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20.8991194909793</v>
      </c>
      <c r="D153" s="116" t="n">
        <f aca="false">D120</f>
        <v>41.1404841127518</v>
      </c>
      <c r="E153" s="116" t="n">
        <f aca="false">E120</f>
        <v>61.6789638009456</v>
      </c>
      <c r="F153" s="116" t="n">
        <f aca="false">F120</f>
        <v>77.5443185058983</v>
      </c>
      <c r="G153" s="116" t="n">
        <f aca="false">G120</f>
        <v>92.3741180257237</v>
      </c>
      <c r="H153" s="116" t="n">
        <f aca="false">H120</f>
        <v>106.74406671511</v>
      </c>
      <c r="I153" s="116" t="n">
        <f aca="false">I120</f>
        <v>121.189723091919</v>
      </c>
      <c r="J153" s="116" t="n">
        <f aca="false">J120</f>
        <v>136.053454734117</v>
      </c>
      <c r="K153" s="116" t="n">
        <f aca="false">K120</f>
        <v>152.74415809936</v>
      </c>
      <c r="L153" s="116" t="n">
        <f aca="false">L120</f>
        <v>169.727574460482</v>
      </c>
      <c r="M153" s="116" t="n">
        <f aca="false">M120</f>
        <v>169.186383601085</v>
      </c>
      <c r="N153" s="116" t="n">
        <f aca="false">N120</f>
        <v>170.302309568202</v>
      </c>
      <c r="O153" s="116" t="n">
        <f aca="false">O120</f>
        <v>172.62305166253</v>
      </c>
      <c r="P153" s="116" t="n">
        <f aca="false">P120</f>
        <v>174.065909522161</v>
      </c>
      <c r="Q153" s="116" t="n">
        <f aca="false">Q120</f>
        <v>175.203309706725</v>
      </c>
      <c r="R153" s="116" t="n">
        <f aca="false">R120</f>
        <v>176.400771904485</v>
      </c>
      <c r="S153" s="116" t="n">
        <f aca="false">S120</f>
        <v>177.655859129382</v>
      </c>
      <c r="T153" s="116" t="n">
        <f aca="false">T120</f>
        <v>178.965842875906</v>
      </c>
      <c r="U153" s="116" t="n">
        <f aca="false">U120</f>
        <v>180.32216853961</v>
      </c>
      <c r="V153" s="116" t="n">
        <f aca="false">V120</f>
        <v>181.723211159161</v>
      </c>
      <c r="W153" s="116" t="n">
        <f aca="false">W120</f>
        <v>183.170882094497</v>
      </c>
      <c r="X153" s="116" t="n">
        <f aca="false">X120</f>
        <v>184.66660446033</v>
      </c>
      <c r="Y153" s="116" t="n">
        <f aca="false">Y120</f>
        <v>186.211592480222</v>
      </c>
      <c r="Z153" s="116" t="n">
        <f aca="false">Z120</f>
        <v>187.806771234011</v>
      </c>
      <c r="AA153" s="116" t="n">
        <f aca="false">AA120</f>
        <v>189.453100277009</v>
      </c>
      <c r="AB153" s="116" t="n">
        <f aca="false">AB120</f>
        <v>191.151524623705</v>
      </c>
      <c r="AC153" s="116" t="n">
        <f aca="false">AC120</f>
        <v>192.903013147316</v>
      </c>
      <c r="AD153" s="116" t="n">
        <f aca="false">AD120</f>
        <v>194.708564456474</v>
      </c>
      <c r="AE153" s="116" t="n">
        <f aca="false">AE120</f>
        <v>196.569214460337</v>
      </c>
      <c r="AF153" s="116" t="n">
        <f aca="false">AF120</f>
        <v>198.486036820406</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0.781764299547855</v>
      </c>
      <c r="E154" s="116" t="n">
        <f aca="false">E104</f>
        <v>1.44422695749969</v>
      </c>
      <c r="F154" s="116" t="n">
        <f aca="false">F104</f>
        <v>2.96676901457693</v>
      </c>
      <c r="G154" s="116" t="n">
        <f aca="false">G104</f>
        <v>4.47429463539798</v>
      </c>
      <c r="H154" s="116" t="n">
        <f aca="false">H104</f>
        <v>5.72176675266671</v>
      </c>
      <c r="I154" s="116" t="n">
        <f aca="false">I104</f>
        <v>6.81441458562909</v>
      </c>
      <c r="J154" s="116" t="n">
        <f aca="false">J104</f>
        <v>7.77332917635104</v>
      </c>
      <c r="K154" s="116" t="n">
        <f aca="false">K104</f>
        <v>8.09488138163125</v>
      </c>
      <c r="L154" s="116" t="n">
        <f aca="false">L104</f>
        <v>8.41751443548344</v>
      </c>
      <c r="M154" s="116" t="n">
        <f aca="false">M104</f>
        <v>8.76844626753364</v>
      </c>
      <c r="N154" s="116" t="n">
        <f aca="false">N104</f>
        <v>9.14214226744501</v>
      </c>
      <c r="O154" s="116" t="n">
        <f aca="false">O104</f>
        <v>9.5109091835397</v>
      </c>
      <c r="P154" s="116" t="n">
        <f aca="false">P104</f>
        <v>9.85460528497115</v>
      </c>
      <c r="Q154" s="116" t="n">
        <f aca="false">Q104</f>
        <v>10.172256791773</v>
      </c>
      <c r="R154" s="116" t="n">
        <f aca="false">R104</f>
        <v>10.4686050253574</v>
      </c>
      <c r="S154" s="116" t="n">
        <f aca="false">S104</f>
        <v>10.7480223673186</v>
      </c>
      <c r="T154" s="116" t="n">
        <f aca="false">T104</f>
        <v>11.0146535154214</v>
      </c>
      <c r="U154" s="116" t="n">
        <f aca="false">U104</f>
        <v>11.2817353282346</v>
      </c>
      <c r="V154" s="116" t="n">
        <f aca="false">V104</f>
        <v>11.5496966141708</v>
      </c>
      <c r="W154" s="116" t="n">
        <f aca="false">W104</f>
        <v>11.8154843181782</v>
      </c>
      <c r="X154" s="116" t="n">
        <f aca="false">X104</f>
        <v>12.0795325289172</v>
      </c>
      <c r="Y154" s="116" t="n">
        <f aca="false">Y104</f>
        <v>12.3422764886925</v>
      </c>
      <c r="Z154" s="116" t="n">
        <f aca="false">Z104</f>
        <v>12.6041530148695</v>
      </c>
      <c r="AA154" s="116" t="n">
        <f aca="false">AA104</f>
        <v>12.8656012051082</v>
      </c>
      <c r="AB154" s="116" t="n">
        <f aca="false">AB104</f>
        <v>13.1271389105195</v>
      </c>
      <c r="AC154" s="116" t="n">
        <f aca="false">AC104</f>
        <v>13.3892862971276</v>
      </c>
      <c r="AD154" s="116" t="n">
        <f aca="false">AD104</f>
        <v>13.6525665807027</v>
      </c>
      <c r="AE154" s="116" t="n">
        <f aca="false">AE104</f>
        <v>13.9175067692675</v>
      </c>
      <c r="AF154" s="116" t="n">
        <f aca="false">AF104</f>
        <v>14.1846383859723</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0.444273103238381</v>
      </c>
      <c r="E155" s="116" t="n">
        <f aca="false">E70+E121-E227</f>
        <v>1.1608051455177</v>
      </c>
      <c r="F155" s="116" t="n">
        <f aca="false">F70+F121-F227</f>
        <v>17.5098659227179</v>
      </c>
      <c r="G155" s="116" t="n">
        <f aca="false">G70+G121-G227</f>
        <v>33.8927483644328</v>
      </c>
      <c r="H155" s="116" t="n">
        <f aca="false">H70+H121-H227</f>
        <v>50.3100234106068</v>
      </c>
      <c r="I155" s="116" t="n">
        <f aca="false">I70+I121-I227</f>
        <v>66.7622728108921</v>
      </c>
      <c r="J155" s="116" t="n">
        <f aca="false">J70+J121-J227</f>
        <v>83.2500893660645</v>
      </c>
      <c r="K155" s="116" t="n">
        <f aca="false">K70+K121-K227</f>
        <v>90.5404063273209</v>
      </c>
      <c r="L155" s="116" t="n">
        <f aca="false">L70+L121-L227</f>
        <v>99.1999111582049</v>
      </c>
      <c r="M155" s="116" t="n">
        <f aca="false">M70+M121-M227</f>
        <v>105.161930328088</v>
      </c>
      <c r="N155" s="116" t="n">
        <f aca="false">N70+N121-N227</f>
        <v>111.623250573873</v>
      </c>
      <c r="O155" s="116" t="n">
        <f aca="false">O70+O121-O227</f>
        <v>118.337411706787</v>
      </c>
      <c r="P155" s="116" t="n">
        <f aca="false">P70+P121-P227</f>
        <v>125.266736524051</v>
      </c>
      <c r="Q155" s="116" t="n">
        <f aca="false">Q70+Q121-Q227</f>
        <v>132.305479445113</v>
      </c>
      <c r="R155" s="116" t="n">
        <f aca="false">R70+R121-R227</f>
        <v>139.393483720003</v>
      </c>
      <c r="S155" s="116" t="n">
        <f aca="false">S70+S121-S227</f>
        <v>146.496963124638</v>
      </c>
      <c r="T155" s="116" t="n">
        <f aca="false">T70+T121-T227</f>
        <v>153.593592087794</v>
      </c>
      <c r="U155" s="116" t="n">
        <f aca="false">U70+U121-U227</f>
        <v>160.703099271066</v>
      </c>
      <c r="V155" s="116" t="n">
        <f aca="false">V70+V121-V227</f>
        <v>167.844709475236</v>
      </c>
      <c r="W155" s="116" t="n">
        <f aca="false">W70+W121-W227</f>
        <v>175.037600114167</v>
      </c>
      <c r="X155" s="116" t="n">
        <f aca="false">X70+X121-X227</f>
        <v>182.300895616308</v>
      </c>
      <c r="Y155" s="116" t="n">
        <f aca="false">Y70+Y121-Y227</f>
        <v>189.653683295502</v>
      </c>
      <c r="Z155" s="116" t="n">
        <f aca="false">Z70+Z121-Z227</f>
        <v>197.115040509598</v>
      </c>
      <c r="AA155" s="116" t="n">
        <f aca="false">AA70+AA121-AA227</f>
        <v>204.704057241047</v>
      </c>
      <c r="AB155" s="116" t="n">
        <f aca="false">AB70+AB121-AB227</f>
        <v>212.439864718049</v>
      </c>
      <c r="AC155" s="116" t="n">
        <f aca="false">AC70+AC121-AC227</f>
        <v>220.341664743303</v>
      </c>
      <c r="AD155" s="116" t="n">
        <f aca="false">AD70+AD121-AD227</f>
        <v>228.42875929359</v>
      </c>
      <c r="AE155" s="116" t="n">
        <f aca="false">AE70+AE121-AE227</f>
        <v>236.720579299567</v>
      </c>
      <c r="AF155" s="116" t="n">
        <f aca="false">AF70+AF121-AF227</f>
        <v>245.236712762061</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32.7258222633621</v>
      </c>
      <c r="D156" s="136" t="n">
        <f aca="false">SUM(D152:D155)+D187</f>
        <v>73.4742694974523</v>
      </c>
      <c r="E156" s="136" t="n">
        <f aca="false">SUM(E152:E155)+E187</f>
        <v>120.366841198848</v>
      </c>
      <c r="F156" s="136" t="n">
        <f aca="false">SUM(F152:F155)+F187</f>
        <v>176.935503319479</v>
      </c>
      <c r="G156" s="136" t="n">
        <f aca="false">SUM(G152:G155)+G187</f>
        <v>233.204610179172</v>
      </c>
      <c r="H156" s="136" t="n">
        <f aca="false">SUM(H152:H155)+H187</f>
        <v>280.787090999552</v>
      </c>
      <c r="I156" s="136" t="n">
        <f aca="false">SUM(I152:I155)+I187</f>
        <v>328.683028631413</v>
      </c>
      <c r="J156" s="136" t="n">
        <f aca="false">SUM(J152:J155)+J187</f>
        <v>377.264699273811</v>
      </c>
      <c r="K156" s="136" t="n">
        <f aca="false">SUM(K152:K155)+K187</f>
        <v>418.212717440546</v>
      </c>
      <c r="L156" s="136" t="n">
        <f aca="false">SUM(L152:L155)+L187</f>
        <v>461.206562570963</v>
      </c>
      <c r="M156" s="136" t="n">
        <f aca="false">SUM(M152:M155)+M187</f>
        <v>484.398264288404</v>
      </c>
      <c r="N156" s="136" t="n">
        <f aca="false">SUM(N152:N155)+N187</f>
        <v>503.235548715782</v>
      </c>
      <c r="O156" s="136" t="n">
        <f aca="false">SUM(O152:O155)+O187</f>
        <v>517.519079324162</v>
      </c>
      <c r="P156" s="136" t="n">
        <f aca="false">SUM(P152:P155)+P187</f>
        <v>531.227055358229</v>
      </c>
      <c r="Q156" s="136" t="n">
        <f aca="false">SUM(Q152:Q155)+Q187</f>
        <v>544.827765463278</v>
      </c>
      <c r="R156" s="136" t="n">
        <f aca="false">SUM(R152:R155)+R187</f>
        <v>558.633954718466</v>
      </c>
      <c r="S156" s="136" t="n">
        <f aca="false">SUM(S152:S155)+S187</f>
        <v>572.616473853536</v>
      </c>
      <c r="T156" s="136" t="n">
        <f aca="false">SUM(T152:T155)+T187</f>
        <v>586.757177183659</v>
      </c>
      <c r="U156" s="136" t="n">
        <f aca="false">SUM(U152:U155)+U187</f>
        <v>601.083302883654</v>
      </c>
      <c r="V156" s="136" t="n">
        <f aca="false">SUM(V152:V155)+V187</f>
        <v>615.61577188744</v>
      </c>
      <c r="W156" s="136" t="n">
        <f aca="false">SUM(W152:W155)+W187</f>
        <v>630.375578722408</v>
      </c>
      <c r="X156" s="136" t="n">
        <f aca="false">SUM(X152:X155)+X187</f>
        <v>645.386731881619</v>
      </c>
      <c r="Y156" s="136" t="n">
        <f aca="false">SUM(Y152:Y155)+Y187</f>
        <v>660.673064623831</v>
      </c>
      <c r="Z156" s="136" t="n">
        <f aca="false">SUM(Z152:Z155)+Z187</f>
        <v>676.258183902158</v>
      </c>
      <c r="AA156" s="136" t="n">
        <f aca="false">SUM(AA152:AA155)+AA187</f>
        <v>692.165818907149</v>
      </c>
      <c r="AB156" s="136" t="n">
        <f aca="false">SUM(AB152:AB155)+AB187</f>
        <v>708.41987882049</v>
      </c>
      <c r="AC156" s="136" t="n">
        <f aca="false">SUM(AC152:AC155)+AC187</f>
        <v>725.044445819032</v>
      </c>
      <c r="AD156" s="136" t="n">
        <f aca="false">SUM(AD152:AD155)+AD187</f>
        <v>742.063813039572</v>
      </c>
      <c r="AE156" s="136" t="n">
        <f aca="false">SUM(AE152:AE155)+AE187</f>
        <v>759.502523460279</v>
      </c>
      <c r="AF156" s="136" t="n">
        <f aca="false">SUM(AF152:AF155)+AF187</f>
        <v>777.385401026962</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11.8267027723829</v>
      </c>
      <c r="D157" s="116" t="n">
        <f aca="false">D69+D80+D121</f>
        <v>31.5520210851526</v>
      </c>
      <c r="E157" s="116" t="n">
        <f aca="false">E69+E80+E121</f>
        <v>58.3998626550669</v>
      </c>
      <c r="F157" s="116" t="n">
        <f aca="false">F69+F80+F121</f>
        <v>118.670760583077</v>
      </c>
      <c r="G157" s="116" t="n">
        <f aca="false">G69+G80+G121</f>
        <v>178.971785415919</v>
      </c>
      <c r="H157" s="116" t="n">
        <f aca="false">H69+H80+H121</f>
        <v>228.870670106668</v>
      </c>
      <c r="I157" s="116" t="n">
        <f aca="false">I69+I80+I121</f>
        <v>272.576583425164</v>
      </c>
      <c r="J157" s="116" t="n">
        <f aca="false">J69+J80+J121</f>
        <v>310.933167054042</v>
      </c>
      <c r="K157" s="116" t="n">
        <f aca="false">K69+K80+K121</f>
        <v>323.79525526525</v>
      </c>
      <c r="L157" s="116" t="n">
        <f aca="false">L69+L80+L121</f>
        <v>338.036705681675</v>
      </c>
      <c r="M157" s="116" t="n">
        <f aca="false">M69+M80+M121</f>
        <v>353.426966103073</v>
      </c>
      <c r="N157" s="116" t="n">
        <f aca="false">N69+N80+N121</f>
        <v>368.822716157817</v>
      </c>
      <c r="O157" s="116" t="n">
        <f aca="false">O69+O80+O121</f>
        <v>383.773990705479</v>
      </c>
      <c r="P157" s="116" t="n">
        <f aca="false">P69+P80+P121</f>
        <v>397.683887855865</v>
      </c>
      <c r="Q157" s="116" t="n">
        <f aca="false">Q69+Q80+Q121</f>
        <v>410.445372054523</v>
      </c>
      <c r="R157" s="116" t="n">
        <f aca="false">R69+R80+R121</f>
        <v>422.293668666212</v>
      </c>
      <c r="S157" s="116" t="n">
        <f aca="false">S69+S80+S121</f>
        <v>433.430026805105</v>
      </c>
      <c r="T157" s="116" t="n">
        <f aca="false">T69+T80+T121</f>
        <v>444.031677996917</v>
      </c>
      <c r="U157" s="116" t="n">
        <f aca="false">U69+U80+U121</f>
        <v>454.670133407804</v>
      </c>
      <c r="V157" s="116" t="n">
        <f aca="false">V69+V80+V121</f>
        <v>465.362023722702</v>
      </c>
      <c r="W157" s="116" t="n">
        <f aca="false">W69+W80+W121</f>
        <v>475.985161170558</v>
      </c>
      <c r="X157" s="116" t="n">
        <f aca="false">X69+X80+X121</f>
        <v>486.556837728757</v>
      </c>
      <c r="Y157" s="116" t="n">
        <f aca="false">Y69+Y80+Y121</f>
        <v>497.094406979113</v>
      </c>
      <c r="Z157" s="116" t="n">
        <f aca="false">Z69+Z80+Z121</f>
        <v>507.615312241457</v>
      </c>
      <c r="AA157" s="116" t="n">
        <f aca="false">AA69+AA80+AA121</f>
        <v>518.137110193756</v>
      </c>
      <c r="AB157" s="116" t="n">
        <f aca="false">AB69+AB80+AB121</f>
        <v>528.680535827342</v>
      </c>
      <c r="AC157" s="116" t="n">
        <f aca="false">AC69+AC80+AC121</f>
        <v>539.266445601117</v>
      </c>
      <c r="AD157" s="116" t="n">
        <f aca="false">AD69+AD80+AD121</f>
        <v>549.915847093407</v>
      </c>
      <c r="AE157" s="116" t="n">
        <f aca="false">AE69+AE80+AE121</f>
        <v>560.649927869777</v>
      </c>
      <c r="AF157" s="116" t="n">
        <f aca="false">AF69+AF80+AF121</f>
        <v>571.490083721525</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11.1524547186432</v>
      </c>
      <c r="D159" s="116" t="n">
        <f aca="false">D72</f>
        <v>29.8374659994949</v>
      </c>
      <c r="E159" s="116" t="n">
        <f aca="false">E72</f>
        <v>54.2843851251349</v>
      </c>
      <c r="F159" s="116" t="n">
        <f aca="false">F72</f>
        <v>77.2105613266551</v>
      </c>
      <c r="G159" s="116" t="n">
        <f aca="false">G72</f>
        <v>100.650551950204</v>
      </c>
      <c r="H159" s="116" t="n">
        <f aca="false">H72</f>
        <v>115.810481569389</v>
      </c>
      <c r="I159" s="116" t="n">
        <f aca="false">I72</f>
        <v>131.300780009557</v>
      </c>
      <c r="J159" s="116" t="n">
        <f aca="false">J72</f>
        <v>147.150220092028</v>
      </c>
      <c r="K159" s="116" t="n">
        <f aca="false">K72</f>
        <v>163.065463399121</v>
      </c>
      <c r="L159" s="116" t="n">
        <f aca="false">L72</f>
        <v>179.5378550441</v>
      </c>
      <c r="M159" s="116" t="n">
        <f aca="false">M72</f>
        <v>195.367413863722</v>
      </c>
      <c r="N159" s="116" t="n">
        <f aca="false">N72</f>
        <v>206.305093945176</v>
      </c>
      <c r="O159" s="116" t="n">
        <f aca="false">O72</f>
        <v>212.396978887353</v>
      </c>
      <c r="P159" s="116" t="n">
        <f aca="false">P72</f>
        <v>217.657876729913</v>
      </c>
      <c r="Q159" s="116" t="n">
        <f aca="false">Q72</f>
        <v>222.660724171441</v>
      </c>
      <c r="R159" s="116" t="n">
        <f aca="false">R72</f>
        <v>227.777295600699</v>
      </c>
      <c r="S159" s="116" t="n">
        <f aca="false">S72</f>
        <v>233.011069802762</v>
      </c>
      <c r="T159" s="116" t="n">
        <f aca="false">T72</f>
        <v>238.365036929381</v>
      </c>
      <c r="U159" s="116" t="n">
        <f aca="false">U72</f>
        <v>243.845484332918</v>
      </c>
      <c r="V159" s="116" t="n">
        <f aca="false">V72</f>
        <v>249.45285267566</v>
      </c>
      <c r="W159" s="116" t="n">
        <f aca="false">W72</f>
        <v>255.187669382421</v>
      </c>
      <c r="X159" s="116" t="n">
        <f aca="false">X72</f>
        <v>261.053493678634</v>
      </c>
      <c r="Y159" s="116" t="n">
        <f aca="false">Y72</f>
        <v>267.053710561545</v>
      </c>
      <c r="Z159" s="116" t="n">
        <f aca="false">Z72</f>
        <v>273.191451586121</v>
      </c>
      <c r="AA159" s="116" t="n">
        <f aca="false">AA72</f>
        <v>279.469919816571</v>
      </c>
      <c r="AB159" s="116" t="n">
        <f aca="false">AB72</f>
        <v>285.892417920394</v>
      </c>
      <c r="AC159" s="116" t="n">
        <f aca="false">AC72</f>
        <v>292.462310776834</v>
      </c>
      <c r="AD159" s="116" t="n">
        <f aca="false">AD72</f>
        <v>299.183032746183</v>
      </c>
      <c r="AE159" s="116" t="n">
        <f aca="false">AE72</f>
        <v>306.058096645657</v>
      </c>
      <c r="AF159" s="116" t="n">
        <f aca="false">AF72</f>
        <v>313.091095602917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22.9791574910261</v>
      </c>
      <c r="D160" s="136" t="n">
        <f aca="false">SUM(D157:D159)</f>
        <v>61.3894870846475</v>
      </c>
      <c r="E160" s="136" t="n">
        <f aca="false">SUM(E157:E159)</f>
        <v>112.684247780202</v>
      </c>
      <c r="F160" s="136" t="n">
        <f aca="false">SUM(F157:F159)</f>
        <v>195.881321909732</v>
      </c>
      <c r="G160" s="136" t="n">
        <f aca="false">SUM(G157:G159)</f>
        <v>279.622337366123</v>
      </c>
      <c r="H160" s="136" t="n">
        <f aca="false">SUM(H157:H159)</f>
        <v>344.681151676057</v>
      </c>
      <c r="I160" s="136" t="n">
        <f aca="false">SUM(I157:I159)</f>
        <v>403.877363434721</v>
      </c>
      <c r="J160" s="136" t="n">
        <f aca="false">SUM(J157:J159)</f>
        <v>458.08338714607</v>
      </c>
      <c r="K160" s="136" t="n">
        <f aca="false">SUM(K157:K159)</f>
        <v>486.860718664371</v>
      </c>
      <c r="L160" s="136" t="n">
        <f aca="false">SUM(L157:L159)</f>
        <v>517.574560725775</v>
      </c>
      <c r="M160" s="136" t="n">
        <f aca="false">SUM(M157:M159)</f>
        <v>548.794379966796</v>
      </c>
      <c r="N160" s="136" t="n">
        <f aca="false">SUM(N157:N159)</f>
        <v>575.127810102992</v>
      </c>
      <c r="O160" s="136" t="n">
        <f aca="false">SUM(O157:O159)</f>
        <v>596.170969592833</v>
      </c>
      <c r="P160" s="136" t="n">
        <f aca="false">SUM(P157:P159)</f>
        <v>615.341764585778</v>
      </c>
      <c r="Q160" s="136" t="n">
        <f aca="false">SUM(Q157:Q159)</f>
        <v>633.106096225964</v>
      </c>
      <c r="R160" s="136" t="n">
        <f aca="false">SUM(R157:R159)</f>
        <v>650.070964266911</v>
      </c>
      <c r="S160" s="136" t="n">
        <f aca="false">SUM(S157:S159)</f>
        <v>666.441096607867</v>
      </c>
      <c r="T160" s="136" t="n">
        <f aca="false">SUM(T157:T159)</f>
        <v>682.396714926298</v>
      </c>
      <c r="U160" s="136" t="n">
        <f aca="false">SUM(U157:U159)</f>
        <v>698.515617740722</v>
      </c>
      <c r="V160" s="136" t="n">
        <f aca="false">SUM(V157:V159)</f>
        <v>714.814876398362</v>
      </c>
      <c r="W160" s="136" t="n">
        <f aca="false">SUM(W157:W159)</f>
        <v>731.172830552978</v>
      </c>
      <c r="X160" s="136" t="n">
        <f aca="false">SUM(X157:X159)</f>
        <v>747.610331407391</v>
      </c>
      <c r="Y160" s="136" t="n">
        <f aca="false">SUM(Y157:Y159)</f>
        <v>764.148117540658</v>
      </c>
      <c r="Z160" s="136" t="n">
        <f aca="false">SUM(Z157:Z159)</f>
        <v>780.806763827578</v>
      </c>
      <c r="AA160" s="136" t="n">
        <f aca="false">SUM(AA157:AA159)</f>
        <v>797.607030010327</v>
      </c>
      <c r="AB160" s="136" t="n">
        <f aca="false">SUM(AB157:AB159)</f>
        <v>814.572953747736</v>
      </c>
      <c r="AC160" s="136" t="n">
        <f aca="false">SUM(AC157:AC159)</f>
        <v>831.728756377951</v>
      </c>
      <c r="AD160" s="136" t="n">
        <f aca="false">SUM(AD157:AD159)</f>
        <v>849.09887983959</v>
      </c>
      <c r="AE160" s="136" t="n">
        <f aca="false">SUM(AE157:AE159)</f>
        <v>866.708024515434</v>
      </c>
      <c r="AF160" s="136" t="n">
        <f aca="false">SUM(AF157:AF159)</f>
        <v>884.581179324442</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9.74666477233608</v>
      </c>
      <c r="D161" s="138" t="n">
        <f aca="false">D156-D160</f>
        <v>12.0847824128048</v>
      </c>
      <c r="E161" s="138" t="n">
        <f aca="false">E156-E160</f>
        <v>7.68259341864652</v>
      </c>
      <c r="F161" s="138" t="n">
        <f aca="false">F156-F160</f>
        <v>-18.9458185902537</v>
      </c>
      <c r="G161" s="138" t="n">
        <f aca="false">G156-G160</f>
        <v>-46.4177271869515</v>
      </c>
      <c r="H161" s="138" t="n">
        <f aca="false">H156-H160</f>
        <v>-63.8940606765054</v>
      </c>
      <c r="I161" s="138" t="n">
        <f aca="false">I156-I160</f>
        <v>-75.1943348033077</v>
      </c>
      <c r="J161" s="138" t="n">
        <f aca="false">J156-J160</f>
        <v>-80.8186878722589</v>
      </c>
      <c r="K161" s="138" t="n">
        <f aca="false">K156-K160</f>
        <v>-68.648001223825</v>
      </c>
      <c r="L161" s="138" t="n">
        <f aca="false">L156-L160</f>
        <v>-56.3679981548113</v>
      </c>
      <c r="M161" s="138" t="n">
        <f aca="false">M156-M160</f>
        <v>-64.3961156783918</v>
      </c>
      <c r="N161" s="138" t="n">
        <f aca="false">N156-N160</f>
        <v>-71.8922613872105</v>
      </c>
      <c r="O161" s="138" t="n">
        <f aca="false">O156-O160</f>
        <v>-78.6518902686707</v>
      </c>
      <c r="P161" s="138" t="n">
        <f aca="false">P156-P160</f>
        <v>-84.1147092275493</v>
      </c>
      <c r="Q161" s="138" t="n">
        <f aca="false">Q156-Q160</f>
        <v>-88.2783307626866</v>
      </c>
      <c r="R161" s="138" t="n">
        <f aca="false">R156-R160</f>
        <v>-91.4370095484451</v>
      </c>
      <c r="S161" s="138" t="n">
        <f aca="false">S156-S160</f>
        <v>-93.8246227543311</v>
      </c>
      <c r="T161" s="138" t="n">
        <f aca="false">T156-T160</f>
        <v>-95.6395377426383</v>
      </c>
      <c r="U161" s="138" t="n">
        <f aca="false">U156-U160</f>
        <v>-97.4323148570682</v>
      </c>
      <c r="V161" s="138" t="n">
        <f aca="false">V156-V160</f>
        <v>-99.1991045109218</v>
      </c>
      <c r="W161" s="138" t="n">
        <f aca="false">W156-W160</f>
        <v>-100.79725183057</v>
      </c>
      <c r="X161" s="138" t="n">
        <f aca="false">X156-X160</f>
        <v>-102.223599525772</v>
      </c>
      <c r="Y161" s="138" t="n">
        <f aca="false">Y156-Y160</f>
        <v>-103.475052916827</v>
      </c>
      <c r="Z161" s="138" t="n">
        <f aca="false">Z156-Z160</f>
        <v>-104.54857992542</v>
      </c>
      <c r="AA161" s="138" t="n">
        <f aca="false">AA156-AA160</f>
        <v>-105.441211103177</v>
      </c>
      <c r="AB161" s="138" t="n">
        <f aca="false">AB156-AB160</f>
        <v>-106.153074927247</v>
      </c>
      <c r="AC161" s="138" t="n">
        <f aca="false">AC156-AC160</f>
        <v>-106.684310558919</v>
      </c>
      <c r="AD161" s="138" t="n">
        <f aca="false">AD156-AD160</f>
        <v>-107.035066800018</v>
      </c>
      <c r="AE161" s="138" t="n">
        <f aca="false">AE156-AE160</f>
        <v>-107.205501055155</v>
      </c>
      <c r="AF161" s="138" t="n">
        <f aca="false">AF156-AF160</f>
        <v>-107.19577829748</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11.8267027723829</v>
      </c>
      <c r="D162" s="116" t="n">
        <f aca="false">D48+D50+(D80-C80)-D63</f>
        <v>19.4438692095313</v>
      </c>
      <c r="E162" s="116" t="n">
        <f aca="false">E48+E50+(E80-D80)-E63</f>
        <v>26.217057214835</v>
      </c>
      <c r="F162" s="116" t="n">
        <f aca="false">F48+F50+(F80-E80)-F63</f>
        <v>48.2958164379953</v>
      </c>
      <c r="G162" s="116" t="n">
        <f aca="false">G48+G50+(G80-F80)-G63</f>
        <v>48.2832383444772</v>
      </c>
      <c r="H162" s="116" t="n">
        <f aca="false">H48+H50+(H80-G80)-H63</f>
        <v>37.8377526290587</v>
      </c>
      <c r="I162" s="116" t="n">
        <f aca="false">I48+I50+(I80-H80)-I63</f>
        <v>31.6007854998794</v>
      </c>
      <c r="J162" s="116" t="n">
        <f aca="false">J48+J50+(J80-I80)-J63</f>
        <v>26.2068001169829</v>
      </c>
      <c r="K162" s="116" t="n">
        <f aca="false">K48+K50+(K80-J80)-K63</f>
        <v>9.79506077063497</v>
      </c>
      <c r="L162" s="116" t="n">
        <f aca="false">L48+L50+(L80-K80)-L63</f>
        <v>9.7922893019054</v>
      </c>
      <c r="M162" s="116" t="n">
        <f aca="false">M48+M50+(M80-L80)-M63</f>
        <v>9.54141667470565</v>
      </c>
      <c r="N162" s="116" t="n">
        <f aca="false">N48+N50+(N80-M80)-N63</f>
        <v>9.05160032458752</v>
      </c>
      <c r="O162" s="116" t="n">
        <f aca="false">O48+O50+(O80-N80)-O63</f>
        <v>8.35842004957992</v>
      </c>
      <c r="P162" s="116" t="n">
        <f aca="false">P48+P50+(P80-O80)-P63</f>
        <v>7.10616109216259</v>
      </c>
      <c r="Q162" s="116" t="n">
        <f aca="false">Q48+Q50+(Q80-P80)-Q63</f>
        <v>5.85276331983043</v>
      </c>
      <c r="R162" s="116" t="n">
        <f aca="false">R48+R50+(R80-Q80)-R63</f>
        <v>4.89490415712343</v>
      </c>
      <c r="S162" s="116" t="n">
        <f aca="false">S48+S50+(S80-R80)-S63</f>
        <v>4.1722423518418</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9.74666477233609</v>
      </c>
      <c r="D163" s="116" t="n">
        <f aca="false">C163+D53+D56+D58+D118+D119+D60+D113+D101-D115-D162</f>
        <v>12.0847824128048</v>
      </c>
      <c r="E163" s="116" t="n">
        <f aca="false">D163+E53+E56+E58+E118+E119+E60+E113+E101-E115-E162</f>
        <v>7.68259341864651</v>
      </c>
      <c r="F163" s="116" t="n">
        <f aca="false">E163+F53+F56+F58+F118+F119+F60+F113+F101-F115-F162</f>
        <v>-18.9458185902537</v>
      </c>
      <c r="G163" s="116" t="n">
        <f aca="false">F163+G53+G56+G58+G118+G119+G60+G113+G101-G115-G162</f>
        <v>-46.4177271869515</v>
      </c>
      <c r="H163" s="116" t="n">
        <f aca="false">G163+H53+H56+H58+H118+H119+H60+H113+H101-H115-H162</f>
        <v>-63.8940606765054</v>
      </c>
      <c r="I163" s="116" t="n">
        <f aca="false">H163+I53+I56+I58+I118+I119+I60+I113+I101-I115-I162</f>
        <v>-75.1943348033077</v>
      </c>
      <c r="J163" s="116" t="n">
        <f aca="false">I163+J53+J56+J58+J118+J119+J60+J113+J101-J115-J162</f>
        <v>-80.818687872259</v>
      </c>
      <c r="K163" s="116" t="n">
        <f aca="false">J163+K53+K56+K58+K118+K119+K60+K113+K101-K115-K162</f>
        <v>-68.6480012238251</v>
      </c>
      <c r="L163" s="116" t="n">
        <f aca="false">K163+L53+L56+L58+L118+L119+L60+L113+L101-L115-L162</f>
        <v>-56.3679981548114</v>
      </c>
      <c r="M163" s="116" t="n">
        <f aca="false">L163+M53+M56+M58+M118+M119+M60+M113+M101-M115-M162</f>
        <v>-64.3961156783918</v>
      </c>
      <c r="N163" s="116" t="n">
        <f aca="false">M163+N53+N56+N58+N118+N119+N60+N113+N101-N115-N162</f>
        <v>-71.8922613872106</v>
      </c>
      <c r="O163" s="116" t="n">
        <f aca="false">N163+O53+O56+O58+O118+O119+O60+O113+O101-O115-O162</f>
        <v>-78.6518902686708</v>
      </c>
      <c r="P163" s="116" t="n">
        <f aca="false">O163+P53+P56+P58+P118+P119+P60+P113+P101-P115-P162</f>
        <v>-84.1147092275493</v>
      </c>
      <c r="Q163" s="116" t="n">
        <f aca="false">P163+Q53+Q56+Q58+Q118+Q119+Q60+Q113+Q101-Q115-Q162</f>
        <v>-88.2783307626866</v>
      </c>
      <c r="R163" s="116" t="n">
        <f aca="false">Q163+R53+R56+R58+R118+R119+R60+R113+R101-R115-R162</f>
        <v>-91.4370095484452</v>
      </c>
      <c r="S163" s="116" t="n">
        <f aca="false">R163+S53+S56+S58+S118+S119+S60+S113+S101-S115-S162</f>
        <v>-93.8246227543311</v>
      </c>
      <c r="T163" s="116" t="n">
        <f aca="false">S163+T53+T56+T58+T118+T119+T60+T113+T101-T115-T162</f>
        <v>-95.6395377426383</v>
      </c>
      <c r="U163" s="116" t="n">
        <f aca="false">T163+U53+U56+U58+U118+U119+U60+U113+U101-U115-U162</f>
        <v>-97.4323148570681</v>
      </c>
      <c r="V163" s="116" t="n">
        <f aca="false">U163+V53+V56+V58+V118+V119+V60+V113+V101-V115-V162</f>
        <v>-99.1991045109217</v>
      </c>
      <c r="W163" s="116" t="n">
        <f aca="false">V163+W53+W56+W58+W118+W119+W60+W113+W101-W115-W162</f>
        <v>-100.79725183057</v>
      </c>
      <c r="X163" s="116" t="n">
        <f aca="false">W163+X53+X56+X58+X118+X119+X60+X113+X101-X115-X162</f>
        <v>-102.223599525772</v>
      </c>
      <c r="Y163" s="116" t="n">
        <f aca="false">X163+Y53+Y56+Y58+Y118+Y119+Y60+Y113+Y101-Y115-Y162</f>
        <v>-103.475052916827</v>
      </c>
      <c r="Z163" s="116" t="n">
        <f aca="false">Y163+Z53+Z56+Z58+Z118+Z119+Z60+Z113+Z101-Z115-Z162</f>
        <v>-104.54857992542</v>
      </c>
      <c r="AA163" s="116" t="n">
        <f aca="false">Z163+AA53+AA56+AA58+AA118+AA119+AA60+AA113+AA101-AA115-AA162</f>
        <v>-105.441211103177</v>
      </c>
      <c r="AB163" s="116" t="n">
        <f aca="false">AA163+AB53+AB56+AB58+AB118+AB119+AB60+AB113+AB101-AB115-AB162</f>
        <v>-106.153074927247</v>
      </c>
      <c r="AC163" s="116" t="n">
        <f aca="false">AB163+AC53+AC56+AC58+AC118+AC119+AC60+AC113+AC101-AC115-AC162</f>
        <v>-106.684310558919</v>
      </c>
      <c r="AD163" s="116" t="n">
        <f aca="false">AC163+AD53+AD56+AD58+AD118+AD119+AD60+AD113+AD101-AD115-AD162</f>
        <v>-107.035066800018</v>
      </c>
      <c r="AE163" s="116" t="n">
        <f aca="false">AD163+AE53+AE56+AE58+AE118+AE119+AE60+AE113+AE101-AE115-AE162</f>
        <v>-107.205501055155</v>
      </c>
      <c r="AF163" s="116" t="n">
        <f aca="false">AE163+AF53+AF56+AF58+AF118+AF119+AF60+AF113+AF101-AF115-AF162</f>
        <v>-107.19577829748</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4.86035289641877</v>
      </c>
      <c r="D180" s="142" t="n">
        <f aca="false">IF($C$167="Sí",MAX(0,MIN(D84,($C$168+$C$170)*D41*MIN(1,D$39/MAX(1,01_Supuestos!$C$170)))),0)</f>
        <v>13.1185582870288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4.86035289641877</v>
      </c>
      <c r="D181" s="142" t="n">
        <f aca="false">D180</f>
        <v>13.1185582870288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4.86035289641877</v>
      </c>
      <c r="D182" s="142" t="n">
        <f aca="false">MIN(D181,$C$168*D41)</f>
        <v>13.1185582870288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0.121508822410469</v>
      </c>
      <c r="D184" s="142" t="n">
        <f aca="false">D182*$C$169+D183*$C$171</f>
        <v>0.32796395717572</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4.86035289641877</v>
      </c>
      <c r="D185" s="142" t="n">
        <f aca="false">D181-C181</f>
        <v>8.25820539061004</v>
      </c>
      <c r="E185" s="142" t="n">
        <f aca="false">E181-D181</f>
        <v>11.3702203129712</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0</v>
      </c>
      <c r="D186" s="142" t="n">
        <f aca="false">D84-D181</f>
        <v>0</v>
      </c>
      <c r="E186" s="142" t="n">
        <f aca="false">E84-E181</f>
        <v>1.15621221466382</v>
      </c>
      <c r="F186" s="142" t="n">
        <f aca="false">F84-F181</f>
        <v>22.2463447840737</v>
      </c>
      <c r="G186" s="142" t="n">
        <f aca="false">G84-G181</f>
        <v>42.6155878978691</v>
      </c>
      <c r="H186" s="142" t="n">
        <f aca="false">H84-H181</f>
        <v>60.5494125748934</v>
      </c>
      <c r="I186" s="142" t="n">
        <f aca="false">I84-I181</f>
        <v>71.8976924712988</v>
      </c>
      <c r="J186" s="142" t="n">
        <f aca="false">J84-J181</f>
        <v>77.4952516906985</v>
      </c>
      <c r="K186" s="142" t="n">
        <f aca="false">K84-K181</f>
        <v>66.4215773056956</v>
      </c>
      <c r="L186" s="142" t="n">
        <f aca="false">L84-L181</f>
        <v>54.9752320066774</v>
      </c>
      <c r="M186" s="142" t="n">
        <f aca="false">M84-M181</f>
        <v>46.9835316832887</v>
      </c>
      <c r="N186" s="142" t="n">
        <f aca="false">N84-N181</f>
        <v>45.0316192776821</v>
      </c>
      <c r="O186" s="142" t="n">
        <f aca="false">O84-O181</f>
        <v>48.3888722273871</v>
      </c>
      <c r="P186" s="142" t="n">
        <f aca="false">P84-P181</f>
        <v>50.3773473047693</v>
      </c>
      <c r="Q186" s="142" t="n">
        <f aca="false">Q84-Q181</f>
        <v>50.9931730897432</v>
      </c>
      <c r="R186" s="142" t="n">
        <f aca="false">R84-R181</f>
        <v>50.5290908775889</v>
      </c>
      <c r="S186" s="142" t="n">
        <f aca="false">S84-S181</f>
        <v>49.2174344482696</v>
      </c>
      <c r="T186" s="142" t="n">
        <f aca="false">T84-T181</f>
        <v>47.254997204585</v>
      </c>
      <c r="U186" s="142" t="n">
        <f aca="false">U84-U181</f>
        <v>45.1907343919948</v>
      </c>
      <c r="V186" s="142" t="n">
        <f aca="false">V84-V181</f>
        <v>43.0191596085936</v>
      </c>
      <c r="W186" s="142" t="n">
        <f aca="false">W84-W181</f>
        <v>40.5959488608247</v>
      </c>
      <c r="X186" s="142" t="n">
        <f aca="false">X84-X181</f>
        <v>37.9162428363846</v>
      </c>
      <c r="Y186" s="142" t="n">
        <f aca="false">Y84-Y181</f>
        <v>34.9752113241969</v>
      </c>
      <c r="Z186" s="142" t="n">
        <f aca="false">Z84-Z181</f>
        <v>31.768052588179</v>
      </c>
      <c r="AA186" s="142" t="n">
        <f aca="false">AA84-AA181</f>
        <v>28.2899927687237</v>
      </c>
      <c r="AB186" s="142" t="n">
        <f aca="false">AB84-AB181</f>
        <v>24.5393205410771</v>
      </c>
      <c r="AC186" s="142" t="n">
        <f aca="false">AC84-AC181</f>
        <v>20.5142992265294</v>
      </c>
      <c r="AD186" s="142" t="n">
        <f aca="false">AD84-AD181</f>
        <v>16.2131650910118</v>
      </c>
      <c r="AE186" s="142" t="n">
        <f aca="false">AE84-AE181</f>
        <v>11.6341256391032</v>
      </c>
      <c r="AF186" s="142" t="n">
        <f aca="false">AF84-AF181</f>
        <v>6.77535790094197</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4.86035289641877</v>
      </c>
      <c r="D187" s="142" t="n">
        <f aca="false">D181</f>
        <v>13.1185582870288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3.86255216886864</v>
      </c>
      <c r="D189" s="142" t="n">
        <f aca="false">D68-C68</f>
        <v>6.23929264748464</v>
      </c>
      <c r="E189" s="142" t="n">
        <f aca="false">E68-D68</f>
        <v>8.26033125303664</v>
      </c>
      <c r="F189" s="142" t="n">
        <f aca="false">F68-E68</f>
        <v>13.8385983026268</v>
      </c>
      <c r="G189" s="142" t="n">
        <f aca="false">G68-F68</f>
        <v>13.8375328301109</v>
      </c>
      <c r="H189" s="142" t="n">
        <f aca="false">H68-G68</f>
        <v>9.94667757754664</v>
      </c>
      <c r="I189" s="142" t="n">
        <f aca="false">I68-H68</f>
        <v>7.56783491638051</v>
      </c>
      <c r="J189" s="142" t="n">
        <f aca="false">J68-I68</f>
        <v>5.54461992123436</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-18.6821685832014</v>
      </c>
      <c r="D192" s="142" t="n">
        <f aca="false">D149-SUM($C$191:D191)</f>
        <v>-37.726496668388</v>
      </c>
      <c r="E192" s="142" t="n">
        <f aca="false">E149-SUM($C$191:E191)</f>
        <v>-57.2010218480208</v>
      </c>
      <c r="F192" s="142" t="n">
        <f aca="false">F149-SUM($C$191:F191)</f>
        <v>-77.0101921475832</v>
      </c>
      <c r="G192" s="142" t="n">
        <f aca="false">G149-SUM($C$191:G191)</f>
        <v>-97.0449912010271</v>
      </c>
      <c r="H192" s="142" t="n">
        <f aca="false">H149-SUM($C$191:H191)</f>
        <v>-117.338478536262</v>
      </c>
      <c r="I192" s="142" t="n">
        <f aca="false">I149-SUM($C$191:I191)</f>
        <v>-137.910731015932</v>
      </c>
      <c r="J192" s="142" t="n">
        <f aca="false">J149-SUM($C$191:J191)</f>
        <v>-158.776438568314</v>
      </c>
      <c r="K192" s="142" t="n">
        <f aca="false">K149-SUM($C$191:K191)</f>
        <v>-180.012252414272</v>
      </c>
      <c r="L192" s="142" t="n">
        <f aca="false">L149-SUM($C$191:L191)</f>
        <v>-201.606790365597</v>
      </c>
      <c r="M192" s="142" t="n">
        <f aca="false">M149-SUM($C$191:M191)</f>
        <v>-202.821372860788</v>
      </c>
      <c r="N192" s="142" t="n">
        <f aca="false">N149-SUM($C$191:N191)</f>
        <v>-203.744017505516</v>
      </c>
      <c r="O192" s="142" t="n">
        <f aca="false">O149-SUM($C$191:O191)</f>
        <v>-204.453265094094</v>
      </c>
      <c r="P192" s="142" t="n">
        <f aca="false">P149-SUM($C$191:P191)</f>
        <v>-204.929032009907</v>
      </c>
      <c r="Q192" s="142" t="n">
        <f aca="false">Q149-SUM($C$191:Q191)</f>
        <v>-205.151422428641</v>
      </c>
      <c r="R192" s="142" t="n">
        <f aca="false">R149-SUM($C$191:R191)</f>
        <v>-205.103193140761</v>
      </c>
      <c r="S192" s="142" t="n">
        <f aca="false">S149-SUM($C$191:S191)</f>
        <v>-204.768402236269</v>
      </c>
      <c r="T192" s="142" t="n">
        <f aca="false">T149-SUM($C$191:T191)</f>
        <v>-204.132121355859</v>
      </c>
      <c r="U192" s="142" t="n">
        <f aca="false">U149-SUM($C$191:U191)</f>
        <v>-203.18385555762</v>
      </c>
      <c r="V192" s="142" t="n">
        <f aca="false">V149-SUM($C$191:V191)</f>
        <v>-201.912634035275</v>
      </c>
      <c r="W192" s="142" t="n">
        <f aca="false">W149-SUM($C$191:W191)</f>
        <v>-200.306865257043</v>
      </c>
      <c r="X192" s="142" t="n">
        <f aca="false">X149-SUM($C$191:X191)</f>
        <v>-198.354463224419</v>
      </c>
      <c r="Y192" s="142" t="n">
        <f aca="false">Y149-SUM($C$191:Y191)</f>
        <v>-196.042837112421</v>
      </c>
      <c r="Z192" s="142" t="n">
        <f aca="false">Z149-SUM($C$191:Z191)</f>
        <v>-193.358880266294</v>
      </c>
      <c r="AA192" s="142" t="n">
        <f aca="false">AA149-SUM($C$191:AA191)</f>
        <v>-190.288958569315</v>
      </c>
      <c r="AB192" s="142" t="n">
        <f aca="false">AB149-SUM($C$191:AB191)</f>
        <v>-186.818901138872</v>
      </c>
      <c r="AC192" s="142" t="n">
        <f aca="false">AC149-SUM($C$191:AC191)</f>
        <v>-182.933987388186</v>
      </c>
      <c r="AD192" s="142" t="n">
        <f aca="false">AD149-SUM($C$191:AD191)</f>
        <v>-178.618933463166</v>
      </c>
      <c r="AE192" s="142" t="n">
        <f aca="false">AE149-SUM($C$191:AE191)</f>
        <v>-173.857878053196</v>
      </c>
      <c r="AF192" s="142" t="n">
        <f aca="false">AF149-SUM($C$191:AF191)</f>
        <v>-168.634367572498</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11.440447555496</v>
      </c>
      <c r="D216" s="88" t="n">
        <f aca="false">SUM($C$48:D48)+SUM($C$49:D49)</f>
        <v>29.874132283392</v>
      </c>
      <c r="E216" s="88" t="n">
        <f aca="false">SUM($C$48:E48)+SUM($C$49:E49)</f>
        <v>54.254971891288</v>
      </c>
      <c r="F216" s="88" t="n">
        <f aca="false">SUM($C$48:F48)+SUM($C$49:F49)</f>
        <v>104.173587785454</v>
      </c>
      <c r="G216" s="88" t="n">
        <f aca="false">SUM($C$48:G48)+SUM($C$49:G49)</f>
        <v>154.092203679621</v>
      </c>
      <c r="H216" s="88" t="n">
        <f aca="false">SUM($C$48:H48)+SUM($C$49:H49)</f>
        <v>192.570372018291</v>
      </c>
      <c r="I216" s="88" t="n">
        <f aca="false">SUM($C$48:I48)+SUM($C$49:I49)</f>
        <v>224.055303184562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0.0437990462328718</v>
      </c>
      <c r="E217" s="87" t="n">
        <f aca="false">IF(E216*01_Supuestos!$I$107&gt;0,E218/(E216*01_Supuestos!$I$107),0)</f>
        <v>0.0548079801876766</v>
      </c>
      <c r="F217" s="87" t="n">
        <f aca="false">IF(F216*01_Supuestos!$I$107&gt;0,F218/(F216*01_Supuestos!$I$107),0)</f>
        <v>0.0589502882071654</v>
      </c>
      <c r="G217" s="87" t="n">
        <f aca="false">IF(G216*01_Supuestos!$I$107&gt;0,G218/(G216*01_Supuestos!$I$107),0)</f>
        <v>0.0695294278191715</v>
      </c>
      <c r="H217" s="87" t="n">
        <f aca="false">IF(H216*01_Supuestos!$I$107&gt;0,H218/(H216*01_Supuestos!$I$107),0)</f>
        <v>0.0842948479315586</v>
      </c>
      <c r="I217" s="87" t="n">
        <f aca="false">IF(I216*01_Supuestos!$I$107&gt;0,I218/(I216*01_Supuestos!$I$107),0)</f>
        <v>0.1000235021631</v>
      </c>
      <c r="J217" s="87" t="n">
        <f aca="false">IF(J216*01_Supuestos!$I$107&gt;0,J218/(J216*01_Supuestos!$I$107),0)</f>
        <v>0.11624505559569</v>
      </c>
      <c r="K217" s="87" t="n">
        <f aca="false">IF(K216*01_Supuestos!$I$107&gt;0,K218/(K216*01_Supuestos!$I$107),0)</f>
        <v>0.140994568969348</v>
      </c>
      <c r="L217" s="87" t="n">
        <f aca="false">IF(L216*01_Supuestos!$I$107&gt;0,L218/(L216*01_Supuestos!$I$107),0)</f>
        <v>0.164147911606539</v>
      </c>
      <c r="M217" s="87" t="n">
        <f aca="false">IF(M216*01_Supuestos!$I$107&gt;0,M218/(M216*01_Supuestos!$I$107),0)</f>
        <v>0.184329961641679</v>
      </c>
      <c r="N217" s="87" t="n">
        <f aca="false">IF(N216*01_Supuestos!$I$107&gt;0,N218/(N216*01_Supuestos!$I$107),0)</f>
        <v>0.20082884618213</v>
      </c>
      <c r="O217" s="87" t="n">
        <f aca="false">IF(O216*01_Supuestos!$I$107&gt;0,O218/(O216*01_Supuestos!$I$107),0)</f>
        <v>0.213113753147469</v>
      </c>
      <c r="P217" s="87" t="n">
        <f aca="false">IF(P216*01_Supuestos!$I$107&gt;0,P218/(P216*01_Supuestos!$I$107),0)</f>
        <v>0.218157067927169</v>
      </c>
      <c r="Q217" s="87" t="n">
        <f aca="false">IF(Q216*01_Supuestos!$I$107&gt;0,Q218/(Q216*01_Supuestos!$I$107),0)</f>
        <v>0.216425822634453</v>
      </c>
      <c r="R217" s="87" t="n">
        <f aca="false">IF(R216*01_Supuestos!$I$107&gt;0,R218/(R216*01_Supuestos!$I$107),0)</f>
        <v>0.209834992802257</v>
      </c>
      <c r="S217" s="87" t="n">
        <f aca="false">IF(S216*01_Supuestos!$I$107&gt;0,S218/(S216*01_Supuestos!$I$107),0)</f>
        <v>0.199601488199926</v>
      </c>
      <c r="T217" s="87" t="n">
        <f aca="false">IF(T216*01_Supuestos!$I$107&gt;0,T218/(T216*01_Supuestos!$I$107),0)</f>
        <v>0.186728586433736</v>
      </c>
      <c r="U217" s="87" t="n">
        <f aca="false">IF(U216*01_Supuestos!$I$107&gt;0,U218/(U216*01_Supuestos!$I$107),0)</f>
        <v>0.174685896913841</v>
      </c>
      <c r="V217" s="87" t="n">
        <f aca="false">IF(V216*01_Supuestos!$I$107&gt;0,V218/(V216*01_Supuestos!$I$107),0)</f>
        <v>0.163419876749411</v>
      </c>
      <c r="W217" s="87" t="n">
        <f aca="false">IF(W216*01_Supuestos!$I$107&gt;0,W218/(W216*01_Supuestos!$I$107),0)</f>
        <v>0.15288043619208</v>
      </c>
      <c r="X217" s="87" t="n">
        <f aca="false">IF(X216*01_Supuestos!$I$107&gt;0,X218/(X216*01_Supuestos!$I$107),0)</f>
        <v>0.143020715932371</v>
      </c>
      <c r="Y217" s="87" t="n">
        <f aca="false">IF(Y216*01_Supuestos!$I$107&gt;0,Y218/(Y216*01_Supuestos!$I$107),0)</f>
        <v>0.133796878758956</v>
      </c>
      <c r="Z217" s="87" t="n">
        <f aca="false">IF(Z216*01_Supuestos!$I$107&gt;0,Z218/(Z216*01_Supuestos!$I$107),0)</f>
        <v>0.125167914654432</v>
      </c>
      <c r="AA217" s="87" t="n">
        <f aca="false">IF(AA216*01_Supuestos!$I$107&gt;0,AA218/(AA216*01_Supuestos!$I$107),0)</f>
        <v>0.117095458461063</v>
      </c>
      <c r="AB217" s="87" t="n">
        <f aca="false">IF(AB216*01_Supuestos!$I$107&gt;0,AB218/(AB216*01_Supuestos!$I$107),0)</f>
        <v>0.109543619305804</v>
      </c>
      <c r="AC217" s="87" t="n">
        <f aca="false">IF(AC216*01_Supuestos!$I$107&gt;0,AC218/(AC216*01_Supuestos!$I$107),0)</f>
        <v>0.102478821026224</v>
      </c>
      <c r="AD217" s="87" t="n">
        <f aca="false">IF(AD216*01_Supuestos!$I$107&gt;0,AD218/(AD216*01_Supuestos!$I$107),0)</f>
        <v>0.0958696528878373</v>
      </c>
      <c r="AE217" s="87" t="n">
        <f aca="false">IF(AE216*01_Supuestos!$I$107&gt;0,AE218/(AE216*01_Supuestos!$I$107),0)</f>
        <v>0.0896867299291284</v>
      </c>
      <c r="AF217" s="87" t="n">
        <f aca="false">IF(AF216*01_Supuestos!$I$107&gt;0,AF218/(AF216*01_Supuestos!$I$107),0)</f>
        <v>0.0839025623133439</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0.0184457238860399</v>
      </c>
      <c r="D218" s="88" t="n">
        <f aca="false">(1-01_Supuestos!$C$157)*SUMPRODUCT(($C$48:D48+$C$49:D49)*(EXP(-(((D$39-$C$39:D$39+1)-01_Supuestos!$C$156)+ABS((D$39-$C$39:D$39+1)-01_Supuestos!$C$156))/2/01_Supuestos!$C$155)-EXP(-(D$39-$C$39:D$39+1)/01_Supuestos!$C$155)))*01_Supuestos!$I$107</f>
        <v>0.0654229250523607</v>
      </c>
      <c r="E218" s="88" t="n">
        <f aca="false">(1-01_Supuestos!$C$157)*SUMPRODUCT(($C$48:E48+$C$49:E49)*(EXP(-(((E$39-$C$39:E$39+1)-01_Supuestos!$C$156)+ABS((E$39-$C$39:E$39+1)-01_Supuestos!$C$156))/2/01_Supuestos!$C$155)-EXP(-(E$39-$C$39:E$39+1)/01_Supuestos!$C$155)))*01_Supuestos!$I$107</f>
        <v>0.148680271225033</v>
      </c>
      <c r="F218" s="88" t="n">
        <f aca="false">(1-01_Supuestos!$C$157)*SUMPRODUCT(($C$48:F48+$C$49:F49)*(EXP(-(((F$39-$C$39:F$39+1)-01_Supuestos!$C$156)+ABS((F$39-$C$39:F$39+1)-01_Supuestos!$C$156))/2/01_Supuestos!$C$155)-EXP(-(F$39-$C$39:F$39+1)/01_Supuestos!$C$155)))*01_Supuestos!$I$107</f>
        <v>0.307053151176349</v>
      </c>
      <c r="G218" s="88" t="n">
        <f aca="false">(1-01_Supuestos!$C$157)*SUMPRODUCT(($C$48:G48+$C$49:G49)*(EXP(-(((G$39-$C$39:G$39+1)-01_Supuestos!$C$156)+ABS((G$39-$C$39:G$39+1)-01_Supuestos!$C$156))/2/01_Supuestos!$C$155)-EXP(-(G$39-$C$39:G$39+1)/01_Supuestos!$C$155)))*01_Supuestos!$I$107</f>
        <v>0.535697137661964</v>
      </c>
      <c r="H218" s="88" t="n">
        <f aca="false">(1-01_Supuestos!$C$157)*SUMPRODUCT(($C$48:H48+$C$49:H49)*(EXP(-(((H$39-$C$39:H$39+1)-01_Supuestos!$C$156)+ABS((H$39-$C$39:H$39+1)-01_Supuestos!$C$156))/2/01_Supuestos!$C$155)-EXP(-(H$39-$C$39:H$39+1)/01_Supuestos!$C$155)))*01_Supuestos!$I$107</f>
        <v>0.811634511270276</v>
      </c>
      <c r="I218" s="88" t="n">
        <f aca="false">(1-01_Supuestos!$C$157)*SUMPRODUCT(($C$48:I48+$C$49:I49)*(EXP(-(((I$39-$C$39:I$39+1)-01_Supuestos!$C$156)+ABS((I$39-$C$39:I$39+1)-01_Supuestos!$C$156))/2/01_Supuestos!$C$155)-EXP(-(I$39-$C$39:I$39+1)/01_Supuestos!$C$155)))*01_Supuestos!$I$107</f>
        <v>1.12053980513675</v>
      </c>
      <c r="J218" s="88" t="n">
        <f aca="false">(1-01_Supuestos!$C$157)*SUMPRODUCT(($C$48:J48+$C$49:J49)*(EXP(-(((J$39-$C$39:J$39+1)-01_Supuestos!$C$156)+ABS((J$39-$C$39:J$39+1)-01_Supuestos!$C$156))/2/01_Supuestos!$C$155)-EXP(-(J$39-$C$39:J$39+1)/01_Supuestos!$C$155)))*01_Supuestos!$I$107</f>
        <v>1.45069806996932</v>
      </c>
      <c r="K218" s="88" t="n">
        <f aca="false">(1-01_Supuestos!$C$157)*SUMPRODUCT(($C$48:K48+$C$49:K49)*(EXP(-(((K$39-$C$39:K$39+1)-01_Supuestos!$C$156)+ABS((K$39-$C$39:K$39+1)-01_Supuestos!$C$156))/2/01_Supuestos!$C$155)-EXP(-(K$39-$C$39:K$39+1)/01_Supuestos!$C$155)))*01_Supuestos!$I$107</f>
        <v>1.75956343288611</v>
      </c>
      <c r="L218" s="88" t="n">
        <f aca="false">(1-01_Supuestos!$C$157)*SUMPRODUCT(($C$48:L48+$C$49:L49)*(EXP(-(((L$39-$C$39:L$39+1)-01_Supuestos!$C$156)+ABS((L$39-$C$39:L$39+1)-01_Supuestos!$C$156))/2/01_Supuestos!$C$155)-EXP(-(L$39-$C$39:L$39+1)/01_Supuestos!$C$155)))*01_Supuestos!$I$107</f>
        <v>2.0485091373291</v>
      </c>
      <c r="M218" s="88" t="n">
        <f aca="false">(1-01_Supuestos!$C$157)*SUMPRODUCT(($C$48:M48+$C$49:M49)*(EXP(-(((M$39-$C$39:M$39+1)-01_Supuestos!$C$156)+ABS((M$39-$C$39:M$39+1)-01_Supuestos!$C$156))/2/01_Supuestos!$C$155)-EXP(-(M$39-$C$39:M$39+1)/01_Supuestos!$C$155)))*01_Supuestos!$I$107</f>
        <v>2.30037413824435</v>
      </c>
      <c r="N218" s="88" t="n">
        <f aca="false">(1-01_Supuestos!$C$157)*SUMPRODUCT(($C$48:N48+$C$49:N49)*(EXP(-(((N$39-$C$39:N$39+1)-01_Supuestos!$C$156)+ABS((N$39-$C$39:N$39+1)-01_Supuestos!$C$156))/2/01_Supuestos!$C$155)-EXP(-(N$39-$C$39:N$39+1)/01_Supuestos!$C$155)))*01_Supuestos!$I$107</f>
        <v>2.50627450825859</v>
      </c>
      <c r="O218" s="88" t="n">
        <f aca="false">(1-01_Supuestos!$C$157)*SUMPRODUCT(($C$48:O48+$C$49:O49)*(EXP(-(((O$39-$C$39:O$39+1)-01_Supuestos!$C$156)+ABS((O$39-$C$39:O$39+1)-01_Supuestos!$C$156))/2/01_Supuestos!$C$155)-EXP(-(O$39-$C$39:O$39+1)/01_Supuestos!$C$155)))*01_Supuestos!$I$107</f>
        <v>2.65958589628317</v>
      </c>
      <c r="P218" s="88" t="n">
        <f aca="false">(1-01_Supuestos!$C$157)*SUMPRODUCT(($C$48:P48+$C$49:P49)*(EXP(-(((P$39-$C$39:P$39+1)-01_Supuestos!$C$156)+ABS((P$39-$C$39:P$39+1)-01_Supuestos!$C$156))/2/01_Supuestos!$C$155)-EXP(-(P$39-$C$39:P$39+1)/01_Supuestos!$C$155)))*01_Supuestos!$I$107</f>
        <v>2.72252471961347</v>
      </c>
      <c r="Q218" s="88" t="n">
        <f aca="false">(1-01_Supuestos!$C$157)*SUMPRODUCT(($C$48:Q48+$C$49:Q49)*(EXP(-(((Q$39-$C$39:Q$39+1)-01_Supuestos!$C$156)+ABS((Q$39-$C$39:Q$39+1)-01_Supuestos!$C$156))/2/01_Supuestos!$C$155)-EXP(-(Q$39-$C$39:Q$39+1)/01_Supuestos!$C$155)))*01_Supuestos!$I$107</f>
        <v>2.70091937741706</v>
      </c>
      <c r="R218" s="88" t="n">
        <f aca="false">(1-01_Supuestos!$C$157)*SUMPRODUCT(($C$48:R48+$C$49:R49)*(EXP(-(((R$39-$C$39:R$39+1)-01_Supuestos!$C$156)+ABS((R$39-$C$39:R$39+1)-01_Supuestos!$C$156))/2/01_Supuestos!$C$155)-EXP(-(R$39-$C$39:R$39+1)/01_Supuestos!$C$155)))*01_Supuestos!$I$107</f>
        <v>2.61866810171276</v>
      </c>
      <c r="S218" s="88" t="n">
        <f aca="false">(1-01_Supuestos!$C$157)*SUMPRODUCT(($C$48:S48+$C$49:S49)*(EXP(-(((S$39-$C$39:S$39+1)-01_Supuestos!$C$156)+ABS((S$39-$C$39:S$39+1)-01_Supuestos!$C$156))/2/01_Supuestos!$C$155)-EXP(-(S$39-$C$39:S$39+1)/01_Supuestos!$C$155)))*01_Supuestos!$I$107</f>
        <v>2.49095750533902</v>
      </c>
      <c r="T218" s="88" t="n">
        <f aca="false">(1-01_Supuestos!$C$157)*SUMPRODUCT(($C$48:T48+$C$49:T49)*(EXP(-(((T$39-$C$39:T$39+1)-01_Supuestos!$C$156)+ABS((T$39-$C$39:T$39+1)-01_Supuestos!$C$156))/2/01_Supuestos!$C$155)-EXP(-(T$39-$C$39:T$39+1)/01_Supuestos!$C$155)))*01_Supuestos!$I$107</f>
        <v>2.33030814566159</v>
      </c>
      <c r="U218" s="88" t="n">
        <f aca="false">(1-01_Supuestos!$C$157)*SUMPRODUCT(($C$48:U48+$C$49:U49)*(EXP(-(((U$39-$C$39:U$39+1)-01_Supuestos!$C$156)+ABS((U$39-$C$39:U$39+1)-01_Supuestos!$C$156))/2/01_Supuestos!$C$155)-EXP(-(U$39-$C$39:U$39+1)/01_Supuestos!$C$155)))*01_Supuestos!$I$107</f>
        <v>2.18001954754249</v>
      </c>
      <c r="V218" s="88" t="n">
        <f aca="false">(1-01_Supuestos!$C$157)*SUMPRODUCT(($C$48:V48+$C$49:V49)*(EXP(-(((V$39-$C$39:V$39+1)-01_Supuestos!$C$156)+ABS((V$39-$C$39:V$39+1)-01_Supuestos!$C$156))/2/01_Supuestos!$C$155)-EXP(-(V$39-$C$39:V$39+1)/01_Supuestos!$C$155)))*01_Supuestos!$I$107</f>
        <v>2.03942351423147</v>
      </c>
      <c r="W218" s="88" t="n">
        <f aca="false">(1-01_Supuestos!$C$157)*SUMPRODUCT(($C$48:W48+$C$49:W49)*(EXP(-(((W$39-$C$39:W$39+1)-01_Supuestos!$C$156)+ABS((W$39-$C$39:W$39+1)-01_Supuestos!$C$156))/2/01_Supuestos!$C$155)-EXP(-(W$39-$C$39:W$39+1)/01_Supuestos!$C$155)))*01_Supuestos!$I$107</f>
        <v>1.90789494300127</v>
      </c>
      <c r="X218" s="88" t="n">
        <f aca="false">(1-01_Supuestos!$C$157)*SUMPRODUCT(($C$48:X48+$C$49:X49)*(EXP(-(((X$39-$C$39:X$39+1)-01_Supuestos!$C$156)+ABS((X$39-$C$39:X$39+1)-01_Supuestos!$C$156))/2/01_Supuestos!$C$155)-EXP(-(X$39-$C$39:X$39+1)/01_Supuestos!$C$155)))*01_Supuestos!$I$107</f>
        <v>1.78484904588418</v>
      </c>
      <c r="Y218" s="88" t="n">
        <f aca="false">(1-01_Supuestos!$C$157)*SUMPRODUCT(($C$48:Y48+$C$49:Y49)*(EXP(-(((Y$39-$C$39:Y$39+1)-01_Supuestos!$C$156)+ABS((Y$39-$C$39:Y$39+1)-01_Supuestos!$C$156))/2/01_Supuestos!$C$155)-EXP(-(Y$39-$C$39:Y$39+1)/01_Supuestos!$C$155)))*01_Supuestos!$I$107</f>
        <v>1.66973874965167</v>
      </c>
      <c r="Z218" s="88" t="n">
        <f aca="false">(1-01_Supuestos!$C$157)*SUMPRODUCT(($C$48:Z48+$C$49:Z49)*(EXP(-(((Z$39-$C$39:Z$39+1)-01_Supuestos!$C$156)+ABS((Z$39-$C$39:Z$39+1)-01_Supuestos!$C$156))/2/01_Supuestos!$C$155)-EXP(-(Z$39-$C$39:Z$39+1)/01_Supuestos!$C$155)))*01_Supuestos!$I$107</f>
        <v>1.5620522634771</v>
      </c>
      <c r="AA218" s="88" t="n">
        <f aca="false">(1-01_Supuestos!$C$157)*SUMPRODUCT(($C$48:AA48+$C$49:AA49)*(EXP(-(((AA$39-$C$39:AA$39+1)-01_Supuestos!$C$156)+ABS((AA$39-$C$39:AA$39+1)-01_Supuestos!$C$156))/2/01_Supuestos!$C$155)-EXP(-(AA$39-$C$39:AA$39+1)/01_Supuestos!$C$155)))*01_Supuestos!$I$107</f>
        <v>1.46131080346727</v>
      </c>
      <c r="AB218" s="88" t="n">
        <f aca="false">(1-01_Supuestos!$C$157)*SUMPRODUCT(($C$48:AB48+$C$49:AB49)*(EXP(-(((AB$39-$C$39:AB$39+1)-01_Supuestos!$C$156)+ABS((AB$39-$C$39:AB$39+1)-01_Supuestos!$C$156))/2/01_Supuestos!$C$155)-EXP(-(AB$39-$C$39:AB$39+1)/01_Supuestos!$C$155)))*01_Supuestos!$I$107</f>
        <v>1.3670664639458</v>
      </c>
      <c r="AC218" s="88" t="n">
        <f aca="false">(1-01_Supuestos!$C$157)*SUMPRODUCT(($C$48:AC48+$C$49:AC49)*(EXP(-(((AC$39-$C$39:AC$39+1)-01_Supuestos!$C$156)+ABS((AC$39-$C$39:AC$39+1)-01_Supuestos!$C$156))/2/01_Supuestos!$C$155)-EXP(-(AC$39-$C$39:AC$39+1)/01_Supuestos!$C$155)))*01_Supuestos!$I$107</f>
        <v>1.27890022602377</v>
      </c>
      <c r="AD218" s="88" t="n">
        <f aca="false">(1-01_Supuestos!$C$157)*SUMPRODUCT(($C$48:AD48+$C$49:AD49)*(EXP(-(((AD$39-$C$39:AD$39+1)-01_Supuestos!$C$156)+ABS((AD$39-$C$39:AD$39+1)-01_Supuestos!$C$156))/2/01_Supuestos!$C$155)-EXP(-(AD$39-$C$39:AD$39+1)/01_Supuestos!$C$155)))*01_Supuestos!$I$107</f>
        <v>1.19642009460375</v>
      </c>
      <c r="AE218" s="88" t="n">
        <f aca="false">(1-01_Supuestos!$C$157)*SUMPRODUCT(($C$48:AE48+$C$49:AE49)*(EXP(-(((AE$39-$C$39:AE$39+1)-01_Supuestos!$C$156)+ABS((AE$39-$C$39:AE$39+1)-01_Supuestos!$C$156))/2/01_Supuestos!$C$155)-EXP(-(AE$39-$C$39:AE$39+1)/01_Supuestos!$C$155)))*01_Supuestos!$I$107</f>
        <v>1.119259355534</v>
      </c>
      <c r="AF218" s="88" t="n">
        <f aca="false">(1-01_Supuestos!$C$157)*SUMPRODUCT(($C$48:AF48+$C$49:AF49)*(EXP(-(((AF$39-$C$39:AF$39+1)-01_Supuestos!$C$156)+ABS((AF$39-$C$39:AF$39+1)-01_Supuestos!$C$156))/2/01_Supuestos!$C$155)-EXP(-(AF$39-$C$39:AF$39+1)/01_Supuestos!$C$155)))*01_Supuestos!$I$107</f>
        <v>1.04707494516404</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0.0184457238860399</v>
      </c>
      <c r="D220" s="88" t="n">
        <f aca="false">D218</f>
        <v>0.0654229250523607</v>
      </c>
      <c r="E220" s="88" t="n">
        <f aca="false">E218</f>
        <v>0.148680271225033</v>
      </c>
      <c r="F220" s="88" t="n">
        <f aca="false">F218</f>
        <v>0.307053151176349</v>
      </c>
      <c r="G220" s="88" t="n">
        <f aca="false">G218</f>
        <v>0.535697137661964</v>
      </c>
      <c r="H220" s="88" t="n">
        <f aca="false">H218</f>
        <v>0.811634511270276</v>
      </c>
      <c r="I220" s="88" t="n">
        <f aca="false">I218</f>
        <v>1.12053980513675</v>
      </c>
      <c r="J220" s="88" t="n">
        <f aca="false">J218</f>
        <v>1.45069806996932</v>
      </c>
      <c r="K220" s="88" t="n">
        <f aca="false">K218</f>
        <v>1.75956343288611</v>
      </c>
      <c r="L220" s="88" t="n">
        <f aca="false">L218</f>
        <v>2.0485091373291</v>
      </c>
      <c r="M220" s="88" t="n">
        <f aca="false">M218</f>
        <v>2.30037413824435</v>
      </c>
      <c r="N220" s="88" t="n">
        <f aca="false">N218</f>
        <v>2.50627450825859</v>
      </c>
      <c r="O220" s="88" t="n">
        <f aca="false">O218</f>
        <v>2.65958589628317</v>
      </c>
      <c r="P220" s="88" t="n">
        <f aca="false">P218</f>
        <v>2.72252471961347</v>
      </c>
      <c r="Q220" s="88" t="n">
        <f aca="false">Q218</f>
        <v>2.70091937741706</v>
      </c>
      <c r="R220" s="88" t="n">
        <f aca="false">R218</f>
        <v>2.61866810171276</v>
      </c>
      <c r="S220" s="88" t="n">
        <f aca="false">S218</f>
        <v>2.49095750533902</v>
      </c>
      <c r="T220" s="88" t="n">
        <f aca="false">T218</f>
        <v>2.33030814566159</v>
      </c>
      <c r="U220" s="88" t="n">
        <f aca="false">U218</f>
        <v>2.18001954754249</v>
      </c>
      <c r="V220" s="88" t="n">
        <f aca="false">V218</f>
        <v>2.03942351423147</v>
      </c>
      <c r="W220" s="88" t="n">
        <f aca="false">W218</f>
        <v>1.90789494300127</v>
      </c>
      <c r="X220" s="88" t="n">
        <f aca="false">X218</f>
        <v>1.78484904588418</v>
      </c>
      <c r="Y220" s="88" t="n">
        <f aca="false">Y218</f>
        <v>1.66973874965167</v>
      </c>
      <c r="Z220" s="88" t="n">
        <f aca="false">Z218</f>
        <v>1.5620522634771</v>
      </c>
      <c r="AA220" s="88" t="n">
        <f aca="false">AA218</f>
        <v>1.46131080346727</v>
      </c>
      <c r="AB220" s="88" t="n">
        <f aca="false">AB218</f>
        <v>1.3670664639458</v>
      </c>
      <c r="AC220" s="88" t="n">
        <f aca="false">AC218</f>
        <v>1.27890022602377</v>
      </c>
      <c r="AD220" s="88" t="n">
        <f aca="false">AD218</f>
        <v>1.19642009460375</v>
      </c>
      <c r="AE220" s="88" t="n">
        <f aca="false">AE218</f>
        <v>1.119259355534</v>
      </c>
      <c r="AF220" s="88" t="n">
        <f aca="false">AF218</f>
        <v>1.04707494516404</v>
      </c>
    </row>
    <row r="221" customFormat="false" ht="14.25" hidden="false" customHeight="true" outlineLevel="0" collapsed="false">
      <c r="B221" s="1" t="s">
        <v>1217</v>
      </c>
      <c r="C221" s="116" t="n">
        <f aca="false">C112</f>
        <v>0.0118267027723829</v>
      </c>
      <c r="D221" s="116" t="n">
        <f aca="false">D112</f>
        <v>0.0312705719819142</v>
      </c>
      <c r="E221" s="116" t="n">
        <f aca="false">E112</f>
        <v>0.0577690782999876</v>
      </c>
      <c r="F221" s="116" t="n">
        <f aca="false">F112</f>
        <v>0.118670760583077</v>
      </c>
      <c r="G221" s="116" t="n">
        <f aca="false">G112</f>
        <v>0.178971785415919</v>
      </c>
      <c r="H221" s="116" t="n">
        <f aca="false">H112</f>
        <v>0.228870670106668</v>
      </c>
      <c r="I221" s="116" t="n">
        <f aca="false">I112</f>
        <v>0.272576583425164</v>
      </c>
      <c r="J221" s="116" t="n">
        <f aca="false">J112</f>
        <v>0.310933167054042</v>
      </c>
      <c r="K221" s="116" t="n">
        <f aca="false">K112</f>
        <v>0.32379525526525</v>
      </c>
      <c r="L221" s="116" t="n">
        <f aca="false">L112</f>
        <v>0.336700577419338</v>
      </c>
      <c r="M221" s="116" t="n">
        <f aca="false">M112</f>
        <v>0.350737850701345</v>
      </c>
      <c r="N221" s="116" t="n">
        <f aca="false">N112</f>
        <v>0.3656856906978</v>
      </c>
      <c r="O221" s="116" t="n">
        <f aca="false">O112</f>
        <v>0.380436367341588</v>
      </c>
      <c r="P221" s="116" t="n">
        <f aca="false">P112</f>
        <v>0.394184211398846</v>
      </c>
      <c r="Q221" s="116" t="n">
        <f aca="false">Q112</f>
        <v>0.406890271670918</v>
      </c>
      <c r="R221" s="116" t="n">
        <f aca="false">R112</f>
        <v>0.418744201014297</v>
      </c>
      <c r="S221" s="116" t="n">
        <f aca="false">S112</f>
        <v>0.429920894692744</v>
      </c>
      <c r="T221" s="116" t="n">
        <f aca="false">T112</f>
        <v>0.440586140616856</v>
      </c>
      <c r="U221" s="116" t="n">
        <f aca="false">U112</f>
        <v>0.451269413129384</v>
      </c>
      <c r="V221" s="116" t="n">
        <f aca="false">V112</f>
        <v>0.461987864566834</v>
      </c>
      <c r="W221" s="116" t="n">
        <f aca="false">W112</f>
        <v>0.472619372727127</v>
      </c>
      <c r="X221" s="116" t="n">
        <f aca="false">X112</f>
        <v>0.483181301156689</v>
      </c>
      <c r="Y221" s="116" t="n">
        <f aca="false">Y112</f>
        <v>0.493691059547701</v>
      </c>
      <c r="Z221" s="116" t="n">
        <f aca="false">Z112</f>
        <v>0.50416612059478</v>
      </c>
      <c r="AA221" s="116" t="n">
        <f aca="false">AA112</f>
        <v>0.514624048204328</v>
      </c>
      <c r="AB221" s="116" t="n">
        <f aca="false">AB112</f>
        <v>0.52508555642078</v>
      </c>
      <c r="AC221" s="116" t="n">
        <f aca="false">AC112</f>
        <v>0.535571451885103</v>
      </c>
      <c r="AD221" s="116" t="n">
        <f aca="false">AD112</f>
        <v>0.546102663228108</v>
      </c>
      <c r="AE221" s="116" t="n">
        <f aca="false">AE112</f>
        <v>0.556700270770699</v>
      </c>
      <c r="AF221" s="116" t="n">
        <f aca="false">AF112</f>
        <v>0.567385535438893</v>
      </c>
    </row>
    <row r="222" customFormat="false" ht="14.25" hidden="false" customHeight="true" outlineLevel="0" collapsed="false">
      <c r="B222" s="1" t="s">
        <v>1218</v>
      </c>
      <c r="C222" s="87" t="n">
        <f aca="false">IF(C221&gt;0,C220/C221,0)</f>
        <v>1.55966749490935</v>
      </c>
      <c r="D222" s="87" t="n">
        <f aca="false">IF(D221&gt;0,D220/D221,0)</f>
        <v>2.09215632800702</v>
      </c>
      <c r="E222" s="87" t="n">
        <f aca="false">IF(E221&gt;0,E220/E221,0)</f>
        <v>2.57369990313772</v>
      </c>
      <c r="F222" s="87" t="n">
        <f aca="false">IF(F221&gt;0,F220/F221,0)</f>
        <v>2.58743729009297</v>
      </c>
      <c r="G222" s="87" t="n">
        <f aca="false">IF(G221&gt;0,G220/G221,0)</f>
        <v>2.99319323667156</v>
      </c>
      <c r="H222" s="87" t="n">
        <f aca="false">IF(H221&gt;0,H220/H221,0)</f>
        <v>3.5462582902912</v>
      </c>
      <c r="I222" s="87" t="n">
        <f aca="false">IF(I221&gt;0,I220/I221,0)</f>
        <v>4.11091734681015</v>
      </c>
      <c r="J222" s="87" t="n">
        <f aca="false">IF(J221&gt;0,J220/J221,0)</f>
        <v>4.66562664804808</v>
      </c>
      <c r="K222" s="87" t="n">
        <f aca="false">IF(K221&gt;0,K220/K221,0)</f>
        <v>5.43418535100119</v>
      </c>
      <c r="L222" s="87" t="n">
        <f aca="false">IF(L221&gt;0,L220/L221,0)</f>
        <v>6.08406778815178</v>
      </c>
      <c r="M222" s="87" t="n">
        <f aca="false">IF(M221&gt;0,M220/M221,0)</f>
        <v>6.55867090946829</v>
      </c>
      <c r="N222" s="87" t="n">
        <f aca="false">IF(N221&gt;0,N220/N221,0)</f>
        <v>6.85363024042896</v>
      </c>
      <c r="O222" s="87" t="n">
        <f aca="false">IF(O221&gt;0,O220/O221,0)</f>
        <v>6.99088237769648</v>
      </c>
      <c r="P222" s="87" t="n">
        <f aca="false">IF(P221&gt;0,P220/P221,0)</f>
        <v>6.90673203259973</v>
      </c>
      <c r="Q222" s="87" t="n">
        <f aca="false">IF(Q221&gt;0,Q220/Q221,0)</f>
        <v>6.63795515760448</v>
      </c>
      <c r="R222" s="87" t="n">
        <f aca="false">IF(R221&gt;0,R220/R221,0)</f>
        <v>6.25362236747334</v>
      </c>
      <c r="S222" s="87" t="n">
        <f aca="false">IF(S221&gt;0,S220/S221,0)</f>
        <v>5.79399032726534</v>
      </c>
      <c r="T222" s="87" t="n">
        <f aca="false">IF(T221&gt;0,T220/T221,0)</f>
        <v>5.28910905458571</v>
      </c>
      <c r="U222" s="87" t="n">
        <f aca="false">IF(U221&gt;0,U220/U221,0)</f>
        <v>4.83086042199243</v>
      </c>
      <c r="V222" s="87" t="n">
        <f aca="false">IF(V221&gt;0,V220/V221,0)</f>
        <v>4.41445256607261</v>
      </c>
      <c r="W222" s="87" t="n">
        <f aca="false">IF(W221&gt;0,W220/W221,0)</f>
        <v>4.03685302189847</v>
      </c>
      <c r="X222" s="87" t="n">
        <f aca="false">IF(X221&gt;0,X220/X221,0)</f>
        <v>3.69395305987924</v>
      </c>
      <c r="Y222" s="87" t="n">
        <f aca="false">IF(Y221&gt;0,Y220/Y221,0)</f>
        <v>3.38215310437547</v>
      </c>
      <c r="Z222" s="87" t="n">
        <f aca="false">IF(Z221&gt;0,Z220/Z221,0)</f>
        <v>3.09828883708865</v>
      </c>
      <c r="AA222" s="87" t="n">
        <f aca="false">IF(AA221&gt;0,AA220/AA221,0)</f>
        <v>2.83956960147162</v>
      </c>
      <c r="AB222" s="87" t="n">
        <f aca="false">IF(AB221&gt;0,AB220/AB221,0)</f>
        <v>2.60351184150702</v>
      </c>
      <c r="AC222" s="87" t="n">
        <f aca="false">IF(AC221&gt;0,AC220/AC221,0)</f>
        <v>2.38791709588385</v>
      </c>
      <c r="AD222" s="87" t="n">
        <f aca="false">IF(AD221&gt;0,AD220/AD221,0)</f>
        <v>2.19083365668189</v>
      </c>
      <c r="AE222" s="87" t="n">
        <f aca="false">IF(AE221&gt;0,AE220/AE221,0)</f>
        <v>2.01052418024603</v>
      </c>
      <c r="AF222" s="87" t="n">
        <f aca="false">IF(AF221&gt;0,AF220/AF221,0)</f>
        <v>1.84543820694</v>
      </c>
    </row>
    <row r="223" customFormat="false" ht="14.25" hidden="false" customHeight="true" outlineLevel="0" collapsed="false">
      <c r="B223" s="1" t="s">
        <v>1219</v>
      </c>
      <c r="C223" s="88" t="n">
        <f aca="false">C220-C221</f>
        <v>0.00661902111365702</v>
      </c>
      <c r="D223" s="88" t="n">
        <f aca="false">D220-D221</f>
        <v>0.0341523530704465</v>
      </c>
      <c r="E223" s="88" t="n">
        <f aca="false">E220-E221</f>
        <v>0.0909111929250457</v>
      </c>
      <c r="F223" s="88" t="n">
        <f aca="false">F220-F221</f>
        <v>0.188382390593272</v>
      </c>
      <c r="G223" s="88" t="n">
        <f aca="false">G220-G221</f>
        <v>0.356725352246044</v>
      </c>
      <c r="H223" s="88" t="n">
        <f aca="false">H220-H221</f>
        <v>0.582763841163608</v>
      </c>
      <c r="I223" s="88" t="n">
        <f aca="false">I220-I221</f>
        <v>0.847963221711587</v>
      </c>
      <c r="J223" s="88" t="n">
        <f aca="false">J220-J221</f>
        <v>1.13976490291528</v>
      </c>
      <c r="K223" s="88" t="n">
        <f aca="false">K220-K221</f>
        <v>1.43576817762086</v>
      </c>
      <c r="L223" s="88" t="n">
        <f aca="false">L220-L221</f>
        <v>1.71180855990976</v>
      </c>
      <c r="M223" s="88" t="n">
        <f aca="false">M220-M221</f>
        <v>1.949636287543</v>
      </c>
      <c r="N223" s="88" t="n">
        <f aca="false">N220-N221</f>
        <v>2.14058881756079</v>
      </c>
      <c r="O223" s="88" t="n">
        <f aca="false">O220-O221</f>
        <v>2.27914952894158</v>
      </c>
      <c r="P223" s="88" t="n">
        <f aca="false">P220-P221</f>
        <v>2.32834050821463</v>
      </c>
      <c r="Q223" s="88" t="n">
        <f aca="false">Q220-Q221</f>
        <v>2.29402910574614</v>
      </c>
      <c r="R223" s="88" t="n">
        <f aca="false">R220-R221</f>
        <v>2.19992390069847</v>
      </c>
      <c r="S223" s="88" t="n">
        <f aca="false">S220-S221</f>
        <v>2.06103661064627</v>
      </c>
      <c r="T223" s="88" t="n">
        <f aca="false">T220-T221</f>
        <v>1.88972200504473</v>
      </c>
      <c r="U223" s="88" t="n">
        <f aca="false">U220-U221</f>
        <v>1.72875013441311</v>
      </c>
      <c r="V223" s="88" t="n">
        <f aca="false">V220-V221</f>
        <v>1.57743564966463</v>
      </c>
      <c r="W223" s="88" t="n">
        <f aca="false">W220-W221</f>
        <v>1.43527557027414</v>
      </c>
      <c r="X223" s="88" t="n">
        <f aca="false">X220-X221</f>
        <v>1.3016677447275</v>
      </c>
      <c r="Y223" s="88" t="n">
        <f aca="false">Y220-Y221</f>
        <v>1.17604769010397</v>
      </c>
      <c r="Z223" s="88" t="n">
        <f aca="false">Z220-Z221</f>
        <v>1.05788614288232</v>
      </c>
      <c r="AA223" s="88" t="n">
        <f aca="false">AA220-AA221</f>
        <v>0.946686755262947</v>
      </c>
      <c r="AB223" s="88" t="n">
        <f aca="false">AB220-AB221</f>
        <v>0.841980907525021</v>
      </c>
      <c r="AC223" s="88" t="n">
        <f aca="false">AC220-AC221</f>
        <v>0.743328774138668</v>
      </c>
      <c r="AD223" s="88" t="n">
        <f aca="false">AD220-AD221</f>
        <v>0.650317431375645</v>
      </c>
      <c r="AE223" s="88" t="n">
        <f aca="false">AE220-AE221</f>
        <v>0.562559084763301</v>
      </c>
      <c r="AF223" s="88" t="n">
        <f aca="false">AF220-AF221</f>
        <v>0.479689409725151</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0.368914477720798</v>
      </c>
      <c r="D232" s="1" t="n">
        <f aca="false">D216*D217</f>
        <v>1.30845850104721</v>
      </c>
      <c r="E232" s="1" t="n">
        <f aca="false">E216*E217</f>
        <v>2.97360542450067</v>
      </c>
      <c r="F232" s="1" t="n">
        <f aca="false">F216*F217</f>
        <v>6.14106302352698</v>
      </c>
      <c r="G232" s="1" t="n">
        <f aca="false">G216*G217</f>
        <v>10.7139427532393</v>
      </c>
      <c r="H232" s="1" t="n">
        <f aca="false">H216*H217</f>
        <v>16.2326902254055</v>
      </c>
      <c r="I232" s="1" t="n">
        <f aca="false">I216*I217</f>
        <v>22.410796102735</v>
      </c>
      <c r="J232" s="1" t="n">
        <f aca="false">J216*J217</f>
        <v>29.0139613993865</v>
      </c>
      <c r="K232" s="1" t="n">
        <f aca="false">K216*K217</f>
        <v>35.1912686577223</v>
      </c>
      <c r="L232" s="1" t="n">
        <f aca="false">L216*L217</f>
        <v>40.9701827465819</v>
      </c>
      <c r="M232" s="1" t="n">
        <f aca="false">M216*M217</f>
        <v>46.0074827648869</v>
      </c>
      <c r="N232" s="1" t="n">
        <f aca="false">N216*N217</f>
        <v>50.1254901651719</v>
      </c>
      <c r="O232" s="1" t="n">
        <f aca="false">O216*O217</f>
        <v>53.1917179256634</v>
      </c>
      <c r="P232" s="1" t="n">
        <f aca="false">P216*P217</f>
        <v>54.4504943922695</v>
      </c>
      <c r="Q232" s="1" t="n">
        <f aca="false">Q216*Q217</f>
        <v>54.0183875483411</v>
      </c>
      <c r="R232" s="1" t="n">
        <f aca="false">R216*R217</f>
        <v>52.3733620342553</v>
      </c>
      <c r="S232" s="1" t="n">
        <f aca="false">S216*S217</f>
        <v>49.8191501067804</v>
      </c>
      <c r="T232" s="1" t="n">
        <f aca="false">T216*T217</f>
        <v>46.6061629132317</v>
      </c>
      <c r="U232" s="1" t="n">
        <f aca="false">U216*U217</f>
        <v>43.6003909508498</v>
      </c>
      <c r="V232" s="1" t="n">
        <f aca="false">V216*V217</f>
        <v>40.7884702846293</v>
      </c>
      <c r="W232" s="1" t="n">
        <f aca="false">W216*W217</f>
        <v>38.1578988600253</v>
      </c>
      <c r="X232" s="1" t="n">
        <f aca="false">X216*X217</f>
        <v>35.6969809176837</v>
      </c>
      <c r="Y232" s="1" t="n">
        <f aca="false">Y216*Y217</f>
        <v>33.3947749930334</v>
      </c>
      <c r="Z232" s="1" t="n">
        <f aca="false">Z216*Z217</f>
        <v>31.241045269542</v>
      </c>
      <c r="AA232" s="1" t="n">
        <f aca="false">AA216*AA217</f>
        <v>29.2262160693455</v>
      </c>
      <c r="AB232" s="1" t="n">
        <f aca="false">AB216*AB217</f>
        <v>27.341329278916</v>
      </c>
      <c r="AC232" s="1" t="n">
        <f aca="false">AC216*AC217</f>
        <v>25.5780045204754</v>
      </c>
      <c r="AD232" s="1" t="n">
        <f aca="false">AD216*AD217</f>
        <v>23.9284018920751</v>
      </c>
      <c r="AE232" s="1" t="n">
        <f aca="false">AE216*AE217</f>
        <v>22.38518711068</v>
      </c>
      <c r="AF232" s="1" t="n">
        <f aca="false">AF216*AF217</f>
        <v>20.9414989032809</v>
      </c>
    </row>
    <row r="233" customFormat="false" ht="14.25" hidden="false" customHeight="true" outlineLevel="0" collapsed="false">
      <c r="B233" s="1" t="s">
        <v>1229</v>
      </c>
      <c r="C233" s="1" t="n">
        <f aca="false">IF(C81&gt;0,(C107+C109+C110+C184-C108-C229)/C81,0)</f>
        <v>0.0340049143851031</v>
      </c>
      <c r="D233" s="1" t="n">
        <f aca="false">IF(C81&gt;0,(D107+D109+D110+D184-D108-D229)/C81,0)</f>
        <v>0.151468138803022</v>
      </c>
      <c r="E233" s="1" t="n">
        <f aca="false">IF(D81&gt;0,(E107+E109+E110+E184-E108-E229)/D81,0)</f>
        <v>0.106885740158274</v>
      </c>
      <c r="F233" s="1" t="n">
        <f aca="false">IF(E81&gt;0,(F107+F109+F110+F184-F108-F229)/E81,0)</f>
        <v>0.0906313900987725</v>
      </c>
      <c r="G233" s="1" t="n">
        <f aca="false">IF(F81&gt;0,(G107+G109+G110+G184-G108-G229)/F81,0)</f>
        <v>0.0587729425825023</v>
      </c>
      <c r="H233" s="1" t="n">
        <f aca="false">IF(G81&gt;0,(H107+H109+H110+H184-H108-H229)/G81,0)</f>
        <v>0.0474212657457493</v>
      </c>
      <c r="I233" s="1" t="n">
        <f aca="false">IF(H81&gt;0,(I107+I109+I110+I184-I108-I229)/H81,0)</f>
        <v>0.0436961499262554</v>
      </c>
      <c r="J233" s="1" t="n">
        <f aca="false">IF(I81&gt;0,(J107+J109+J110+J184-J108-J229)/I81,0)</f>
        <v>0.0423165996315387</v>
      </c>
      <c r="K233" s="1" t="n">
        <f aca="false">IF(J81&gt;0,(K107+K109+K110+K184-K108-K229)/J81,0)</f>
        <v>0.0414543808726637</v>
      </c>
      <c r="L233" s="1" t="n">
        <f aca="false">IF(K81&gt;0,(L107+L109+L110+L184-L108-L229)/K81,0)</f>
        <v>0.0442397520861321</v>
      </c>
      <c r="M233" s="1" t="n">
        <f aca="false">IF(L81&gt;0,(M107+M109+M110+M184-M108-M229)/L81,0)</f>
        <v>0.0467773436272858</v>
      </c>
      <c r="N233" s="1" t="n">
        <f aca="false">IF(M81&gt;0,(N107+N109+N110+N184-N108-N229)/M81,0)</f>
        <v>0.0465214629706592</v>
      </c>
      <c r="O233" s="1" t="n">
        <f aca="false">IF(N81&gt;0,(O107+O109+O110+O184-O108-O229)/N81,0)</f>
        <v>0.0456363534597679</v>
      </c>
      <c r="P233" s="1" t="n">
        <f aca="false">IF(O81&gt;0,(P107+P109+P110+P184-P108-P229)/O81,0)</f>
        <v>0.0449821827558995</v>
      </c>
      <c r="Q233" s="1" t="n">
        <f aca="false">IF(P81&gt;0,(Q107+Q109+Q110+Q184-Q108-Q229)/P81,0)</f>
        <v>0.0444361999972357</v>
      </c>
      <c r="R233" s="1" t="n">
        <f aca="false">IF(Q81&gt;0,(R107+R109+R110+R184-R108-R229)/Q81,0)</f>
        <v>0.0440308499154232</v>
      </c>
      <c r="S233" s="1" t="n">
        <f aca="false">IF(R81&gt;0,(S107+S109+S110+S184-S108-S229)/R81,0)</f>
        <v>0.043757787942728</v>
      </c>
      <c r="T233" s="1" t="n">
        <f aca="false">IF(S81&gt;0,(T107+T109+T110+T184-T108-T229)/S81,0)</f>
        <v>0.043584803401534</v>
      </c>
      <c r="U233" s="1" t="n">
        <f aca="false">IF(T81&gt;0,(U107+U109+U110+U184-U108-U229)/T81,0)</f>
        <v>0.0434856685585463</v>
      </c>
      <c r="V233" s="1" t="n">
        <f aca="false">IF(U81&gt;0,(V107+V109+V110+V184-V108-V229)/U81,0)</f>
        <v>0.0434044195906148</v>
      </c>
      <c r="W233" s="1" t="n">
        <f aca="false">IF(V81&gt;0,(W107+W109+W110+W184-W108-W229)/V81,0)</f>
        <v>0.0433393749362098</v>
      </c>
      <c r="X233" s="1" t="n">
        <f aca="false">IF(W81&gt;0,(X107+X109+X110+X184-X108-X229)/W81,0)</f>
        <v>0.0433019649204842</v>
      </c>
      <c r="Y233" s="1" t="n">
        <f aca="false">IF(X81&gt;0,(Y107+Y109+Y110+Y184-Y108-Y229)/X81,0)</f>
        <v>0.0432900600032855</v>
      </c>
      <c r="Z233" s="1" t="n">
        <f aca="false">IF(Y81&gt;0,(Z107+Z109+Z110+Z184-Z108-Z229)/Y81,0)</f>
        <v>0.0433017234050976</v>
      </c>
      <c r="AA233" s="1" t="n">
        <f aca="false">IF(Z81&gt;0,(AA107+AA109+AA110+AA184-AA108-AA229)/Z81,0)</f>
        <v>0.0433351744399879</v>
      </c>
      <c r="AB233" s="1" t="n">
        <f aca="false">IF(AA81&gt;0,(AB107+AB109+AB110+AB184-AB108-AB229)/AA81,0)</f>
        <v>0.0433887828136702</v>
      </c>
      <c r="AC233" s="1" t="n">
        <f aca="false">IF(AB81&gt;0,(AC107+AC109+AC110+AC184-AC108-AC229)/AB81,0)</f>
        <v>0.0434607919988875</v>
      </c>
      <c r="AD233" s="1" t="n">
        <f aca="false">IF(AC81&gt;0,(AD107+AD109+AD110+AD184-AD108-AD229)/AC81,0)</f>
        <v>0.0435495749151573</v>
      </c>
      <c r="AE233" s="1" t="n">
        <f aca="false">IF(AD81&gt;0,(AE107+AE109+AE110+AE184-AE108-AE229)/AD81,0)</f>
        <v>0.0436536145806058</v>
      </c>
      <c r="AF233" s="1" t="n">
        <f aca="false">IF(AE81&gt;0,(AF107+AF109+AF110+AF184-AF108-AF229)/AE81,0)</f>
        <v>0.0437714880298866</v>
      </c>
    </row>
    <row r="234" customFormat="false" ht="14.25" hidden="false" customHeight="true" outlineLevel="0" collapsed="false">
      <c r="B234" s="1" t="s">
        <v>1230</v>
      </c>
      <c r="C234" s="1" t="n">
        <f aca="false">(C232+0)/2*C233</f>
        <v>0.00627245261516038</v>
      </c>
      <c r="D234" s="1" t="n">
        <f aca="false">(D232+C232)/2*D233</f>
        <v>0.127034281586236</v>
      </c>
      <c r="E234" s="1" t="n">
        <f aca="false">(E232+D232)/2*E233</f>
        <v>0.228845786043616</v>
      </c>
      <c r="F234" s="1" t="n">
        <f aca="false">(F232+E232)/2*F233</f>
        <v>0.413037535867083</v>
      </c>
      <c r="G234" s="1" t="n">
        <f aca="false">(G232+F232)/2*G233</f>
        <v>0.495309143372814</v>
      </c>
      <c r="H234" s="1" t="n">
        <f aca="false">(H232+G232)/2*H233</f>
        <v>0.638921721716743</v>
      </c>
      <c r="I234" s="1" t="n">
        <f aca="false">(I232+H232)/2*I233</f>
        <v>0.844285786133815</v>
      </c>
      <c r="J234" s="1" t="n">
        <f aca="false">(J232+I232)/2*J233</f>
        <v>1.08806043718312</v>
      </c>
      <c r="K234" s="1" t="n">
        <f aca="false">(K232+J232)/2*K233</f>
        <v>1.33079403040219</v>
      </c>
      <c r="L234" s="1" t="n">
        <f aca="false">(L232+K232)/2*L233</f>
        <v>1.68468186432321</v>
      </c>
      <c r="M234" s="1" t="n">
        <f aca="false">(M232+L232)/2*M233</f>
        <v>2.03429207376455</v>
      </c>
      <c r="N234" s="1" t="n">
        <f aca="false">(N232+M232)/2*N233</f>
        <v>2.23612327021256</v>
      </c>
      <c r="O234" s="1" t="n">
        <f aca="false">(O232+N232)/2*O233</f>
        <v>2.35751031345488</v>
      </c>
      <c r="P234" s="1" t="n">
        <f aca="false">(P232+O232)/2*P233</f>
        <v>2.4209908333673</v>
      </c>
      <c r="Q234" s="1" t="n">
        <f aca="false">(Q232+P232)/2*Q233</f>
        <v>2.40997246569476</v>
      </c>
      <c r="R234" s="1" t="n">
        <f aca="false">(R232+Q232)/2*R233</f>
        <v>2.34225957905529</v>
      </c>
      <c r="S234" s="1" t="n">
        <f aca="false">(S232+R232)/2*S233</f>
        <v>2.23585913780105</v>
      </c>
      <c r="T234" s="1" t="n">
        <f aca="false">(T232+S232)/2*T233</f>
        <v>2.1013391554543</v>
      </c>
      <c r="U234" s="1" t="n">
        <f aca="false">(U232+T232)/2*U233</f>
        <v>1.96134615157105</v>
      </c>
      <c r="V234" s="1" t="n">
        <f aca="false">(V232+U232)/2*V233</f>
        <v>1.83142477091945</v>
      </c>
      <c r="W234" s="1" t="n">
        <f aca="false">(W232+V232)/2*W233</f>
        <v>1.71074314610631</v>
      </c>
      <c r="X234" s="1" t="n">
        <f aca="false">(X232+W232)/2*X233</f>
        <v>1.59903070667046</v>
      </c>
      <c r="Y234" s="1" t="n">
        <f aca="false">(Y232+X232)/2*Y233</f>
        <v>1.49549312955365</v>
      </c>
      <c r="Z234" s="1" t="n">
        <f aca="false">(Z232+Y232)/2*Z233</f>
        <v>1.39942120553582</v>
      </c>
      <c r="AA234" s="1" t="n">
        <f aca="false">(AA232+Z232)/2*AA233</f>
        <v>1.31017965901451</v>
      </c>
      <c r="AB234" s="1" t="n">
        <f aca="false">(AB232+AA232)/2*AB233</f>
        <v>1.22719846970908</v>
      </c>
      <c r="AC234" s="1" t="n">
        <f aca="false">(AC232+AB232)/2*AC233</f>
        <v>1.14995807948752</v>
      </c>
      <c r="AD234" s="1" t="n">
        <f aca="false">(AD232+AC232)/2*AD233</f>
        <v>1.0779914774218</v>
      </c>
      <c r="AE234" s="1" t="n">
        <f aca="false">(AE232+AD232)/2*AE233</f>
        <v>1.01087778208543</v>
      </c>
      <c r="AF234" s="1" t="n">
        <f aca="false">(AF232+AE232)/2*AF233</f>
        <v>0.948236759117371</v>
      </c>
    </row>
    <row r="235" customFormat="false" ht="14.25" hidden="false" customHeight="true" outlineLevel="0" collapsed="false">
      <c r="B235" s="1" t="s">
        <v>1231</v>
      </c>
      <c r="C235" s="1" t="n">
        <f aca="false">MAX(0,MIN(C234,$C$231*C232))</f>
        <v>0.00184457238860399</v>
      </c>
      <c r="D235" s="1" t="n">
        <f aca="false">MAX(0,MIN(D234,$C$231*D232))</f>
        <v>0.00654229250523607</v>
      </c>
      <c r="E235" s="1" t="n">
        <f aca="false">MAX(0,MIN(E234,$C$231*E232))</f>
        <v>0.0148680271225033</v>
      </c>
      <c r="F235" s="1" t="n">
        <f aca="false">MAX(0,MIN(F234,$C$231*F232))</f>
        <v>0.0307053151176349</v>
      </c>
      <c r="G235" s="1" t="n">
        <f aca="false">MAX(0,MIN(G234,$C$231*G232))</f>
        <v>0.0535697137661963</v>
      </c>
      <c r="H235" s="1" t="n">
        <f aca="false">MAX(0,MIN(H234,$C$231*H232))</f>
        <v>0.0811634511270276</v>
      </c>
      <c r="I235" s="1" t="n">
        <f aca="false">MAX(0,MIN(I234,$C$231*I232))</f>
        <v>0.112053980513675</v>
      </c>
      <c r="J235" s="1" t="n">
        <f aca="false">MAX(0,MIN(J234,$C$231*J232))</f>
        <v>0.145069806996932</v>
      </c>
      <c r="K235" s="1" t="n">
        <f aca="false">MAX(0,MIN(K234,$C$231*K232))</f>
        <v>0.175956343288611</v>
      </c>
      <c r="L235" s="1" t="n">
        <f aca="false">MAX(0,MIN(L234,$C$231*L232))</f>
        <v>0.20485091373291</v>
      </c>
      <c r="M235" s="1" t="n">
        <f aca="false">MAX(0,MIN(M234,$C$231*M232))</f>
        <v>0.230037413824435</v>
      </c>
      <c r="N235" s="1" t="n">
        <f aca="false">MAX(0,MIN(N234,$C$231*N232))</f>
        <v>0.250627450825859</v>
      </c>
      <c r="O235" s="1" t="n">
        <f aca="false">MAX(0,MIN(O234,$C$231*O232))</f>
        <v>0.265958589628317</v>
      </c>
      <c r="P235" s="1" t="n">
        <f aca="false">MAX(0,MIN(P234,$C$231*P232))</f>
        <v>0.272252471961347</v>
      </c>
      <c r="Q235" s="1" t="n">
        <f aca="false">MAX(0,MIN(Q234,$C$231*Q232))</f>
        <v>0.270091937741706</v>
      </c>
      <c r="R235" s="1" t="n">
        <f aca="false">MAX(0,MIN(R234,$C$231*R232))</f>
        <v>0.261866810171276</v>
      </c>
      <c r="S235" s="1" t="n">
        <f aca="false">MAX(0,MIN(S234,$C$231*S232))</f>
        <v>0.249095750533902</v>
      </c>
      <c r="T235" s="1" t="n">
        <f aca="false">MAX(0,MIN(T234,$C$231*T232))</f>
        <v>0.233030814566158</v>
      </c>
      <c r="U235" s="1" t="n">
        <f aca="false">MAX(0,MIN(U234,$C$231*U232))</f>
        <v>0.218001954754249</v>
      </c>
      <c r="V235" s="1" t="n">
        <f aca="false">MAX(0,MIN(V234,$C$231*V232))</f>
        <v>0.203942351423147</v>
      </c>
      <c r="W235" s="1" t="n">
        <f aca="false">MAX(0,MIN(W234,$C$231*W232))</f>
        <v>0.190789494300126</v>
      </c>
      <c r="X235" s="1" t="n">
        <f aca="false">MAX(0,MIN(X234,$C$231*X232))</f>
        <v>0.178484904588418</v>
      </c>
      <c r="Y235" s="1" t="n">
        <f aca="false">MAX(0,MIN(Y234,$C$231*Y232))</f>
        <v>0.166973874965167</v>
      </c>
      <c r="Z235" s="1" t="n">
        <f aca="false">MAX(0,MIN(Z234,$C$231*Z232))</f>
        <v>0.15620522634771</v>
      </c>
      <c r="AA235" s="1" t="n">
        <f aca="false">MAX(0,MIN(AA234,$C$231*AA232))</f>
        <v>0.146131080346727</v>
      </c>
      <c r="AB235" s="1" t="n">
        <f aca="false">MAX(0,MIN(AB234,$C$231*AB232))</f>
        <v>0.13670664639458</v>
      </c>
      <c r="AC235" s="1" t="n">
        <f aca="false">MAX(0,MIN(AC234,$C$231*AC232))</f>
        <v>0.127890022602377</v>
      </c>
      <c r="AD235" s="1" t="n">
        <f aca="false">MAX(0,MIN(AD234,$C$231*AD232))</f>
        <v>0.119642009460375</v>
      </c>
      <c r="AE235" s="1" t="n">
        <f aca="false">MAX(0,MIN(AE234,$C$231*AE232))</f>
        <v>0.1119259355534</v>
      </c>
      <c r="AF235" s="1" t="n">
        <f aca="false">MAX(0,MIN(AF234,$C$231*AF232))</f>
        <v>0.104707494516404</v>
      </c>
    </row>
    <row r="236" customFormat="false" ht="14.25" hidden="false" customHeight="true" outlineLevel="0" collapsed="false">
      <c r="B236" s="1" t="s">
        <v>1232</v>
      </c>
      <c r="C236" s="1" t="n">
        <f aca="false">MAX(0,C234-C235)</f>
        <v>0.00442788022655639</v>
      </c>
      <c r="D236" s="1" t="n">
        <f aca="false">MAX(0,D234-D235)</f>
        <v>0.120491989081</v>
      </c>
      <c r="E236" s="1" t="n">
        <f aca="false">MAX(0,E234-E235)</f>
        <v>0.213977758921112</v>
      </c>
      <c r="F236" s="1" t="n">
        <f aca="false">MAX(0,F234-F235)</f>
        <v>0.382332220749448</v>
      </c>
      <c r="G236" s="1" t="n">
        <f aca="false">MAX(0,G234-G235)</f>
        <v>0.441739429606617</v>
      </c>
      <c r="H236" s="1" t="n">
        <f aca="false">MAX(0,H234-H235)</f>
        <v>0.557758270589715</v>
      </c>
      <c r="I236" s="1" t="n">
        <f aca="false">MAX(0,I234-I235)</f>
        <v>0.732231805620141</v>
      </c>
      <c r="J236" s="1" t="n">
        <f aca="false">MAX(0,J234-J235)</f>
        <v>0.942990630186186</v>
      </c>
      <c r="K236" s="1" t="n">
        <f aca="false">MAX(0,K234-K235)</f>
        <v>1.15483768711358</v>
      </c>
      <c r="L236" s="1" t="n">
        <f aca="false">MAX(0,L234-L235)</f>
        <v>1.4798309505903</v>
      </c>
      <c r="M236" s="1" t="n">
        <f aca="false">MAX(0,M234-M235)</f>
        <v>1.80425465994011</v>
      </c>
      <c r="N236" s="1" t="n">
        <f aca="false">MAX(0,N234-N235)</f>
        <v>1.9854958193867</v>
      </c>
      <c r="O236" s="1" t="n">
        <f aca="false">MAX(0,O234-O235)</f>
        <v>2.09155172382656</v>
      </c>
      <c r="P236" s="1" t="n">
        <f aca="false">MAX(0,P234-P235)</f>
        <v>2.14873836140595</v>
      </c>
      <c r="Q236" s="1" t="n">
        <f aca="false">MAX(0,Q234-Q235)</f>
        <v>2.13988052795305</v>
      </c>
      <c r="R236" s="1" t="n">
        <f aca="false">MAX(0,R234-R235)</f>
        <v>2.08039276888402</v>
      </c>
      <c r="S236" s="1" t="n">
        <f aca="false">MAX(0,S234-S235)</f>
        <v>1.98676338726714</v>
      </c>
      <c r="T236" s="1" t="n">
        <f aca="false">MAX(0,T234-T235)</f>
        <v>1.86830834088814</v>
      </c>
      <c r="U236" s="1" t="n">
        <f aca="false">MAX(0,U234-U235)</f>
        <v>1.7433441968168</v>
      </c>
      <c r="V236" s="1" t="n">
        <f aca="false">MAX(0,V234-V235)</f>
        <v>1.62748241949631</v>
      </c>
      <c r="W236" s="1" t="n">
        <f aca="false">MAX(0,W234-W235)</f>
        <v>1.51995365180618</v>
      </c>
      <c r="X236" s="1" t="n">
        <f aca="false">MAX(0,X234-X235)</f>
        <v>1.42054580208205</v>
      </c>
      <c r="Y236" s="1" t="n">
        <f aca="false">MAX(0,Y234-Y235)</f>
        <v>1.32851925458848</v>
      </c>
      <c r="Z236" s="1" t="n">
        <f aca="false">MAX(0,Z234-Z235)</f>
        <v>1.24321597918811</v>
      </c>
      <c r="AA236" s="1" t="n">
        <f aca="false">MAX(0,AA234-AA235)</f>
        <v>1.16404857866778</v>
      </c>
      <c r="AB236" s="1" t="n">
        <f aca="false">MAX(0,AB234-AB235)</f>
        <v>1.0904918233145</v>
      </c>
      <c r="AC236" s="1" t="n">
        <f aca="false">MAX(0,AC234-AC235)</f>
        <v>1.02206805688515</v>
      </c>
      <c r="AD236" s="1" t="n">
        <f aca="false">MAX(0,AD234-AD235)</f>
        <v>0.95834946796142</v>
      </c>
      <c r="AE236" s="1" t="n">
        <f aca="false">MAX(0,AE234-AE235)</f>
        <v>0.898951846532027</v>
      </c>
      <c r="AF236" s="1" t="n">
        <f aca="false">MAX(0,AF234-AF235)</f>
        <v>0.843529264600967</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0.155966749490935</v>
      </c>
      <c r="D238" s="1" t="n">
        <f aca="false">IF(D112&gt;0,D235/D112,0)</f>
        <v>0.209215632800702</v>
      </c>
      <c r="E238" s="1" t="n">
        <f aca="false">IF(E112&gt;0,E235/E112,0)</f>
        <v>0.257369990313772</v>
      </c>
      <c r="F238" s="1" t="n">
        <f aca="false">IF(F112&gt;0,F235/F112,0)</f>
        <v>0.258743729009297</v>
      </c>
      <c r="G238" s="1" t="n">
        <f aca="false">IF(G112&gt;0,G235/G112,0)</f>
        <v>0.299319323667156</v>
      </c>
      <c r="H238" s="1" t="n">
        <f aca="false">IF(H112&gt;0,H235/H112,0)</f>
        <v>0.35462582902912</v>
      </c>
      <c r="I238" s="1" t="n">
        <f aca="false">IF(I112&gt;0,I235/I112,0)</f>
        <v>0.411091734681015</v>
      </c>
      <c r="J238" s="1" t="n">
        <f aca="false">IF(J112&gt;0,J235/J112,0)</f>
        <v>0.466562664804808</v>
      </c>
      <c r="K238" s="1" t="n">
        <f aca="false">IF(K112&gt;0,K235/K112,0)</f>
        <v>0.543418535100119</v>
      </c>
      <c r="L238" s="1" t="n">
        <f aca="false">IF(L112&gt;0,L235/L112,0)</f>
        <v>0.608406778815178</v>
      </c>
      <c r="M238" s="1" t="n">
        <f aca="false">IF(M112&gt;0,M235/M112,0)</f>
        <v>0.655867090946829</v>
      </c>
      <c r="N238" s="1" t="n">
        <f aca="false">IF(N112&gt;0,N235/N112,0)</f>
        <v>0.685363024042896</v>
      </c>
      <c r="O238" s="1" t="n">
        <f aca="false">IF(O112&gt;0,O235/O112,0)</f>
        <v>0.699088237769648</v>
      </c>
      <c r="P238" s="1" t="n">
        <f aca="false">IF(P112&gt;0,P235/P112,0)</f>
        <v>0.690673203259973</v>
      </c>
      <c r="Q238" s="1" t="n">
        <f aca="false">IF(Q112&gt;0,Q235/Q112,0)</f>
        <v>0.663795515760447</v>
      </c>
      <c r="R238" s="1" t="n">
        <f aca="false">IF(R112&gt;0,R235/R112,0)</f>
        <v>0.625362236747334</v>
      </c>
      <c r="S238" s="1" t="n">
        <f aca="false">IF(S112&gt;0,S235/S112,0)</f>
        <v>0.579399032726534</v>
      </c>
      <c r="T238" s="1" t="n">
        <f aca="false">IF(T112&gt;0,T235/T112,0)</f>
        <v>0.528910905458571</v>
      </c>
      <c r="U238" s="1" t="n">
        <f aca="false">IF(U112&gt;0,U235/U112,0)</f>
        <v>0.483086042199243</v>
      </c>
      <c r="V238" s="1" t="n">
        <f aca="false">IF(V112&gt;0,V235/V112,0)</f>
        <v>0.441445256607261</v>
      </c>
      <c r="W238" s="1" t="n">
        <f aca="false">IF(W112&gt;0,W235/W112,0)</f>
        <v>0.403685302189847</v>
      </c>
      <c r="X238" s="1" t="n">
        <f aca="false">IF(X112&gt;0,X235/X112,0)</f>
        <v>0.369395305987924</v>
      </c>
      <c r="Y238" s="1" t="n">
        <f aca="false">IF(Y112&gt;0,Y235/Y112,0)</f>
        <v>0.338215310437547</v>
      </c>
      <c r="Z238" s="1" t="n">
        <f aca="false">IF(Z112&gt;0,Z235/Z112,0)</f>
        <v>0.309828883708865</v>
      </c>
      <c r="AA238" s="1" t="n">
        <f aca="false">IF(AA112&gt;0,AA235/AA112,0)</f>
        <v>0.283956960147162</v>
      </c>
      <c r="AB238" s="1" t="n">
        <f aca="false">IF(AB112&gt;0,AB235/AB112,0)</f>
        <v>0.260351184150702</v>
      </c>
      <c r="AC238" s="1" t="n">
        <f aca="false">IF(AC112&gt;0,AC235/AC112,0)</f>
        <v>0.238791709588385</v>
      </c>
      <c r="AD238" s="1" t="n">
        <f aca="false">IF(AD112&gt;0,AD235/AD112,0)</f>
        <v>0.219083365668189</v>
      </c>
      <c r="AE238" s="1" t="n">
        <f aca="false">IF(AE112&gt;0,AE235/AE112,0)</f>
        <v>0.201052418024602</v>
      </c>
      <c r="AF238" s="1" t="n">
        <f aca="false">IF(AF112&gt;0,AF235/AF112,0)</f>
        <v>0.184543820694</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0.00442788022655639</v>
      </c>
      <c r="D243" s="1" t="n">
        <f aca="false">D236</f>
        <v>0.120491989081</v>
      </c>
      <c r="E243" s="1" t="n">
        <f aca="false">E236</f>
        <v>0.213977758921112</v>
      </c>
      <c r="F243" s="1" t="n">
        <f aca="false">F236</f>
        <v>0.382332220749448</v>
      </c>
      <c r="G243" s="1" t="n">
        <f aca="false">G236</f>
        <v>0.441739429606617</v>
      </c>
      <c r="H243" s="1" t="n">
        <f aca="false">H236</f>
        <v>0.557758270589715</v>
      </c>
      <c r="I243" s="1" t="n">
        <f aca="false">I236</f>
        <v>0.732231805620141</v>
      </c>
      <c r="J243" s="1" t="n">
        <f aca="false">J236</f>
        <v>0.942990630186186</v>
      </c>
      <c r="K243" s="1" t="n">
        <f aca="false">K236</f>
        <v>1.15483768711358</v>
      </c>
      <c r="L243" s="1" t="n">
        <f aca="false">L236</f>
        <v>1.4798309505903</v>
      </c>
      <c r="M243" s="1" t="n">
        <f aca="false">M236</f>
        <v>1.80425465994011</v>
      </c>
      <c r="N243" s="1" t="n">
        <f aca="false">N236</f>
        <v>1.9854958193867</v>
      </c>
      <c r="O243" s="1" t="n">
        <f aca="false">O236</f>
        <v>2.09155172382656</v>
      </c>
      <c r="P243" s="1" t="n">
        <f aca="false">P236</f>
        <v>2.14873836140595</v>
      </c>
      <c r="Q243" s="1" t="n">
        <f aca="false">Q236</f>
        <v>2.13988052795305</v>
      </c>
      <c r="R243" s="1" t="n">
        <f aca="false">R236</f>
        <v>2.08039276888402</v>
      </c>
      <c r="S243" s="1" t="n">
        <f aca="false">S236</f>
        <v>1.98676338726714</v>
      </c>
      <c r="T243" s="1" t="n">
        <f aca="false">T236</f>
        <v>1.86830834088814</v>
      </c>
      <c r="U243" s="1" t="n">
        <f aca="false">U236</f>
        <v>1.7433441968168</v>
      </c>
      <c r="V243" s="1" t="n">
        <f aca="false">V236</f>
        <v>1.62748241949631</v>
      </c>
      <c r="W243" s="1" t="n">
        <f aca="false">W236</f>
        <v>1.51995365180618</v>
      </c>
      <c r="X243" s="1" t="n">
        <f aca="false">X236</f>
        <v>1.42054580208205</v>
      </c>
      <c r="Y243" s="1" t="n">
        <f aca="false">Y236</f>
        <v>1.32851925458848</v>
      </c>
      <c r="Z243" s="1" t="n">
        <f aca="false">Z236</f>
        <v>1.24321597918811</v>
      </c>
      <c r="AA243" s="1" t="n">
        <f aca="false">AA236</f>
        <v>1.16404857866778</v>
      </c>
      <c r="AB243" s="1" t="n">
        <f aca="false">AB236</f>
        <v>1.0904918233145</v>
      </c>
      <c r="AC243" s="1" t="n">
        <f aca="false">AC236</f>
        <v>1.02206805688515</v>
      </c>
      <c r="AD243" s="1" t="n">
        <f aca="false">AD236</f>
        <v>0.95834946796142</v>
      </c>
      <c r="AE243" s="1" t="n">
        <f aca="false">AE236</f>
        <v>0.898951846532027</v>
      </c>
      <c r="AF243" s="1" t="n">
        <f aca="false">AF236</f>
        <v>0.843529264600967</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0.00442788022655639</v>
      </c>
      <c r="D247" s="1" t="n">
        <f aca="false">MAX(0,C248+D243-D244-D245-D246)</f>
        <v>0.124919869307556</v>
      </c>
      <c r="E247" s="1" t="n">
        <f aca="false">MAX(0,D248+E243-E244-E245-E246)</f>
        <v>0.338897628228669</v>
      </c>
      <c r="F247" s="1" t="n">
        <f aca="false">MAX(0,E248+F243-F244-F245-F246)</f>
        <v>0.721229848978117</v>
      </c>
      <c r="G247" s="1" t="n">
        <f aca="false">MAX(0,F248+G243-G244-G245-G246)</f>
        <v>1.16296927858473</v>
      </c>
      <c r="H247" s="1" t="n">
        <f aca="false">MAX(0,G248+H243-H244-H245-H246)</f>
        <v>1.72072754917445</v>
      </c>
      <c r="I247" s="1" t="n">
        <f aca="false">MAX(0,H248+I243-I244-I245-I246)</f>
        <v>2.45295935479459</v>
      </c>
      <c r="J247" s="1" t="n">
        <f aca="false">MAX(0,I248+J243-J244-J245-J246)</f>
        <v>3.39594998498078</v>
      </c>
      <c r="K247" s="1" t="n">
        <f aca="false">MAX(0,J248+K243-K244-K245-K246)</f>
        <v>4.55078767209435</v>
      </c>
      <c r="L247" s="1" t="n">
        <f aca="false">MAX(0,K248+L243-L244-L245-L246)</f>
        <v>6.03061862268465</v>
      </c>
      <c r="M247" s="1" t="n">
        <f aca="false">MAX(0,L248+M243-M244-M245-M246)</f>
        <v>7.83487328262476</v>
      </c>
      <c r="N247" s="1" t="n">
        <f aca="false">MAX(0,M248+N243-N244-N245-N246)</f>
        <v>9.82036910201146</v>
      </c>
      <c r="O247" s="1" t="n">
        <f aca="false">MAX(0,N248+O243-O244-O245-O246)</f>
        <v>11.911920825838</v>
      </c>
      <c r="P247" s="1" t="n">
        <f aca="false">MAX(0,O248+P243-P244-P245-P246)</f>
        <v>14.060659187244</v>
      </c>
      <c r="Q247" s="1" t="n">
        <f aca="false">MAX(0,P248+Q243-Q244-Q245-Q246)</f>
        <v>16.200539715197</v>
      </c>
      <c r="R247" s="1" t="n">
        <f aca="false">MAX(0,Q248+R243-R244-R245-R246)</f>
        <v>18.280932484081</v>
      </c>
      <c r="S247" s="1" t="n">
        <f aca="false">MAX(0,R248+S243-S244-S245-S246)</f>
        <v>20.2676958713482</v>
      </c>
      <c r="T247" s="1" t="n">
        <f aca="false">MAX(0,S248+T243-T244-T245-T246)</f>
        <v>22.1360042122363</v>
      </c>
      <c r="U247" s="1" t="n">
        <f aca="false">MAX(0,T248+U243-U244-U245-U246)</f>
        <v>23.8793484090531</v>
      </c>
      <c r="V247" s="1" t="n">
        <f aca="false">MAX(0,U248+V243-V244-V245-V246)</f>
        <v>25.5068308285494</v>
      </c>
      <c r="W247" s="1" t="n">
        <f aca="false">MAX(0,V248+W243-W244-W245-W246)</f>
        <v>27.0267844803556</v>
      </c>
      <c r="X247" s="1" t="n">
        <f aca="false">MAX(0,W248+X243-X244-X245-X246)</f>
        <v>28.4473302824377</v>
      </c>
      <c r="Y247" s="1" t="n">
        <f aca="false">MAX(0,X248+Y243-Y244-Y245-Y246)</f>
        <v>29.7758495370261</v>
      </c>
      <c r="Z247" s="1" t="n">
        <f aca="false">MAX(0,Y248+Z243-Z244-Z245-Z246)</f>
        <v>31.0190655162143</v>
      </c>
      <c r="AA247" s="1" t="n">
        <f aca="false">MAX(0,Z248+AA243-AA244-AA245-AA246)</f>
        <v>32.183114094882</v>
      </c>
      <c r="AB247" s="1" t="n">
        <f aca="false">MAX(0,AA248+AB243-AB244-AB245-AB246)</f>
        <v>33.2736059181965</v>
      </c>
      <c r="AC247" s="1" t="n">
        <f aca="false">MAX(0,AB248+AC243-AC244-AC245-AC246)</f>
        <v>34.2956739750817</v>
      </c>
      <c r="AD247" s="1" t="n">
        <f aca="false">MAX(0,AC248+AD243-AD244-AD245-AD246)</f>
        <v>35.2540234430431</v>
      </c>
      <c r="AE247" s="1" t="n">
        <f aca="false">MAX(0,AD248+AE243-AE244-AE245-AE246)</f>
        <v>36.1529752895751</v>
      </c>
      <c r="AF247" s="1" t="n">
        <f aca="false">MAX(0,AE248+AF243-AF244-AF245-AF246)</f>
        <v>36.9965045541761</v>
      </c>
    </row>
    <row r="248" customFormat="false" ht="14.25" hidden="false" customHeight="true" outlineLevel="0" collapsed="false">
      <c r="B248" s="1" t="s">
        <v>1244</v>
      </c>
      <c r="C248" s="1" t="n">
        <f aca="false">MIN(C247,MAX(0,C276))</f>
        <v>0.00442788022655639</v>
      </c>
      <c r="D248" s="1" t="n">
        <f aca="false">MIN(D247,MAX(0,D276))</f>
        <v>0.124919869307556</v>
      </c>
      <c r="E248" s="1" t="n">
        <f aca="false">MIN(E247,MAX(0,E276))</f>
        <v>0.338897628228669</v>
      </c>
      <c r="F248" s="1" t="n">
        <f aca="false">MIN(F247,MAX(0,F276))</f>
        <v>0.721229848978117</v>
      </c>
      <c r="G248" s="1" t="n">
        <f aca="false">MIN(G247,MAX(0,G276))</f>
        <v>1.16296927858473</v>
      </c>
      <c r="H248" s="1" t="n">
        <f aca="false">MIN(H247,MAX(0,H276))</f>
        <v>1.72072754917445</v>
      </c>
      <c r="I248" s="1" t="n">
        <f aca="false">MIN(I247,MAX(0,I276))</f>
        <v>2.45295935479459</v>
      </c>
      <c r="J248" s="1" t="n">
        <f aca="false">MIN(J247,MAX(0,J276))</f>
        <v>3.39594998498078</v>
      </c>
      <c r="K248" s="1" t="n">
        <f aca="false">MIN(K247,MAX(0,K276))</f>
        <v>4.55078767209435</v>
      </c>
      <c r="L248" s="1" t="n">
        <f aca="false">MIN(L247,MAX(0,L276))</f>
        <v>6.03061862268465</v>
      </c>
      <c r="M248" s="1" t="n">
        <f aca="false">MIN(M247,MAX(0,M276))</f>
        <v>7.83487328262476</v>
      </c>
      <c r="N248" s="1" t="n">
        <f aca="false">MIN(N247,MAX(0,N276))</f>
        <v>9.82036910201146</v>
      </c>
      <c r="O248" s="1" t="n">
        <f aca="false">MIN(O247,MAX(0,O276))</f>
        <v>11.911920825838</v>
      </c>
      <c r="P248" s="1" t="n">
        <f aca="false">MIN(P247,MAX(0,P276))</f>
        <v>14.060659187244</v>
      </c>
      <c r="Q248" s="1" t="n">
        <f aca="false">MIN(Q247,MAX(0,Q276))</f>
        <v>16.200539715197</v>
      </c>
      <c r="R248" s="1" t="n">
        <f aca="false">MIN(R247,MAX(0,R276))</f>
        <v>18.280932484081</v>
      </c>
      <c r="S248" s="1" t="n">
        <f aca="false">MIN(S247,MAX(0,S276))</f>
        <v>20.2676958713482</v>
      </c>
      <c r="T248" s="1" t="n">
        <f aca="false">MIN(T247,MAX(0,T276))</f>
        <v>22.1360042122363</v>
      </c>
      <c r="U248" s="1" t="n">
        <f aca="false">MIN(U247,MAX(0,U276))</f>
        <v>23.8793484090531</v>
      </c>
      <c r="V248" s="1" t="n">
        <f aca="false">MIN(V247,MAX(0,V276))</f>
        <v>25.5068308285494</v>
      </c>
      <c r="W248" s="1" t="n">
        <f aca="false">MIN(W247,MAX(0,W276))</f>
        <v>27.0267844803556</v>
      </c>
      <c r="X248" s="1" t="n">
        <f aca="false">MIN(X247,MAX(0,X276))</f>
        <v>28.4473302824377</v>
      </c>
      <c r="Y248" s="1" t="n">
        <f aca="false">MIN(Y247,MAX(0,Y276))</f>
        <v>29.7758495370261</v>
      </c>
      <c r="Z248" s="1" t="n">
        <f aca="false">MIN(Z247,MAX(0,Z276))</f>
        <v>31.0190655162143</v>
      </c>
      <c r="AA248" s="1" t="n">
        <f aca="false">MIN(AA247,MAX(0,AA276))</f>
        <v>32.183114094882</v>
      </c>
      <c r="AB248" s="1" t="n">
        <f aca="false">MIN(AB247,MAX(0,AB276))</f>
        <v>33.2736059181965</v>
      </c>
      <c r="AC248" s="1" t="n">
        <f aca="false">MIN(AC247,MAX(0,AC276))</f>
        <v>34.2956739750817</v>
      </c>
      <c r="AD248" s="1" t="n">
        <f aca="false">MIN(AD247,MAX(0,AD276))</f>
        <v>35.2540234430431</v>
      </c>
      <c r="AE248" s="1" t="n">
        <f aca="false">MIN(AE247,MAX(0,AE276))</f>
        <v>36.1529752895751</v>
      </c>
      <c r="AF248" s="1" t="n">
        <f aca="false">MIN(AF247,MAX(0,AF276))</f>
        <v>36.9965045541761</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20.8946916107527</v>
      </c>
      <c r="D250" s="1" t="n">
        <f aca="false">D120-D248</f>
        <v>41.0155642434443</v>
      </c>
      <c r="E250" s="1" t="n">
        <f aca="false">E120-E248</f>
        <v>61.3400661727169</v>
      </c>
      <c r="F250" s="1" t="n">
        <f aca="false">F120-F248</f>
        <v>76.8230886569202</v>
      </c>
      <c r="G250" s="1" t="n">
        <f aca="false">G120-G248</f>
        <v>91.211148747139</v>
      </c>
      <c r="H250" s="1" t="n">
        <f aca="false">H120-H248</f>
        <v>105.023339165935</v>
      </c>
      <c r="I250" s="1" t="n">
        <f aca="false">I120-I248</f>
        <v>118.736763737124</v>
      </c>
      <c r="J250" s="1" t="n">
        <f aca="false">J120-J248</f>
        <v>132.657504749136</v>
      </c>
      <c r="K250" s="1" t="n">
        <f aca="false">K120-K248</f>
        <v>148.193370427266</v>
      </c>
      <c r="L250" s="1" t="n">
        <f aca="false">L120-L248</f>
        <v>163.696955837798</v>
      </c>
      <c r="M250" s="1" t="n">
        <f aca="false">M120-M248</f>
        <v>161.351510318461</v>
      </c>
      <c r="N250" s="1" t="n">
        <f aca="false">N120-N248</f>
        <v>160.481940466191</v>
      </c>
      <c r="O250" s="1" t="n">
        <f aca="false">O120-O248</f>
        <v>160.711130836692</v>
      </c>
      <c r="P250" s="1" t="n">
        <f aca="false">P120-P248</f>
        <v>160.005250334917</v>
      </c>
      <c r="Q250" s="1" t="n">
        <f aca="false">Q120-Q248</f>
        <v>159.002769991528</v>
      </c>
      <c r="R250" s="1" t="n">
        <f aca="false">R120-R248</f>
        <v>158.119839420404</v>
      </c>
      <c r="S250" s="1" t="n">
        <f aca="false">S120-S248</f>
        <v>157.388163258034</v>
      </c>
      <c r="T250" s="1" t="n">
        <f aca="false">T120-T248</f>
        <v>156.829838663669</v>
      </c>
      <c r="U250" s="1" t="n">
        <f aca="false">U120-U248</f>
        <v>156.442820130557</v>
      </c>
      <c r="V250" s="1" t="n">
        <f aca="false">V120-V248</f>
        <v>156.216380330611</v>
      </c>
      <c r="W250" s="1" t="n">
        <f aca="false">W120-W248</f>
        <v>156.144097614141</v>
      </c>
      <c r="X250" s="1" t="n">
        <f aca="false">X120-X248</f>
        <v>156.219274177892</v>
      </c>
      <c r="Y250" s="1" t="n">
        <f aca="false">Y120-Y248</f>
        <v>156.435742943196</v>
      </c>
      <c r="Z250" s="1" t="n">
        <f aca="false">Z120-Z248</f>
        <v>156.787705717796</v>
      </c>
      <c r="AA250" s="1" t="n">
        <f aca="false">AA120-AA248</f>
        <v>157.269986182127</v>
      </c>
      <c r="AB250" s="1" t="n">
        <f aca="false">AB120-AB248</f>
        <v>157.877918705509</v>
      </c>
      <c r="AC250" s="1" t="n">
        <f aca="false">AC120-AC248</f>
        <v>158.607339172235</v>
      </c>
      <c r="AD250" s="1" t="n">
        <f aca="false">AD120-AD248</f>
        <v>159.454541013431</v>
      </c>
      <c r="AE250" s="1" t="n">
        <f aca="false">AE120-AE248</f>
        <v>160.416239170762</v>
      </c>
      <c r="AF250" s="1" t="n">
        <f aca="false">AF120-AF248</f>
        <v>161.48953226623</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0.000211869223890873</v>
      </c>
      <c r="D252" s="1" t="n">
        <f aca="false">IF(D120&gt;0,D248/D120,0)</f>
        <v>0.00303642195763167</v>
      </c>
      <c r="E252" s="1" t="n">
        <f aca="false">IF(E120&gt;0,E248/E120,0)</f>
        <v>0.00549454153157277</v>
      </c>
      <c r="F252" s="1" t="n">
        <f aca="false">IF(F120&gt;0,F248/F120,0)</f>
        <v>0.00930087287985203</v>
      </c>
      <c r="G252" s="1" t="n">
        <f aca="false">IF(G120&gt;0,G248/G120,0)</f>
        <v>0.0125897740995035</v>
      </c>
      <c r="H252" s="1" t="n">
        <f aca="false">IF(H120&gt;0,H248/H120,0)</f>
        <v>0.0161201236015011</v>
      </c>
      <c r="I252" s="1" t="n">
        <f aca="false">IF(I120&gt;0,I248/I120,0)</f>
        <v>0.0202406548361703</v>
      </c>
      <c r="J252" s="1" t="n">
        <f aca="false">IF(J120&gt;0,J248/J120,0)</f>
        <v>0.0249604098008194</v>
      </c>
      <c r="K252" s="1" t="n">
        <f aca="false">IF(K120&gt;0,K248/K120,0)</f>
        <v>0.02979353010106</v>
      </c>
      <c r="L252" s="1" t="n">
        <f aca="false">IF(L120&gt;0,L248/L120,0)</f>
        <v>0.0355311659985382</v>
      </c>
      <c r="M252" s="1" t="n">
        <f aca="false">IF(M120&gt;0,M248/M120,0)</f>
        <v>0.0463091243861454</v>
      </c>
      <c r="N252" s="1" t="n">
        <f aca="false">IF(N120&gt;0,N248/N120,0)</f>
        <v>0.0576643330728209</v>
      </c>
      <c r="O252" s="1" t="n">
        <f aca="false">IF(O120&gt;0,O248/O120,0)</f>
        <v>0.0690053889739203</v>
      </c>
      <c r="P252" s="1" t="n">
        <f aca="false">IF(P120&gt;0,P248/P120,0)</f>
        <v>0.0807777882863033</v>
      </c>
      <c r="Q252" s="1" t="n">
        <f aca="false">IF(Q120&gt;0,Q248/Q120,0)</f>
        <v>0.0924670871932463</v>
      </c>
      <c r="R252" s="1" t="n">
        <f aca="false">IF(R120&gt;0,R248/R120,0)</f>
        <v>0.103632950619851</v>
      </c>
      <c r="S252" s="1" t="n">
        <f aca="false">IF(S120&gt;0,S248/S120,0)</f>
        <v>0.114084027234856</v>
      </c>
      <c r="T252" s="1" t="n">
        <f aca="false">IF(T120&gt;0,T248/T120,0)</f>
        <v>0.12368843046539</v>
      </c>
      <c r="U252" s="1" t="n">
        <f aca="false">IF(U120&gt;0,U248/U120,0)</f>
        <v>0.132426027273556</v>
      </c>
      <c r="V252" s="1" t="n">
        <f aca="false">IF(V120&gt;0,V248/V120,0)</f>
        <v>0.140360885468888</v>
      </c>
      <c r="W252" s="1" t="n">
        <f aca="false">IF(W120&gt;0,W248/W120,0)</f>
        <v>0.147549567765976</v>
      </c>
      <c r="X252" s="1" t="n">
        <f aca="false">IF(X120&gt;0,X248/X120,0)</f>
        <v>0.15404696677871</v>
      </c>
      <c r="Y252" s="1" t="n">
        <f aca="false">IF(Y120&gt;0,Y248/Y120,0)</f>
        <v>0.159903307524684</v>
      </c>
      <c r="Z252" s="1" t="n">
        <f aca="false">IF(Z120&gt;0,Z248/Z120,0)</f>
        <v>0.165164787789062</v>
      </c>
      <c r="AA252" s="1" t="n">
        <f aca="false">IF(AA120&gt;0,AA248/AA120,0)</f>
        <v>0.169873779039907</v>
      </c>
      <c r="AB252" s="1" t="n">
        <f aca="false">IF(AB120&gt;0,AB248/AB120,0)</f>
        <v>0.174069267737717</v>
      </c>
      <c r="AC252" s="1" t="n">
        <f aca="false">IF(AC120&gt;0,AC248/AC120,0)</f>
        <v>0.177787134661762</v>
      </c>
      <c r="AD252" s="1" t="n">
        <f aca="false">IF(AD120&gt;0,AD248/AD120,0)</f>
        <v>0.181060466145668</v>
      </c>
      <c r="AE252" s="1" t="n">
        <f aca="false">IF(AE120&gt;0,AE248/AE120,0)</f>
        <v>0.183919823807761</v>
      </c>
      <c r="AF252" s="1" t="n">
        <f aca="false">IF(AF120&gt;0,AF248/AF120,0)</f>
        <v>0.186393487153211</v>
      </c>
    </row>
    <row r="253" customFormat="false" ht="14.25" hidden="false" customHeight="true" outlineLevel="0" collapsed="false">
      <c r="B253" s="1" t="s">
        <v>1249</v>
      </c>
    </row>
    <row r="254" customFormat="false" ht="14.25" hidden="false" customHeight="true" outlineLevel="0" collapsed="false">
      <c r="B254" s="1" t="s">
        <v>1250</v>
      </c>
      <c r="C254" s="116" t="n">
        <f aca="false">C112</f>
        <v>0.0118267027723829</v>
      </c>
      <c r="D254" s="116" t="n">
        <f aca="false">D112</f>
        <v>0.0312705719819142</v>
      </c>
      <c r="E254" s="116" t="n">
        <f aca="false">E112</f>
        <v>0.0577690782999876</v>
      </c>
      <c r="F254" s="116" t="n">
        <f aca="false">F112</f>
        <v>0.118670760583077</v>
      </c>
      <c r="G254" s="116" t="n">
        <f aca="false">G112</f>
        <v>0.178971785415919</v>
      </c>
      <c r="H254" s="116" t="n">
        <f aca="false">H112</f>
        <v>0.228870670106668</v>
      </c>
      <c r="I254" s="116" t="n">
        <f aca="false">I112</f>
        <v>0.272576583425164</v>
      </c>
      <c r="J254" s="116" t="n">
        <f aca="false">J112</f>
        <v>0.310933167054042</v>
      </c>
      <c r="K254" s="116" t="n">
        <f aca="false">K112</f>
        <v>0.32379525526525</v>
      </c>
      <c r="L254" s="116" t="n">
        <f aca="false">L112</f>
        <v>0.336700577419338</v>
      </c>
      <c r="M254" s="116" t="n">
        <f aca="false">M112</f>
        <v>0.350737850701345</v>
      </c>
      <c r="N254" s="116" t="n">
        <f aca="false">N112</f>
        <v>0.3656856906978</v>
      </c>
      <c r="O254" s="116" t="n">
        <f aca="false">O112</f>
        <v>0.380436367341588</v>
      </c>
      <c r="P254" s="116" t="n">
        <f aca="false">P112</f>
        <v>0.394184211398846</v>
      </c>
      <c r="Q254" s="116" t="n">
        <f aca="false">Q112</f>
        <v>0.406890271670918</v>
      </c>
      <c r="R254" s="116" t="n">
        <f aca="false">R112</f>
        <v>0.418744201014297</v>
      </c>
      <c r="S254" s="116" t="n">
        <f aca="false">S112</f>
        <v>0.429920894692744</v>
      </c>
      <c r="T254" s="116" t="n">
        <f aca="false">T112</f>
        <v>0.440586140616856</v>
      </c>
      <c r="U254" s="116" t="n">
        <f aca="false">U112</f>
        <v>0.451269413129384</v>
      </c>
      <c r="V254" s="116" t="n">
        <f aca="false">V112</f>
        <v>0.461987864566834</v>
      </c>
      <c r="W254" s="116" t="n">
        <f aca="false">W112</f>
        <v>0.472619372727127</v>
      </c>
      <c r="X254" s="116" t="n">
        <f aca="false">X112</f>
        <v>0.483181301156689</v>
      </c>
      <c r="Y254" s="116" t="n">
        <f aca="false">Y112</f>
        <v>0.493691059547701</v>
      </c>
      <c r="Z254" s="116" t="n">
        <f aca="false">Z112</f>
        <v>0.50416612059478</v>
      </c>
      <c r="AA254" s="116" t="n">
        <f aca="false">AA112</f>
        <v>0.514624048204328</v>
      </c>
      <c r="AB254" s="116" t="n">
        <f aca="false">AB112</f>
        <v>0.52508555642078</v>
      </c>
      <c r="AC254" s="116" t="n">
        <f aca="false">AC112</f>
        <v>0.535571451885103</v>
      </c>
      <c r="AD254" s="116" t="n">
        <f aca="false">AD112</f>
        <v>0.546102663228108</v>
      </c>
      <c r="AE254" s="116" t="n">
        <f aca="false">AE112</f>
        <v>0.556700270770699</v>
      </c>
      <c r="AF254" s="116" t="n">
        <f aca="false">AF112</f>
        <v>0.567385535438893</v>
      </c>
    </row>
    <row r="255" customFormat="false" ht="14.25" hidden="false" customHeight="true" outlineLevel="0" collapsed="false">
      <c r="B255" s="1" t="s">
        <v>1251</v>
      </c>
      <c r="C255" s="1" t="n">
        <f aca="false">MIN(C235,C254)</f>
        <v>0.00184457238860399</v>
      </c>
      <c r="D255" s="1" t="n">
        <f aca="false">MIN(D235,D254)</f>
        <v>0.00654229250523607</v>
      </c>
      <c r="E255" s="1" t="n">
        <f aca="false">MIN(E235,E254)</f>
        <v>0.0148680271225033</v>
      </c>
      <c r="F255" s="1" t="n">
        <f aca="false">MIN(F235,F254)</f>
        <v>0.0307053151176349</v>
      </c>
      <c r="G255" s="1" t="n">
        <f aca="false">MIN(G235,G254)</f>
        <v>0.0535697137661963</v>
      </c>
      <c r="H255" s="1" t="n">
        <f aca="false">MIN(H235,H254)</f>
        <v>0.0811634511270276</v>
      </c>
      <c r="I255" s="1" t="n">
        <f aca="false">MIN(I235,I254)</f>
        <v>0.112053980513675</v>
      </c>
      <c r="J255" s="1" t="n">
        <f aca="false">MIN(J235,J254)</f>
        <v>0.145069806996932</v>
      </c>
      <c r="K255" s="1" t="n">
        <f aca="false">MIN(K235,K254)</f>
        <v>0.175956343288611</v>
      </c>
      <c r="L255" s="1" t="n">
        <f aca="false">MIN(L235,L254)</f>
        <v>0.20485091373291</v>
      </c>
      <c r="M255" s="1" t="n">
        <f aca="false">MIN(M235,M254)</f>
        <v>0.230037413824435</v>
      </c>
      <c r="N255" s="1" t="n">
        <f aca="false">MIN(N235,N254)</f>
        <v>0.250627450825859</v>
      </c>
      <c r="O255" s="1" t="n">
        <f aca="false">MIN(O235,O254)</f>
        <v>0.265958589628317</v>
      </c>
      <c r="P255" s="1" t="n">
        <f aca="false">MIN(P235,P254)</f>
        <v>0.272252471961347</v>
      </c>
      <c r="Q255" s="1" t="n">
        <f aca="false">MIN(Q235,Q254)</f>
        <v>0.270091937741706</v>
      </c>
      <c r="R255" s="1" t="n">
        <f aca="false">MIN(R235,R254)</f>
        <v>0.261866810171276</v>
      </c>
      <c r="S255" s="1" t="n">
        <f aca="false">MIN(S235,S254)</f>
        <v>0.249095750533902</v>
      </c>
      <c r="T255" s="1" t="n">
        <f aca="false">MIN(T235,T254)</f>
        <v>0.233030814566158</v>
      </c>
      <c r="U255" s="1" t="n">
        <f aca="false">MIN(U235,U254)</f>
        <v>0.218001954754249</v>
      </c>
      <c r="V255" s="1" t="n">
        <f aca="false">MIN(V235,V254)</f>
        <v>0.203942351423147</v>
      </c>
      <c r="W255" s="1" t="n">
        <f aca="false">MIN(W235,W254)</f>
        <v>0.190789494300126</v>
      </c>
      <c r="X255" s="1" t="n">
        <f aca="false">MIN(X235,X254)</f>
        <v>0.178484904588418</v>
      </c>
      <c r="Y255" s="1" t="n">
        <f aca="false">MIN(Y235,Y254)</f>
        <v>0.166973874965167</v>
      </c>
      <c r="Z255" s="1" t="n">
        <f aca="false">MIN(Z235,Z254)</f>
        <v>0.15620522634771</v>
      </c>
      <c r="AA255" s="1" t="n">
        <f aca="false">MIN(AA235,AA254)</f>
        <v>0.146131080346727</v>
      </c>
      <c r="AB255" s="1" t="n">
        <f aca="false">MIN(AB235,AB254)</f>
        <v>0.13670664639458</v>
      </c>
      <c r="AC255" s="1" t="n">
        <f aca="false">MIN(AC235,AC254)</f>
        <v>0.127890022602377</v>
      </c>
      <c r="AD255" s="1" t="n">
        <f aca="false">MIN(AD235,AD254)</f>
        <v>0.119642009460375</v>
      </c>
      <c r="AE255" s="1" t="n">
        <f aca="false">MIN(AE235,AE254)</f>
        <v>0.1119259355534</v>
      </c>
      <c r="AF255" s="1" t="n">
        <f aca="false">MIN(AF235,AF254)</f>
        <v>0.104707494516404</v>
      </c>
    </row>
    <row r="256" customFormat="false" ht="14.25" hidden="false" customHeight="true" outlineLevel="0" collapsed="false">
      <c r="B256" s="1" t="s">
        <v>1252</v>
      </c>
      <c r="C256" s="1" t="n">
        <f aca="false">MIN(C254-C255,MAX(0,C107-C108+C109+C110+C184-C229-C235))</f>
        <v>0.00998213038377887</v>
      </c>
      <c r="D256" s="1" t="n">
        <f aca="false">MIN(D254-D255,MAX(0,D107-D108+D109+D110+D184-D229-D235))</f>
        <v>0.0247282794766781</v>
      </c>
      <c r="E256" s="1" t="n">
        <f aca="false">MIN(E254-E255,MAX(0,E107-E108+E109+E110+E184-E229-E235))</f>
        <v>0.0429010511774842</v>
      </c>
      <c r="F256" s="1" t="n">
        <f aca="false">MIN(F254-F255,MAX(0,F107-F108+F109+F110+F184-F229-F235))</f>
        <v>0.0879654454654421</v>
      </c>
      <c r="G256" s="1" t="n">
        <f aca="false">MIN(G254-G255,MAX(0,G107-G108+G109+G110+G184-G229-G235))</f>
        <v>0.125402071649723</v>
      </c>
      <c r="H256" s="1" t="n">
        <f aca="false">MIN(H254-H255,MAX(0,H107-H108+H109+H110+H184-H229-H235))</f>
        <v>0.147707218979641</v>
      </c>
      <c r="I256" s="1" t="n">
        <f aca="false">MIN(I254-I255,MAX(0,I107-I108+I109+I110+I184-I229-I235))</f>
        <v>0.160522602911489</v>
      </c>
      <c r="J256" s="1" t="n">
        <f aca="false">MIN(J254-J255,MAX(0,J107-J108+J109+J110+J184-J229-J235))</f>
        <v>0.165863360057109</v>
      </c>
      <c r="K256" s="1" t="n">
        <f aca="false">MIN(K254-K255,MAX(0,K107-K108+K109+K110+K184-K229-K235))</f>
        <v>0.147838911976639</v>
      </c>
      <c r="L256" s="1" t="n">
        <f aca="false">MIN(L254-L255,MAX(0,L107-L108+L109+L110+L184-L229-L235))</f>
        <v>0.131849663686428</v>
      </c>
      <c r="M256" s="1" t="n">
        <f aca="false">MIN(M254-M255,MAX(0,M107-M108+M109+M110+M184-M229-M235))</f>
        <v>0.120700436876911</v>
      </c>
      <c r="N256" s="1" t="n">
        <f aca="false">MIN(N254-N255,MAX(0,N107-N108+N109+N110+N184-N229-N235))</f>
        <v>0.115058239871941</v>
      </c>
      <c r="O256" s="1" t="n">
        <f aca="false">MIN(O254-O255,MAX(0,O107-O108+O109+O110+O184-O229-O235))</f>
        <v>0.114477777713271</v>
      </c>
      <c r="P256" s="1" t="n">
        <f aca="false">MIN(P254-P255,MAX(0,P107-P108+P109+P110+P184-P229-P235))</f>
        <v>0.121931739437499</v>
      </c>
      <c r="Q256" s="1" t="n">
        <f aca="false">MIN(Q254-Q255,MAX(0,Q107-Q108+Q109+Q110+Q184-Q229-Q235))</f>
        <v>0.136798333929212</v>
      </c>
      <c r="R256" s="1" t="n">
        <f aca="false">MIN(R254-R255,MAX(0,R107-R108+R109+R110+R184-R229-R235))</f>
        <v>0.156877390843021</v>
      </c>
      <c r="S256" s="1" t="n">
        <f aca="false">MIN(S254-S255,MAX(0,S107-S108+S109+S110+S184-S229-S235))</f>
        <v>0.180825144158842</v>
      </c>
      <c r="T256" s="1" t="n">
        <f aca="false">MIN(T254-T255,MAX(0,T107-T108+T109+T110+T184-T229-T235))</f>
        <v>0.207555326050697</v>
      </c>
      <c r="U256" s="1" t="n">
        <f aca="false">MIN(U254-U255,MAX(0,U107-U108+U109+U110+U184-U229-U235))</f>
        <v>0.233267458375135</v>
      </c>
      <c r="V256" s="1" t="n">
        <f aca="false">MIN(V254-V255,MAX(0,V107-V108+V109+V110+V184-V229-V235))</f>
        <v>0.258045513143687</v>
      </c>
      <c r="W256" s="1" t="n">
        <f aca="false">MIN(W254-W255,MAX(0,W107-W108+W109+W110+W184-W229-W235))</f>
        <v>0.281829878427001</v>
      </c>
      <c r="X256" s="1" t="n">
        <f aca="false">MIN(X254-X255,MAX(0,X107-X108+X109+X110+X184-X229-X235))</f>
        <v>0.30469639656827</v>
      </c>
      <c r="Y256" s="1" t="n">
        <f aca="false">MIN(Y254-Y255,MAX(0,Y107-Y108+Y109+Y110+Y184-Y229-Y235))</f>
        <v>0.326717184582534</v>
      </c>
      <c r="Z256" s="1" t="n">
        <f aca="false">MIN(Z254-Z255,MAX(0,Z107-Z108+Z109+Z110+Z184-Z229-Z235))</f>
        <v>0.34796089424707</v>
      </c>
      <c r="AA256" s="1" t="n">
        <f aca="false">MIN(AA254-AA255,MAX(0,AA107-AA108+AA109+AA110+AA184-AA229-AA235))</f>
        <v>0.3684929678576</v>
      </c>
      <c r="AB256" s="1" t="n">
        <f aca="false">MIN(AB254-AB255,MAX(0,AB107-AB108+AB109+AB110+AB184-AB229-AB235))</f>
        <v>0.3883789100262</v>
      </c>
      <c r="AC256" s="1" t="n">
        <f aca="false">MIN(AC254-AC255,MAX(0,AC107-AC108+AC109+AC110+AC184-AC229-AC235))</f>
        <v>0.407681429282726</v>
      </c>
      <c r="AD256" s="1" t="n">
        <f aca="false">MIN(AD254-AD255,MAX(0,AD107-AD108+AD109+AD110+AD184-AD229-AD235))</f>
        <v>0.426460653767733</v>
      </c>
      <c r="AE256" s="1" t="n">
        <f aca="false">MIN(AE254-AE255,MAX(0,AE107-AE108+AE109+AE110+AE184-AE229-AE235))</f>
        <v>0.444774335217299</v>
      </c>
      <c r="AF256" s="1" t="n">
        <f aca="false">MIN(AF254-AF255,MAX(0,AF107-AF108+AF109+AF110+AF184-AF229-AF235))</f>
        <v>0.462678040922488</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11.1524547186432</v>
      </c>
      <c r="D261" s="1" t="n">
        <f aca="false">(D83-D326)+D181</f>
        <v>29.8374659994949</v>
      </c>
      <c r="E261" s="1" t="n">
        <f aca="false">(E83-E326)+E181</f>
        <v>54.2843851251349</v>
      </c>
      <c r="F261" s="1" t="n">
        <f aca="false">(F83-F326)+F181</f>
        <v>77.2105613266551</v>
      </c>
      <c r="G261" s="1" t="n">
        <f aca="false">(G83-G326)+G181</f>
        <v>100.650551950204</v>
      </c>
      <c r="H261" s="1" t="n">
        <f aca="false">(H83-H326)+H181</f>
        <v>115.810481569389</v>
      </c>
      <c r="I261" s="1" t="n">
        <f aca="false">(I83-I326)+I181</f>
        <v>131.300780009557</v>
      </c>
      <c r="J261" s="1" t="n">
        <f aca="false">(J83-J326)+J181</f>
        <v>147.150220092028</v>
      </c>
      <c r="K261" s="1" t="n">
        <f aca="false">(K83-K326)+K181</f>
        <v>163.065463399121</v>
      </c>
      <c r="L261" s="1" t="n">
        <f aca="false">(L83-L326)+L181</f>
        <v>179.5378550441</v>
      </c>
      <c r="M261" s="1" t="n">
        <f aca="false">(M83-M326)+M181</f>
        <v>195.367413863722</v>
      </c>
      <c r="N261" s="1" t="n">
        <f aca="false">(N83-N326)+N181</f>
        <v>206.305093945176</v>
      </c>
      <c r="O261" s="1" t="n">
        <f aca="false">(O83-O326)+O181</f>
        <v>212.396978887353</v>
      </c>
      <c r="P261" s="1" t="n">
        <f aca="false">(P83-P326)+P181</f>
        <v>217.657876729913</v>
      </c>
      <c r="Q261" s="1" t="n">
        <f aca="false">(Q83-Q326)+Q181</f>
        <v>222.660724171441</v>
      </c>
      <c r="R261" s="1" t="n">
        <f aca="false">(R83-R326)+R181</f>
        <v>227.777295600699</v>
      </c>
      <c r="S261" s="1" t="n">
        <f aca="false">(S83-S326)+S181</f>
        <v>233.011069802762</v>
      </c>
      <c r="T261" s="1" t="n">
        <f aca="false">(T83-T326)+T181</f>
        <v>238.365036929381</v>
      </c>
      <c r="U261" s="1" t="n">
        <f aca="false">(U83-U326)+U181</f>
        <v>243.845484332918</v>
      </c>
      <c r="V261" s="1" t="n">
        <f aca="false">(V83-V326)+V181</f>
        <v>249.45285267566</v>
      </c>
      <c r="W261" s="1" t="n">
        <f aca="false">(W83-W326)+W181</f>
        <v>255.187669382421</v>
      </c>
      <c r="X261" s="1" t="n">
        <f aca="false">(X83-X326)+X181</f>
        <v>261.053493678634</v>
      </c>
      <c r="Y261" s="1" t="n">
        <f aca="false">(Y83-Y326)+Y181</f>
        <v>267.053710561545</v>
      </c>
      <c r="Z261" s="1" t="n">
        <f aca="false">(Z83-Z326)+Z181</f>
        <v>273.191451586121</v>
      </c>
      <c r="AA261" s="1" t="n">
        <f aca="false">(AA83-AA326)+AA181</f>
        <v>279.469919816571</v>
      </c>
      <c r="AB261" s="1" t="n">
        <f aca="false">(AB83-AB326)+AB181</f>
        <v>285.892417920394</v>
      </c>
      <c r="AC261" s="1" t="n">
        <f aca="false">(AC83-AC326)+AC181</f>
        <v>292.462310776834</v>
      </c>
      <c r="AD261" s="1" t="n">
        <f aca="false">(AD83-AD326)+AD181</f>
        <v>299.183032746183</v>
      </c>
      <c r="AE261" s="1" t="n">
        <f aca="false">(AE83-AE326)+AE181</f>
        <v>306.058096645657</v>
      </c>
      <c r="AF261" s="1" t="n">
        <f aca="false">(AF83-AF326)+AF181</f>
        <v>313.091095602917</v>
      </c>
    </row>
    <row r="262" customFormat="false" ht="14.25" hidden="false" customHeight="true" outlineLevel="0" collapsed="false">
      <c r="B262" s="1" t="s">
        <v>1257</v>
      </c>
      <c r="C262" s="1" t="n">
        <f aca="false">$C$260*C261</f>
        <v>0.557622735932159</v>
      </c>
      <c r="D262" s="1" t="n">
        <f aca="false">$C$260*D261</f>
        <v>1.49187329997475</v>
      </c>
      <c r="E262" s="1" t="n">
        <f aca="false">$C$260*E261</f>
        <v>2.71421925625675</v>
      </c>
      <c r="F262" s="1" t="n">
        <f aca="false">$C$260*F261</f>
        <v>3.86052806633276</v>
      </c>
      <c r="G262" s="1" t="n">
        <f aca="false">$C$260*G261</f>
        <v>5.03252759751021</v>
      </c>
      <c r="H262" s="1" t="n">
        <f aca="false">$C$260*H261</f>
        <v>5.79052407846943</v>
      </c>
      <c r="I262" s="1" t="n">
        <f aca="false">$C$260*I261</f>
        <v>6.56503900047785</v>
      </c>
      <c r="J262" s="1" t="n">
        <f aca="false">$C$260*J261</f>
        <v>7.35751100460141</v>
      </c>
      <c r="K262" s="1" t="n">
        <f aca="false">$C$260*K261</f>
        <v>8.15327316995605</v>
      </c>
      <c r="L262" s="1" t="n">
        <f aca="false">$C$260*L261</f>
        <v>8.97689275220499</v>
      </c>
      <c r="M262" s="1" t="n">
        <f aca="false">$C$260*M261</f>
        <v>9.76837069318611</v>
      </c>
      <c r="N262" s="1" t="n">
        <f aca="false">$C$260*N261</f>
        <v>10.3152546972588</v>
      </c>
      <c r="O262" s="1" t="n">
        <f aca="false">$C$260*O261</f>
        <v>10.6198489443677</v>
      </c>
      <c r="P262" s="1" t="n">
        <f aca="false">$C$260*P261</f>
        <v>10.8828938364956</v>
      </c>
      <c r="Q262" s="1" t="n">
        <f aca="false">$C$260*Q261</f>
        <v>11.133036208572</v>
      </c>
      <c r="R262" s="1" t="n">
        <f aca="false">$C$260*R261</f>
        <v>11.3888647800349</v>
      </c>
      <c r="S262" s="1" t="n">
        <f aca="false">$C$260*S261</f>
        <v>11.6505534901381</v>
      </c>
      <c r="T262" s="1" t="n">
        <f aca="false">$C$260*T261</f>
        <v>11.918251846469</v>
      </c>
      <c r="U262" s="1" t="n">
        <f aca="false">$C$260*U261</f>
        <v>12.1922742166459</v>
      </c>
      <c r="V262" s="1" t="n">
        <f aca="false">$C$260*V261</f>
        <v>12.472642633783</v>
      </c>
      <c r="W262" s="1" t="n">
        <f aca="false">$C$260*W261</f>
        <v>12.759383469121</v>
      </c>
      <c r="X262" s="1" t="n">
        <f aca="false">$C$260*X261</f>
        <v>13.0526746839317</v>
      </c>
      <c r="Y262" s="1" t="n">
        <f aca="false">$C$260*Y261</f>
        <v>13.3526855280772</v>
      </c>
      <c r="Z262" s="1" t="n">
        <f aca="false">$C$260*Z261</f>
        <v>13.659572579306</v>
      </c>
      <c r="AA262" s="1" t="n">
        <f aca="false">$C$260*AA261</f>
        <v>13.9734959908286</v>
      </c>
      <c r="AB262" s="1" t="n">
        <f aca="false">$C$260*AB261</f>
        <v>14.2946208960197</v>
      </c>
      <c r="AC262" s="1" t="n">
        <f aca="false">$C$260*AC261</f>
        <v>14.6231155388417</v>
      </c>
      <c r="AD262" s="1" t="n">
        <f aca="false">$C$260*AD261</f>
        <v>14.9591516373091</v>
      </c>
      <c r="AE262" s="1" t="n">
        <f aca="false">$C$260*AE261</f>
        <v>15.3029048322828</v>
      </c>
      <c r="AF262" s="1" t="n">
        <f aca="false">$C$260*AF261</f>
        <v>15.6545547801458</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0.240918541108355</v>
      </c>
      <c r="F263" s="1" t="n">
        <f aca="false">MAX(0,(F70+E121-E227)*0.25/0.55)</f>
        <v>7.95902996487178</v>
      </c>
      <c r="G263" s="1" t="n">
        <f aca="false">MAX(0,(G70+F121-F227)*0.25/0.55)</f>
        <v>15.4057947111058</v>
      </c>
      <c r="H263" s="1" t="n">
        <f aca="false">MAX(0,(H70+G121-G227)*0.25/0.55)</f>
        <v>22.8681924593667</v>
      </c>
      <c r="I263" s="1" t="n">
        <f aca="false">MAX(0,(I70+H121-H227)*0.25/0.55)</f>
        <v>30.3464876413146</v>
      </c>
      <c r="J263" s="1" t="n">
        <f aca="false">MAX(0,(J70+I121-I227)*0.25/0.55)</f>
        <v>37.8409497118475</v>
      </c>
      <c r="K263" s="1" t="n">
        <f aca="false">MAX(0,(K70+J121-J227)*0.25/0.55)</f>
        <v>41.1547301487822</v>
      </c>
      <c r="L263" s="1" t="n">
        <f aca="false">MAX(0,(L70+K121-K227)*0.25/0.55)</f>
        <v>44.4835376799398</v>
      </c>
      <c r="M263" s="1" t="n">
        <f aca="false">MAX(0,(M70+L121-L227)*0.25/0.55)</f>
        <v>46.5785522392547</v>
      </c>
      <c r="N263" s="1" t="n">
        <f aca="false">MAX(0,(N70+M121-M227)*0.25/0.55)</f>
        <v>49.3119205062985</v>
      </c>
      <c r="O263" s="1" t="n">
        <f aca="false">MAX(0,(O70+N121-N227)*0.25/0.55)</f>
        <v>52.2726310649525</v>
      </c>
      <c r="P263" s="1" t="n">
        <f aca="false">MAX(0,(P70+O121-O227)*0.25/0.55)</f>
        <v>55.3486636668324</v>
      </c>
      <c r="Q263" s="1" t="n">
        <f aca="false">MAX(0,(Q70+P121-P227)*0.25/0.55)</f>
        <v>58.5228995734125</v>
      </c>
      <c r="R263" s="1" t="n">
        <f aca="false">MAX(0,(R70+Q121-Q227)*0.25/0.55)</f>
        <v>61.7472800309495</v>
      </c>
      <c r="S263" s="1" t="n">
        <f aca="false">MAX(0,(S70+R121-R227)*0.25/0.55)</f>
        <v>64.9944686419439</v>
      </c>
      <c r="T263" s="1" t="n">
        <f aca="false">MAX(0,(T70+S121-S227)*0.25/0.55)</f>
        <v>68.2491157762419</v>
      </c>
      <c r="U263" s="1" t="n">
        <f aca="false">MAX(0,(U70+T121-T227)*0.25/0.55)</f>
        <v>71.5010813602936</v>
      </c>
      <c r="V263" s="1" t="n">
        <f aca="false">MAX(0,(V70+U121-U227)*0.25/0.55)</f>
        <v>74.7593410542582</v>
      </c>
      <c r="W263" s="1" t="n">
        <f aca="false">MAX(0,(W70+V121-V227)*0.25/0.55)</f>
        <v>78.0326416685167</v>
      </c>
      <c r="X263" s="1" t="n">
        <f aca="false">MAX(0,(X70+W121-W227)*0.25/0.55)</f>
        <v>81.3297086564727</v>
      </c>
      <c r="Y263" s="1" t="n">
        <f aca="false">MAX(0,(Y70+X121-X227)*0.25/0.55)</f>
        <v>84.6592435745866</v>
      </c>
      <c r="Z263" s="1" t="n">
        <f aca="false">MAX(0,(Z70+Y121-Y227)*0.25/0.55)</f>
        <v>88.0299313013277</v>
      </c>
      <c r="AA263" s="1" t="n">
        <f aca="false">MAX(0,(AA70+Z121-Z227)*0.25/0.55)</f>
        <v>91.4504523870997</v>
      </c>
      <c r="AB263" s="1" t="n">
        <f aca="false">MAX(0,(AB70+AA121-AA227)*0.25/0.55)</f>
        <v>94.929493323403</v>
      </c>
      <c r="AC263" s="1" t="n">
        <f aca="false">MAX(0,(AC70+AB121-AB227)*0.25/0.55)</f>
        <v>98.4757595578585</v>
      </c>
      <c r="AD263" s="1" t="n">
        <f aca="false">MAX(0,(AD70+AC121-AC227)*0.25/0.55)</f>
        <v>102.097988831042</v>
      </c>
      <c r="AE263" s="1" t="n">
        <f aca="false">MAX(0,(AE70+AD121-AD227)*0.25/0.55)</f>
        <v>105.804964636586</v>
      </c>
      <c r="AF263" s="1" t="n">
        <f aca="false">MAX(0,(AF70+AE121-AE227)*0.25/0.55)</f>
        <v>109.605529308831</v>
      </c>
    </row>
    <row r="264" customFormat="false" ht="14.25" hidden="false" customHeight="true" outlineLevel="0" collapsed="false">
      <c r="B264" s="1" t="s">
        <v>1259</v>
      </c>
      <c r="C264" s="1" t="n">
        <f aca="false">MAX(0,C262-C263)</f>
        <v>0.521259099568523</v>
      </c>
      <c r="D264" s="1" t="n">
        <f aca="false">MAX(0,D262-D263)</f>
        <v>1.41786239088384</v>
      </c>
      <c r="E264" s="1" t="n">
        <f aca="false">MAX(0,E262-E263)</f>
        <v>2.47330071514839</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0.0130314774892131</v>
      </c>
      <c r="D265" s="1" t="n">
        <f aca="false">D264*MAX(0,$C$10-01_Supuestos!$I$134)</f>
        <v>0.0354465597720959</v>
      </c>
      <c r="E265" s="1" t="n">
        <f aca="false">E264*MAX(0,$C$10-01_Supuestos!$I$134)</f>
        <v>0.0618325178787098</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15.3346252381344</v>
      </c>
      <c r="D266" s="1" t="n">
        <f aca="false">IF(D263&gt;0,D262/D263,0)</f>
        <v>20.1574783812242</v>
      </c>
      <c r="E266" s="1" t="n">
        <f aca="false">IF(E263&gt;0,E262/E263,0)</f>
        <v>11.2661285585156</v>
      </c>
      <c r="F266" s="1" t="n">
        <f aca="false">IF(F263&gt;0,F262/F263,0)</f>
        <v>0.485050073108369</v>
      </c>
      <c r="G266" s="1" t="n">
        <f aca="false">IF(G263&gt;0,G262/G263,0)</f>
        <v>0.32666458899925</v>
      </c>
      <c r="H266" s="1" t="n">
        <f aca="false">IF(H263&gt;0,H262/H263,0)</f>
        <v>0.253213020170191</v>
      </c>
      <c r="I266" s="1" t="n">
        <f aca="false">IF(I263&gt;0,I262/I263,0)</f>
        <v>0.216336041194435</v>
      </c>
      <c r="J266" s="1" t="n">
        <f aca="false">IF(J263&gt;0,J262/J263,0)</f>
        <v>0.194432514527982</v>
      </c>
      <c r="K266" s="1" t="n">
        <f aca="false">IF(K263&gt;0,K262/K263,0)</f>
        <v>0.198112662638788</v>
      </c>
      <c r="L266" s="1" t="n">
        <f aca="false">IF(L263&gt;0,L262/L263,0)</f>
        <v>0.201802581817884</v>
      </c>
      <c r="M266" s="1" t="n">
        <f aca="false">IF(M263&gt;0,M262/M263,0)</f>
        <v>0.209718212000451</v>
      </c>
      <c r="N266" s="1" t="n">
        <f aca="false">IF(N263&gt;0,N262/N263,0)</f>
        <v>0.209183795547797</v>
      </c>
      <c r="O266" s="1" t="n">
        <f aca="false">IF(O263&gt;0,O262/O263,0)</f>
        <v>0.203162701551635</v>
      </c>
      <c r="P266" s="1" t="n">
        <f aca="false">IF(P263&gt;0,P262/P263,0)</f>
        <v>0.196624328674031</v>
      </c>
      <c r="Q266" s="1" t="n">
        <f aca="false">IF(Q263&gt;0,Q262/Q263,0)</f>
        <v>0.19023384503713</v>
      </c>
      <c r="R266" s="1" t="n">
        <f aca="false">IF(R263&gt;0,R262/R263,0)</f>
        <v>0.184443181534904</v>
      </c>
      <c r="S266" s="1" t="n">
        <f aca="false">IF(S263&gt;0,S262/S263,0)</f>
        <v>0.179254538633453</v>
      </c>
      <c r="T266" s="1" t="n">
        <f aca="false">IF(T263&gt;0,T262/T263,0)</f>
        <v>0.174628663110356</v>
      </c>
      <c r="U266" s="1" t="n">
        <f aca="false">IF(U263&gt;0,U262/U263,0)</f>
        <v>0.170518738803531</v>
      </c>
      <c r="V266" s="1" t="n">
        <f aca="false">IF(V263&gt;0,V262/V263,0)</f>
        <v>0.166837246796099</v>
      </c>
      <c r="W266" s="1" t="n">
        <f aca="false">IF(W263&gt;0,W262/W263,0)</f>
        <v>0.1635134117761</v>
      </c>
      <c r="X266" s="1" t="n">
        <f aca="false">IF(X263&gt;0,X262/X263,0)</f>
        <v>0.160490857517573</v>
      </c>
      <c r="Y266" s="1" t="n">
        <f aca="false">IF(Y263&gt;0,Y262/Y263,0)</f>
        <v>0.157722712420803</v>
      </c>
      <c r="Z266" s="1" t="n">
        <f aca="false">IF(Z263&gt;0,Z262/Z263,0)</f>
        <v>0.155169638069455</v>
      </c>
      <c r="AA266" s="1" t="n">
        <f aca="false">IF(AA263&gt;0,AA262/AA263,0)</f>
        <v>0.152798544196154</v>
      </c>
      <c r="AB266" s="1" t="n">
        <f aca="false">IF(AB263&gt;0,AB262/AB263,0)</f>
        <v>0.150581451512874</v>
      </c>
      <c r="AC266" s="1" t="n">
        <f aca="false">IF(AC263&gt;0,AC262/AC263,0)</f>
        <v>0.148494569673769</v>
      </c>
      <c r="AD266" s="1" t="n">
        <f aca="false">IF(AD263&gt;0,AD262/AD263,0)</f>
        <v>0.146517593623362</v>
      </c>
      <c r="AE266" s="1" t="n">
        <f aca="false">IF(AE263&gt;0,AE262/AE263,0)</f>
        <v>0.144633145380697</v>
      </c>
      <c r="AF266" s="1" t="n">
        <f aca="false">IF(AF263&gt;0,AF262/AF263,0)</f>
        <v>0.142826323442466</v>
      </c>
    </row>
    <row r="267" customFormat="false" ht="14.25" hidden="false" customHeight="true" outlineLevel="0" collapsed="false">
      <c r="B267" s="1" t="s">
        <v>1262</v>
      </c>
      <c r="C267" s="1" t="n">
        <f aca="false">C120-C264</f>
        <v>20.3778603914108</v>
      </c>
      <c r="D267" s="1" t="n">
        <f aca="false">D120-D264</f>
        <v>39.722621721868</v>
      </c>
      <c r="E267" s="1" t="n">
        <f aca="false">E120-E264</f>
        <v>59.2056630857972</v>
      </c>
      <c r="F267" s="1" t="n">
        <f aca="false">F120-F264</f>
        <v>77.5443185058983</v>
      </c>
      <c r="G267" s="1" t="n">
        <f aca="false">G120-G264</f>
        <v>92.3741180257237</v>
      </c>
      <c r="H267" s="1" t="n">
        <f aca="false">H120-H264</f>
        <v>106.74406671511</v>
      </c>
      <c r="I267" s="1" t="n">
        <f aca="false">I120-I264</f>
        <v>121.189723091919</v>
      </c>
      <c r="J267" s="1" t="n">
        <f aca="false">J120-J264</f>
        <v>136.053454734117</v>
      </c>
      <c r="K267" s="1" t="n">
        <f aca="false">K120-K264</f>
        <v>152.74415809936</v>
      </c>
      <c r="L267" s="1" t="n">
        <f aca="false">L120-L264</f>
        <v>169.727574460482</v>
      </c>
      <c r="M267" s="1" t="n">
        <f aca="false">M120-M264</f>
        <v>169.186383601085</v>
      </c>
      <c r="N267" s="1" t="n">
        <f aca="false">N120-N264</f>
        <v>170.302309568202</v>
      </c>
      <c r="O267" s="1" t="n">
        <f aca="false">O120-O264</f>
        <v>172.62305166253</v>
      </c>
      <c r="P267" s="1" t="n">
        <f aca="false">P120-P264</f>
        <v>174.065909522161</v>
      </c>
      <c r="Q267" s="1" t="n">
        <f aca="false">Q120-Q264</f>
        <v>175.203309706725</v>
      </c>
      <c r="R267" s="1" t="n">
        <f aca="false">R120-R264</f>
        <v>176.400771904485</v>
      </c>
      <c r="S267" s="1" t="n">
        <f aca="false">S120-S264</f>
        <v>177.655859129382</v>
      </c>
      <c r="T267" s="1" t="n">
        <f aca="false">T120-T264</f>
        <v>178.965842875906</v>
      </c>
      <c r="U267" s="1" t="n">
        <f aca="false">U120-U264</f>
        <v>180.32216853961</v>
      </c>
      <c r="V267" s="1" t="n">
        <f aca="false">V120-V264</f>
        <v>181.723211159161</v>
      </c>
      <c r="W267" s="1" t="n">
        <f aca="false">W120-W264</f>
        <v>183.170882094497</v>
      </c>
      <c r="X267" s="1" t="n">
        <f aca="false">X120-X264</f>
        <v>184.66660446033</v>
      </c>
      <c r="Y267" s="1" t="n">
        <f aca="false">Y120-Y264</f>
        <v>186.211592480222</v>
      </c>
      <c r="Z267" s="1" t="n">
        <f aca="false">Z120-Z264</f>
        <v>187.806771234011</v>
      </c>
      <c r="AA267" s="1" t="n">
        <f aca="false">AA120-AA264</f>
        <v>189.453100277009</v>
      </c>
      <c r="AB267" s="1" t="n">
        <f aca="false">AB120-AB264</f>
        <v>191.151524623705</v>
      </c>
      <c r="AC267" s="1" t="n">
        <f aca="false">AC120-AC264</f>
        <v>192.903013147316</v>
      </c>
      <c r="AD267" s="1" t="n">
        <f aca="false">AD120-AD264</f>
        <v>194.708564456474</v>
      </c>
      <c r="AE267" s="1" t="n">
        <f aca="false">AE120-AE264</f>
        <v>196.569214460337</v>
      </c>
      <c r="AF267" s="1" t="n">
        <f aca="false">AF120-AF264</f>
        <v>198.486036820406</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0.557622735932159</v>
      </c>
      <c r="D270" s="1" t="n">
        <f aca="false">01_Supuestos!$C$173*D261</f>
        <v>1.49187329997475</v>
      </c>
      <c r="E270" s="1" t="n">
        <f aca="false">01_Supuestos!$C$173*E261</f>
        <v>2.71421925625675</v>
      </c>
      <c r="F270" s="1" t="n">
        <f aca="false">01_Supuestos!$C$173*F261</f>
        <v>3.86052806633276</v>
      </c>
      <c r="G270" s="1" t="n">
        <f aca="false">01_Supuestos!$C$173*G261</f>
        <v>5.03252759751021</v>
      </c>
      <c r="H270" s="1" t="n">
        <f aca="false">01_Supuestos!$C$173*H261</f>
        <v>5.79052407846943</v>
      </c>
      <c r="I270" s="1" t="n">
        <f aca="false">01_Supuestos!$C$173*I261</f>
        <v>6.56503900047785</v>
      </c>
      <c r="J270" s="1" t="n">
        <f aca="false">01_Supuestos!$C$173*J261</f>
        <v>7.35751100460141</v>
      </c>
      <c r="K270" s="1" t="n">
        <f aca="false">01_Supuestos!$C$173*K261</f>
        <v>8.15327316995605</v>
      </c>
      <c r="L270" s="1" t="n">
        <f aca="false">01_Supuestos!$C$173*L261</f>
        <v>8.97689275220499</v>
      </c>
      <c r="M270" s="1" t="n">
        <f aca="false">01_Supuestos!$C$173*M261</f>
        <v>9.76837069318611</v>
      </c>
      <c r="N270" s="1" t="n">
        <f aca="false">01_Supuestos!$C$173*N261</f>
        <v>10.3152546972588</v>
      </c>
      <c r="O270" s="1" t="n">
        <f aca="false">01_Supuestos!$C$173*O261</f>
        <v>10.6198489443677</v>
      </c>
      <c r="P270" s="1" t="n">
        <f aca="false">01_Supuestos!$C$173*P261</f>
        <v>10.8828938364956</v>
      </c>
      <c r="Q270" s="1" t="n">
        <f aca="false">01_Supuestos!$C$173*Q261</f>
        <v>11.133036208572</v>
      </c>
      <c r="R270" s="1" t="n">
        <f aca="false">01_Supuestos!$C$173*R261</f>
        <v>11.3888647800349</v>
      </c>
      <c r="S270" s="1" t="n">
        <f aca="false">01_Supuestos!$C$173*S261</f>
        <v>11.6505534901381</v>
      </c>
      <c r="T270" s="1" t="n">
        <f aca="false">01_Supuestos!$C$173*T261</f>
        <v>11.918251846469</v>
      </c>
      <c r="U270" s="1" t="n">
        <f aca="false">01_Supuestos!$C$173*U261</f>
        <v>12.1922742166459</v>
      </c>
      <c r="V270" s="1" t="n">
        <f aca="false">01_Supuestos!$C$173*V261</f>
        <v>12.472642633783</v>
      </c>
      <c r="W270" s="1" t="n">
        <f aca="false">01_Supuestos!$C$173*W261</f>
        <v>12.759383469121</v>
      </c>
      <c r="X270" s="1" t="n">
        <f aca="false">01_Supuestos!$C$173*X261</f>
        <v>13.0526746839317</v>
      </c>
      <c r="Y270" s="1" t="n">
        <f aca="false">01_Supuestos!$C$173*Y261</f>
        <v>13.3526855280772</v>
      </c>
      <c r="Z270" s="1" t="n">
        <f aca="false">01_Supuestos!$C$173*Z261</f>
        <v>13.659572579306</v>
      </c>
      <c r="AA270" s="1" t="n">
        <f aca="false">01_Supuestos!$C$173*AA261</f>
        <v>13.9734959908286</v>
      </c>
      <c r="AB270" s="1" t="n">
        <f aca="false">01_Supuestos!$C$173*AB261</f>
        <v>14.2946208960197</v>
      </c>
      <c r="AC270" s="1" t="n">
        <f aca="false">01_Supuestos!$C$173*AC261</f>
        <v>14.6231155388417</v>
      </c>
      <c r="AD270" s="1" t="n">
        <f aca="false">01_Supuestos!$C$173*AD261</f>
        <v>14.9591516373091</v>
      </c>
      <c r="AE270" s="1" t="n">
        <f aca="false">01_Supuestos!$C$173*AE261</f>
        <v>15.3029048322828</v>
      </c>
      <c r="AF270" s="1" t="n">
        <f aca="false">01_Supuestos!$C$173*AF261</f>
        <v>15.6545547801458</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0.240918541108355</v>
      </c>
      <c r="F271" s="1" t="n">
        <f aca="false">MIN(F270,F263)</f>
        <v>3.86052806633276</v>
      </c>
      <c r="G271" s="1" t="n">
        <f aca="false">MIN(G270,G263)</f>
        <v>5.03252759751021</v>
      </c>
      <c r="H271" s="1" t="n">
        <f aca="false">MIN(H270,H263)</f>
        <v>5.79052407846943</v>
      </c>
      <c r="I271" s="1" t="n">
        <f aca="false">MIN(I270,I263)</f>
        <v>6.56503900047785</v>
      </c>
      <c r="J271" s="1" t="n">
        <f aca="false">MIN(J270,J263)</f>
        <v>7.35751100460141</v>
      </c>
      <c r="K271" s="1" t="n">
        <f aca="false">MIN(K270,K263)</f>
        <v>8.15327316995605</v>
      </c>
      <c r="L271" s="1" t="n">
        <f aca="false">MIN(L270,L263)</f>
        <v>8.97689275220499</v>
      </c>
      <c r="M271" s="1" t="n">
        <f aca="false">MIN(M270,M263)</f>
        <v>9.76837069318611</v>
      </c>
      <c r="N271" s="1" t="n">
        <f aca="false">MIN(N270,N263)</f>
        <v>10.3152546972588</v>
      </c>
      <c r="O271" s="1" t="n">
        <f aca="false">MIN(O270,O263)</f>
        <v>10.6198489443677</v>
      </c>
      <c r="P271" s="1" t="n">
        <f aca="false">MIN(P270,P263)</f>
        <v>10.8828938364956</v>
      </c>
      <c r="Q271" s="1" t="n">
        <f aca="false">MIN(Q270,Q263)</f>
        <v>11.133036208572</v>
      </c>
      <c r="R271" s="1" t="n">
        <f aca="false">MIN(R270,R263)</f>
        <v>11.3888647800349</v>
      </c>
      <c r="S271" s="1" t="n">
        <f aca="false">MIN(S270,S263)</f>
        <v>11.6505534901381</v>
      </c>
      <c r="T271" s="1" t="n">
        <f aca="false">MIN(T270,T263)</f>
        <v>11.918251846469</v>
      </c>
      <c r="U271" s="1" t="n">
        <f aca="false">MIN(U270,U263)</f>
        <v>12.1922742166459</v>
      </c>
      <c r="V271" s="1" t="n">
        <f aca="false">MIN(V270,V263)</f>
        <v>12.472642633783</v>
      </c>
      <c r="W271" s="1" t="n">
        <f aca="false">MIN(W270,W263)</f>
        <v>12.759383469121</v>
      </c>
      <c r="X271" s="1" t="n">
        <f aca="false">MIN(X270,X263)</f>
        <v>13.0526746839317</v>
      </c>
      <c r="Y271" s="1" t="n">
        <f aca="false">MIN(Y270,Y263)</f>
        <v>13.3526855280772</v>
      </c>
      <c r="Z271" s="1" t="n">
        <f aca="false">MIN(Z270,Z263)</f>
        <v>13.659572579306</v>
      </c>
      <c r="AA271" s="1" t="n">
        <f aca="false">MIN(AA270,AA263)</f>
        <v>13.9734959908286</v>
      </c>
      <c r="AB271" s="1" t="n">
        <f aca="false">MIN(AB270,AB263)</f>
        <v>14.2946208960197</v>
      </c>
      <c r="AC271" s="1" t="n">
        <f aca="false">MIN(AC270,AC263)</f>
        <v>14.6231155388417</v>
      </c>
      <c r="AD271" s="1" t="n">
        <f aca="false">MIN(AD270,AD263)</f>
        <v>14.9591516373091</v>
      </c>
      <c r="AE271" s="1" t="n">
        <f aca="false">MIN(AE270,AE263)</f>
        <v>15.3029048322828</v>
      </c>
      <c r="AF271" s="1" t="n">
        <f aca="false">MIN(AF270,AF263)</f>
        <v>15.6545547801458</v>
      </c>
    </row>
    <row r="272" customFormat="false" ht="14.25" hidden="false" customHeight="true" outlineLevel="0" collapsed="false">
      <c r="B272" s="1" t="s">
        <v>1267</v>
      </c>
      <c r="C272" s="1" t="n">
        <f aca="false">MIN(C270-C271,MAX(0,C120))</f>
        <v>0.521259099568523</v>
      </c>
      <c r="D272" s="1" t="n">
        <f aca="false">MIN(D270-D271,MAX(0,D120))</f>
        <v>1.41786239088384</v>
      </c>
      <c r="E272" s="1" t="n">
        <f aca="false">MIN(E270-E271,MAX(0,E120))</f>
        <v>2.47330071514839</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0.0149187329997475</v>
      </c>
      <c r="E274" s="1" t="n">
        <f aca="false">IF(01_Supuestos!$C$174="Sí",01_Supuestos!$C$172*E271,01_Supuestos!$I$134*(E271+MIN(MIN(E270-E271,MAX(0,D120)),E264))+$C$10*MAX(0,MIN(E270-E271,MAX(0,D120))-E264))</f>
        <v>0.0271421925625675</v>
      </c>
      <c r="F274" s="1" t="n">
        <f aca="false">IF(01_Supuestos!$C$174="Sí",01_Supuestos!$C$172*F271,01_Supuestos!$I$134*(F271+MIN(MIN(F270-F271,MAX(0,E120)),F264))+$C$10*MAX(0,MIN(F270-F271,MAX(0,E120))-F264))</f>
        <v>0.0386052806633276</v>
      </c>
      <c r="G274" s="1" t="n">
        <f aca="false">IF(01_Supuestos!$C$174="Sí",01_Supuestos!$C$172*G271,01_Supuestos!$I$134*(G271+MIN(MIN(G270-G271,MAX(0,F120)),G264))+$C$10*MAX(0,MIN(G270-G271,MAX(0,F120))-G264))</f>
        <v>0.0503252759751021</v>
      </c>
      <c r="H274" s="1" t="n">
        <f aca="false">IF(01_Supuestos!$C$174="Sí",01_Supuestos!$C$172*H271,01_Supuestos!$I$134*(H271+MIN(MIN(H270-H271,MAX(0,G120)),H264))+$C$10*MAX(0,MIN(H270-H271,MAX(0,G120))-H264))</f>
        <v>0.0579052407846943</v>
      </c>
      <c r="I274" s="1" t="n">
        <f aca="false">IF(01_Supuestos!$C$174="Sí",01_Supuestos!$C$172*I271,01_Supuestos!$I$134*(I271+MIN(MIN(I270-I271,MAX(0,H120)),I264))+$C$10*MAX(0,MIN(I270-I271,MAX(0,H120))-I264))</f>
        <v>0.0656503900047785</v>
      </c>
      <c r="J274" s="1" t="n">
        <f aca="false">IF(01_Supuestos!$C$174="Sí",01_Supuestos!$C$172*J271,01_Supuestos!$I$134*(J271+MIN(MIN(J270-J271,MAX(0,I120)),J264))+$C$10*MAX(0,MIN(J270-J271,MAX(0,I120))-J264))</f>
        <v>0.0735751100460141</v>
      </c>
      <c r="K274" s="1" t="n">
        <f aca="false">IF(01_Supuestos!$C$174="Sí",01_Supuestos!$C$172*K271,01_Supuestos!$I$134*(K271+MIN(MIN(K270-K271,MAX(0,J120)),K264))+$C$10*MAX(0,MIN(K270-K271,MAX(0,J120))-K264))</f>
        <v>0.0815327316995605</v>
      </c>
      <c r="L274" s="1" t="n">
        <f aca="false">IF(01_Supuestos!$C$174="Sí",01_Supuestos!$C$172*L271,01_Supuestos!$I$134*(L271+MIN(MIN(L270-L271,MAX(0,K120)),L264))+$C$10*MAX(0,MIN(L270-L271,MAX(0,K120))-L264))</f>
        <v>0.0897689275220499</v>
      </c>
      <c r="M274" s="1" t="n">
        <f aca="false">IF(01_Supuestos!$C$174="Sí",01_Supuestos!$C$172*M271,01_Supuestos!$I$134*(M271+MIN(MIN(M270-M271,MAX(0,L120)),M264))+$C$10*MAX(0,MIN(M270-M271,MAX(0,L120))-M264))</f>
        <v>0.0976837069318611</v>
      </c>
      <c r="N274" s="1" t="n">
        <f aca="false">IF(01_Supuestos!$C$174="Sí",01_Supuestos!$C$172*N271,01_Supuestos!$I$134*(N271+MIN(MIN(N270-N271,MAX(0,M120)),N264))+$C$10*MAX(0,MIN(N270-N271,MAX(0,M120))-N264))</f>
        <v>0.103152546972588</v>
      </c>
      <c r="O274" s="1" t="n">
        <f aca="false">IF(01_Supuestos!$C$174="Sí",01_Supuestos!$C$172*O271,01_Supuestos!$I$134*(O271+MIN(MIN(O270-O271,MAX(0,N120)),O264))+$C$10*MAX(0,MIN(O270-O271,MAX(0,N120))-O264))</f>
        <v>0.106198489443677</v>
      </c>
      <c r="P274" s="1" t="n">
        <f aca="false">IF(01_Supuestos!$C$174="Sí",01_Supuestos!$C$172*P271,01_Supuestos!$I$134*(P271+MIN(MIN(P270-P271,MAX(0,O120)),P264))+$C$10*MAX(0,MIN(P270-P271,MAX(0,O120))-P264))</f>
        <v>0.108828938364956</v>
      </c>
      <c r="Q274" s="1" t="n">
        <f aca="false">IF(01_Supuestos!$C$174="Sí",01_Supuestos!$C$172*Q271,01_Supuestos!$I$134*(Q271+MIN(MIN(Q270-Q271,MAX(0,P120)),Q264))+$C$10*MAX(0,MIN(Q270-Q271,MAX(0,P120))-Q264))</f>
        <v>0.11133036208572</v>
      </c>
      <c r="R274" s="1" t="n">
        <f aca="false">IF(01_Supuestos!$C$174="Sí",01_Supuestos!$C$172*R271,01_Supuestos!$I$134*(R271+MIN(MIN(R270-R271,MAX(0,Q120)),R264))+$C$10*MAX(0,MIN(R270-R271,MAX(0,Q120))-R264))</f>
        <v>0.113888647800349</v>
      </c>
      <c r="S274" s="1" t="n">
        <f aca="false">IF(01_Supuestos!$C$174="Sí",01_Supuestos!$C$172*S271,01_Supuestos!$I$134*(S271+MIN(MIN(S270-S271,MAX(0,R120)),S264))+$C$10*MAX(0,MIN(S270-S271,MAX(0,R120))-S264))</f>
        <v>0.116505534901381</v>
      </c>
      <c r="T274" s="1" t="n">
        <f aca="false">IF(01_Supuestos!$C$174="Sí",01_Supuestos!$C$172*T271,01_Supuestos!$I$134*(T271+MIN(MIN(T270-T271,MAX(0,S120)),T264))+$C$10*MAX(0,MIN(T270-T271,MAX(0,S120))-T264))</f>
        <v>0.11918251846469</v>
      </c>
      <c r="U274" s="1" t="n">
        <f aca="false">IF(01_Supuestos!$C$174="Sí",01_Supuestos!$C$172*U271,01_Supuestos!$I$134*(U271+MIN(MIN(U270-U271,MAX(0,T120)),U264))+$C$10*MAX(0,MIN(U270-U271,MAX(0,T120))-U264))</f>
        <v>0.121922742166459</v>
      </c>
      <c r="V274" s="1" t="n">
        <f aca="false">IF(01_Supuestos!$C$174="Sí",01_Supuestos!$C$172*V271,01_Supuestos!$I$134*(V271+MIN(MIN(V270-V271,MAX(0,U120)),V264))+$C$10*MAX(0,MIN(V270-V271,MAX(0,U120))-V264))</f>
        <v>0.12472642633783</v>
      </c>
      <c r="W274" s="1" t="n">
        <f aca="false">IF(01_Supuestos!$C$174="Sí",01_Supuestos!$C$172*W271,01_Supuestos!$I$134*(W271+MIN(MIN(W270-W271,MAX(0,V120)),W264))+$C$10*MAX(0,MIN(W270-W271,MAX(0,V120))-W264))</f>
        <v>0.12759383469121</v>
      </c>
      <c r="X274" s="1" t="n">
        <f aca="false">IF(01_Supuestos!$C$174="Sí",01_Supuestos!$C$172*X271,01_Supuestos!$I$134*(X271+MIN(MIN(X270-X271,MAX(0,W120)),X264))+$C$10*MAX(0,MIN(X270-X271,MAX(0,W120))-X264))</f>
        <v>0.130526746839317</v>
      </c>
      <c r="Y274" s="1" t="n">
        <f aca="false">IF(01_Supuestos!$C$174="Sí",01_Supuestos!$C$172*Y271,01_Supuestos!$I$134*(Y271+MIN(MIN(Y270-Y271,MAX(0,X120)),Y264))+$C$10*MAX(0,MIN(Y270-Y271,MAX(0,X120))-Y264))</f>
        <v>0.133526855280772</v>
      </c>
      <c r="Z274" s="1" t="n">
        <f aca="false">IF(01_Supuestos!$C$174="Sí",01_Supuestos!$C$172*Z271,01_Supuestos!$I$134*(Z271+MIN(MIN(Z270-Z271,MAX(0,Y120)),Z264))+$C$10*MAX(0,MIN(Z270-Z271,MAX(0,Y120))-Z264))</f>
        <v>0.13659572579306</v>
      </c>
      <c r="AA274" s="1" t="n">
        <f aca="false">IF(01_Supuestos!$C$174="Sí",01_Supuestos!$C$172*AA271,01_Supuestos!$I$134*(AA271+MIN(MIN(AA270-AA271,MAX(0,Z120)),AA264))+$C$10*MAX(0,MIN(AA270-AA271,MAX(0,Z120))-AA264))</f>
        <v>0.139734959908286</v>
      </c>
      <c r="AB274" s="1" t="n">
        <f aca="false">IF(01_Supuestos!$C$174="Sí",01_Supuestos!$C$172*AB271,01_Supuestos!$I$134*(AB271+MIN(MIN(AB270-AB271,MAX(0,AA120)),AB264))+$C$10*MAX(0,MIN(AB270-AB271,MAX(0,AA120))-AB264))</f>
        <v>0.142946208960197</v>
      </c>
      <c r="AC274" s="1" t="n">
        <f aca="false">IF(01_Supuestos!$C$174="Sí",01_Supuestos!$C$172*AC271,01_Supuestos!$I$134*(AC271+MIN(MIN(AC270-AC271,MAX(0,AB120)),AC264))+$C$10*MAX(0,MIN(AC270-AC271,MAX(0,AB120))-AC264))</f>
        <v>0.146231155388417</v>
      </c>
      <c r="AD274" s="1" t="n">
        <f aca="false">IF(01_Supuestos!$C$174="Sí",01_Supuestos!$C$172*AD271,01_Supuestos!$I$134*(AD271+MIN(MIN(AD270-AD271,MAX(0,AC120)),AD264))+$C$10*MAX(0,MIN(AD270-AD271,MAX(0,AC120))-AD264))</f>
        <v>0.149591516373091</v>
      </c>
      <c r="AE274" s="1" t="n">
        <f aca="false">IF(01_Supuestos!$C$174="Sí",01_Supuestos!$C$172*AE271,01_Supuestos!$I$134*(AE271+MIN(MIN(AE270-AE271,MAX(0,AD120)),AE264))+$C$10*MAX(0,MIN(AE270-AE271,MAX(0,AD120))-AE264))</f>
        <v>0.153029048322828</v>
      </c>
      <c r="AF274" s="1" t="n">
        <f aca="false">IF(01_Supuestos!$C$174="Sí",01_Supuestos!$C$172*AF271,01_Supuestos!$I$134*(AF271+MIN(MIN(AF270-AF271,MAX(0,AE120)),AF264))+$C$10*MAX(0,MIN(AF270-AF271,MAX(0,AE120))-AF264))</f>
        <v>0.156545547801458</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20.3778603914108</v>
      </c>
      <c r="D276" s="1" t="n">
        <f aca="false">D120-MAX(D264,D272)</f>
        <v>39.722621721868</v>
      </c>
      <c r="E276" s="1" t="n">
        <f aca="false">E120-MAX(E264,E272)</f>
        <v>59.2056630857972</v>
      </c>
      <c r="F276" s="1" t="n">
        <f aca="false">F120-MAX(F264,F272)</f>
        <v>77.5443185058983</v>
      </c>
      <c r="G276" s="1" t="n">
        <f aca="false">G120-MAX(G264,G272)</f>
        <v>92.3741180257237</v>
      </c>
      <c r="H276" s="1" t="n">
        <f aca="false">H120-MAX(H264,H272)</f>
        <v>106.74406671511</v>
      </c>
      <c r="I276" s="1" t="n">
        <f aca="false">I120-MAX(I264,I272)</f>
        <v>121.189723091919</v>
      </c>
      <c r="J276" s="1" t="n">
        <f aca="false">J120-MAX(J264,J272)</f>
        <v>136.053454734117</v>
      </c>
      <c r="K276" s="1" t="n">
        <f aca="false">K120-MAX(K264,K272)</f>
        <v>152.74415809936</v>
      </c>
      <c r="L276" s="1" t="n">
        <f aca="false">L120-MAX(L264,L272)</f>
        <v>169.727574460482</v>
      </c>
      <c r="M276" s="1" t="n">
        <f aca="false">M120-MAX(M264,M272)</f>
        <v>169.186383601085</v>
      </c>
      <c r="N276" s="1" t="n">
        <f aca="false">N120-MAX(N264,N272)</f>
        <v>170.302309568202</v>
      </c>
      <c r="O276" s="1" t="n">
        <f aca="false">O120-MAX(O264,O272)</f>
        <v>172.62305166253</v>
      </c>
      <c r="P276" s="1" t="n">
        <f aca="false">P120-MAX(P264,P272)</f>
        <v>174.065909522161</v>
      </c>
      <c r="Q276" s="1" t="n">
        <f aca="false">Q120-MAX(Q264,Q272)</f>
        <v>175.203309706725</v>
      </c>
      <c r="R276" s="1" t="n">
        <f aca="false">R120-MAX(R264,R272)</f>
        <v>176.400771904485</v>
      </c>
      <c r="S276" s="1" t="n">
        <f aca="false">S120-MAX(S264,S272)</f>
        <v>177.655859129382</v>
      </c>
      <c r="T276" s="1" t="n">
        <f aca="false">T120-MAX(T264,T272)</f>
        <v>178.965842875906</v>
      </c>
      <c r="U276" s="1" t="n">
        <f aca="false">U120-MAX(U264,U272)</f>
        <v>180.32216853961</v>
      </c>
      <c r="V276" s="1" t="n">
        <f aca="false">V120-MAX(V264,V272)</f>
        <v>181.723211159161</v>
      </c>
      <c r="W276" s="1" t="n">
        <f aca="false">W120-MAX(W264,W272)</f>
        <v>183.170882094497</v>
      </c>
      <c r="X276" s="1" t="n">
        <f aca="false">X120-MAX(X264,X272)</f>
        <v>184.66660446033</v>
      </c>
      <c r="Y276" s="1" t="n">
        <f aca="false">Y120-MAX(Y264,Y272)</f>
        <v>186.211592480222</v>
      </c>
      <c r="Z276" s="1" t="n">
        <f aca="false">Z120-MAX(Z264,Z272)</f>
        <v>187.806771234011</v>
      </c>
      <c r="AA276" s="1" t="n">
        <f aca="false">AA120-MAX(AA264,AA272)</f>
        <v>189.453100277009</v>
      </c>
      <c r="AB276" s="1" t="n">
        <f aca="false">AB120-MAX(AB264,AB272)</f>
        <v>191.151524623705</v>
      </c>
      <c r="AC276" s="1" t="n">
        <f aca="false">AC120-MAX(AC264,AC272)</f>
        <v>192.903013147316</v>
      </c>
      <c r="AD276" s="1" t="n">
        <f aca="false">AD120-MAX(AD264,AD272)</f>
        <v>194.708564456474</v>
      </c>
      <c r="AE276" s="1" t="n">
        <f aca="false">AE120-MAX(AE264,AE272)</f>
        <v>196.569214460337</v>
      </c>
      <c r="AF276" s="1" t="n">
        <f aca="false">AF120-MAX(AF264,AF272)</f>
        <v>198.486036820406</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2.15158778078157</v>
      </c>
      <c r="D284" s="1" t="n">
        <f aca="false">$C$279*D87</f>
        <v>5.60164986037079</v>
      </c>
      <c r="E284" s="1" t="n">
        <f aca="false">$C$279*E87</f>
        <v>9.69447106493989</v>
      </c>
      <c r="F284" s="1" t="n">
        <f aca="false">$C$279*F87</f>
        <v>12.1782241571012</v>
      </c>
      <c r="G284" s="1" t="n">
        <f aca="false">$C$279*G87</f>
        <v>14.8199739359772</v>
      </c>
      <c r="H284" s="1" t="n">
        <f aca="false">$C$279*H87</f>
        <v>18.1166527709151</v>
      </c>
      <c r="I284" s="1" t="n">
        <f aca="false">$C$279*I87</f>
        <v>21.8591237633517</v>
      </c>
      <c r="J284" s="1" t="n">
        <f aca="false">$C$279*J87</f>
        <v>26.0079416996898</v>
      </c>
      <c r="K284" s="1" t="n">
        <f aca="false">$C$279*K87</f>
        <v>31.5815679693568</v>
      </c>
      <c r="L284" s="1" t="n">
        <f aca="false">$C$279*L87</f>
        <v>37.2961183851595</v>
      </c>
      <c r="M284" s="1" t="n">
        <f aca="false">$C$279*M87</f>
        <v>47.2014333669196</v>
      </c>
      <c r="N284" s="1" t="n">
        <f aca="false">$C$279*N87</f>
        <v>53.1524671869633</v>
      </c>
      <c r="O284" s="1" t="n">
        <f aca="false">$C$279*O87</f>
        <v>54.1752669008947</v>
      </c>
      <c r="P284" s="1" t="n">
        <f aca="false">$C$279*P87</f>
        <v>55.2638670999506</v>
      </c>
      <c r="Q284" s="1" t="n">
        <f aca="false">$C$279*Q87</f>
        <v>56.4202816058376</v>
      </c>
      <c r="R284" s="1" t="n">
        <f aca="false">$C$279*R87</f>
        <v>57.639341310281</v>
      </c>
      <c r="S284" s="1" t="n">
        <f aca="false">$C$279*S87</f>
        <v>58.9163604831813</v>
      </c>
      <c r="T284" s="1" t="n">
        <f aca="false">$C$279*T87</f>
        <v>60.2469592158898</v>
      </c>
      <c r="U284" s="1" t="n">
        <f aca="false">$C$279*U87</f>
        <v>61.6153208525876</v>
      </c>
      <c r="V284" s="1" t="n">
        <f aca="false">$C$279*V87</f>
        <v>63.0217867017296</v>
      </c>
      <c r="W284" s="1" t="n">
        <f aca="false">$C$279*W87</f>
        <v>64.4711054966988</v>
      </c>
      <c r="X284" s="1" t="n">
        <f aca="false">$C$279*X87</f>
        <v>65.9636529131325</v>
      </c>
      <c r="Y284" s="1" t="n">
        <f aca="false">$C$279*Y87</f>
        <v>67.4998243935057</v>
      </c>
      <c r="Z284" s="1" t="n">
        <f aca="false">$C$279*Z87</f>
        <v>69.0800351042156</v>
      </c>
      <c r="AA284" s="1" t="n">
        <f aca="false">$C$279*AA87</f>
        <v>70.7047195462828</v>
      </c>
      <c r="AB284" s="1" t="n">
        <f aca="false">$C$279*AB87</f>
        <v>72.374235709953</v>
      </c>
      <c r="AC284" s="1" t="n">
        <f aca="false">$C$279*AC87</f>
        <v>74.0889619097826</v>
      </c>
      <c r="AD284" s="1" t="n">
        <f aca="false">$C$279*AD87</f>
        <v>75.8492963932937</v>
      </c>
      <c r="AE284" s="1" t="n">
        <f aca="false">$C$279*AE87</f>
        <v>77.6556569522566</v>
      </c>
      <c r="AF284" s="1" t="n">
        <f aca="false">$C$279*AF87</f>
        <v>79.5084805712838</v>
      </c>
    </row>
    <row r="285" customFormat="false" ht="14.25" hidden="false" customHeight="true" outlineLevel="0" collapsed="false">
      <c r="B285" s="84" t="s">
        <v>1280</v>
      </c>
      <c r="C285" s="1" t="n">
        <f aca="false">MAX(0/$C$280,0-C284)</f>
        <v>0</v>
      </c>
      <c r="D285" s="1" t="n">
        <f aca="false">MAX(C284*(1-$C$340)/$C$280,C284-D341-D284)</f>
        <v>0.10747180965004</v>
      </c>
      <c r="E285" s="1" t="n">
        <f aca="false">MAX(D284*(1-$C$340)/$C$280,D284-E341-E284)</f>
        <v>0.279802410525521</v>
      </c>
      <c r="F285" s="1" t="n">
        <f aca="false">MAX(E284*(1-$C$340)/$C$280,E284-F341-F284)</f>
        <v>0.484238829693748</v>
      </c>
      <c r="G285" s="1" t="n">
        <f aca="false">MAX(F284*(1-$C$340)/$C$280,F284-G341-G284)</f>
        <v>0.608302296647204</v>
      </c>
      <c r="H285" s="1" t="n">
        <f aca="false">MAX(G284*(1-$C$340)/$C$280,G284-H341-H284)</f>
        <v>0.740257698102061</v>
      </c>
      <c r="I285" s="1" t="n">
        <f aca="false">MAX(H284*(1-$C$340)/$C$280,H284-I341-I284)</f>
        <v>0.904926805907208</v>
      </c>
      <c r="J285" s="1" t="n">
        <f aca="false">MAX(I284*(1-$C$340)/$C$280,I284-J341-J284)</f>
        <v>1.09186323197942</v>
      </c>
      <c r="K285" s="1" t="n">
        <f aca="false">MAX(J284*(1-$C$340)/$C$280,J284-K341-K284)</f>
        <v>1.2990966878995</v>
      </c>
      <c r="L285" s="1" t="n">
        <f aca="false">MAX(K284*(1-$C$340)/$C$280,K284-L341-L284)</f>
        <v>1.57749932006937</v>
      </c>
      <c r="M285" s="1" t="n">
        <f aca="false">MAX(L284*(1-$C$340)/$C$280,L284-M341-M284)</f>
        <v>1.86294111333872</v>
      </c>
      <c r="N285" s="1" t="n">
        <f aca="false">MAX(M284*(1-$C$340)/$C$280,M284-N341-N284)</f>
        <v>2.35771159667764</v>
      </c>
      <c r="O285" s="1" t="n">
        <f aca="false">MAX(N284*(1-$C$340)/$C$280,N284-O341-O284)</f>
        <v>2.65496573598882</v>
      </c>
      <c r="P285" s="1" t="n">
        <f aca="false">MAX(O284*(1-$C$340)/$C$280,O284-P341-P284)</f>
        <v>2.70605458169969</v>
      </c>
      <c r="Q285" s="1" t="n">
        <f aca="false">MAX(P284*(1-$C$340)/$C$280,P284-Q341-Q284)</f>
        <v>2.76043016164253</v>
      </c>
      <c r="R285" s="1" t="n">
        <f aca="false">MAX(Q284*(1-$C$340)/$C$280,Q284-R341-R284)</f>
        <v>2.81819306621159</v>
      </c>
      <c r="S285" s="1" t="n">
        <f aca="false">MAX(R284*(1-$C$340)/$C$280,R284-S341-S284)</f>
        <v>2.87908509844854</v>
      </c>
      <c r="T285" s="1" t="n">
        <f aca="false">MAX(S284*(1-$C$340)/$C$280,S284-T341-T284)</f>
        <v>2.94287220613491</v>
      </c>
      <c r="U285" s="1" t="n">
        <f aca="false">MAX(T284*(1-$C$340)/$C$280,T284-U341-U284)</f>
        <v>3.0093356128337</v>
      </c>
      <c r="V285" s="1" t="n">
        <f aca="false">MAX(U284*(1-$C$340)/$C$280,U284-V341-V284)</f>
        <v>3.07768527658675</v>
      </c>
      <c r="W285" s="1" t="n">
        <f aca="false">MAX(V284*(1-$C$340)/$C$280,V284-W341-W284)</f>
        <v>3.1479382457514</v>
      </c>
      <c r="X285" s="1" t="n">
        <f aca="false">MAX(W284*(1-$C$340)/$C$280,W284-X341-X284)</f>
        <v>3.22033171956011</v>
      </c>
      <c r="Y285" s="1" t="n">
        <f aca="false">MAX(X284*(1-$C$340)/$C$280,X284-Y341-Y284)</f>
        <v>3.29488446301097</v>
      </c>
      <c r="Z285" s="1" t="n">
        <f aca="false">MAX(Y284*(1-$C$340)/$C$280,Y284-Z341-Z284)</f>
        <v>3.37161622845561</v>
      </c>
      <c r="AA285" s="1" t="n">
        <f aca="false">MAX(Z284*(1-$C$340)/$C$280,Z284-AA341-AA284)</f>
        <v>3.45054775345557</v>
      </c>
      <c r="AB285" s="1" t="n">
        <f aca="false">MAX(AA284*(1-$C$340)/$C$280,AA284-AB341-AB284)</f>
        <v>3.53170074133682</v>
      </c>
      <c r="AC285" s="1" t="n">
        <f aca="false">MAX(AB284*(1-$C$340)/$C$280,AB284-AC341-AC284)</f>
        <v>3.61509307371215</v>
      </c>
      <c r="AD285" s="1" t="n">
        <f aca="false">MAX(AC284*(1-$C$340)/$C$280,AC284-AD341-AD284)</f>
        <v>3.70074364739364</v>
      </c>
      <c r="AE285" s="1" t="n">
        <f aca="false">MAX(AD284*(1-$C$340)/$C$280,AD284-AE341-AE284)</f>
        <v>3.78867235484502</v>
      </c>
      <c r="AF285" s="1" t="n">
        <f aca="false">MAX(AE284*(1-$C$340)/$C$280,AE284-AF341-AF284)</f>
        <v>3.87890006476522</v>
      </c>
    </row>
    <row r="286" customFormat="false" ht="14.25" hidden="false" customHeight="true" outlineLevel="0" collapsed="false">
      <c r="B286" s="84" t="s">
        <v>1281</v>
      </c>
      <c r="C286" s="1" t="n">
        <f aca="false">C284-0+C285</f>
        <v>2.15158778078157</v>
      </c>
      <c r="D286" s="1" t="n">
        <f aca="false">D284-C284+D285+D341</f>
        <v>3.55968547702004</v>
      </c>
      <c r="E286" s="1" t="n">
        <f aca="false">E284-D284+E285+E341</f>
        <v>4.37822526495499</v>
      </c>
      <c r="F286" s="1" t="n">
        <f aca="false">F284-E284+F285+F341</f>
        <v>2.97768639291998</v>
      </c>
      <c r="G286" s="1" t="n">
        <f aca="false">G284-F284+G285+G341</f>
        <v>3.26223029968032</v>
      </c>
      <c r="H286" s="1" t="n">
        <f aca="false">H284-G284+H285+H341</f>
        <v>4.05175650697592</v>
      </c>
      <c r="I286" s="1" t="n">
        <f aca="false">I284-H284+I285+I341</f>
        <v>4.6655144511147</v>
      </c>
      <c r="J286" s="1" t="n">
        <f aca="false">J284-I284+J285+J341</f>
        <v>5.26254029208089</v>
      </c>
      <c r="K286" s="1" t="n">
        <f aca="false">K284-J284+K285+K341</f>
        <v>6.89873089926623</v>
      </c>
      <c r="L286" s="1" t="n">
        <f aca="false">L284-K284+L285+L341</f>
        <v>7.32363130384144</v>
      </c>
      <c r="M286" s="1" t="n">
        <f aca="false">M284-L284+M285+M341</f>
        <v>11.805552213484</v>
      </c>
      <c r="N286" s="1" t="n">
        <f aca="false">N284-M284+N285+N341</f>
        <v>8.3559468500882</v>
      </c>
      <c r="O286" s="1" t="n">
        <f aca="false">O284-N284+O285+O341</f>
        <v>3.73091791710716</v>
      </c>
      <c r="P286" s="1" t="n">
        <f aca="false">P284-O284+P285+P341</f>
        <v>3.84883004765653</v>
      </c>
      <c r="Q286" s="1" t="n">
        <f aca="false">Q284-P284+Q285+Q341</f>
        <v>3.97210853462953</v>
      </c>
      <c r="R286" s="1" t="n">
        <f aca="false">R284-Q284+R285+R341</f>
        <v>4.09367305226081</v>
      </c>
      <c r="S286" s="1" t="n">
        <f aca="false">S284-R284+S285+S341</f>
        <v>4.21374361265908</v>
      </c>
      <c r="T286" s="1" t="n">
        <f aca="false">T284-S284+T285+T341</f>
        <v>4.33238729932662</v>
      </c>
      <c r="U286" s="1" t="n">
        <f aca="false">U284-T284+U285+U341</f>
        <v>4.43794420874734</v>
      </c>
      <c r="V286" s="1" t="n">
        <f aca="false">V284-U284+V285+V341</f>
        <v>4.54576644658141</v>
      </c>
      <c r="W286" s="1" t="n">
        <f aca="false">W284-V284+W285+W341</f>
        <v>4.66027882742231</v>
      </c>
      <c r="X286" s="1" t="n">
        <f aca="false">X284-W284+X285+X341</f>
        <v>4.7773502414905</v>
      </c>
      <c r="Y286" s="1" t="n">
        <f aca="false">Y284-X284+Y285+Y341</f>
        <v>4.89701959629729</v>
      </c>
      <c r="Z286" s="1" t="n">
        <f aca="false">Z284-Y284+Z285+Z341</f>
        <v>5.01932676355905</v>
      </c>
      <c r="AA286" s="1" t="n">
        <f aca="false">AA284-Z284+AA285+AA341</f>
        <v>5.14431223062691</v>
      </c>
      <c r="AB286" s="1" t="n">
        <f aca="false">AB284-AA284+AB285+AB341</f>
        <v>5.27192162455339</v>
      </c>
      <c r="AC286" s="1" t="n">
        <f aca="false">AC284-AB284+AC285+AC341</f>
        <v>5.40219350925168</v>
      </c>
      <c r="AD286" s="1" t="n">
        <f aca="false">AD284-AC284+AD285+AD341</f>
        <v>5.53516709281453</v>
      </c>
      <c r="AE286" s="1" t="n">
        <f aca="false">AE284-AD284+AE285+AE341</f>
        <v>5.67088221020121</v>
      </c>
      <c r="AF286" s="1" t="n">
        <f aca="false">AF284-AE284+AF285+AF341</f>
        <v>5.80937934074464</v>
      </c>
    </row>
    <row r="287" customFormat="false" ht="14.25" hidden="false" customHeight="true" outlineLevel="0" collapsed="false">
      <c r="B287" s="84" t="s">
        <v>1282</v>
      </c>
      <c r="C287" s="1" t="n">
        <f aca="false">C284*(1-$C$340)*$C$175</f>
        <v>0.0924257562990341</v>
      </c>
      <c r="D287" s="1" t="n">
        <f aca="false">D284*(1-$C$340)*$C$175</f>
        <v>0.240630073051948</v>
      </c>
      <c r="E287" s="1" t="n">
        <f aca="false">E284*(1-$C$340)*$C$175</f>
        <v>0.416445393536623</v>
      </c>
      <c r="F287" s="1" t="n">
        <f aca="false">F284*(1-$C$340)*$C$175</f>
        <v>0.523139975116595</v>
      </c>
      <c r="G287" s="1" t="n">
        <f aca="false">G284*(1-$C$340)*$C$175</f>
        <v>0.636621620367773</v>
      </c>
      <c r="H287" s="1" t="n">
        <f aca="false">H284*(1-$C$340)*$C$175</f>
        <v>0.778237053080199</v>
      </c>
      <c r="I287" s="1" t="n">
        <f aca="false">I284*(1-$C$340)*$C$175</f>
        <v>0.939002379502297</v>
      </c>
      <c r="J287" s="1" t="n">
        <f aca="false">J284*(1-$C$340)*$C$175</f>
        <v>1.11722315159357</v>
      </c>
      <c r="K287" s="1" t="n">
        <f aca="false">K284*(1-$C$340)*$C$175</f>
        <v>1.35664941525966</v>
      </c>
      <c r="L287" s="1" t="n">
        <f aca="false">L284*(1-$C$340)*$C$175</f>
        <v>1.6021293574713</v>
      </c>
      <c r="M287" s="1" t="n">
        <f aca="false">M284*(1-$C$340)*$C$175</f>
        <v>2.02763197314277</v>
      </c>
      <c r="N287" s="1" t="n">
        <f aca="false">N284*(1-$C$340)*$C$175</f>
        <v>2.28327053295038</v>
      </c>
      <c r="O287" s="1" t="n">
        <f aca="false">O284*(1-$C$340)*$C$175</f>
        <v>2.32720694026173</v>
      </c>
      <c r="P287" s="1" t="n">
        <f aca="false">P284*(1-$C$340)*$C$175</f>
        <v>2.37396993901258</v>
      </c>
      <c r="Q287" s="1" t="n">
        <f aca="false">Q284*(1-$C$340)*$C$175</f>
        <v>2.42364603694197</v>
      </c>
      <c r="R287" s="1" t="n">
        <f aca="false">R284*(1-$C$340)*$C$175</f>
        <v>2.47601318466574</v>
      </c>
      <c r="S287" s="1" t="n">
        <f aca="false">S284*(1-$C$340)*$C$175</f>
        <v>2.53087009727602</v>
      </c>
      <c r="T287" s="1" t="n">
        <f aca="false">T284*(1-$C$340)*$C$175</f>
        <v>2.58802862703698</v>
      </c>
      <c r="U287" s="1" t="n">
        <f aca="false">U284*(1-$C$340)*$C$175</f>
        <v>2.6468093378646</v>
      </c>
      <c r="V287" s="1" t="n">
        <f aca="false">V284*(1-$C$340)*$C$175</f>
        <v>2.7072268913462</v>
      </c>
      <c r="W287" s="1" t="n">
        <f aca="false">W284*(1-$C$340)*$C$175</f>
        <v>2.76948527882169</v>
      </c>
      <c r="X287" s="1" t="n">
        <f aca="false">X284*(1-$C$340)*$C$175</f>
        <v>2.83360063818943</v>
      </c>
      <c r="Y287" s="1" t="n">
        <f aca="false">Y284*(1-$C$340)*$C$175</f>
        <v>2.89958995647182</v>
      </c>
      <c r="Z287" s="1" t="n">
        <f aca="false">Z284*(1-$C$340)*$C$175</f>
        <v>2.96747106797179</v>
      </c>
      <c r="AA287" s="1" t="n">
        <f aca="false">AA284*(1-$C$340)*$C$175</f>
        <v>3.03726263754967</v>
      </c>
      <c r="AB287" s="1" t="n">
        <f aca="false">AB284*(1-$C$340)*$C$175</f>
        <v>3.10898004339245</v>
      </c>
      <c r="AC287" s="1" t="n">
        <f aca="false">AC284*(1-$C$340)*$C$175</f>
        <v>3.18263953675853</v>
      </c>
      <c r="AD287" s="1" t="n">
        <f aca="false">AD284*(1-$C$340)*$C$175</f>
        <v>3.25825822516672</v>
      </c>
      <c r="AE287" s="1" t="n">
        <f aca="false">AE284*(1-$C$340)*$C$175</f>
        <v>3.33585405569809</v>
      </c>
      <c r="AF287" s="1" t="n">
        <f aca="false">AF284*(1-$C$340)*$C$175</f>
        <v>3.41544579990064</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2.97124026869837</v>
      </c>
      <c r="D289" s="1" t="n">
        <f aca="false">(1-$C$279)*D87</f>
        <v>7.73561171194062</v>
      </c>
      <c r="E289" s="1" t="n">
        <f aca="false">(1-$C$279)*E87</f>
        <v>13.3876028992027</v>
      </c>
      <c r="F289" s="1" t="n">
        <f aca="false">(1-$C$279)*F87</f>
        <v>16.8175476455207</v>
      </c>
      <c r="G289" s="1" t="n">
        <f aca="false">(1-$C$279)*G87</f>
        <v>20.4656782925399</v>
      </c>
      <c r="H289" s="1" t="n">
        <f aca="false">(1-$C$279)*H87</f>
        <v>25.0182347788827</v>
      </c>
      <c r="I289" s="1" t="n">
        <f aca="false">(1-$C$279)*I87</f>
        <v>30.1864090065332</v>
      </c>
      <c r="J289" s="1" t="n">
        <f aca="false">(1-$C$279)*J87</f>
        <v>35.9157290138573</v>
      </c>
      <c r="K289" s="1" t="n">
        <f aca="false">(1-$C$279)*K87</f>
        <v>43.6126414814927</v>
      </c>
      <c r="L289" s="1" t="n">
        <f aca="false">(1-$C$279)*L87</f>
        <v>51.5041634842679</v>
      </c>
      <c r="M289" s="1" t="n">
        <f aca="false">(1-$C$279)*M87</f>
        <v>65.1829317924128</v>
      </c>
      <c r="N289" s="1" t="n">
        <f aca="false">(1-$C$279)*N87</f>
        <v>73.4010261153303</v>
      </c>
      <c r="O289" s="1" t="n">
        <f aca="false">(1-$C$279)*O87</f>
        <v>74.8134638155212</v>
      </c>
      <c r="P289" s="1" t="n">
        <f aca="false">(1-$C$279)*P87</f>
        <v>76.3167688523128</v>
      </c>
      <c r="Q289" s="1" t="n">
        <f aca="false">(1-$C$279)*Q87</f>
        <v>77.9137222175853</v>
      </c>
      <c r="R289" s="1" t="n">
        <f aca="false">(1-$C$279)*R87</f>
        <v>79.5971856189595</v>
      </c>
      <c r="S289" s="1" t="n">
        <f aca="false">(1-$C$279)*S87</f>
        <v>81.360688286298</v>
      </c>
      <c r="T289" s="1" t="n">
        <f aca="false">(1-$C$279)*T87</f>
        <v>83.1981817743241</v>
      </c>
      <c r="U289" s="1" t="n">
        <f aca="false">(1-$C$279)*U87</f>
        <v>85.0878240345257</v>
      </c>
      <c r="V289" s="1" t="n">
        <f aca="false">(1-$C$279)*V87</f>
        <v>87.0300863976267</v>
      </c>
      <c r="W289" s="1" t="n">
        <f aca="false">(1-$C$279)*W87</f>
        <v>89.0315266382984</v>
      </c>
      <c r="X289" s="1" t="n">
        <f aca="false">(1-$C$279)*X87</f>
        <v>91.0926635467068</v>
      </c>
      <c r="Y289" s="1" t="n">
        <f aca="false">(1-$C$279)*Y87</f>
        <v>93.2140432100793</v>
      </c>
      <c r="Z289" s="1" t="n">
        <f aca="false">(1-$C$279)*Z87</f>
        <v>95.3962389534407</v>
      </c>
      <c r="AA289" s="1" t="n">
        <f aca="false">(1-$C$279)*AA87</f>
        <v>97.6398508020095</v>
      </c>
      <c r="AB289" s="1" t="n">
        <f aca="false">(1-$C$279)*AB87</f>
        <v>99.9453731232685</v>
      </c>
      <c r="AC289" s="1" t="n">
        <f aca="false">(1-$C$279)*AC87</f>
        <v>102.313328351605</v>
      </c>
      <c r="AD289" s="1" t="n">
        <f aca="false">(1-$C$279)*AD87</f>
        <v>104.744266447882</v>
      </c>
      <c r="AE289" s="1" t="n">
        <f aca="false">(1-$C$279)*AE87</f>
        <v>107.23876436264</v>
      </c>
      <c r="AF289" s="1" t="n">
        <f aca="false">(1-$C$279)*AF87</f>
        <v>109.79742555082</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0.593653805685934</v>
      </c>
      <c r="E290" s="1" t="n">
        <f aca="false">MAX(D289*(1-$C$340)/$C$281+IF(AND(01_Supuestos!$C$189&gt;0,E$39=01_Supuestos!$C$189),01_Supuestos!$C$190*D289*(1-$C$340)*(1-1/$C$281),0),D289-E342-E289)</f>
        <v>1.54557522004573</v>
      </c>
      <c r="F290" s="1" t="n">
        <f aca="false">MAX(E289*(1-$C$340)/$C$281+IF(AND(01_Supuestos!$C$189&gt;0,F$39=01_Supuestos!$C$189),01_Supuestos!$C$190*E289*(1-$C$340)*(1-1/$C$281),0),E289-F342-F289)</f>
        <v>2.6748430592607</v>
      </c>
      <c r="G290" s="1" t="n">
        <f aca="false">MAX(F289*(1-$C$340)/$C$281+IF(AND(01_Supuestos!$C$189&gt;0,G$39=01_Supuestos!$C$189),01_Supuestos!$C$190*F289*(1-$C$340)*(1-1/$C$281),0),F289-G342-G289)</f>
        <v>3.36014601957503</v>
      </c>
      <c r="H290" s="1" t="n">
        <f aca="false">MAX(G289*(1-$C$340)/$C$281+IF(AND(01_Supuestos!$C$189&gt;0,H$39=01_Supuestos!$C$189),01_Supuestos!$C$190*G289*(1-$C$340)*(1-1/$C$281),0),G289-H342-H289)</f>
        <v>4.08904252284948</v>
      </c>
      <c r="I290" s="1" t="n">
        <f aca="false">MAX(H289*(1-$C$340)/$C$281+IF(AND(01_Supuestos!$C$189&gt;0,I$39=01_Supuestos!$C$189),01_Supuestos!$C$190*H289*(1-$C$340)*(1-1/$C$281),0),H289-I342-I289)</f>
        <v>4.99864330882077</v>
      </c>
      <c r="J290" s="1" t="n">
        <f aca="false">MAX(I289*(1-$C$340)/$C$281+IF(AND(01_Supuestos!$C$189&gt;0,J$39=01_Supuestos!$C$189),01_Supuestos!$C$190*I289*(1-$C$340)*(1-1/$C$281),0),I289-J342-J289)</f>
        <v>6.03124451950534</v>
      </c>
      <c r="K290" s="1" t="n">
        <f aca="false">MAX(J289*(1-$C$340)/$C$281+IF(AND(01_Supuestos!$C$189&gt;0,K$39=01_Supuestos!$C$189),01_Supuestos!$C$190*J289*(1-$C$340)*(1-1/$C$281),0),J289-K342-K289)</f>
        <v>7.17596265696869</v>
      </c>
      <c r="L290" s="1" t="n">
        <f aca="false">MAX(K289*(1-$C$340)/$C$281+IF(AND(01_Supuestos!$C$189&gt;0,L$39=01_Supuestos!$C$189),01_Supuestos!$C$190*K289*(1-$C$340)*(1-1/$C$281),0),K289-L342-L289)</f>
        <v>8.71380576800225</v>
      </c>
      <c r="M290" s="1" t="n">
        <f aca="false">MAX(L289*(1-$C$340)/$C$281+IF(AND(01_Supuestos!$C$189&gt;0,M$39=01_Supuestos!$C$189),01_Supuestos!$C$190*L289*(1-$C$340)*(1-1/$C$281),0),L289-M342-M289)</f>
        <v>10.2905318641567</v>
      </c>
      <c r="N290" s="1" t="n">
        <f aca="false">MAX(M289*(1-$C$340)/$C$281+IF(AND(01_Supuestos!$C$189&gt;0,N$39=01_Supuestos!$C$189),01_Supuestos!$C$190*M289*(1-$C$340)*(1-1/$C$281),0),M289-N342-N289)</f>
        <v>13.0235497721241</v>
      </c>
      <c r="O290" s="1" t="n">
        <f aca="false">MAX(N289*(1-$C$340)/$C$281+IF(AND(01_Supuestos!$C$189&gt;0,O$39=01_Supuestos!$C$189),01_Supuestos!$C$190*N289*(1-$C$340)*(1-1/$C$281),0),N289-O342-O289)</f>
        <v>14.665525017843</v>
      </c>
      <c r="P290" s="1" t="n">
        <f aca="false">MAX(O289*(1-$C$340)/$C$281+IF(AND(01_Supuestos!$C$189&gt;0,P$39=01_Supuestos!$C$189),01_Supuestos!$C$190*O289*(1-$C$340)*(1-1/$C$281),0),O289-P342-P289)</f>
        <v>14.9477300703411</v>
      </c>
      <c r="Q290" s="1" t="n">
        <f aca="false">MAX(P289*(1-$C$340)/$C$281+IF(AND(01_Supuestos!$C$189&gt;0,Q$39=01_Supuestos!$C$189),01_Supuestos!$C$190*P289*(1-$C$340)*(1-1/$C$281),0),P289-Q342-Q289)</f>
        <v>15.2480904166921</v>
      </c>
      <c r="R290" s="1" t="n">
        <f aca="false">MAX(Q289*(1-$C$340)/$C$281+IF(AND(01_Supuestos!$C$189&gt;0,R$39=01_Supuestos!$C$189),01_Supuestos!$C$190*Q289*(1-$C$340)*(1-1/$C$281),0),Q289-R342-R289)</f>
        <v>15.5671616990735</v>
      </c>
      <c r="S290" s="1" t="n">
        <f aca="false">MAX(R289*(1-$C$340)/$C$281+IF(AND(01_Supuestos!$C$189&gt;0,S$39=01_Supuestos!$C$189),01_Supuestos!$C$190*R289*(1-$C$340)*(1-1/$C$281),0),R289-S342-S289)</f>
        <v>15.9035176866681</v>
      </c>
      <c r="T290" s="1" t="n">
        <f aca="false">MAX(S289*(1-$C$340)/$C$281+IF(AND(01_Supuestos!$C$189&gt;0,T$39=01_Supuestos!$C$189),01_Supuestos!$C$190*S289*(1-$C$340)*(1-1/$C$281),0),S289-T342-T289)</f>
        <v>16.2558655196023</v>
      </c>
      <c r="U290" s="1" t="n">
        <f aca="false">MAX(T289*(1-$C$340)/$C$281+IF(AND(01_Supuestos!$C$189&gt;0,U$39=01_Supuestos!$C$189),01_Supuestos!$C$190*T289*(1-$C$340)*(1-1/$C$281),0),T289-U342-U289)</f>
        <v>16.6229967185099</v>
      </c>
      <c r="V290" s="1" t="n">
        <f aca="false">MAX(U289*(1-$C$340)/$C$281+IF(AND(01_Supuestos!$C$189&gt;0,V$39=01_Supuestos!$C$189),01_Supuestos!$C$190*U289*(1-$C$340)*(1-1/$C$281),0),U289-V342-V289)</f>
        <v>17.0005472420982</v>
      </c>
      <c r="W290" s="1" t="n">
        <f aca="false">MAX(V289*(1-$C$340)/$C$281+IF(AND(01_Supuestos!$C$189&gt;0,W$39=01_Supuestos!$C$189),01_Supuestos!$C$190*V289*(1-$C$340)*(1-1/$C$281),0),V289-W342-W289)</f>
        <v>17.3886112622458</v>
      </c>
      <c r="X290" s="1" t="n">
        <f aca="false">MAX(W289*(1-$C$340)/$C$281+IF(AND(01_Supuestos!$C$189&gt;0,X$39=01_Supuestos!$C$189),01_Supuestos!$C$190*W289*(1-$C$340)*(1-1/$C$281),0),W289-X342-X289)</f>
        <v>17.788499022332</v>
      </c>
      <c r="Y290" s="1" t="n">
        <f aca="false">MAX(X289*(1-$C$340)/$C$281+IF(AND(01_Supuestos!$C$189&gt;0,Y$39=01_Supuestos!$C$189),01_Supuestos!$C$190*X289*(1-$C$340)*(1-1/$C$281),0),X289-Y342-Y289)</f>
        <v>18.200314176632</v>
      </c>
      <c r="Z290" s="1" t="n">
        <f aca="false">MAX(Y289*(1-$C$340)/$C$281+IF(AND(01_Supuestos!$C$189&gt;0,Z$39=01_Supuestos!$C$189),01_Supuestos!$C$190*Y289*(1-$C$340)*(1-1/$C$281),0),Y289-Z342-Z289)</f>
        <v>18.6241658333738</v>
      </c>
      <c r="AA290" s="1" t="n">
        <f aca="false">MAX(Z289*(1-$C$340)/$C$281+IF(AND(01_Supuestos!$C$189&gt;0,AA$39=01_Supuestos!$C$189),01_Supuestos!$C$190*Z289*(1-$C$340)*(1-1/$C$281),0),Z289-AA342-AA289)</f>
        <v>19.0601685428974</v>
      </c>
      <c r="AB290" s="1" t="n">
        <f aca="false">MAX(AA289*(1-$C$340)/$C$281+IF(AND(01_Supuestos!$C$189&gt;0,AB$39=01_Supuestos!$C$189),01_Supuestos!$C$190*AA289*(1-$C$340)*(1-1/$C$281),0),AA289-AB342-AB289)</f>
        <v>19.5084421902415</v>
      </c>
      <c r="AC290" s="1" t="n">
        <f aca="false">MAX(AB289*(1-$C$340)/$C$281+IF(AND(01_Supuestos!$C$189&gt;0,AC$39=01_Supuestos!$C$189),01_Supuestos!$C$190*AB289*(1-$C$340)*(1-1/$C$281),0),AB289-AC342-AC289)</f>
        <v>19.9690855500291</v>
      </c>
      <c r="AD290" s="1" t="n">
        <f aca="false">MAX(AC289*(1-$C$340)/$C$281+IF(AND(01_Supuestos!$C$189&gt;0,AD$39=01_Supuestos!$C$189),01_Supuestos!$C$190*AC289*(1-$C$340)*(1-1/$C$281),0),AC289-AD342-AD289)</f>
        <v>20.4422030046506</v>
      </c>
      <c r="AE290" s="1" t="n">
        <f aca="false">MAX(AD289*(1-$C$340)/$C$281+IF(AND(01_Supuestos!$C$189&gt;0,AE$39=01_Supuestos!$C$189),01_Supuestos!$C$190*AD289*(1-$C$340)*(1-1/$C$281),0),AD289-AE342-AE289)</f>
        <v>20.9279044362868</v>
      </c>
      <c r="AF290" s="1" t="n">
        <f aca="false">MAX(AE289*(1-$C$340)/$C$281+IF(AND(01_Supuestos!$C$189&gt;0,AF$39=01_Supuestos!$C$189),01_Supuestos!$C$190*AE289*(1-$C$340)*(1-1/$C$281),0),AE289-AF342-AF289)</f>
        <v>21.4263051196555</v>
      </c>
    </row>
    <row r="291" customFormat="false" ht="14.25" hidden="false" customHeight="true" outlineLevel="0" collapsed="false">
      <c r="B291" s="84" t="s">
        <v>1281</v>
      </c>
      <c r="C291" s="1" t="n">
        <f aca="false">C289-0+C290</f>
        <v>2.97124026869837</v>
      </c>
      <c r="D291" s="1" t="n">
        <f aca="false">D289-C289+D290+D342</f>
        <v>5.36099648919688</v>
      </c>
      <c r="E291" s="1" t="n">
        <f aca="false">E289-D289+E290+E342</f>
        <v>7.20530201901977</v>
      </c>
      <c r="F291" s="1" t="n">
        <f aca="false">F289-E289+F290+F342</f>
        <v>6.11817540847788</v>
      </c>
      <c r="G291" s="1" t="n">
        <f aca="false">G289-F289+G290+G342</f>
        <v>7.02509421423981</v>
      </c>
      <c r="H291" s="1" t="n">
        <f aca="false">H289-G289+H290+H342</f>
        <v>8.66206468748482</v>
      </c>
      <c r="I291" s="1" t="n">
        <f aca="false">I289-H289+I290+I342</f>
        <v>10.1918357712502</v>
      </c>
      <c r="J291" s="1" t="n">
        <f aca="false">J289-I289+J290+J342</f>
        <v>11.7907509358359</v>
      </c>
      <c r="K291" s="1" t="n">
        <f aca="false">K289-J289+K290+K342</f>
        <v>14.908790853618</v>
      </c>
      <c r="L291" s="1" t="n">
        <f aca="false">L289-K289+L290+L342</f>
        <v>16.6489404122589</v>
      </c>
      <c r="M291" s="1" t="n">
        <f aca="false">M289-L289+M290+M342</f>
        <v>24.0208043357859</v>
      </c>
      <c r="N291" s="1" t="n">
        <f aca="false">N289-M289+N290+N342</f>
        <v>21.3068270268339</v>
      </c>
      <c r="O291" s="1" t="n">
        <f aca="false">O289-N289+O290+O342</f>
        <v>16.1513637441493</v>
      </c>
      <c r="P291" s="1" t="n">
        <f aca="false">P289-O289+P290+P342</f>
        <v>16.5258485709482</v>
      </c>
      <c r="Q291" s="1" t="n">
        <f aca="false">Q289-P289+Q290+Q342</f>
        <v>16.921360550817</v>
      </c>
      <c r="R291" s="1" t="n">
        <f aca="false">R289-Q289+R290+R342</f>
        <v>17.3285388226653</v>
      </c>
      <c r="S291" s="1" t="n">
        <f aca="false">S289-R289+S290+S342</f>
        <v>17.7466175396255</v>
      </c>
      <c r="T291" s="1" t="n">
        <f aca="false">T289-S289+T290+T342</f>
        <v>18.1747196959147</v>
      </c>
      <c r="U291" s="1" t="n">
        <f aca="false">U289-T289+U290+U342</f>
        <v>18.5958371604859</v>
      </c>
      <c r="V291" s="1" t="n">
        <f aca="false">V289-U289+V290+V342</f>
        <v>19.0278974292337</v>
      </c>
      <c r="W291" s="1" t="n">
        <f aca="false">W289-V289+W290+W342</f>
        <v>19.4770815893152</v>
      </c>
      <c r="X291" s="1" t="n">
        <f aca="false">X289-W289+X290+X342</f>
        <v>19.9386674573788</v>
      </c>
      <c r="Y291" s="1" t="n">
        <f aca="false">Y289-X289+Y290+Y342</f>
        <v>20.4127865035512</v>
      </c>
      <c r="Z291" s="1" t="n">
        <f aca="false">Z289-Y289+Z290+Z342</f>
        <v>20.8995756199453</v>
      </c>
      <c r="AA291" s="1" t="n">
        <f aca="false">AA289-Z289+AA290+AA342</f>
        <v>21.3991766304198</v>
      </c>
      <c r="AB291" s="1" t="n">
        <f aca="false">AB289-AA289+AB290+AB342</f>
        <v>21.9116043623025</v>
      </c>
      <c r="AC291" s="1" t="n">
        <f aca="false">AC289-AB289+AC290+AC342</f>
        <v>22.4369861514884</v>
      </c>
      <c r="AD291" s="1" t="n">
        <f aca="false">AD289-AC289+AD290+AD342</f>
        <v>22.9754544292794</v>
      </c>
      <c r="AE291" s="1" t="n">
        <f aca="false">AE289-AD289+AE290+AE342</f>
        <v>23.527146617493</v>
      </c>
      <c r="AF291" s="1" t="n">
        <f aca="false">AF289-AE289+AF290+AF342</f>
        <v>24.0922050721985</v>
      </c>
    </row>
    <row r="292" customFormat="false" ht="14.25" hidden="false" customHeight="true" outlineLevel="0" collapsed="false">
      <c r="B292" s="84" t="s">
        <v>1282</v>
      </c>
      <c r="C292" s="1" t="n">
        <f aca="false">C289*(1-$C$340)*$C$175</f>
        <v>0.127635568222476</v>
      </c>
      <c r="D292" s="1" t="n">
        <f aca="false">D289*(1-$C$340)*$C$175</f>
        <v>0.332298672309833</v>
      </c>
      <c r="E292" s="1" t="n">
        <f aca="false">E289*(1-$C$340)*$C$175</f>
        <v>0.575091257741051</v>
      </c>
      <c r="F292" s="1" t="n">
        <f aca="false">F289*(1-$C$340)*$C$175</f>
        <v>0.722431394208632</v>
      </c>
      <c r="G292" s="1" t="n">
        <f aca="false">G289*(1-$C$340)*$C$175</f>
        <v>0.879144142412638</v>
      </c>
      <c r="H292" s="1" t="n">
        <f aca="false">H289*(1-$C$340)*$C$175</f>
        <v>1.07470831139647</v>
      </c>
      <c r="I292" s="1" t="n">
        <f aca="false">I289*(1-$C$340)*$C$175</f>
        <v>1.29671757169365</v>
      </c>
      <c r="J292" s="1" t="n">
        <f aca="false">J289*(1-$C$340)*$C$175</f>
        <v>1.54283197124827</v>
      </c>
      <c r="K292" s="1" t="n">
        <f aca="false">K289*(1-$C$340)*$C$175</f>
        <v>1.87346824012048</v>
      </c>
      <c r="L292" s="1" t="n">
        <f aca="false">L289*(1-$C$340)*$C$175</f>
        <v>2.2124643507937</v>
      </c>
      <c r="M292" s="1" t="n">
        <f aca="false">M289*(1-$C$340)*$C$175</f>
        <v>2.80006320100668</v>
      </c>
      <c r="N292" s="1" t="n">
        <f aca="false">N289*(1-$C$340)*$C$175</f>
        <v>3.15308787883624</v>
      </c>
      <c r="O292" s="1" t="n">
        <f aca="false">O289*(1-$C$340)*$C$175</f>
        <v>3.21376196512334</v>
      </c>
      <c r="P292" s="1" t="n">
        <f aca="false">P289*(1-$C$340)*$C$175</f>
        <v>3.2783394395888</v>
      </c>
      <c r="Q292" s="1" t="n">
        <f aca="false">Q289*(1-$C$340)*$C$175</f>
        <v>3.34693976530081</v>
      </c>
      <c r="R292" s="1" t="n">
        <f aca="false">R289*(1-$C$340)*$C$175</f>
        <v>3.41925630263364</v>
      </c>
      <c r="S292" s="1" t="n">
        <f aca="false">S289*(1-$C$340)*$C$175</f>
        <v>3.4950110867145</v>
      </c>
      <c r="T292" s="1" t="n">
        <f aca="false">T289*(1-$C$340)*$C$175</f>
        <v>3.57394429447964</v>
      </c>
      <c r="U292" s="1" t="n">
        <f aca="false">U289*(1-$C$340)*$C$175</f>
        <v>3.65511765705112</v>
      </c>
      <c r="V292" s="1" t="n">
        <f aca="false">V289*(1-$C$340)*$C$175</f>
        <v>3.73855142138285</v>
      </c>
      <c r="W292" s="1" t="n">
        <f aca="false">W289*(1-$C$340)*$C$175</f>
        <v>3.82452728980138</v>
      </c>
      <c r="X292" s="1" t="n">
        <f aca="false">X289*(1-$C$340)*$C$175</f>
        <v>3.91306754797589</v>
      </c>
      <c r="Y292" s="1" t="n">
        <f aca="false">Y289*(1-$C$340)*$C$175</f>
        <v>4.00419565417538</v>
      </c>
      <c r="Z292" s="1" t="n">
        <f aca="false">Z289*(1-$C$340)*$C$175</f>
        <v>4.09793623672295</v>
      </c>
      <c r="AA292" s="1" t="n">
        <f aca="false">AA289*(1-$C$340)*$C$175</f>
        <v>4.19431507090192</v>
      </c>
      <c r="AB292" s="1" t="n">
        <f aca="false">AB289*(1-$C$340)*$C$175</f>
        <v>4.29335339325625</v>
      </c>
      <c r="AC292" s="1" t="n">
        <f aca="false">AC289*(1-$C$340)*$C$175</f>
        <v>4.39507364599988</v>
      </c>
      <c r="AD292" s="1" t="n">
        <f aca="false">AD289*(1-$C$340)*$C$175</f>
        <v>4.49949945380166</v>
      </c>
      <c r="AE292" s="1" t="n">
        <f aca="false">AE289*(1-$C$340)*$C$175</f>
        <v>4.60665560072593</v>
      </c>
      <c r="AF292" s="1" t="n">
        <f aca="false">AF289*(1-$C$340)*$C$175</f>
        <v>4.71656800938659</v>
      </c>
    </row>
    <row r="293" customFormat="false" ht="14.25" hidden="false" customHeight="true" outlineLevel="0" collapsed="false">
      <c r="B293" s="144" t="s">
        <v>1285</v>
      </c>
    </row>
    <row r="294" customFormat="false" ht="14.25" hidden="false" customHeight="true" outlineLevel="0" collapsed="false">
      <c r="B294" s="84" t="s">
        <v>1286</v>
      </c>
      <c r="C294" s="116" t="n">
        <f aca="false">C85</f>
        <v>1.41920433268594</v>
      </c>
      <c r="D294" s="116" t="n">
        <f aca="false">D85</f>
        <v>3.7524686378297</v>
      </c>
      <c r="E294" s="116" t="n">
        <f aca="false">E85</f>
        <v>6.93228939599851</v>
      </c>
      <c r="F294" s="116" t="n">
        <f aca="false">F85</f>
        <v>14.2404912699692</v>
      </c>
      <c r="G294" s="116" t="n">
        <f aca="false">G85</f>
        <v>21.4766142499103</v>
      </c>
      <c r="H294" s="116" t="n">
        <f aca="false">H85</f>
        <v>27.4644804128002</v>
      </c>
      <c r="I294" s="116" t="n">
        <f aca="false">I85</f>
        <v>32.7091900110196</v>
      </c>
      <c r="J294" s="116" t="n">
        <f aca="false">J85</f>
        <v>37.311980046485</v>
      </c>
      <c r="K294" s="116" t="n">
        <f aca="false">K85</f>
        <v>38.85543063183</v>
      </c>
      <c r="L294" s="116" t="n">
        <f aca="false">L85</f>
        <v>40.4040692903205</v>
      </c>
      <c r="M294" s="116" t="n">
        <f aca="false">M85</f>
        <v>32.3232554322564</v>
      </c>
      <c r="N294" s="116" t="n">
        <f aca="false">N85</f>
        <v>27.426426802335</v>
      </c>
      <c r="O294" s="116" t="n">
        <f aca="false">O85</f>
        <v>28.5327275506191</v>
      </c>
      <c r="P294" s="116" t="n">
        <f aca="false">P85</f>
        <v>29.5638158549135</v>
      </c>
      <c r="Q294" s="116" t="n">
        <f aca="false">Q85</f>
        <v>30.5167703753189</v>
      </c>
      <c r="R294" s="116" t="n">
        <f aca="false">R85</f>
        <v>31.4058150760723</v>
      </c>
      <c r="S294" s="116" t="n">
        <f aca="false">S85</f>
        <v>32.2440671019558</v>
      </c>
      <c r="T294" s="116" t="n">
        <f aca="false">T85</f>
        <v>33.0439605462642</v>
      </c>
      <c r="U294" s="116" t="n">
        <f aca="false">U85</f>
        <v>33.8452059847038</v>
      </c>
      <c r="V294" s="116" t="n">
        <f aca="false">V85</f>
        <v>34.6490898425125</v>
      </c>
      <c r="W294" s="116" t="n">
        <f aca="false">W85</f>
        <v>35.4464529545346</v>
      </c>
      <c r="X294" s="116" t="n">
        <f aca="false">X85</f>
        <v>36.2385975867516</v>
      </c>
      <c r="Y294" s="116" t="n">
        <f aca="false">Y85</f>
        <v>37.0268294660776</v>
      </c>
      <c r="Z294" s="116" t="n">
        <f aca="false">Z85</f>
        <v>37.8124590446085</v>
      </c>
      <c r="AA294" s="116" t="n">
        <f aca="false">AA85</f>
        <v>38.5968036153246</v>
      </c>
      <c r="AB294" s="116" t="n">
        <f aca="false">AB85</f>
        <v>39.3814167315585</v>
      </c>
      <c r="AC294" s="116" t="n">
        <f aca="false">AC85</f>
        <v>40.1678588913827</v>
      </c>
      <c r="AD294" s="116" t="n">
        <f aca="false">AD85</f>
        <v>40.9576997421081</v>
      </c>
      <c r="AE294" s="116" t="n">
        <f aca="false">AE85</f>
        <v>41.7525203078024</v>
      </c>
      <c r="AF294" s="116" t="n">
        <f aca="false">AF85</f>
        <v>42.553915157917</v>
      </c>
    </row>
    <row r="295" customFormat="false" ht="14.25" hidden="false" customHeight="true" outlineLevel="0" collapsed="false">
      <c r="B295" s="84" t="s">
        <v>1287</v>
      </c>
      <c r="C295" s="1" t="n">
        <f aca="false">MAX(0/$C$282,0-C294)</f>
        <v>0</v>
      </c>
      <c r="D295" s="1" t="n">
        <f aca="false">MAX(C294/$C$282,C294-D294)</f>
        <v>0.141920433268594</v>
      </c>
      <c r="E295" s="1" t="n">
        <f aca="false">MAX(D294/$C$282,D294-E294)</f>
        <v>0.37524686378297</v>
      </c>
      <c r="F295" s="1" t="n">
        <f aca="false">MAX(E294/$C$282,E294-F294)</f>
        <v>0.693228939599851</v>
      </c>
      <c r="G295" s="1" t="n">
        <f aca="false">MAX(F294/$C$282,F294-G294)</f>
        <v>1.42404912699692</v>
      </c>
      <c r="H295" s="1" t="n">
        <f aca="false">MAX(G294/$C$282,G294-H294)</f>
        <v>2.14766142499103</v>
      </c>
      <c r="I295" s="1" t="n">
        <f aca="false">MAX(H294/$C$282,H294-I294)</f>
        <v>2.74644804128002</v>
      </c>
      <c r="J295" s="1" t="n">
        <f aca="false">MAX(I294/$C$282,I294-J294)</f>
        <v>3.27091900110196</v>
      </c>
      <c r="K295" s="1" t="n">
        <f aca="false">MAX(J294/$C$282,J294-K294)</f>
        <v>3.7311980046485</v>
      </c>
      <c r="L295" s="1" t="n">
        <f aca="false">MAX(K294/$C$282,K294-L294)</f>
        <v>3.885543063183</v>
      </c>
      <c r="M295" s="1" t="n">
        <f aca="false">MAX(L294/$C$282,L294-M294)</f>
        <v>8.0808138580641</v>
      </c>
      <c r="N295" s="1" t="n">
        <f aca="false">MAX(M294/$C$282,M294-N294)</f>
        <v>4.89682862992139</v>
      </c>
      <c r="O295" s="1" t="n">
        <f aca="false">MAX(N294/$C$282,N294-O294)</f>
        <v>2.7426426802335</v>
      </c>
      <c r="P295" s="1" t="n">
        <f aca="false">MAX(O294/$C$282,O294-P294)</f>
        <v>2.85327275506191</v>
      </c>
      <c r="Q295" s="1" t="n">
        <f aca="false">MAX(P294/$C$282,P294-Q294)</f>
        <v>2.95638158549135</v>
      </c>
      <c r="R295" s="1" t="n">
        <f aca="false">MAX(Q294/$C$282,Q294-R294)</f>
        <v>3.05167703753189</v>
      </c>
      <c r="S295" s="1" t="n">
        <f aca="false">MAX(R294/$C$282,R294-S294)</f>
        <v>3.14058150760723</v>
      </c>
      <c r="T295" s="1" t="n">
        <f aca="false">MAX(S294/$C$282,S294-T294)</f>
        <v>3.22440671019558</v>
      </c>
      <c r="U295" s="1" t="n">
        <f aca="false">MAX(T294/$C$282,T294-U294)</f>
        <v>3.30439605462642</v>
      </c>
      <c r="V295" s="1" t="n">
        <f aca="false">MAX(U294/$C$282,U294-V294)</f>
        <v>3.38452059847038</v>
      </c>
      <c r="W295" s="1" t="n">
        <f aca="false">MAX(V294/$C$282,V294-W294)</f>
        <v>3.46490898425125</v>
      </c>
      <c r="X295" s="1" t="n">
        <f aca="false">MAX(W294/$C$282,W294-X294)</f>
        <v>3.54464529545346</v>
      </c>
      <c r="Y295" s="1" t="n">
        <f aca="false">MAX(X294/$C$282,X294-Y294)</f>
        <v>3.62385975867516</v>
      </c>
      <c r="Z295" s="1" t="n">
        <f aca="false">MAX(Y294/$C$282,Y294-Z294)</f>
        <v>3.70268294660776</v>
      </c>
      <c r="AA295" s="1" t="n">
        <f aca="false">MAX(Z294/$C$282,Z294-AA294)</f>
        <v>3.78124590446085</v>
      </c>
      <c r="AB295" s="1" t="n">
        <f aca="false">MAX(AA294/$C$282,AA294-AB294)</f>
        <v>3.85968036153246</v>
      </c>
      <c r="AC295" s="1" t="n">
        <f aca="false">MAX(AB294/$C$282,AB294-AC294)</f>
        <v>3.93814167315585</v>
      </c>
      <c r="AD295" s="1" t="n">
        <f aca="false">MAX(AC294/$C$282,AC294-AD294)</f>
        <v>4.01678588913828</v>
      </c>
      <c r="AE295" s="1" t="n">
        <f aca="false">MAX(AD294/$C$282,AD294-AE294)</f>
        <v>4.09576997421081</v>
      </c>
      <c r="AF295" s="1" t="n">
        <f aca="false">MAX(AE294/$C$282,AE294-AF294)</f>
        <v>4.17525203078024</v>
      </c>
    </row>
    <row r="296" customFormat="false" ht="14.25" hidden="false" customHeight="true" outlineLevel="0" collapsed="false">
      <c r="B296" s="84" t="s">
        <v>1288</v>
      </c>
      <c r="C296" s="1" t="n">
        <f aca="false">C294-0+C295</f>
        <v>1.41920433268594</v>
      </c>
      <c r="D296" s="1" t="n">
        <f aca="false">D294-C294+D295</f>
        <v>2.47518473841235</v>
      </c>
      <c r="E296" s="1" t="n">
        <f aca="false">E294-D294+E295</f>
        <v>3.55506762195177</v>
      </c>
      <c r="F296" s="1" t="n">
        <f aca="false">F294-E294+F295</f>
        <v>8.00143081357058</v>
      </c>
      <c r="G296" s="1" t="n">
        <f aca="false">G294-F294+G295</f>
        <v>8.66017210693799</v>
      </c>
      <c r="H296" s="1" t="n">
        <f aca="false">H294-G294+H295</f>
        <v>8.13552758788093</v>
      </c>
      <c r="I296" s="1" t="n">
        <f aca="false">I294-H294+I295</f>
        <v>7.99115763949945</v>
      </c>
      <c r="J296" s="1" t="n">
        <f aca="false">J294-I294+J295</f>
        <v>7.87370903656733</v>
      </c>
      <c r="K296" s="1" t="n">
        <f aca="false">K294-J294+K295</f>
        <v>5.27464858999351</v>
      </c>
      <c r="L296" s="1" t="n">
        <f aca="false">L294-K294+L295</f>
        <v>5.43418172167351</v>
      </c>
      <c r="M296" s="1" t="n">
        <f aca="false">M294-L294+M295</f>
        <v>0</v>
      </c>
      <c r="N296" s="1" t="n">
        <f aca="false">N294-M294+N295</f>
        <v>0</v>
      </c>
      <c r="O296" s="1" t="n">
        <f aca="false">O294-N294+O295</f>
        <v>3.84894342851759</v>
      </c>
      <c r="P296" s="1" t="n">
        <f aca="false">P294-O294+P295</f>
        <v>3.88436105935626</v>
      </c>
      <c r="Q296" s="1" t="n">
        <f aca="false">Q294-P294+Q295</f>
        <v>3.90933610589674</v>
      </c>
      <c r="R296" s="1" t="n">
        <f aca="false">R294-Q294+R295</f>
        <v>3.94072173828534</v>
      </c>
      <c r="S296" s="1" t="n">
        <f aca="false">S294-R294+S295</f>
        <v>3.97883353349073</v>
      </c>
      <c r="T296" s="1" t="n">
        <f aca="false">T294-S294+T295</f>
        <v>4.02430015450394</v>
      </c>
      <c r="U296" s="1" t="n">
        <f aca="false">U294-T294+U295</f>
        <v>4.10564149306603</v>
      </c>
      <c r="V296" s="1" t="n">
        <f aca="false">V294-U294+V295</f>
        <v>4.18840445627913</v>
      </c>
      <c r="W296" s="1" t="n">
        <f aca="false">W294-V294+W295</f>
        <v>4.26227209627328</v>
      </c>
      <c r="X296" s="1" t="n">
        <f aca="false">X294-W294+X295</f>
        <v>4.33678992767054</v>
      </c>
      <c r="Y296" s="1" t="n">
        <f aca="false">Y294-X294+Y295</f>
        <v>4.41209163800109</v>
      </c>
      <c r="Z296" s="1" t="n">
        <f aca="false">Z294-Y294+Z295</f>
        <v>4.48831252513869</v>
      </c>
      <c r="AA296" s="1" t="n">
        <f aca="false">AA294-Z294+AA295</f>
        <v>4.56559047517693</v>
      </c>
      <c r="AB296" s="1" t="n">
        <f aca="false">AB294-AA294+AB295</f>
        <v>4.64429347776636</v>
      </c>
      <c r="AC296" s="1" t="n">
        <f aca="false">AC294-AB294+AC295</f>
        <v>4.72458383298011</v>
      </c>
      <c r="AD296" s="1" t="n">
        <f aca="false">AD294-AC294+AD295</f>
        <v>4.80662673986366</v>
      </c>
      <c r="AE296" s="1" t="n">
        <f aca="false">AE294-AD294+AE295</f>
        <v>4.89059053990511</v>
      </c>
      <c r="AF296" s="1" t="n">
        <f aca="false">AF294-AE294+AF295</f>
        <v>4.97664688089478</v>
      </c>
    </row>
    <row r="297" customFormat="false" ht="14.25" hidden="false" customHeight="true" outlineLevel="0" collapsed="false">
      <c r="B297" s="84" t="s">
        <v>1289</v>
      </c>
      <c r="C297" s="1" t="n">
        <f aca="false">C294*01_Supuestos!$I$126</f>
        <v>0.0567681733074377</v>
      </c>
      <c r="D297" s="1" t="n">
        <f aca="false">D294*01_Supuestos!$I$126</f>
        <v>0.150098745513188</v>
      </c>
      <c r="E297" s="1" t="n">
        <f aca="false">E294*01_Supuestos!$I$126</f>
        <v>0.27729157583994</v>
      </c>
      <c r="F297" s="1" t="n">
        <f aca="false">F294*01_Supuestos!$I$126</f>
        <v>0.56961965079877</v>
      </c>
      <c r="G297" s="1" t="n">
        <f aca="false">G294*01_Supuestos!$I$126</f>
        <v>0.859064569996412</v>
      </c>
      <c r="H297" s="1" t="n">
        <f aca="false">H294*01_Supuestos!$I$126</f>
        <v>1.09857921651201</v>
      </c>
      <c r="I297" s="1" t="n">
        <f aca="false">I294*01_Supuestos!$I$126</f>
        <v>1.30836760044079</v>
      </c>
      <c r="J297" s="1" t="n">
        <f aca="false">J294*01_Supuestos!$I$126</f>
        <v>1.4924792018594</v>
      </c>
      <c r="K297" s="1" t="n">
        <f aca="false">K294*01_Supuestos!$I$126</f>
        <v>1.5542172252732</v>
      </c>
      <c r="L297" s="1" t="n">
        <f aca="false">L294*01_Supuestos!$I$126</f>
        <v>1.61616277161282</v>
      </c>
      <c r="M297" s="1" t="n">
        <f aca="false">M294*01_Supuestos!$I$126</f>
        <v>1.29293021729026</v>
      </c>
      <c r="N297" s="1" t="n">
        <f aca="false">N294*01_Supuestos!$I$126</f>
        <v>1.0970570720934</v>
      </c>
      <c r="O297" s="1" t="n">
        <f aca="false">O294*01_Supuestos!$I$126</f>
        <v>1.14130910202476</v>
      </c>
      <c r="P297" s="1" t="n">
        <f aca="false">P294*01_Supuestos!$I$126</f>
        <v>1.18255263419654</v>
      </c>
      <c r="Q297" s="1" t="n">
        <f aca="false">Q294*01_Supuestos!$I$126</f>
        <v>1.22067081501275</v>
      </c>
      <c r="R297" s="1" t="n">
        <f aca="false">R294*01_Supuestos!$I$126</f>
        <v>1.25623260304289</v>
      </c>
      <c r="S297" s="1" t="n">
        <f aca="false">S294*01_Supuestos!$I$126</f>
        <v>1.28976268407823</v>
      </c>
      <c r="T297" s="1" t="n">
        <f aca="false">T294*01_Supuestos!$I$126</f>
        <v>1.32175842185057</v>
      </c>
      <c r="U297" s="1" t="n">
        <f aca="false">U294*01_Supuestos!$I$126</f>
        <v>1.35380823938815</v>
      </c>
      <c r="V297" s="1" t="n">
        <f aca="false">V294*01_Supuestos!$I$126</f>
        <v>1.3859635937005</v>
      </c>
      <c r="W297" s="1" t="n">
        <f aca="false">W294*01_Supuestos!$I$126</f>
        <v>1.41785811818138</v>
      </c>
      <c r="X297" s="1" t="n">
        <f aca="false">X294*01_Supuestos!$I$126</f>
        <v>1.44954390347007</v>
      </c>
      <c r="Y297" s="1" t="n">
        <f aca="false">Y294*01_Supuestos!$I$126</f>
        <v>1.4810731786431</v>
      </c>
      <c r="Z297" s="1" t="n">
        <f aca="false">Z294*01_Supuestos!$I$126</f>
        <v>1.51249836178434</v>
      </c>
      <c r="AA297" s="1" t="n">
        <f aca="false">AA294*01_Supuestos!$I$126</f>
        <v>1.54387214461298</v>
      </c>
      <c r="AB297" s="1" t="n">
        <f aca="false">AB294*01_Supuestos!$I$126</f>
        <v>1.57525666926234</v>
      </c>
      <c r="AC297" s="1" t="n">
        <f aca="false">AC294*01_Supuestos!$I$126</f>
        <v>1.60671435565531</v>
      </c>
      <c r="AD297" s="1" t="n">
        <f aca="false">AD294*01_Supuestos!$I$126</f>
        <v>1.63830798968433</v>
      </c>
      <c r="AE297" s="1" t="n">
        <f aca="false">AE294*01_Supuestos!$I$126</f>
        <v>1.6701008123121</v>
      </c>
      <c r="AF297" s="1" t="n">
        <f aca="false">AF294*01_Supuestos!$I$126</f>
        <v>1.70215660631668</v>
      </c>
    </row>
    <row r="298" customFormat="false" ht="14.25" hidden="false" customHeight="true" outlineLevel="0" collapsed="false">
      <c r="B298" s="84" t="s">
        <v>1290</v>
      </c>
      <c r="C298" s="116" t="n">
        <f aca="false">C86</f>
        <v>0.344317493798204</v>
      </c>
      <c r="D298" s="116" t="n">
        <f aca="false">D86</f>
        <v>0.899459484744269</v>
      </c>
      <c r="E298" s="116" t="n">
        <f aca="false">E86</f>
        <v>1.57970333474427</v>
      </c>
      <c r="F298" s="116" t="n">
        <f aca="false">F86</f>
        <v>2.27559279329427</v>
      </c>
      <c r="G298" s="116" t="n">
        <f aca="false">G86</f>
        <v>2.98748770939092</v>
      </c>
      <c r="H298" s="116" t="n">
        <f aca="false">H86</f>
        <v>3.71575620855779</v>
      </c>
      <c r="I298" s="116" t="n">
        <f aca="false">I86</f>
        <v>4.4607748832055</v>
      </c>
      <c r="J298" s="116" t="n">
        <f aca="false">J86</f>
        <v>5.22292898737011</v>
      </c>
      <c r="K298" s="116" t="n">
        <f aca="false">K86</f>
        <v>6.0026126359305</v>
      </c>
      <c r="L298" s="116" t="n">
        <f aca="false">L86</f>
        <v>6.80022900840779</v>
      </c>
      <c r="M298" s="116" t="n">
        <f aca="false">M86</f>
        <v>7.61619055745205</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6.54203238216588</v>
      </c>
      <c r="D299" s="1" t="n">
        <f aca="false">D286+D291+D296</f>
        <v>11.3958667046293</v>
      </c>
      <c r="E299" s="1" t="n">
        <f aca="false">E286+E291+E296</f>
        <v>15.1385949059265</v>
      </c>
      <c r="F299" s="1" t="n">
        <f aca="false">F286+F291+F296</f>
        <v>17.0972926149684</v>
      </c>
      <c r="G299" s="1" t="n">
        <f aca="false">G286+G291+G296</f>
        <v>18.9474966208581</v>
      </c>
      <c r="H299" s="1" t="n">
        <f aca="false">H286+H291+H296</f>
        <v>20.8493487823417</v>
      </c>
      <c r="I299" s="1" t="n">
        <f aca="false">I286+I291+I296</f>
        <v>22.8485078618643</v>
      </c>
      <c r="J299" s="1" t="n">
        <f aca="false">J286+J291+J296</f>
        <v>24.9270002644842</v>
      </c>
      <c r="K299" s="1" t="n">
        <f aca="false">K286+K291+K296</f>
        <v>27.0821703428777</v>
      </c>
      <c r="L299" s="1" t="n">
        <f aca="false">L286+L291+L296</f>
        <v>29.4067534377738</v>
      </c>
      <c r="M299" s="1" t="n">
        <f aca="false">M286+M291+M296</f>
        <v>35.8263565492699</v>
      </c>
      <c r="N299" s="1" t="n">
        <f aca="false">N286+N291+N296</f>
        <v>29.6627738769221</v>
      </c>
      <c r="O299" s="1" t="n">
        <f aca="false">O286+O291+O296</f>
        <v>23.731225089774</v>
      </c>
      <c r="P299" s="1" t="n">
        <f aca="false">P286+P291+P296</f>
        <v>24.259039677961</v>
      </c>
      <c r="Q299" s="1" t="n">
        <f aca="false">Q286+Q291+Q296</f>
        <v>24.8028051913433</v>
      </c>
      <c r="R299" s="1" t="n">
        <f aca="false">R286+R291+R296</f>
        <v>25.3629336132115</v>
      </c>
      <c r="S299" s="1" t="n">
        <f aca="false">S286+S291+S296</f>
        <v>25.9391946857753</v>
      </c>
      <c r="T299" s="1" t="n">
        <f aca="false">T286+T291+T296</f>
        <v>26.5314071497453</v>
      </c>
      <c r="U299" s="1" t="n">
        <f aca="false">U286+U291+U296</f>
        <v>27.1394228622993</v>
      </c>
      <c r="V299" s="1" t="n">
        <f aca="false">V286+V291+V296</f>
        <v>27.7620683320943</v>
      </c>
      <c r="W299" s="1" t="n">
        <f aca="false">W286+W291+W296</f>
        <v>28.3996325130107</v>
      </c>
      <c r="X299" s="1" t="n">
        <f aca="false">X286+X291+X296</f>
        <v>29.0528076265398</v>
      </c>
      <c r="Y299" s="1" t="n">
        <f aca="false">Y286+Y291+Y296</f>
        <v>29.7218977378496</v>
      </c>
      <c r="Z299" s="1" t="n">
        <f aca="false">Z286+Z291+Z296</f>
        <v>30.407214908643</v>
      </c>
      <c r="AA299" s="1" t="n">
        <f aca="false">AA286+AA291+AA296</f>
        <v>31.1090793362236</v>
      </c>
      <c r="AB299" s="1" t="n">
        <f aca="false">AB286+AB291+AB296</f>
        <v>31.8278194646222</v>
      </c>
      <c r="AC299" s="1" t="n">
        <f aca="false">AC286+AC291+AC296</f>
        <v>32.5637634937202</v>
      </c>
      <c r="AD299" s="1" t="n">
        <f aca="false">AD286+AD291+AD296</f>
        <v>33.3172482619576</v>
      </c>
      <c r="AE299" s="1" t="n">
        <f aca="false">AE286+AE291+AE296</f>
        <v>34.0886193675993</v>
      </c>
      <c r="AF299" s="1" t="n">
        <f aca="false">AF286+AF291+AF296</f>
        <v>34.8782312938379</v>
      </c>
    </row>
    <row r="300" customFormat="false" ht="14.25" hidden="false" customHeight="true" outlineLevel="0" collapsed="false">
      <c r="B300" s="144" t="s">
        <v>1292</v>
      </c>
      <c r="C300" s="1" t="n">
        <f aca="false">C285+C290+C295</f>
        <v>0</v>
      </c>
      <c r="D300" s="1" t="n">
        <f aca="false">D285+D290+D295</f>
        <v>0.843046048604567</v>
      </c>
      <c r="E300" s="1" t="n">
        <f aca="false">E285+E290+E295</f>
        <v>2.20062449435423</v>
      </c>
      <c r="F300" s="1" t="n">
        <f aca="false">F285+F290+F295</f>
        <v>3.8523108285543</v>
      </c>
      <c r="G300" s="1" t="n">
        <f aca="false">G285+G290+G295</f>
        <v>5.39249744321916</v>
      </c>
      <c r="H300" s="1" t="n">
        <f aca="false">H285+H290+H295</f>
        <v>6.97696164594257</v>
      </c>
      <c r="I300" s="1" t="n">
        <f aca="false">I285+I290+I295</f>
        <v>8.650018156008</v>
      </c>
      <c r="J300" s="1" t="n">
        <f aca="false">J285+J290+J295</f>
        <v>10.3940267525867</v>
      </c>
      <c r="K300" s="1" t="n">
        <f aca="false">K285+K290+K295</f>
        <v>12.2062573495167</v>
      </c>
      <c r="L300" s="1" t="n">
        <f aca="false">L285+L290+L295</f>
        <v>14.1768481512546</v>
      </c>
      <c r="M300" s="1" t="n">
        <f aca="false">M285+M290+M295</f>
        <v>20.2342868355596</v>
      </c>
      <c r="N300" s="1" t="n">
        <f aca="false">N285+N290+N295</f>
        <v>20.2780899987231</v>
      </c>
      <c r="O300" s="1" t="n">
        <f aca="false">O285+O290+O295</f>
        <v>20.0631334340653</v>
      </c>
      <c r="P300" s="1" t="n">
        <f aca="false">P285+P290+P295</f>
        <v>20.5070574071027</v>
      </c>
      <c r="Q300" s="1" t="n">
        <f aca="false">Q285+Q290+Q295</f>
        <v>20.964902163826</v>
      </c>
      <c r="R300" s="1" t="n">
        <f aca="false">R285+R290+R295</f>
        <v>21.437031802817</v>
      </c>
      <c r="S300" s="1" t="n">
        <f aca="false">S285+S290+S295</f>
        <v>21.9231842927239</v>
      </c>
      <c r="T300" s="1" t="n">
        <f aca="false">T285+T290+T295</f>
        <v>22.4231444359328</v>
      </c>
      <c r="U300" s="1" t="n">
        <f aca="false">U285+U290+U295</f>
        <v>22.9367283859701</v>
      </c>
      <c r="V300" s="1" t="n">
        <f aca="false">V285+V290+V295</f>
        <v>23.4627531171554</v>
      </c>
      <c r="W300" s="1" t="n">
        <f aca="false">W285+W290+W295</f>
        <v>24.0014584922485</v>
      </c>
      <c r="X300" s="1" t="n">
        <f aca="false">X285+X290+X295</f>
        <v>24.5534760373456</v>
      </c>
      <c r="Y300" s="1" t="n">
        <f aca="false">Y285+Y290+Y295</f>
        <v>25.1190583983182</v>
      </c>
      <c r="Z300" s="1" t="n">
        <f aca="false">Z285+Z290+Z295</f>
        <v>25.6984650084372</v>
      </c>
      <c r="AA300" s="1" t="n">
        <f aca="false">AA285+AA290+AA295</f>
        <v>26.2919622008139</v>
      </c>
      <c r="AB300" s="1" t="n">
        <f aca="false">AB285+AB290+AB295</f>
        <v>26.8998232931108</v>
      </c>
      <c r="AC300" s="1" t="n">
        <f aca="false">AC285+AC290+AC295</f>
        <v>27.5223202968971</v>
      </c>
      <c r="AD300" s="1" t="n">
        <f aca="false">AD285+AD290+AD295</f>
        <v>28.1597325411825</v>
      </c>
      <c r="AE300" s="1" t="n">
        <f aca="false">AE285+AE290+AE295</f>
        <v>28.8123467653426</v>
      </c>
      <c r="AF300" s="1" t="n">
        <f aca="false">AF285+AF290+AF295</f>
        <v>29.480457215201</v>
      </c>
    </row>
    <row r="301" customFormat="false" ht="14.25" hidden="false" customHeight="true" outlineLevel="0" collapsed="false">
      <c r="B301" s="144" t="s">
        <v>1293</v>
      </c>
      <c r="C301" s="1" t="n">
        <f aca="false">C284+C289+C294</f>
        <v>6.54203238216588</v>
      </c>
      <c r="D301" s="1" t="n">
        <f aca="false">D284+D289+D294</f>
        <v>17.0897302101411</v>
      </c>
      <c r="E301" s="1" t="n">
        <f aca="false">E284+E289+E294</f>
        <v>30.0143633601411</v>
      </c>
      <c r="F301" s="1" t="n">
        <f aca="false">F284+F289+F294</f>
        <v>43.2362630725911</v>
      </c>
      <c r="G301" s="1" t="n">
        <f aca="false">G284+G289+G294</f>
        <v>56.7622664784274</v>
      </c>
      <c r="H301" s="1" t="n">
        <f aca="false">H284+H289+H294</f>
        <v>70.599367962598</v>
      </c>
      <c r="I301" s="1" t="n">
        <f aca="false">I284+I289+I294</f>
        <v>84.7547227809045</v>
      </c>
      <c r="J301" s="1" t="n">
        <f aca="false">J284+J289+J294</f>
        <v>99.2356507600321</v>
      </c>
      <c r="K301" s="1" t="n">
        <f aca="false">K284+K289+K294</f>
        <v>114.04964008268</v>
      </c>
      <c r="L301" s="1" t="n">
        <f aca="false">L284+L289+L294</f>
        <v>129.204351159748</v>
      </c>
      <c r="M301" s="1" t="n">
        <f aca="false">M284+M289+M294</f>
        <v>144.707620591589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0.276829497828948</v>
      </c>
      <c r="D302" s="1" t="n">
        <f aca="false">D287+D292+D297</f>
        <v>0.723027490874969</v>
      </c>
      <c r="E302" s="1" t="n">
        <f aca="false">E287+E292+E297</f>
        <v>1.26882822711761</v>
      </c>
      <c r="F302" s="1" t="n">
        <f aca="false">F287+F292+F297</f>
        <v>1.815191020124</v>
      </c>
      <c r="G302" s="1" t="n">
        <f aca="false">G287+G292+G297</f>
        <v>2.37483033277682</v>
      </c>
      <c r="H302" s="1" t="n">
        <f aca="false">H287+H292+H297</f>
        <v>2.95152458098867</v>
      </c>
      <c r="I302" s="1" t="n">
        <f aca="false">I287+I292+I297</f>
        <v>3.54408755163673</v>
      </c>
      <c r="J302" s="1" t="n">
        <f aca="false">J287+J292+J297</f>
        <v>4.15253432470124</v>
      </c>
      <c r="K302" s="1" t="n">
        <f aca="false">K287+K292+K297</f>
        <v>4.78433488065334</v>
      </c>
      <c r="L302" s="1" t="n">
        <f aca="false">L287+L292+L297</f>
        <v>5.43075647987781</v>
      </c>
      <c r="M302" s="1" t="n">
        <f aca="false">M287+M292+M297</f>
        <v>6.1206253914397</v>
      </c>
      <c r="N302" s="1" t="n">
        <f aca="false">N287+N292+N297</f>
        <v>6.53341548388002</v>
      </c>
      <c r="O302" s="1" t="n">
        <f aca="false">O287+O292+O297</f>
        <v>6.68227800740984</v>
      </c>
      <c r="P302" s="1" t="n">
        <f aca="false">P287+P292+P297</f>
        <v>6.83486201279792</v>
      </c>
      <c r="Q302" s="1" t="n">
        <f aca="false">Q287+Q292+Q297</f>
        <v>6.99125661725554</v>
      </c>
      <c r="R302" s="1" t="n">
        <f aca="false">R287+R292+R297</f>
        <v>7.15150209034228</v>
      </c>
      <c r="S302" s="1" t="n">
        <f aca="false">S287+S292+S297</f>
        <v>7.31564386806875</v>
      </c>
      <c r="T302" s="1" t="n">
        <f aca="false">T287+T292+T297</f>
        <v>7.48373134336718</v>
      </c>
      <c r="U302" s="1" t="n">
        <f aca="false">U287+U292+U297</f>
        <v>7.65573523430388</v>
      </c>
      <c r="V302" s="1" t="n">
        <f aca="false">V287+V292+V297</f>
        <v>7.83174190642955</v>
      </c>
      <c r="W302" s="1" t="n">
        <f aca="false">W287+W292+W297</f>
        <v>8.01187068680446</v>
      </c>
      <c r="X302" s="1" t="n">
        <f aca="false">X287+X292+X297</f>
        <v>8.19621208963539</v>
      </c>
      <c r="Y302" s="1" t="n">
        <f aca="false">Y287+Y292+Y297</f>
        <v>8.3848587892903</v>
      </c>
      <c r="Z302" s="1" t="n">
        <f aca="false">Z287+Z292+Z297</f>
        <v>8.57790566647908</v>
      </c>
      <c r="AA302" s="1" t="n">
        <f aca="false">AA287+AA292+AA297</f>
        <v>8.77544985306457</v>
      </c>
      <c r="AB302" s="1" t="n">
        <f aca="false">AB287+AB292+AB297</f>
        <v>8.97759010591104</v>
      </c>
      <c r="AC302" s="1" t="n">
        <f aca="false">AC287+AC292+AC297</f>
        <v>9.18442753841372</v>
      </c>
      <c r="AD302" s="1" t="n">
        <f aca="false">AD287+AD292+AD297</f>
        <v>9.3960656686527</v>
      </c>
      <c r="AE302" s="1" t="n">
        <f aca="false">AE287+AE292+AE297</f>
        <v>9.61261046873611</v>
      </c>
      <c r="AF302" s="1" t="n">
        <f aca="false">AF287+AF292+AF297</f>
        <v>9.83417041560391</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11.8267027723829</v>
      </c>
      <c r="D307" s="116" t="n">
        <f aca="false">D81</f>
        <v>31.2705719819142</v>
      </c>
      <c r="E307" s="116" t="n">
        <f aca="false">E81</f>
        <v>57.7690782999876</v>
      </c>
      <c r="F307" s="116" t="n">
        <f aca="false">F81</f>
        <v>118.670760583077</v>
      </c>
      <c r="G307" s="116" t="n">
        <f aca="false">G81</f>
        <v>178.971785415919</v>
      </c>
      <c r="H307" s="116" t="n">
        <f aca="false">H81</f>
        <v>228.870670106668</v>
      </c>
      <c r="I307" s="116" t="n">
        <f aca="false">I81</f>
        <v>272.576583425164</v>
      </c>
      <c r="J307" s="116" t="n">
        <f aca="false">J81</f>
        <v>310.933167054042</v>
      </c>
      <c r="K307" s="116" t="n">
        <f aca="false">K81</f>
        <v>323.79525526525</v>
      </c>
      <c r="L307" s="116" t="n">
        <f aca="false">L81</f>
        <v>336.700577419338</v>
      </c>
      <c r="M307" s="116" t="n">
        <f aca="false">M81</f>
        <v>350.737850701345</v>
      </c>
      <c r="N307" s="116" t="n">
        <f aca="false">N81</f>
        <v>365.6856906978</v>
      </c>
      <c r="O307" s="116" t="n">
        <f aca="false">O81</f>
        <v>380.436367341588</v>
      </c>
      <c r="P307" s="116" t="n">
        <f aca="false">P81</f>
        <v>394.184211398846</v>
      </c>
      <c r="Q307" s="116" t="n">
        <f aca="false">Q81</f>
        <v>406.890271670918</v>
      </c>
      <c r="R307" s="116" t="n">
        <f aca="false">R81</f>
        <v>418.744201014297</v>
      </c>
      <c r="S307" s="116" t="n">
        <f aca="false">S81</f>
        <v>429.920894692744</v>
      </c>
      <c r="T307" s="116" t="n">
        <f aca="false">T81</f>
        <v>440.586140616856</v>
      </c>
      <c r="U307" s="116" t="n">
        <f aca="false">U81</f>
        <v>451.269413129384</v>
      </c>
      <c r="V307" s="116" t="n">
        <f aca="false">V81</f>
        <v>461.987864566834</v>
      </c>
      <c r="W307" s="116" t="n">
        <f aca="false">W81</f>
        <v>472.619372727127</v>
      </c>
      <c r="X307" s="116" t="n">
        <f aca="false">X81</f>
        <v>483.181301156689</v>
      </c>
      <c r="Y307" s="116" t="n">
        <f aca="false">Y81</f>
        <v>493.691059547701</v>
      </c>
      <c r="Z307" s="116" t="n">
        <f aca="false">Z81</f>
        <v>504.16612059478</v>
      </c>
      <c r="AA307" s="116" t="n">
        <f aca="false">AA81</f>
        <v>514.624048204328</v>
      </c>
      <c r="AB307" s="116" t="n">
        <f aca="false">AB81</f>
        <v>525.08555642078</v>
      </c>
      <c r="AC307" s="116" t="n">
        <f aca="false">AC81</f>
        <v>535.571451885103</v>
      </c>
      <c r="AD307" s="116" t="n">
        <f aca="false">AD81</f>
        <v>546.102663228108</v>
      </c>
      <c r="AE307" s="116" t="n">
        <f aca="false">AE81</f>
        <v>556.700270770699</v>
      </c>
      <c r="AF307" s="116" t="n">
        <f aca="false">AF81</f>
        <v>567.385535438893</v>
      </c>
    </row>
    <row r="308" customFormat="false" ht="14.25" hidden="false" customHeight="true" outlineLevel="0" collapsed="false">
      <c r="B308" s="84" t="s">
        <v>1300</v>
      </c>
      <c r="C308" s="1" t="n">
        <f aca="false">C301</f>
        <v>6.54203238216588</v>
      </c>
      <c r="D308" s="1" t="n">
        <f aca="false">D301</f>
        <v>17.0897302101411</v>
      </c>
      <c r="E308" s="1" t="n">
        <f aca="false">E301</f>
        <v>30.0143633601411</v>
      </c>
      <c r="F308" s="1" t="n">
        <f aca="false">F301</f>
        <v>43.2362630725911</v>
      </c>
      <c r="G308" s="1" t="n">
        <f aca="false">G301</f>
        <v>56.7622664784274</v>
      </c>
      <c r="H308" s="1" t="n">
        <f aca="false">H301</f>
        <v>70.599367962598</v>
      </c>
      <c r="I308" s="1" t="n">
        <f aca="false">I301</f>
        <v>84.7547227809045</v>
      </c>
      <c r="J308" s="1" t="n">
        <f aca="false">J301</f>
        <v>99.2356507600321</v>
      </c>
      <c r="K308" s="1" t="n">
        <f aca="false">K301</f>
        <v>114.04964008268</v>
      </c>
      <c r="L308" s="1" t="n">
        <f aca="false">L301</f>
        <v>129.204351159748</v>
      </c>
      <c r="M308" s="1" t="n">
        <f aca="false">M301</f>
        <v>144.707620591589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5.28467039021698</v>
      </c>
      <c r="D309" s="1" t="n">
        <f aca="false">D307-D308</f>
        <v>14.1808417717731</v>
      </c>
      <c r="E309" s="1" t="n">
        <f aca="false">E307-E308</f>
        <v>27.7547149398465</v>
      </c>
      <c r="F309" s="1" t="n">
        <f aca="false">F307-F308</f>
        <v>75.4344975104859</v>
      </c>
      <c r="G309" s="1" t="n">
        <f aca="false">G307-G308</f>
        <v>122.209518937492</v>
      </c>
      <c r="H309" s="1" t="n">
        <f aca="false">H307-H308</f>
        <v>158.27130214407</v>
      </c>
      <c r="I309" s="1" t="n">
        <f aca="false">I307-I308</f>
        <v>187.821860644259</v>
      </c>
      <c r="J309" s="1" t="n">
        <f aca="false">J307-J308</f>
        <v>211.69751629401</v>
      </c>
      <c r="K309" s="1" t="n">
        <f aca="false">K307-K308</f>
        <v>209.745615182571</v>
      </c>
      <c r="L309" s="1" t="n">
        <f aca="false">L307-L308</f>
        <v>207.49622625959</v>
      </c>
      <c r="M309" s="1" t="n">
        <f aca="false">M307-M308</f>
        <v>206.030230109757</v>
      </c>
      <c r="N309" s="1" t="n">
        <f aca="false">N307-N308</f>
        <v>211.705770593172</v>
      </c>
      <c r="O309" s="1" t="n">
        <f aca="false">O307-O308</f>
        <v>222.914909074553</v>
      </c>
      <c r="P309" s="1" t="n">
        <f aca="false">P307-P308</f>
        <v>233.039759591669</v>
      </c>
      <c r="Q309" s="1" t="n">
        <f aca="false">Q307-Q308</f>
        <v>242.039497472176</v>
      </c>
      <c r="R309" s="1" t="n">
        <f aca="false">R307-R308</f>
        <v>250.101859008985</v>
      </c>
      <c r="S309" s="1" t="n">
        <f aca="false">S307-S308</f>
        <v>257.399778821309</v>
      </c>
      <c r="T309" s="1" t="n">
        <f aca="false">T307-T308</f>
        <v>264.097039080378</v>
      </c>
      <c r="U309" s="1" t="n">
        <f aca="false">U307-U308</f>
        <v>270.721062257567</v>
      </c>
      <c r="V309" s="1" t="n">
        <f aca="false">V307-V308</f>
        <v>277.286901624965</v>
      </c>
      <c r="W309" s="1" t="n">
        <f aca="false">W307-W308</f>
        <v>283.670287637596</v>
      </c>
      <c r="X309" s="1" t="n">
        <f aca="false">X307-X308</f>
        <v>289.886387110098</v>
      </c>
      <c r="Y309" s="1" t="n">
        <f aca="false">Y307-Y308</f>
        <v>295.950362478038</v>
      </c>
      <c r="Z309" s="1" t="n">
        <f aca="false">Z307-Z308</f>
        <v>301.877387492515</v>
      </c>
      <c r="AA309" s="1" t="n">
        <f aca="false">AA307-AA308</f>
        <v>307.682674240711</v>
      </c>
      <c r="AB309" s="1" t="n">
        <f aca="false">AB307-AB308</f>
        <v>313.384530856</v>
      </c>
      <c r="AC309" s="1" t="n">
        <f aca="false">AC307-AC308</f>
        <v>319.001302732333</v>
      </c>
      <c r="AD309" s="1" t="n">
        <f aca="false">AD307-AD308</f>
        <v>324.551400644825</v>
      </c>
      <c r="AE309" s="1" t="n">
        <f aca="false">AE307-AE308</f>
        <v>330.053329148</v>
      </c>
      <c r="AF309" s="1" t="n">
        <f aca="false">AF307-AF308</f>
        <v>335.525714158872</v>
      </c>
    </row>
    <row r="310" customFormat="false" ht="14.25" hidden="false" customHeight="true" outlineLevel="0" collapsed="false">
      <c r="B310" s="84" t="s">
        <v>1302</v>
      </c>
      <c r="C310" s="1" t="n">
        <f aca="false">IF(C307&gt;0,100*C308/C307,0)</f>
        <v>55.3157757328824</v>
      </c>
      <c r="D310" s="1" t="n">
        <f aca="false">IF(D307&gt;0,100*D308/D307,0)</f>
        <v>54.6511596270935</v>
      </c>
      <c r="E310" s="1" t="n">
        <f aca="false">IF(E307&gt;0,100*E308/E307,0)</f>
        <v>51.9557594536653</v>
      </c>
      <c r="F310" s="1" t="n">
        <f aca="false">IF(F307&gt;0,100*F308/F307,0)</f>
        <v>36.4337962107549</v>
      </c>
      <c r="G310" s="1" t="n">
        <f aca="false">IF(G307&gt;0,100*G308/G307,0)</f>
        <v>31.7157625412941</v>
      </c>
      <c r="H310" s="1" t="n">
        <f aca="false">IF(H307&gt;0,100*H308/H307,0)</f>
        <v>30.8468393655221</v>
      </c>
      <c r="I310" s="1" t="n">
        <f aca="false">IF(I307&gt;0,100*I308/I307,0)</f>
        <v>31.0939119259208</v>
      </c>
      <c r="J310" s="1" t="n">
        <f aca="false">IF(J307&gt;0,100*J308/J307,0)</f>
        <v>31.915427903767</v>
      </c>
      <c r="K310" s="1" t="n">
        <f aca="false">IF(K307&gt;0,100*K308/K307,0)</f>
        <v>35.2227644562769</v>
      </c>
      <c r="L310" s="1" t="n">
        <f aca="false">IF(L307&gt;0,100*L308/L307,0)</f>
        <v>38.3736648597525</v>
      </c>
      <c r="M310" s="1" t="n">
        <f aca="false">IF(M307&gt;0,100*M308/M307,0)</f>
        <v>41.2580564949655</v>
      </c>
      <c r="N310" s="1" t="n">
        <f aca="false">IF(N307&gt;0,100*N308/N307,0)</f>
        <v>42.1071767426296</v>
      </c>
      <c r="O310" s="1" t="n">
        <f aca="false">IF(O307&gt;0,100*O308/O307,0)</f>
        <v>41.405467980825</v>
      </c>
      <c r="P310" s="1" t="n">
        <f aca="false">IF(P307&gt;0,100*P308/P307,0)</f>
        <v>40.8804937253376</v>
      </c>
      <c r="Q310" s="1" t="n">
        <f aca="false">IF(Q307&gt;0,100*Q308/Q307,0)</f>
        <v>40.5147986266107</v>
      </c>
      <c r="R310" s="1" t="n">
        <f aca="false">IF(R307&gt;0,100*R308/R307,0)</f>
        <v>40.2733558093035</v>
      </c>
      <c r="S310" s="1" t="n">
        <f aca="false">IF(S307&gt;0,100*S308/S307,0)</f>
        <v>40.1285720236353</v>
      </c>
      <c r="T310" s="1" t="n">
        <f aca="false">IF(T307&gt;0,100*T308/T307,0)</f>
        <v>40.0577969360042</v>
      </c>
      <c r="U310" s="1" t="n">
        <f aca="false">IF(U307&gt;0,100*U308/U307,0)</f>
        <v>40.0089936563132</v>
      </c>
      <c r="V310" s="1" t="n">
        <f aca="false">IF(V307&gt;0,100*V308/V307,0)</f>
        <v>39.979613558691</v>
      </c>
      <c r="W310" s="1" t="n">
        <f aca="false">IF(W307&gt;0,100*W308/W307,0)</f>
        <v>39.9791240040056</v>
      </c>
      <c r="X310" s="1" t="n">
        <f aca="false">IF(X307&gt;0,100*X308/X307,0)</f>
        <v>40.0046346131073</v>
      </c>
      <c r="Y310" s="1" t="n">
        <f aca="false">IF(Y307&gt;0,100*Y308/Y307,0)</f>
        <v>40.0535300863711</v>
      </c>
      <c r="Z310" s="1" t="n">
        <f aca="false">IF(Z307&gt;0,100*Z308/Z307,0)</f>
        <v>40.1234285365345</v>
      </c>
      <c r="AA310" s="1" t="n">
        <f aca="false">IF(AA307&gt;0,100*AA308/AA307,0)</f>
        <v>40.2121460677353</v>
      </c>
      <c r="AB310" s="1" t="n">
        <f aca="false">IF(AB307&gt;0,100*AB308/AB307,0)</f>
        <v>40.3174345544429</v>
      </c>
      <c r="AC310" s="1" t="n">
        <f aca="false">IF(AC307&gt;0,100*AC308/AC307,0)</f>
        <v>40.4372093378926</v>
      </c>
      <c r="AD310" s="1" t="n">
        <f aca="false">IF(AD307&gt;0,100*AD308/AD307,0)</f>
        <v>40.5695261168762</v>
      </c>
      <c r="AE310" s="1" t="n">
        <f aca="false">IF(AE307&gt;0,100*AE308/AE307,0)</f>
        <v>40.7125617720516</v>
      </c>
      <c r="AF310" s="1" t="n">
        <f aca="false">IF(AF307&gt;0,100*AF308/AF307,0)</f>
        <v>40.8645985486164</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0.55357665388876</v>
      </c>
      <c r="D313" s="116" t="n">
        <f aca="false">D111</f>
        <v>1.42828368911724</v>
      </c>
      <c r="E313" s="116" t="n">
        <f aca="false">E111</f>
        <v>2.56406832333937</v>
      </c>
      <c r="F313" s="116" t="n">
        <f aca="false">F111</f>
        <v>5.25823646792848</v>
      </c>
      <c r="G313" s="116" t="n">
        <f aca="false">G111</f>
        <v>7.81445218707433</v>
      </c>
      <c r="H313" s="116" t="n">
        <f aca="false">H111</f>
        <v>9.75353412410511</v>
      </c>
      <c r="I313" s="116" t="n">
        <f aca="false">I111</f>
        <v>11.3121603976831</v>
      </c>
      <c r="J313" s="116" t="n">
        <f aca="false">J111</f>
        <v>12.554344116208</v>
      </c>
      <c r="K313" s="116" t="n">
        <f aca="false">K111</f>
        <v>12.5430959657652</v>
      </c>
      <c r="L313" s="116" t="n">
        <f aca="false">L111</f>
        <v>12.5539291709401</v>
      </c>
      <c r="M313" s="116" t="n">
        <f aca="false">M111</f>
        <v>12.6040041356533</v>
      </c>
      <c r="N313" s="116" t="n">
        <f aca="false">N111</f>
        <v>12.7022057898569</v>
      </c>
      <c r="O313" s="116" t="n">
        <f aca="false">O111</f>
        <v>12.8551610729204</v>
      </c>
      <c r="P313" s="116" t="n">
        <f aca="false">P111</f>
        <v>13.1006576867833</v>
      </c>
      <c r="Q313" s="116" t="n">
        <f aca="false">Q111</f>
        <v>13.4328728308249</v>
      </c>
      <c r="R313" s="116" t="n">
        <f aca="false">R111</f>
        <v>13.8234517264671</v>
      </c>
      <c r="S313" s="116" t="n">
        <f aca="false">S111</f>
        <v>14.2572928032501</v>
      </c>
      <c r="T313" s="116" t="n">
        <f aca="false">T111</f>
        <v>14.7219636118845</v>
      </c>
      <c r="U313" s="116" t="n">
        <f aca="false">U111</f>
        <v>15.174255795122</v>
      </c>
      <c r="V313" s="116" t="n">
        <f aca="false">V111</f>
        <v>15.6149317737772</v>
      </c>
      <c r="W313" s="116" t="n">
        <f aca="false">W111</f>
        <v>16.0447139309782</v>
      </c>
      <c r="X313" s="116" t="n">
        <f aca="false">X111</f>
        <v>16.4642873941887</v>
      </c>
      <c r="Y313" s="116" t="n">
        <f aca="false">Y111</f>
        <v>16.8743026407694</v>
      </c>
      <c r="Z313" s="116" t="n">
        <f aca="false">Z111</f>
        <v>17.2753779385507</v>
      </c>
      <c r="AA313" s="116" t="n">
        <f aca="false">AA111</f>
        <v>17.6681016321512</v>
      </c>
      <c r="AB313" s="116" t="n">
        <f aca="false">AB111</f>
        <v>18.0530342850812</v>
      </c>
      <c r="AC313" s="116" t="n">
        <f aca="false">AC111</f>
        <v>18.4307106870257</v>
      </c>
      <c r="AD313" s="116" t="n">
        <f aca="false">AD111</f>
        <v>18.8016417350931</v>
      </c>
      <c r="AE313" s="116" t="n">
        <f aca="false">AE111</f>
        <v>19.1663161972498</v>
      </c>
      <c r="AF313" s="116" t="n">
        <f aca="false">AF111</f>
        <v>19.5252023656322</v>
      </c>
    </row>
    <row r="314" customFormat="false" ht="14.25" hidden="false" customHeight="true" outlineLevel="0" collapsed="false">
      <c r="B314" s="84" t="s">
        <v>1306</v>
      </c>
      <c r="C314" s="1" t="n">
        <f aca="false">C302</f>
        <v>0.276829497828948</v>
      </c>
      <c r="D314" s="1" t="n">
        <f aca="false">D302</f>
        <v>0.723027490874969</v>
      </c>
      <c r="E314" s="1" t="n">
        <f aca="false">E302</f>
        <v>1.26882822711761</v>
      </c>
      <c r="F314" s="1" t="n">
        <f aca="false">F302</f>
        <v>1.815191020124</v>
      </c>
      <c r="G314" s="1" t="n">
        <f aca="false">G302</f>
        <v>2.37483033277682</v>
      </c>
      <c r="H314" s="1" t="n">
        <f aca="false">H302</f>
        <v>2.95152458098867</v>
      </c>
      <c r="I314" s="1" t="n">
        <f aca="false">I302</f>
        <v>3.54408755163673</v>
      </c>
      <c r="J314" s="1" t="n">
        <f aca="false">J302</f>
        <v>4.15253432470124</v>
      </c>
      <c r="K314" s="1" t="n">
        <f aca="false">K302</f>
        <v>4.78433488065334</v>
      </c>
      <c r="L314" s="1" t="n">
        <f aca="false">L302</f>
        <v>5.43075647987781</v>
      </c>
      <c r="M314" s="1" t="n">
        <f aca="false">M302</f>
        <v>6.1206253914397</v>
      </c>
      <c r="N314" s="1" t="n">
        <f aca="false">N302</f>
        <v>6.53341548388002</v>
      </c>
      <c r="O314" s="1" t="n">
        <f aca="false">O302</f>
        <v>6.68227800740984</v>
      </c>
      <c r="P314" s="1" t="n">
        <f aca="false">P302</f>
        <v>6.83486201279792</v>
      </c>
      <c r="Q314" s="1" t="n">
        <f aca="false">Q302</f>
        <v>6.99125661725554</v>
      </c>
      <c r="R314" s="1" t="n">
        <f aca="false">R302</f>
        <v>7.15150209034228</v>
      </c>
      <c r="S314" s="1" t="n">
        <f aca="false">S302</f>
        <v>7.31564386806875</v>
      </c>
      <c r="T314" s="1" t="n">
        <f aca="false">T302</f>
        <v>7.48373134336718</v>
      </c>
      <c r="U314" s="1" t="n">
        <f aca="false">U302</f>
        <v>7.65573523430388</v>
      </c>
      <c r="V314" s="1" t="n">
        <f aca="false">V302</f>
        <v>7.83174190642955</v>
      </c>
      <c r="W314" s="1" t="n">
        <f aca="false">W302</f>
        <v>8.01187068680446</v>
      </c>
      <c r="X314" s="1" t="n">
        <f aca="false">X302</f>
        <v>8.19621208963539</v>
      </c>
      <c r="Y314" s="1" t="n">
        <f aca="false">Y302</f>
        <v>8.3848587892903</v>
      </c>
      <c r="Z314" s="1" t="n">
        <f aca="false">Z302</f>
        <v>8.57790566647908</v>
      </c>
      <c r="AA314" s="1" t="n">
        <f aca="false">AA302</f>
        <v>8.77544985306457</v>
      </c>
      <c r="AB314" s="1" t="n">
        <f aca="false">AB302</f>
        <v>8.97759010591104</v>
      </c>
      <c r="AC314" s="1" t="n">
        <f aca="false">AC302</f>
        <v>9.18442753841372</v>
      </c>
      <c r="AD314" s="1" t="n">
        <f aca="false">AD302</f>
        <v>9.3960656686527</v>
      </c>
      <c r="AE314" s="1" t="n">
        <f aca="false">AE302</f>
        <v>9.61261046873611</v>
      </c>
      <c r="AF314" s="1" t="n">
        <f aca="false">AF302</f>
        <v>9.83417041560391</v>
      </c>
    </row>
    <row r="315" customFormat="false" ht="14.25" hidden="false" customHeight="true" outlineLevel="0" collapsed="false">
      <c r="B315" s="84" t="s">
        <v>1307</v>
      </c>
      <c r="C315" s="116" t="n">
        <f aca="false">C56</f>
        <v>1.07</v>
      </c>
      <c r="D315" s="116" t="n">
        <f aca="false">D56</f>
        <v>1.09916285</v>
      </c>
      <c r="E315" s="116" t="n">
        <f aca="false">E56</f>
        <v>1.12912053347675</v>
      </c>
      <c r="F315" s="116" t="n">
        <f aca="false">F56</f>
        <v>1.15989471361666</v>
      </c>
      <c r="G315" s="116" t="n">
        <f aca="false">G56</f>
        <v>1.19150764403628</v>
      </c>
      <c r="H315" s="116" t="n">
        <f aca="false">H56</f>
        <v>1.22398218487449</v>
      </c>
      <c r="I315" s="116" t="n">
        <f aca="false">I56</f>
        <v>1.25734181932324</v>
      </c>
      <c r="J315" s="116" t="n">
        <f aca="false">J56</f>
        <v>1.2916106706089</v>
      </c>
      <c r="K315" s="116" t="n">
        <f aca="false">K56</f>
        <v>1.32681351943634</v>
      </c>
      <c r="L315" s="116" t="n">
        <f aca="false">L56</f>
        <v>1.36297582190858</v>
      </c>
      <c r="M315" s="116" t="n">
        <f aca="false">M56</f>
        <v>1.4001237279347</v>
      </c>
      <c r="N315" s="116" t="n">
        <f aca="false">N56</f>
        <v>1.43828410013956</v>
      </c>
      <c r="O315" s="116" t="n">
        <f aca="false">O56</f>
        <v>1.47748453328886</v>
      </c>
      <c r="P315" s="116" t="n">
        <f aca="false">P56</f>
        <v>1.51775337424365</v>
      </c>
      <c r="Q315" s="116" t="n">
        <f aca="false">Q56</f>
        <v>1.55911974245866</v>
      </c>
      <c r="R315" s="116" t="n">
        <f aca="false">R56</f>
        <v>1.60161355103937</v>
      </c>
      <c r="S315" s="116" t="n">
        <f aca="false">S56</f>
        <v>1.64526552837295</v>
      </c>
      <c r="T315" s="116" t="n">
        <f aca="false">T56</f>
        <v>1.69010724034875</v>
      </c>
      <c r="U315" s="116" t="n">
        <f aca="false">U56</f>
        <v>1.73617111318446</v>
      </c>
      <c r="V315" s="116" t="n">
        <f aca="false">V56</f>
        <v>1.7834904568743</v>
      </c>
      <c r="W315" s="116" t="n">
        <f aca="false">W56</f>
        <v>1.83209948927641</v>
      </c>
      <c r="X315" s="116" t="n">
        <f aca="false">X56</f>
        <v>1.88203336085664</v>
      </c>
      <c r="Y315" s="116" t="n">
        <f aca="false">Y56</f>
        <v>1.93332818010679</v>
      </c>
      <c r="Z315" s="116" t="n">
        <f aca="false">Z56</f>
        <v>1.9860210396556</v>
      </c>
      <c r="AA315" s="116" t="n">
        <f aca="false">AA56</f>
        <v>2.04015004309141</v>
      </c>
      <c r="AB315" s="116" t="n">
        <f aca="false">AB56</f>
        <v>2.09575433251587</v>
      </c>
      <c r="AC315" s="116" t="n">
        <f aca="false">AC56</f>
        <v>2.15287411684858</v>
      </c>
      <c r="AD315" s="116" t="n">
        <f aca="false">AD56</f>
        <v>2.21155070090329</v>
      </c>
      <c r="AE315" s="116" t="n">
        <f aca="false">AE56</f>
        <v>2.27182651525641</v>
      </c>
      <c r="AF315" s="116" t="n">
        <f aca="false">AF56</f>
        <v>2.33374514692973</v>
      </c>
    </row>
    <row r="316" customFormat="false" ht="14.25" hidden="false" customHeight="true" outlineLevel="0" collapsed="false">
      <c r="B316" s="84" t="s">
        <v>1308</v>
      </c>
      <c r="C316" s="1" t="n">
        <f aca="false">IF(C313&gt;0,100*(C314+C315)/C313,0)</f>
        <v>243.295935326707</v>
      </c>
      <c r="D316" s="1" t="n">
        <f aca="false">IF(D313&gt;0,100*(D314+D315)/D313,0)</f>
        <v>127.57902052366</v>
      </c>
      <c r="E316" s="1" t="n">
        <f aca="false">IF(E313&gt;0,100*(E314+E315)/E313,0)</f>
        <v>93.5212505363876</v>
      </c>
      <c r="F316" s="1" t="n">
        <f aca="false">IF(F313&gt;0,100*(F314+F315)/F313,0)</f>
        <v>56.5795348285794</v>
      </c>
      <c r="G316" s="1" t="n">
        <f aca="false">IF(G313&gt;0,100*(G314+G315)/G313,0)</f>
        <v>45.6377221516831</v>
      </c>
      <c r="H316" s="1" t="n">
        <f aca="false">IF(H313&gt;0,100*(H314+H315)/H313,0)</f>
        <v>42.8101928258365</v>
      </c>
      <c r="I316" s="1" t="n">
        <f aca="false">IF(I313&gt;0,100*(I314+I315)/I313,0)</f>
        <v>42.4448487482848</v>
      </c>
      <c r="J316" s="1" t="n">
        <f aca="false">IF(J313&gt;0,100*(J314+J315)/J313,0)</f>
        <v>43.3646309589491</v>
      </c>
      <c r="K316" s="1" t="n">
        <f aca="false">IF(K313&gt;0,100*(K314+K315)/K313,0)</f>
        <v>48.7212121853273</v>
      </c>
      <c r="L316" s="1" t="n">
        <f aca="false">IF(L313&gt;0,100*(L314+L315)/L313,0)</f>
        <v>54.1163822838235</v>
      </c>
      <c r="M316" s="1" t="n">
        <f aca="false">IF(M313&gt;0,100*(M314+M315)/M313,0)</f>
        <v>59.6695227836388</v>
      </c>
      <c r="N316" s="1" t="n">
        <f aca="false">IF(N313&gt;0,100*(N314+N315)/N313,0)</f>
        <v>62.758387920193</v>
      </c>
      <c r="O316" s="1" t="n">
        <f aca="false">IF(O313&gt;0,100*(O314+O315)/O313,0)</f>
        <v>63.4746036585056</v>
      </c>
      <c r="P316" s="1" t="n">
        <f aca="false">IF(P313&gt;0,100*(P314+P315)/P313,0)</f>
        <v>63.7572218642745</v>
      </c>
      <c r="Q316" s="1" t="n">
        <f aca="false">IF(Q313&gt;0,100*(Q314+Q315)/Q313,0)</f>
        <v>63.6526264143092</v>
      </c>
      <c r="R316" s="1" t="n">
        <f aca="false">IF(R313&gt;0,100*(R314+R315)/R313,0)</f>
        <v>63.320766872014</v>
      </c>
      <c r="S316" s="1" t="n">
        <f aca="false">IF(S313&gt;0,100*(S314+S315)/S313,0)</f>
        <v>62.8514088901856</v>
      </c>
      <c r="T316" s="1" t="n">
        <f aca="false">IF(T313&gt;0,100*(T314+T315)/T313,0)</f>
        <v>62.3139604577628</v>
      </c>
      <c r="U316" s="1" t="n">
        <f aca="false">IF(U313&gt;0,100*(U314+U315)/U313,0)</f>
        <v>61.8936867434878</v>
      </c>
      <c r="V316" s="1" t="n">
        <f aca="false">IF(V313&gt;0,100*(V314+V315)/V313,0)</f>
        <v>61.5771653863459</v>
      </c>
      <c r="W316" s="1" t="n">
        <f aca="false">IF(W313&gt;0,100*(W314+W315)/W313,0)</f>
        <v>61.3533542475614</v>
      </c>
      <c r="X316" s="1" t="n">
        <f aca="false">IF(X313&gt;0,100*(X314+X315)/X313,0)</f>
        <v>61.2127643863244</v>
      </c>
      <c r="Y316" s="1" t="n">
        <f aca="false">IF(Y313&gt;0,100*(Y314+Y315)/Y313,0)</f>
        <v>61.1473385837452</v>
      </c>
      <c r="Z316" s="1" t="n">
        <f aca="false">IF(Z313&gt;0,100*(Z314+Z315)/Z313,0)</f>
        <v>61.1501915831366</v>
      </c>
      <c r="AA316" s="1" t="n">
        <f aca="false">IF(AA313&gt;0,100*(AA314+AA315)/AA313,0)</f>
        <v>61.2154045824284</v>
      </c>
      <c r="AB316" s="1" t="n">
        <f aca="false">IF(AB313&gt;0,100*(AB314+AB315)/AB313,0)</f>
        <v>61.3378574679703</v>
      </c>
      <c r="AC316" s="1" t="n">
        <f aca="false">IF(AC313&gt;0,100*(AC314+AC315)/AC313,0)</f>
        <v>61.513100866171</v>
      </c>
      <c r="AD316" s="1" t="n">
        <f aca="false">IF(AD313&gt;0,100*(AD314+AD315)/AD313,0)</f>
        <v>61.7372489759257</v>
      </c>
      <c r="AE316" s="1" t="n">
        <f aca="false">IF(AE313&gt;0,100*(AE314+AE315)/AE313,0)</f>
        <v>62.0068919957495</v>
      </c>
      <c r="AF316" s="1" t="n">
        <f aca="false">IF(AF313&gt;0,100*(AF314+AF315)/AF313,0)</f>
        <v>62.3190240729658</v>
      </c>
    </row>
    <row r="317" customFormat="false" ht="14.25" hidden="false" customHeight="true" outlineLevel="0" collapsed="false">
      <c r="B317" s="1" t="s">
        <v>1309</v>
      </c>
      <c r="C317" s="1" t="n">
        <f aca="false">$C$329*C291</f>
        <v>1.98082684579891</v>
      </c>
      <c r="D317" s="1" t="n">
        <f aca="false">$C$329*D291</f>
        <v>3.57399765946459</v>
      </c>
      <c r="E317" s="1" t="n">
        <f aca="false">$C$329*E291</f>
        <v>4.80353467934651</v>
      </c>
      <c r="F317" s="1" t="n">
        <f aca="false">$C$329*F291</f>
        <v>4.07878360565192</v>
      </c>
      <c r="G317" s="1" t="n">
        <f aca="false">$C$329*G291</f>
        <v>4.68339614282654</v>
      </c>
      <c r="H317" s="1" t="n">
        <f aca="false">$C$329*H291</f>
        <v>5.77470979165654</v>
      </c>
      <c r="I317" s="1" t="n">
        <f aca="false">$C$329*I291</f>
        <v>6.79455718083344</v>
      </c>
      <c r="J317" s="1" t="n">
        <f aca="false">$C$329*J291</f>
        <v>7.86050062389063</v>
      </c>
      <c r="K317" s="1" t="n">
        <f aca="false">$C$329*K291</f>
        <v>9.93919390241199</v>
      </c>
      <c r="L317" s="1" t="n">
        <f aca="false">$C$329*L291</f>
        <v>11.0992936081726</v>
      </c>
      <c r="M317" s="1" t="n">
        <f aca="false">$C$329*M291</f>
        <v>16.0138695571906</v>
      </c>
      <c r="N317" s="1" t="n">
        <f aca="false">$C$329*N291</f>
        <v>14.2045513512226</v>
      </c>
      <c r="O317" s="1" t="n">
        <f aca="false">$C$329*O291</f>
        <v>10.7675758294328</v>
      </c>
      <c r="P317" s="1" t="n">
        <f aca="false">$C$329*P291</f>
        <v>11.0172323806321</v>
      </c>
      <c r="Q317" s="1" t="n">
        <f aca="false">$C$329*Q291</f>
        <v>11.280907033878</v>
      </c>
      <c r="R317" s="1" t="n">
        <f aca="false">$C$329*R291</f>
        <v>11.5523592151102</v>
      </c>
      <c r="S317" s="1" t="n">
        <f aca="false">$C$329*S291</f>
        <v>11.8310783597503</v>
      </c>
      <c r="T317" s="1" t="n">
        <f aca="false">$C$329*T291</f>
        <v>12.1164797972765</v>
      </c>
      <c r="U317" s="1" t="n">
        <f aca="false">$C$329*U291</f>
        <v>12.3972247736573</v>
      </c>
      <c r="V317" s="1" t="n">
        <f aca="false">$C$329*V291</f>
        <v>12.6852649528225</v>
      </c>
      <c r="W317" s="1" t="n">
        <f aca="false">$C$329*W291</f>
        <v>12.9847210595434</v>
      </c>
      <c r="X317" s="1" t="n">
        <f aca="false">$C$329*X291</f>
        <v>13.2924449715858</v>
      </c>
      <c r="Y317" s="1" t="n">
        <f aca="false">$C$329*Y291</f>
        <v>13.6085243357008</v>
      </c>
      <c r="Z317" s="1" t="n">
        <f aca="false">$C$329*Z291</f>
        <v>13.9330504132968</v>
      </c>
      <c r="AA317" s="1" t="n">
        <f aca="false">$C$329*AA291</f>
        <v>14.2661177536132</v>
      </c>
      <c r="AB317" s="1" t="n">
        <f aca="false">$C$329*AB291</f>
        <v>14.607736241535</v>
      </c>
      <c r="AC317" s="1" t="n">
        <f aca="false">$C$329*AC291</f>
        <v>14.9579907676589</v>
      </c>
      <c r="AD317" s="1" t="n">
        <f aca="false">$C$329*AD291</f>
        <v>15.3169696195196</v>
      </c>
      <c r="AE317" s="1" t="n">
        <f aca="false">$C$329*AE291</f>
        <v>15.684764411662</v>
      </c>
      <c r="AF317" s="1" t="n">
        <f aca="false">$C$329*AF291</f>
        <v>16.0614700481323</v>
      </c>
    </row>
    <row r="318" customFormat="false" ht="14.25" hidden="false" customHeight="true" outlineLevel="0" collapsed="false">
      <c r="B318" s="146" t="s">
        <v>1310</v>
      </c>
      <c r="C318" s="1" t="n">
        <f aca="false">$C$329*(C290+(1-$C$279)*C332)</f>
        <v>0</v>
      </c>
      <c r="D318" s="1" t="n">
        <f aca="false">$C$329*(D290+(1-$C$279)*D332)</f>
        <v>0.397750030636421</v>
      </c>
      <c r="E318" s="1" t="n">
        <f aca="false">$C$329*(E290+(1-$C$279)*E332)</f>
        <v>1.03554055450512</v>
      </c>
      <c r="F318" s="1" t="n">
        <f aca="false">$C$329*(F290+(1-$C$279)*F332)</f>
        <v>1.79215377477327</v>
      </c>
      <c r="G318" s="1" t="n">
        <f aca="false">$C$329*(G290+(1-$C$279)*G332)</f>
        <v>2.2513090448137</v>
      </c>
      <c r="H318" s="1" t="n">
        <f aca="false">$C$329*(H290+(1-$C$279)*H332)</f>
        <v>2.73967213409468</v>
      </c>
      <c r="I318" s="1" t="n">
        <f aca="false">$C$329*(I290+(1-$C$279)*I332)</f>
        <v>3.3491076957331</v>
      </c>
      <c r="J318" s="1" t="n">
        <f aca="false">$C$329*(J290+(1-$C$279)*J332)</f>
        <v>4.04095395234125</v>
      </c>
      <c r="K318" s="1" t="n">
        <f aca="false">$C$329*(K290+(1-$C$279)*K332)</f>
        <v>4.80791892398837</v>
      </c>
      <c r="L318" s="1" t="n">
        <f aca="false">$C$329*(L290+(1-$C$279)*L332)</f>
        <v>5.83827893965583</v>
      </c>
      <c r="M318" s="1" t="n">
        <f aca="false">$C$329*(M290+(1-$C$279)*M332)</f>
        <v>6.894690685094</v>
      </c>
      <c r="N318" s="1" t="n">
        <f aca="false">$C$329*(N290+(1-$C$279)*N332)</f>
        <v>8.725821802611</v>
      </c>
      <c r="O318" s="1" t="n">
        <f aca="false">$C$329*(O290+(1-$C$279)*O332)</f>
        <v>9.82595069597221</v>
      </c>
      <c r="P318" s="1" t="n">
        <f aca="false">$C$329*(P290+(1-$C$279)*P332)</f>
        <v>10.0150290227711</v>
      </c>
      <c r="Q318" s="1" t="n">
        <f aca="false">$C$329*(Q290+(1-$C$279)*Q332)</f>
        <v>10.2162714570296</v>
      </c>
      <c r="R318" s="1" t="n">
        <f aca="false">$C$329*(R290+(1-$C$279)*R332)</f>
        <v>10.4300502808608</v>
      </c>
      <c r="S318" s="1" t="n">
        <f aca="false">$C$329*(S290+(1-$C$279)*S332)</f>
        <v>10.6554099148581</v>
      </c>
      <c r="T318" s="1" t="n">
        <f aca="false">$C$329*(T290+(1-$C$279)*T332)</f>
        <v>10.8914841385924</v>
      </c>
      <c r="U318" s="1" t="n">
        <f aca="false">$C$329*(U290+(1-$C$279)*U332)</f>
        <v>11.1374632668562</v>
      </c>
      <c r="V318" s="1" t="n">
        <f aca="false">$C$329*(V290+(1-$C$279)*V332)</f>
        <v>11.3904233774218</v>
      </c>
      <c r="W318" s="1" t="n">
        <f aca="false">$C$329*(W290+(1-$C$279)*W332)</f>
        <v>11.6504275657623</v>
      </c>
      <c r="X318" s="1" t="n">
        <f aca="false">$C$329*(X290+(1-$C$279)*X332)</f>
        <v>11.9183536993135</v>
      </c>
      <c r="Y318" s="1" t="n">
        <f aca="false">$C$329*(Y290+(1-$C$279)*Y332)</f>
        <v>12.1942712267858</v>
      </c>
      <c r="Z318" s="1" t="n">
        <f aca="false">$C$329*(Z290+(1-$C$279)*Z332)</f>
        <v>12.478253251056</v>
      </c>
      <c r="AA318" s="1" t="n">
        <f aca="false">$C$329*(AA290+(1-$C$279)*AA332)</f>
        <v>12.7703765212339</v>
      </c>
      <c r="AB318" s="1" t="n">
        <f aca="false">$C$329*(AB290+(1-$C$279)*AB332)</f>
        <v>13.0707213606957</v>
      </c>
      <c r="AC318" s="1" t="n">
        <f aca="false">$C$329*(AC290+(1-$C$279)*AC332)</f>
        <v>13.3793539487682</v>
      </c>
      <c r="AD318" s="1" t="n">
        <f aca="false">$C$329*(AD290+(1-$C$279)*AD332)</f>
        <v>13.6963442220015</v>
      </c>
      <c r="AE318" s="1" t="n">
        <f aca="false">$C$329*(AE290+(1-$C$279)*AE332)</f>
        <v>14.0217658018231</v>
      </c>
      <c r="AF318" s="1" t="n">
        <f aca="false">$C$329*(AF290+(1-$C$279)*AF332)</f>
        <v>14.3556959226788</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0.594248053739673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1.27028198241927</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1.79846016975041</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1.70398854963023</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1.81289720341315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2.20075255177962</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2.61583813341569</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3.03760590525053</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3.76780823311266</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4.32370747269298</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5.91409022797444</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5.86275236108585</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4.65072788395212</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4.38192729713293</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4.48599534822661</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4.59379846792086</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4.70455942943613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4.81805177515798</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4.93081541182483</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5.04530196321247</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5.16394281314528</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5.2862055974301</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5.41180179786883</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5.54076755755913</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5.67314036741364</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5.80893264782182</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5.94817085445118</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6.09088996262178</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6.23712628545055</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6.3869174556059</v>
      </c>
    </row>
    <row r="320" customFormat="false" ht="14.25" hidden="false" customHeight="true" outlineLevel="0" collapsed="false">
      <c r="B320" s="147" t="s">
        <v>1312</v>
      </c>
      <c r="C320" s="1" t="n">
        <f aca="false">01_Supuestos!$C$185*C317</f>
        <v>0.594248053739673</v>
      </c>
      <c r="D320" s="1" t="n">
        <f aca="false">01_Supuestos!$C$185*D317</f>
        <v>1.07219929783938</v>
      </c>
      <c r="E320" s="1" t="n">
        <f aca="false">01_Supuestos!$C$185*E317</f>
        <v>1.44106040380395</v>
      </c>
      <c r="F320" s="1" t="n">
        <f aca="false">01_Supuestos!$C$185*F317</f>
        <v>1.22363508169558</v>
      </c>
      <c r="G320" s="1" t="n">
        <f aca="false">01_Supuestos!$C$185*G317</f>
        <v>1.40501884284796</v>
      </c>
      <c r="H320" s="1" t="n">
        <f aca="false">01_Supuestos!$C$185*H317</f>
        <v>1.73241293749696</v>
      </c>
      <c r="I320" s="1" t="n">
        <f aca="false">01_Supuestos!$C$185*I317</f>
        <v>2.03836715425003</v>
      </c>
      <c r="J320" s="1" t="n">
        <f aca="false">01_Supuestos!$C$185*J317</f>
        <v>2.35815018716719</v>
      </c>
      <c r="K320" s="1" t="n">
        <f aca="false">01_Supuestos!$C$185*K317</f>
        <v>2.9817581707236</v>
      </c>
      <c r="L320" s="1" t="n">
        <f aca="false">01_Supuestos!$C$185*L317</f>
        <v>3.32978808245178</v>
      </c>
      <c r="M320" s="1" t="n">
        <f aca="false">01_Supuestos!$C$185*M317</f>
        <v>4.80416086715718</v>
      </c>
      <c r="N320" s="1" t="n">
        <f aca="false">01_Supuestos!$C$185*N317</f>
        <v>4.26136540536678</v>
      </c>
      <c r="O320" s="1" t="n">
        <f aca="false">01_Supuestos!$C$185*O317</f>
        <v>3.23027274882985</v>
      </c>
      <c r="P320" s="1" t="n">
        <f aca="false">01_Supuestos!$C$185*P317</f>
        <v>3.30516971418964</v>
      </c>
      <c r="Q320" s="1" t="n">
        <f aca="false">01_Supuestos!$C$185*Q317</f>
        <v>3.3842721101634</v>
      </c>
      <c r="R320" s="1" t="n">
        <f aca="false">01_Supuestos!$C$185*R317</f>
        <v>3.46570776453307</v>
      </c>
      <c r="S320" s="1" t="n">
        <f aca="false">01_Supuestos!$C$185*S317</f>
        <v>3.5493235079251</v>
      </c>
      <c r="T320" s="1" t="n">
        <f aca="false">01_Supuestos!$C$185*T317</f>
        <v>3.63494393918294</v>
      </c>
      <c r="U320" s="1" t="n">
        <f aca="false">01_Supuestos!$C$185*U317</f>
        <v>3.71916743209719</v>
      </c>
      <c r="V320" s="1" t="n">
        <f aca="false">01_Supuestos!$C$185*V317</f>
        <v>3.80557948584674</v>
      </c>
      <c r="W320" s="1" t="n">
        <f aca="false">01_Supuestos!$C$185*W317</f>
        <v>3.89541631786303</v>
      </c>
      <c r="X320" s="1" t="n">
        <f aca="false">01_Supuestos!$C$185*X317</f>
        <v>3.98773349147575</v>
      </c>
      <c r="Y320" s="1" t="n">
        <f aca="false">01_Supuestos!$C$185*Y317</f>
        <v>4.08255730071025</v>
      </c>
      <c r="Z320" s="1" t="n">
        <f aca="false">01_Supuestos!$C$185*Z317</f>
        <v>4.17991512398905</v>
      </c>
      <c r="AA320" s="1" t="n">
        <f aca="false">01_Supuestos!$C$185*AA317</f>
        <v>4.27983532608395</v>
      </c>
      <c r="AB320" s="1" t="n">
        <f aca="false">01_Supuestos!$C$185*AB317</f>
        <v>4.3823208724605</v>
      </c>
      <c r="AC320" s="1" t="n">
        <f aca="false">01_Supuestos!$C$185*AC317</f>
        <v>4.48739723029768</v>
      </c>
      <c r="AD320" s="1" t="n">
        <f aca="false">01_Supuestos!$C$185*AD317</f>
        <v>4.59509088585588</v>
      </c>
      <c r="AE320" s="1" t="n">
        <f aca="false">01_Supuestos!$C$185*AE317</f>
        <v>4.70542932349859</v>
      </c>
      <c r="AF320" s="1" t="n">
        <f aca="false">01_Supuestos!$C$185*AF317</f>
        <v>4.8184410144397</v>
      </c>
    </row>
    <row r="321" customFormat="false" ht="14.25" hidden="false" customHeight="true" outlineLevel="0" collapsed="false">
      <c r="B321" s="148" t="s">
        <v>1313</v>
      </c>
      <c r="C321" s="1" t="n">
        <f aca="false">C320-C323</f>
        <v>0.594248053739673</v>
      </c>
      <c r="D321" s="1" t="n">
        <f aca="false">C321+D320-D323</f>
        <v>1.27028198241927</v>
      </c>
      <c r="E321" s="1" t="n">
        <f aca="false">D321+E320-E323</f>
        <v>1.79846016975041</v>
      </c>
      <c r="F321" s="1" t="n">
        <f aca="false">E321+F320-F323</f>
        <v>1.70398854963023</v>
      </c>
      <c r="G321" s="1" t="n">
        <f aca="false">F321+G320-G323</f>
        <v>1.81289720341315</v>
      </c>
      <c r="H321" s="1" t="n">
        <f aca="false">G321+H320-H323</f>
        <v>2.20075255177962</v>
      </c>
      <c r="I321" s="1" t="n">
        <f aca="false">H321+I320-I323</f>
        <v>2.61583813341569</v>
      </c>
      <c r="J321" s="1" t="n">
        <f aca="false">I321+J320-J323</f>
        <v>3.03760590525053</v>
      </c>
      <c r="K321" s="1" t="n">
        <f aca="false">J321+K320-K323</f>
        <v>3.76780823311266</v>
      </c>
      <c r="L321" s="1" t="n">
        <f aca="false">K321+L320-L323</f>
        <v>4.32370747269298</v>
      </c>
      <c r="M321" s="1" t="n">
        <f aca="false">L321+M320-M323</f>
        <v>5.91409022797444</v>
      </c>
      <c r="N321" s="1" t="n">
        <f aca="false">M321+N320-N323</f>
        <v>5.86275236108585</v>
      </c>
      <c r="O321" s="1" t="n">
        <f aca="false">N321+O320-O323</f>
        <v>4.65072788395212</v>
      </c>
      <c r="P321" s="1" t="n">
        <f aca="false">O321+P320-P323</f>
        <v>4.38192729713293</v>
      </c>
      <c r="Q321" s="1" t="n">
        <f aca="false">P321+Q320-Q323</f>
        <v>4.48599534822661</v>
      </c>
      <c r="R321" s="1" t="n">
        <f aca="false">Q321+R320-R323</f>
        <v>4.59379846792086</v>
      </c>
      <c r="S321" s="1" t="n">
        <f aca="false">R321+S320-S323</f>
        <v>4.70455942943613</v>
      </c>
      <c r="T321" s="1" t="n">
        <f aca="false">S321+T320-T323</f>
        <v>4.81805177515798</v>
      </c>
      <c r="U321" s="1" t="n">
        <f aca="false">T321+U320-U323</f>
        <v>4.93081541182483</v>
      </c>
      <c r="V321" s="1" t="n">
        <f aca="false">U321+V320-V323</f>
        <v>5.04530196321247</v>
      </c>
      <c r="W321" s="1" t="n">
        <f aca="false">V321+W320-W323</f>
        <v>5.16394281314528</v>
      </c>
      <c r="X321" s="1" t="n">
        <f aca="false">W321+X320-X323</f>
        <v>5.2862055974301</v>
      </c>
      <c r="Y321" s="1" t="n">
        <f aca="false">X321+Y320-Y323</f>
        <v>5.41180179786883</v>
      </c>
      <c r="Z321" s="1" t="n">
        <f aca="false">Y321+Z320-Z323</f>
        <v>5.54076755755913</v>
      </c>
      <c r="AA321" s="1" t="n">
        <f aca="false">Z321+AA320-AA323</f>
        <v>5.67314036741364</v>
      </c>
      <c r="AB321" s="1" t="n">
        <f aca="false">AA321+AB320-AB323</f>
        <v>5.80893264782182</v>
      </c>
      <c r="AC321" s="1" t="n">
        <f aca="false">AB321+AC320-AC323</f>
        <v>5.94817085445118</v>
      </c>
      <c r="AD321" s="1" t="n">
        <f aca="false">AC321+AD320-AD323</f>
        <v>6.09088996262178</v>
      </c>
      <c r="AE321" s="1" t="n">
        <f aca="false">AD321+AE320-AE323</f>
        <v>6.23712628545055</v>
      </c>
      <c r="AF321" s="1" t="n">
        <f aca="false">AE321+AF320-AF323</f>
        <v>6.3869174556059</v>
      </c>
    </row>
    <row r="322" customFormat="false" ht="14.25" hidden="false" customHeight="true" outlineLevel="0" collapsed="false">
      <c r="B322" s="148" t="s">
        <v>1314</v>
      </c>
      <c r="C322" s="1" t="n">
        <f aca="false">$C$172*C83</f>
        <v>1.37726997519282</v>
      </c>
      <c r="D322" s="1" t="n">
        <f aca="false">$C$172*D83</f>
        <v>3.59783793897708</v>
      </c>
      <c r="E322" s="1" t="n">
        <f aca="false">$C$172*E83</f>
        <v>6.31881333897707</v>
      </c>
      <c r="F322" s="1" t="n">
        <f aca="false">$C$172*F83</f>
        <v>9.10237117317707</v>
      </c>
      <c r="G322" s="1" t="n">
        <f aca="false">$C$172*G83</f>
        <v>11.9499508375637</v>
      </c>
      <c r="H322" s="1" t="n">
        <f aca="false">$C$172*H83</f>
        <v>14.8630248342312</v>
      </c>
      <c r="I322" s="1" t="n">
        <f aca="false">$C$172*I83</f>
        <v>17.843099532822</v>
      </c>
      <c r="J322" s="1" t="n">
        <f aca="false">$C$172*J83</f>
        <v>20.8917159494804</v>
      </c>
      <c r="K322" s="1" t="n">
        <f aca="false">$C$172*K83</f>
        <v>24.010450543722</v>
      </c>
      <c r="L322" s="1" t="n">
        <f aca="false">$C$172*L83</f>
        <v>27.2009160336311</v>
      </c>
      <c r="M322" s="1" t="n">
        <f aca="false">$C$172*M83</f>
        <v>30.4647622298082</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0.396165369159782</v>
      </c>
      <c r="E323" s="1" t="n">
        <f aca="false">MAX(0,MIN(E318,D321+E320,D321+E320-E319))</f>
        <v>0.912882216472809</v>
      </c>
      <c r="F323" s="1" t="n">
        <f aca="false">MAX(0,MIN(F318,E321+F320,E321+F320-F319))</f>
        <v>1.31810670181576</v>
      </c>
      <c r="G323" s="1" t="n">
        <f aca="false">MAX(0,MIN(G318,F321+G320,F321+G320-G319))</f>
        <v>1.29611018906503</v>
      </c>
      <c r="H323" s="1" t="n">
        <f aca="false">MAX(0,MIN(H318,G321+H320,G321+H320-H319))</f>
        <v>1.3445575891305</v>
      </c>
      <c r="I323" s="1" t="n">
        <f aca="false">MAX(0,MIN(I318,H321+I320,H321+I320-I319))</f>
        <v>1.62328157261396</v>
      </c>
      <c r="J323" s="1" t="n">
        <f aca="false">MAX(0,MIN(J318,I321+J320,I321+J320-J319))</f>
        <v>1.93638241533234</v>
      </c>
      <c r="K323" s="1" t="n">
        <f aca="false">MAX(0,MIN(K318,J321+K320,J321+K320-K319))</f>
        <v>2.25155584286147</v>
      </c>
      <c r="L323" s="1" t="n">
        <f aca="false">MAX(0,MIN(L318,K321+L320,K321+L320-L319))</f>
        <v>2.77388884287146</v>
      </c>
      <c r="M323" s="1" t="n">
        <f aca="false">MAX(0,MIN(M318,L321+M320,L321+M320-M319))</f>
        <v>3.21377811187572</v>
      </c>
      <c r="N323" s="1" t="n">
        <f aca="false">MAX(0,MIN(N318,M321+N320,M321+N320-N319))</f>
        <v>4.31270327225538</v>
      </c>
      <c r="O323" s="1" t="n">
        <f aca="false">MAX(0,MIN(O318,N321+O320,N321+O320-O319))</f>
        <v>4.44229722596358</v>
      </c>
      <c r="P323" s="1" t="n">
        <f aca="false">MAX(0,MIN(P318,O321+P320,O321+P320-P319))</f>
        <v>3.57397030100883</v>
      </c>
      <c r="Q323" s="1" t="n">
        <f aca="false">MAX(0,MIN(Q318,P321+Q320,P321+Q320-Q319))</f>
        <v>3.28020405906971</v>
      </c>
      <c r="R323" s="1" t="n">
        <f aca="false">MAX(0,MIN(R318,Q321+R320,Q321+R320-R319))</f>
        <v>3.35790464483881</v>
      </c>
      <c r="S323" s="1" t="n">
        <f aca="false">MAX(0,MIN(S318,R321+S320,R321+S320-S319))</f>
        <v>3.43856254640984</v>
      </c>
      <c r="T323" s="1" t="n">
        <f aca="false">MAX(0,MIN(T318,S321+T320,S321+T320-T319))</f>
        <v>3.52145159346109</v>
      </c>
      <c r="U323" s="1" t="n">
        <f aca="false">MAX(0,MIN(U318,T321+U320,T321+U320-U319))</f>
        <v>3.60640379543033</v>
      </c>
      <c r="V323" s="1" t="n">
        <f aca="false">MAX(0,MIN(V318,U321+V320,U321+V320-V319))</f>
        <v>3.69109293445911</v>
      </c>
      <c r="W323" s="1" t="n">
        <f aca="false">MAX(0,MIN(W318,V321+W320,V321+W320-W319))</f>
        <v>3.77677546793022</v>
      </c>
      <c r="X323" s="1" t="n">
        <f aca="false">MAX(0,MIN(X318,W321+X320,W321+X320-X319))</f>
        <v>3.86547070719094</v>
      </c>
      <c r="Y323" s="1" t="n">
        <f aca="false">MAX(0,MIN(Y318,X321+Y320,X321+Y320-Y319))</f>
        <v>3.95696110027151</v>
      </c>
      <c r="Z323" s="1" t="n">
        <f aca="false">MAX(0,MIN(Z318,Y321+Z320,Y321+Z320-Z319))</f>
        <v>4.05094936429875</v>
      </c>
      <c r="AA323" s="1" t="n">
        <f aca="false">MAX(0,MIN(AA318,Z321+AA320,Z321+AA320-AA319))</f>
        <v>4.14746251622945</v>
      </c>
      <c r="AB323" s="1" t="n">
        <f aca="false">MAX(0,MIN(AB318,AA321+AB320,AA321+AB320-AB319))</f>
        <v>4.24652859205232</v>
      </c>
      <c r="AC323" s="1" t="n">
        <f aca="false">MAX(0,MIN(AC318,AB321+AC320,AB321+AC320-AC319))</f>
        <v>4.34815902366832</v>
      </c>
      <c r="AD323" s="1" t="n">
        <f aca="false">MAX(0,MIN(AD318,AC321+AD320,AC321+AD320-AD319))</f>
        <v>4.45237177768529</v>
      </c>
      <c r="AE323" s="1" t="n">
        <f aca="false">MAX(0,MIN(AE318,AD321+AE320,AD321+AE320-AE319))</f>
        <v>4.55919300066982</v>
      </c>
      <c r="AF323" s="1" t="n">
        <f aca="false">MAX(0,MIN(AF318,AE321+AF320,AE321+AF320-AF319))</f>
        <v>4.66864984428436</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0.594248053739673</v>
      </c>
      <c r="D326" s="1" t="n">
        <f aca="false">IF(01_Supuestos!$C$184="Sí",D321,$C$172*D83)</f>
        <v>1.27028198241927</v>
      </c>
      <c r="E326" s="1" t="n">
        <f aca="false">IF(01_Supuestos!$C$184="Sí",E321,$C$172*E83)</f>
        <v>1.79846016975041</v>
      </c>
      <c r="F326" s="1" t="n">
        <f aca="false">IF(01_Supuestos!$C$184="Sí",F321,$C$172*F83)</f>
        <v>1.70398854963023</v>
      </c>
      <c r="G326" s="1" t="n">
        <f aca="false">IF(01_Supuestos!$C$184="Sí",G321,$C$172*G83)</f>
        <v>1.81289720341315</v>
      </c>
      <c r="H326" s="1" t="n">
        <f aca="false">IF(01_Supuestos!$C$184="Sí",H321,$C$172*H83)</f>
        <v>2.20075255177962</v>
      </c>
      <c r="I326" s="1" t="n">
        <f aca="false">IF(01_Supuestos!$C$184="Sí",I321,$C$172*I83)</f>
        <v>2.61583813341569</v>
      </c>
      <c r="J326" s="1" t="n">
        <f aca="false">IF(01_Supuestos!$C$184="Sí",J321,$C$172*J83)</f>
        <v>3.03760590525053</v>
      </c>
      <c r="K326" s="1" t="n">
        <f aca="false">IF(01_Supuestos!$C$184="Sí",K321,$C$172*K83)</f>
        <v>3.76780823311266</v>
      </c>
      <c r="L326" s="1" t="n">
        <f aca="false">IF(01_Supuestos!$C$184="Sí",L321,$C$172*L83)</f>
        <v>4.32370747269298</v>
      </c>
      <c r="M326" s="1" t="n">
        <f aca="false">IF(01_Supuestos!$C$184="Sí",M321,$C$172*M83)</f>
        <v>5.91409022797444</v>
      </c>
      <c r="N326" s="1" t="n">
        <f aca="false">IF(01_Supuestos!$C$184="Sí",N321,$C$172*N83)</f>
        <v>5.86275236108585</v>
      </c>
      <c r="O326" s="1" t="n">
        <f aca="false">IF(01_Supuestos!$C$184="Sí",O321,$C$172*O83)</f>
        <v>4.65072788395212</v>
      </c>
      <c r="P326" s="1" t="n">
        <f aca="false">IF(01_Supuestos!$C$184="Sí",P321,$C$172*P83)</f>
        <v>4.38192729713293</v>
      </c>
      <c r="Q326" s="1" t="n">
        <f aca="false">IF(01_Supuestos!$C$184="Sí",Q321,$C$172*Q83)</f>
        <v>4.48599534822661</v>
      </c>
      <c r="R326" s="1" t="n">
        <f aca="false">IF(01_Supuestos!$C$184="Sí",R321,$C$172*R83)</f>
        <v>4.59379846792086</v>
      </c>
      <c r="S326" s="1" t="n">
        <f aca="false">IF(01_Supuestos!$C$184="Sí",S321,$C$172*S83)</f>
        <v>4.70455942943613</v>
      </c>
      <c r="T326" s="1" t="n">
        <f aca="false">IF(01_Supuestos!$C$184="Sí",T321,$C$172*T83)</f>
        <v>4.81805177515798</v>
      </c>
      <c r="U326" s="1" t="n">
        <f aca="false">IF(01_Supuestos!$C$184="Sí",U321,$C$172*U83)</f>
        <v>4.93081541182483</v>
      </c>
      <c r="V326" s="1" t="n">
        <f aca="false">IF(01_Supuestos!$C$184="Sí",V321,$C$172*V83)</f>
        <v>5.04530196321247</v>
      </c>
      <c r="W326" s="1" t="n">
        <f aca="false">IF(01_Supuestos!$C$184="Sí",W321,$C$172*W83)</f>
        <v>5.16394281314528</v>
      </c>
      <c r="X326" s="1" t="n">
        <f aca="false">IF(01_Supuestos!$C$184="Sí",X321,$C$172*X83)</f>
        <v>5.2862055974301</v>
      </c>
      <c r="Y326" s="1" t="n">
        <f aca="false">IF(01_Supuestos!$C$184="Sí",Y321,$C$172*Y83)</f>
        <v>5.41180179786883</v>
      </c>
      <c r="Z326" s="1" t="n">
        <f aca="false">IF(01_Supuestos!$C$184="Sí",Z321,$C$172*Z83)</f>
        <v>5.54076755755913</v>
      </c>
      <c r="AA326" s="1" t="n">
        <f aca="false">IF(01_Supuestos!$C$184="Sí",AA321,$C$172*AA83)</f>
        <v>5.67314036741364</v>
      </c>
      <c r="AB326" s="1" t="n">
        <f aca="false">IF(01_Supuestos!$C$184="Sí",AB321,$C$172*AB83)</f>
        <v>5.80893264782182</v>
      </c>
      <c r="AC326" s="1" t="n">
        <f aca="false">IF(01_Supuestos!$C$184="Sí",AC321,$C$172*AC83)</f>
        <v>5.94817085445118</v>
      </c>
      <c r="AD326" s="1" t="n">
        <f aca="false">IF(01_Supuestos!$C$184="Sí",AD321,$C$172*AD83)</f>
        <v>6.09088996262178</v>
      </c>
      <c r="AE326" s="1" t="n">
        <f aca="false">IF(01_Supuestos!$C$184="Sí",AE321,$C$172*AE83)</f>
        <v>6.23712628545055</v>
      </c>
      <c r="AF326" s="1" t="n">
        <f aca="false">IF(01_Supuestos!$C$184="Sí",AF321,$C$172*AF83)</f>
        <v>6.3869174556059</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0.090835388610983</v>
      </c>
      <c r="E327" s="1" t="n">
        <f aca="false">IF(01_Supuestos!$C$184="Sí",MAX(0.001,IF(D299&gt;0,D320/D299,$C$328*(1-$C$279))),$C$172)</f>
        <v>0.0940866829728558</v>
      </c>
      <c r="F327" s="1" t="n">
        <f aca="false">IF(01_Supuestos!$C$184="Sí",MAX(0.001,IF(E299&gt;0,E320/E299,$C$328*(1-$C$279))),$C$172)</f>
        <v>0.0951911595996138</v>
      </c>
      <c r="G327" s="1" t="n">
        <f aca="false">IF(01_Supuestos!$C$184="Sí",MAX(0.001,IF(F299&gt;0,F320/F299,$C$328*(1-$C$279))),$C$172)</f>
        <v>0.0715689383840983</v>
      </c>
      <c r="H327" s="1" t="n">
        <f aca="false">IF(01_Supuestos!$C$184="Sí",MAX(0.001,IF(G299&gt;0,G320/G299,$C$328*(1-$C$279))),$C$172)</f>
        <v>0.0741532705329138</v>
      </c>
      <c r="I327" s="1" t="n">
        <f aca="false">IF(01_Supuestos!$C$184="Sí",MAX(0.001,IF(H299&gt;0,H320/H299,$C$328*(1-$C$279))),$C$172)</f>
        <v>0.0830919447692404</v>
      </c>
      <c r="J327" s="1" t="n">
        <f aca="false">IF(01_Supuestos!$C$184="Sí",MAX(0.001,IF(I299&gt;0,I320/I299,$C$328*(1-$C$279))),$C$172)</f>
        <v>0.0892122657012629</v>
      </c>
      <c r="K327" s="1" t="n">
        <f aca="false">IF(01_Supuestos!$C$184="Sí",MAX(0.001,IF(J299&gt;0,J320/J299,$C$328*(1-$C$279))),$C$172)</f>
        <v>0.0946022450413766</v>
      </c>
      <c r="L327" s="1" t="n">
        <f aca="false">IF(01_Supuestos!$C$184="Sí",MAX(0.001,IF(K299&gt;0,K320/K299,$C$328*(1-$C$279))),$C$172)</f>
        <v>0.110100414146009</v>
      </c>
      <c r="M327" s="1" t="n">
        <f aca="false">IF(01_Supuestos!$C$184="Sí",MAX(0.001,IF(L299&gt;0,L320/L299,$C$328*(1-$C$279))),$C$172)</f>
        <v>0.113232087639249</v>
      </c>
      <c r="N327" s="1" t="n">
        <f aca="false">IF(01_Supuestos!$C$184="Sí",MAX(0.001,IF(M299&gt;0,M320/M299,$C$328*(1-$C$279))),$C$172)</f>
        <v>0.134095714158103</v>
      </c>
      <c r="O327" s="1" t="n">
        <f aca="false">IF(01_Supuestos!$C$184="Sí",MAX(0.001,IF(N299&gt;0,N320/N299,$C$328*(1-$C$279))),$C$172)</f>
        <v>0.143660381293004</v>
      </c>
      <c r="P327" s="1" t="n">
        <f aca="false">IF(01_Supuestos!$C$184="Sí",MAX(0.001,IF(O299&gt;0,O320/O299,$C$328*(1-$C$279))),$C$172)</f>
        <v>0.13611908936896</v>
      </c>
      <c r="Q327" s="1" t="n">
        <f aca="false">IF(01_Supuestos!$C$184="Sí",MAX(0.001,IF(P299&gt;0,P320/P299,$C$328*(1-$C$279))),$C$172)</f>
        <v>0.13624487028612</v>
      </c>
      <c r="R327" s="1" t="n">
        <f aca="false">IF(01_Supuestos!$C$184="Sí",MAX(0.001,IF(Q299&gt;0,Q320/Q299,$C$328*(1-$C$279))),$C$172)</f>
        <v>0.136447151201453</v>
      </c>
      <c r="S327" s="1" t="n">
        <f aca="false">IF(01_Supuestos!$C$184="Sí",MAX(0.001,IF(R299&gt;0,R320/R299,$C$328*(1-$C$279))),$C$172)</f>
        <v>0.136644593933242</v>
      </c>
      <c r="T327" s="1" t="n">
        <f aca="false">IF(01_Supuestos!$C$184="Sí",MAX(0.001,IF(S299&gt;0,S320/S299,$C$328*(1-$C$279))),$C$172)</f>
        <v>0.136832447996988</v>
      </c>
      <c r="U327" s="1" t="n">
        <f aca="false">IF(01_Supuestos!$C$184="Sí",MAX(0.001,IF(T299&gt;0,T320/T299,$C$328*(1-$C$279))),$C$172)</f>
        <v>0.137005320474223</v>
      </c>
      <c r="V327" s="1" t="n">
        <f aca="false">IF(01_Supuestos!$C$184="Sí",MAX(0.001,IF(U299&gt;0,U320/U299,$C$328*(1-$C$279))),$C$172)</f>
        <v>0.137039297075977</v>
      </c>
      <c r="W327" s="1" t="n">
        <f aca="false">IF(01_Supuestos!$C$184="Sí",MAX(0.001,IF(V299&gt;0,V320/V299,$C$328*(1-$C$279))),$C$172)</f>
        <v>0.137078384806341</v>
      </c>
      <c r="X327" s="1" t="n">
        <f aca="false">IF(01_Supuestos!$C$184="Sí",MAX(0.001,IF(W299&gt;0,W320/W299,$C$328*(1-$C$279))),$C$172)</f>
        <v>0.137164321266426</v>
      </c>
      <c r="Y327" s="1" t="n">
        <f aca="false">IF(01_Supuestos!$C$184="Sí",MAX(0.001,IF(X299&gt;0,X320/X299,$C$328*(1-$C$279))),$C$172)</f>
        <v>0.137258110910869</v>
      </c>
      <c r="Z327" s="1" t="n">
        <f aca="false">IF(01_Supuestos!$C$184="Sí",MAX(0.001,IF(Y299&gt;0,Y320/Y299,$C$328*(1-$C$279))),$C$172)</f>
        <v>0.137358567636523</v>
      </c>
      <c r="AA327" s="1" t="n">
        <f aca="false">IF(01_Supuestos!$C$184="Sí",MAX(0.001,IF(Z299&gt;0,Z320/Z299,$C$328*(1-$C$279))),$C$172)</f>
        <v>0.137464583209853</v>
      </c>
      <c r="AB327" s="1" t="n">
        <f aca="false">IF(01_Supuestos!$C$184="Sí",MAX(0.001,IF(AA299&gt;0,AA320/AA299,$C$328*(1-$C$279))),$C$172)</f>
        <v>0.137575120106511</v>
      </c>
      <c r="AC327" s="1" t="n">
        <f aca="false">IF(01_Supuestos!$C$184="Sí",MAX(0.001,IF(AB299&gt;0,AB320/AB299,$C$328*(1-$C$279))),$C$172)</f>
        <v>0.137688379102804</v>
      </c>
      <c r="AD327" s="1" t="n">
        <f aca="false">IF(01_Supuestos!$C$184="Sí",MAX(0.001,IF(AC299&gt;0,AC320/AC299,$C$328*(1-$C$279))),$C$172)</f>
        <v>0.137803397054</v>
      </c>
      <c r="AE327" s="1" t="n">
        <f aca="false">IF(01_Supuestos!$C$184="Sí",MAX(0.001,IF(AD299&gt;0,AD320/AD299,$C$328*(1-$C$279))),$C$172)</f>
        <v>0.137919279819476</v>
      </c>
      <c r="AF327" s="1" t="n">
        <f aca="false">IF(01_Supuestos!$C$184="Sí",MAX(0.001,IF(AE299&gt;0,AE320/AE299,$C$328*(1-$C$279))),$C$172)</f>
        <v>0.138035197986664</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0.00512282804947994</v>
      </c>
      <c r="E330" s="1" t="n">
        <f aca="false">E343</f>
        <v>0.0133372615723114</v>
      </c>
      <c r="F330" s="1" t="n">
        <f aca="false">F343</f>
        <v>0.0230820739641426</v>
      </c>
      <c r="G330" s="1" t="n">
        <f aca="false">G343</f>
        <v>0.0289957718026219</v>
      </c>
      <c r="H330" s="1" t="n">
        <f aca="false">H343</f>
        <v>0.0352856522285171</v>
      </c>
      <c r="I330" s="1" t="n">
        <f aca="false">I343</f>
        <v>0.0431348875497978</v>
      </c>
      <c r="J330" s="1" t="n">
        <f aca="false">J343</f>
        <v>0.0520455327698849</v>
      </c>
      <c r="K330" s="1" t="n">
        <f aca="false">K343</f>
        <v>0.0619236707135471</v>
      </c>
      <c r="L330" s="1" t="n">
        <f aca="false">L343</f>
        <v>0.0751942094508496</v>
      </c>
      <c r="M330" s="1" t="n">
        <f aca="false">M343</f>
        <v>0.0888002818694274</v>
      </c>
      <c r="N330" s="1" t="n">
        <f aca="false">N343</f>
        <v>0.112384365159332</v>
      </c>
      <c r="O330" s="1" t="n">
        <f aca="false">O343</f>
        <v>0.126553493302294</v>
      </c>
      <c r="P330" s="1" t="n">
        <f aca="false">P343</f>
        <v>0.128988730716416</v>
      </c>
      <c r="Q330" s="1" t="n">
        <f aca="false">Q343</f>
        <v>0.131580635952263</v>
      </c>
      <c r="R330" s="1" t="n">
        <f aca="false">R343</f>
        <v>0.134334003823423</v>
      </c>
      <c r="S330" s="1" t="n">
        <f aca="false">S343</f>
        <v>0.137236526929241</v>
      </c>
      <c r="T330" s="1" t="n">
        <f aca="false">T343</f>
        <v>0.140277048769479</v>
      </c>
      <c r="U330" s="1" t="n">
        <f aca="false">U343</f>
        <v>0.143445140990214</v>
      </c>
      <c r="V330" s="1" t="n">
        <f aca="false">V343</f>
        <v>0.146703144887113</v>
      </c>
      <c r="W330" s="1" t="n">
        <f aca="false">W343</f>
        <v>0.150051873099356</v>
      </c>
      <c r="X330" s="1" t="n">
        <f aca="false">X343</f>
        <v>0.153502632134997</v>
      </c>
      <c r="Y330" s="1" t="n">
        <f aca="false">Y343</f>
        <v>0.157056316459839</v>
      </c>
      <c r="Z330" s="1" t="n">
        <f aca="false">Z343</f>
        <v>0.160713867603585</v>
      </c>
      <c r="AA330" s="1" t="n">
        <f aca="false">AA343</f>
        <v>0.164476274057656</v>
      </c>
      <c r="AB330" s="1" t="n">
        <f aca="false">AB343</f>
        <v>0.168344570348292</v>
      </c>
      <c r="AC330" s="1" t="n">
        <f aca="false">AC343</f>
        <v>0.172319608833222</v>
      </c>
      <c r="AD330" s="1" t="n">
        <f aca="false">AD343</f>
        <v>0.176402290261387</v>
      </c>
      <c r="AE330" s="1" t="n">
        <f aca="false">AE343</f>
        <v>0.180593562841176</v>
      </c>
      <c r="AF330" s="1" t="n">
        <f aca="false">AF343</f>
        <v>0.184894421314897</v>
      </c>
    </row>
    <row r="331" customFormat="false" ht="14.25" hidden="false" customHeight="true" outlineLevel="0" collapsed="false">
      <c r="B331" s="1" t="s">
        <v>1324</v>
      </c>
      <c r="C331" s="1" t="n">
        <f aca="false">C330*$C$338</f>
        <v>0</v>
      </c>
      <c r="D331" s="1" t="n">
        <f aca="false">D330*$C$338</f>
        <v>0.00512282804947994</v>
      </c>
      <c r="E331" s="1" t="n">
        <f aca="false">E330*$C$338</f>
        <v>0.0133372615723114</v>
      </c>
      <c r="F331" s="1" t="n">
        <f aca="false">F330*$C$338</f>
        <v>0.0230820739641426</v>
      </c>
      <c r="G331" s="1" t="n">
        <f aca="false">G330*$C$338</f>
        <v>0.0289957718026219</v>
      </c>
      <c r="H331" s="1" t="n">
        <f aca="false">H330*$C$338</f>
        <v>0.0352856522285171</v>
      </c>
      <c r="I331" s="1" t="n">
        <f aca="false">I330*$C$338</f>
        <v>0.0431348875497978</v>
      </c>
      <c r="J331" s="1" t="n">
        <f aca="false">J330*$C$338</f>
        <v>0.0520455327698849</v>
      </c>
      <c r="K331" s="1" t="n">
        <f aca="false">K330*$C$338</f>
        <v>0.0619236707135471</v>
      </c>
      <c r="L331" s="1" t="n">
        <f aca="false">L330*$C$338</f>
        <v>0.0751942094508496</v>
      </c>
      <c r="M331" s="1" t="n">
        <f aca="false">M330*$C$338</f>
        <v>0.0888002818694274</v>
      </c>
      <c r="N331" s="1" t="n">
        <f aca="false">N330*$C$338</f>
        <v>0.112384365159332</v>
      </c>
      <c r="O331" s="1" t="n">
        <f aca="false">O330*$C$338</f>
        <v>0.126553493302294</v>
      </c>
      <c r="P331" s="1" t="n">
        <f aca="false">P330*$C$338</f>
        <v>0.128988730716416</v>
      </c>
      <c r="Q331" s="1" t="n">
        <f aca="false">Q330*$C$338</f>
        <v>0.131580635952263</v>
      </c>
      <c r="R331" s="1" t="n">
        <f aca="false">R330*$C$338</f>
        <v>0.134334003823423</v>
      </c>
      <c r="S331" s="1" t="n">
        <f aca="false">S330*$C$338</f>
        <v>0.137236526929241</v>
      </c>
      <c r="T331" s="1" t="n">
        <f aca="false">T330*$C$338</f>
        <v>0.140277048769479</v>
      </c>
      <c r="U331" s="1" t="n">
        <f aca="false">U330*$C$338</f>
        <v>0.143445140990214</v>
      </c>
      <c r="V331" s="1" t="n">
        <f aca="false">V330*$C$338</f>
        <v>0.146703144887113</v>
      </c>
      <c r="W331" s="1" t="n">
        <f aca="false">W330*$C$338</f>
        <v>0.150051873099356</v>
      </c>
      <c r="X331" s="1" t="n">
        <f aca="false">X330*$C$338</f>
        <v>0.153502632134997</v>
      </c>
      <c r="Y331" s="1" t="n">
        <f aca="false">Y330*$C$338</f>
        <v>0.157056316459839</v>
      </c>
      <c r="Z331" s="1" t="n">
        <f aca="false">Z330*$C$338</f>
        <v>0.160713867603585</v>
      </c>
      <c r="AA331" s="1" t="n">
        <f aca="false">AA330*$C$338</f>
        <v>0.164476274057656</v>
      </c>
      <c r="AB331" s="1" t="n">
        <f aca="false">AB330*$C$338</f>
        <v>0.168344570348292</v>
      </c>
      <c r="AC331" s="1" t="n">
        <f aca="false">AC330*$C$338</f>
        <v>0.172319608833222</v>
      </c>
      <c r="AD331" s="1" t="n">
        <f aca="false">AD330*$C$338</f>
        <v>0.176402290261387</v>
      </c>
      <c r="AE331" s="1" t="n">
        <f aca="false">AE330*$C$338</f>
        <v>0.180593562841176</v>
      </c>
      <c r="AF331" s="1" t="n">
        <f aca="false">AF330*$C$338</f>
        <v>0.184894421314897</v>
      </c>
    </row>
    <row r="332" customFormat="false" ht="14.25" hidden="false" customHeight="true" outlineLevel="0" collapsed="false">
      <c r="B332" s="1" t="s">
        <v>1325</v>
      </c>
      <c r="C332" s="1" t="n">
        <f aca="false">IF($C$339&lt;=0,C331,IF($C$339=1,0,0))</f>
        <v>0</v>
      </c>
      <c r="D332" s="1" t="n">
        <f aca="false">IF($C$339&lt;=0,D331,IF($C$339=1,C331,0))</f>
        <v>0.00512282804947994</v>
      </c>
      <c r="E332" s="1" t="n">
        <f aca="false">IF($C$339&lt;=0,E331,IF($C$339=1,D331,C331))</f>
        <v>0.0133372615723114</v>
      </c>
      <c r="F332" s="1" t="n">
        <f aca="false">IF($C$339&lt;=0,F331,IF($C$339=1,E331,D331))</f>
        <v>0.0230820739641426</v>
      </c>
      <c r="G332" s="1" t="n">
        <f aca="false">IF($C$339&lt;=0,G331,IF($C$339=1,F331,E331))</f>
        <v>0.0289957718026219</v>
      </c>
      <c r="H332" s="1" t="n">
        <f aca="false">IF($C$339&lt;=0,H331,IF($C$339=1,G331,F331))</f>
        <v>0.0352856522285171</v>
      </c>
      <c r="I332" s="1" t="n">
        <f aca="false">IF($C$339&lt;=0,I331,IF($C$339=1,H331,G331))</f>
        <v>0.0431348875497978</v>
      </c>
      <c r="J332" s="1" t="n">
        <f aca="false">IF($C$339&lt;=0,J331,IF($C$339=1,I331,H331))</f>
        <v>0.0520455327698849</v>
      </c>
      <c r="K332" s="1" t="n">
        <f aca="false">IF($C$339&lt;=0,K331,IF($C$339=1,J331,I331))</f>
        <v>0.0619236707135471</v>
      </c>
      <c r="L332" s="1" t="n">
        <f aca="false">IF($C$339&lt;=0,L331,IF($C$339=1,K331,J331))</f>
        <v>0.0751942094508496</v>
      </c>
      <c r="M332" s="1" t="n">
        <f aca="false">IF($C$339&lt;=0,M331,IF($C$339=1,L331,K331))</f>
        <v>0.0888002818694274</v>
      </c>
      <c r="N332" s="1" t="n">
        <f aca="false">IF($C$339&lt;=0,N331,IF($C$339=1,M331,L331))</f>
        <v>0.112384365159332</v>
      </c>
      <c r="O332" s="1" t="n">
        <f aca="false">IF($C$339&lt;=0,O331,IF($C$339=1,N331,M331))</f>
        <v>0.126553493302294</v>
      </c>
      <c r="P332" s="1" t="n">
        <f aca="false">IF($C$339&lt;=0,P331,IF($C$339=1,O331,N331))</f>
        <v>0.128988730716416</v>
      </c>
      <c r="Q332" s="1" t="n">
        <f aca="false">IF($C$339&lt;=0,Q331,IF($C$339=1,P331,O331))</f>
        <v>0.131580635952263</v>
      </c>
      <c r="R332" s="1" t="n">
        <f aca="false">IF($C$339&lt;=0,R331,IF($C$339=1,Q331,P331))</f>
        <v>0.134334003823423</v>
      </c>
      <c r="S332" s="1" t="n">
        <f aca="false">IF($C$339&lt;=0,S331,IF($C$339=1,R331,Q331))</f>
        <v>0.137236526929241</v>
      </c>
      <c r="T332" s="1" t="n">
        <f aca="false">IF($C$339&lt;=0,T331,IF($C$339=1,S331,R331))</f>
        <v>0.140277048769479</v>
      </c>
      <c r="U332" s="1" t="n">
        <f aca="false">IF($C$339&lt;=0,U331,IF($C$339=1,T331,S331))</f>
        <v>0.143445140990214</v>
      </c>
      <c r="V332" s="1" t="n">
        <f aca="false">IF($C$339&lt;=0,V331,IF($C$339=1,U331,T331))</f>
        <v>0.146703144887113</v>
      </c>
      <c r="W332" s="1" t="n">
        <f aca="false">IF($C$339&lt;=0,W331,IF($C$339=1,V331,U331))</f>
        <v>0.150051873099356</v>
      </c>
      <c r="X332" s="1" t="n">
        <f aca="false">IF($C$339&lt;=0,X331,IF($C$339=1,W331,V331))</f>
        <v>0.153502632134997</v>
      </c>
      <c r="Y332" s="1" t="n">
        <f aca="false">IF($C$339&lt;=0,Y331,IF($C$339=1,X331,W331))</f>
        <v>0.157056316459839</v>
      </c>
      <c r="Z332" s="1" t="n">
        <f aca="false">IF($C$339&lt;=0,Z331,IF($C$339=1,Y331,X331))</f>
        <v>0.160713867603585</v>
      </c>
      <c r="AA332" s="1" t="n">
        <f aca="false">IF($C$339&lt;=0,AA331,IF($C$339=1,Z331,Y331))</f>
        <v>0.164476274057656</v>
      </c>
      <c r="AB332" s="1" t="n">
        <f aca="false">IF($C$339&lt;=0,AB331,IF($C$339=1,AA331,Z331))</f>
        <v>0.168344570348292</v>
      </c>
      <c r="AC332" s="1" t="n">
        <f aca="false">IF($C$339&lt;=0,AC331,IF($C$339=1,AB331,AA331))</f>
        <v>0.172319608833222</v>
      </c>
      <c r="AD332" s="1" t="n">
        <f aca="false">IF($C$339&lt;=0,AD331,IF($C$339=1,AC331,AB331))</f>
        <v>0.176402290261387</v>
      </c>
      <c r="AE332" s="1" t="n">
        <f aca="false">IF($C$339&lt;=0,AE331,IF($C$339=1,AD331,AC331))</f>
        <v>0.180593562841176</v>
      </c>
      <c r="AF332" s="1" t="n">
        <f aca="false">IF($C$339&lt;=0,AF331,IF($C$339=1,AE331,AD331))</f>
        <v>0.184894421314897</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0.00215158778078157</v>
      </c>
      <c r="E341" s="1" t="n">
        <f aca="false">D284*$C$340</f>
        <v>0.00560164986037079</v>
      </c>
      <c r="F341" s="1" t="n">
        <f aca="false">E284*$C$340</f>
        <v>0.00969447106493989</v>
      </c>
      <c r="G341" s="1" t="n">
        <f aca="false">F284*$C$340</f>
        <v>0.0121782241571012</v>
      </c>
      <c r="H341" s="1" t="n">
        <f aca="false">G284*$C$340</f>
        <v>0.0148199739359772</v>
      </c>
      <c r="I341" s="1" t="n">
        <f aca="false">H284*$C$340</f>
        <v>0.0181166527709151</v>
      </c>
      <c r="J341" s="1" t="n">
        <f aca="false">I284*$C$340</f>
        <v>0.0218591237633517</v>
      </c>
      <c r="K341" s="1" t="n">
        <f aca="false">J284*$C$340</f>
        <v>0.0260079416996898</v>
      </c>
      <c r="L341" s="1" t="n">
        <f aca="false">K284*$C$340</f>
        <v>0.0315815679693568</v>
      </c>
      <c r="M341" s="1" t="n">
        <f aca="false">L284*$C$340</f>
        <v>0.0372961183851595</v>
      </c>
      <c r="N341" s="1" t="n">
        <f aca="false">M284*$C$340</f>
        <v>0.0472014333669196</v>
      </c>
      <c r="O341" s="1" t="n">
        <f aca="false">N284*$C$340</f>
        <v>0.0531524671869633</v>
      </c>
      <c r="P341" s="1" t="n">
        <f aca="false">O284*$C$340</f>
        <v>0.0541752669008947</v>
      </c>
      <c r="Q341" s="1" t="n">
        <f aca="false">P284*$C$340</f>
        <v>0.0552638670999506</v>
      </c>
      <c r="R341" s="1" t="n">
        <f aca="false">Q284*$C$340</f>
        <v>0.0564202816058377</v>
      </c>
      <c r="S341" s="1" t="n">
        <f aca="false">R284*$C$340</f>
        <v>0.057639341310281</v>
      </c>
      <c r="T341" s="1" t="n">
        <f aca="false">S284*$C$340</f>
        <v>0.0589163604831813</v>
      </c>
      <c r="U341" s="1" t="n">
        <f aca="false">T284*$C$340</f>
        <v>0.0602469592158898</v>
      </c>
      <c r="V341" s="1" t="n">
        <f aca="false">U284*$C$340</f>
        <v>0.0616153208525876</v>
      </c>
      <c r="W341" s="1" t="n">
        <f aca="false">V284*$C$340</f>
        <v>0.0630217867017296</v>
      </c>
      <c r="X341" s="1" t="n">
        <f aca="false">W284*$C$340</f>
        <v>0.0644711054966988</v>
      </c>
      <c r="Y341" s="1" t="n">
        <f aca="false">X284*$C$340</f>
        <v>0.0659636529131325</v>
      </c>
      <c r="Z341" s="1" t="n">
        <f aca="false">Y284*$C$340</f>
        <v>0.0674998243935057</v>
      </c>
      <c r="AA341" s="1" t="n">
        <f aca="false">Z284*$C$340</f>
        <v>0.0690800351042156</v>
      </c>
      <c r="AB341" s="1" t="n">
        <f aca="false">AA284*$C$340</f>
        <v>0.0707047195462828</v>
      </c>
      <c r="AC341" s="1" t="n">
        <f aca="false">AB284*$C$340</f>
        <v>0.072374235709953</v>
      </c>
      <c r="AD341" s="1" t="n">
        <f aca="false">AC284*$C$340</f>
        <v>0.0740889619097826</v>
      </c>
      <c r="AE341" s="1" t="n">
        <f aca="false">AD284*$C$340</f>
        <v>0.0758492963932937</v>
      </c>
      <c r="AF341" s="1" t="n">
        <f aca="false">AE284*$C$340</f>
        <v>0.0776556569522566</v>
      </c>
    </row>
    <row r="342" customFormat="false" ht="14.25" hidden="false" customHeight="true" outlineLevel="0" collapsed="false">
      <c r="B342" s="1" t="s">
        <v>1336</v>
      </c>
      <c r="C342" s="1" t="n">
        <f aca="false">0*$C$340</f>
        <v>0</v>
      </c>
      <c r="D342" s="1" t="n">
        <f aca="false">C289*$C$340</f>
        <v>0.00297124026869837</v>
      </c>
      <c r="E342" s="1" t="n">
        <f aca="false">D289*$C$340</f>
        <v>0.00773561171194062</v>
      </c>
      <c r="F342" s="1" t="n">
        <f aca="false">E289*$C$340</f>
        <v>0.0133876028992027</v>
      </c>
      <c r="G342" s="1" t="n">
        <f aca="false">F289*$C$340</f>
        <v>0.0168175476455207</v>
      </c>
      <c r="H342" s="1" t="n">
        <f aca="false">G289*$C$340</f>
        <v>0.0204656782925399</v>
      </c>
      <c r="I342" s="1" t="n">
        <f aca="false">H289*$C$340</f>
        <v>0.0250182347788827</v>
      </c>
      <c r="J342" s="1" t="n">
        <f aca="false">I289*$C$340</f>
        <v>0.0301864090065332</v>
      </c>
      <c r="K342" s="1" t="n">
        <f aca="false">J289*$C$340</f>
        <v>0.0359157290138573</v>
      </c>
      <c r="L342" s="1" t="n">
        <f aca="false">K289*$C$340</f>
        <v>0.0436126414814927</v>
      </c>
      <c r="M342" s="1" t="n">
        <f aca="false">L289*$C$340</f>
        <v>0.0515041634842679</v>
      </c>
      <c r="N342" s="1" t="n">
        <f aca="false">M289*$C$340</f>
        <v>0.0651829317924128</v>
      </c>
      <c r="O342" s="1" t="n">
        <f aca="false">N289*$C$340</f>
        <v>0.0734010261153303</v>
      </c>
      <c r="P342" s="1" t="n">
        <f aca="false">O289*$C$340</f>
        <v>0.0748134638155212</v>
      </c>
      <c r="Q342" s="1" t="n">
        <f aca="false">P289*$C$340</f>
        <v>0.0763167688523128</v>
      </c>
      <c r="R342" s="1" t="n">
        <f aca="false">Q289*$C$340</f>
        <v>0.0779137222175853</v>
      </c>
      <c r="S342" s="1" t="n">
        <f aca="false">R289*$C$340</f>
        <v>0.0795971856189595</v>
      </c>
      <c r="T342" s="1" t="n">
        <f aca="false">S289*$C$340</f>
        <v>0.081360688286298</v>
      </c>
      <c r="U342" s="1" t="n">
        <f aca="false">T289*$C$340</f>
        <v>0.0831981817743241</v>
      </c>
      <c r="V342" s="1" t="n">
        <f aca="false">U289*$C$340</f>
        <v>0.0850878240345257</v>
      </c>
      <c r="W342" s="1" t="n">
        <f aca="false">V289*$C$340</f>
        <v>0.0870300863976267</v>
      </c>
      <c r="X342" s="1" t="n">
        <f aca="false">W289*$C$340</f>
        <v>0.0890315266382984</v>
      </c>
      <c r="Y342" s="1" t="n">
        <f aca="false">X289*$C$340</f>
        <v>0.0910926635467068</v>
      </c>
      <c r="Z342" s="1" t="n">
        <f aca="false">Y289*$C$340</f>
        <v>0.0932140432100793</v>
      </c>
      <c r="AA342" s="1" t="n">
        <f aca="false">Z289*$C$340</f>
        <v>0.0953962389534407</v>
      </c>
      <c r="AB342" s="1" t="n">
        <f aca="false">AA289*$C$340</f>
        <v>0.0976398508020095</v>
      </c>
      <c r="AC342" s="1" t="n">
        <f aca="false">AB289*$C$340</f>
        <v>0.0999453731232685</v>
      </c>
      <c r="AD342" s="1" t="n">
        <f aca="false">AC289*$C$340</f>
        <v>0.102313328351605</v>
      </c>
      <c r="AE342" s="1" t="n">
        <f aca="false">AD289*$C$340</f>
        <v>0.104744266447882</v>
      </c>
      <c r="AF342" s="1" t="n">
        <f aca="false">AE289*$C$340</f>
        <v>0.10723876436264</v>
      </c>
    </row>
    <row r="343" customFormat="false" ht="14.25" hidden="false" customHeight="true" outlineLevel="0" collapsed="false">
      <c r="B343" s="1" t="s">
        <v>1337</v>
      </c>
      <c r="C343" s="1" t="n">
        <f aca="false">C341+C342</f>
        <v>0</v>
      </c>
      <c r="D343" s="1" t="n">
        <f aca="false">D341+D342</f>
        <v>0.00512282804947994</v>
      </c>
      <c r="E343" s="1" t="n">
        <f aca="false">E341+E342</f>
        <v>0.0133372615723114</v>
      </c>
      <c r="F343" s="1" t="n">
        <f aca="false">F341+F342</f>
        <v>0.0230820739641426</v>
      </c>
      <c r="G343" s="1" t="n">
        <f aca="false">G341+G342</f>
        <v>0.0289957718026219</v>
      </c>
      <c r="H343" s="1" t="n">
        <f aca="false">H341+H342</f>
        <v>0.0352856522285171</v>
      </c>
      <c r="I343" s="1" t="n">
        <f aca="false">I341+I342</f>
        <v>0.0431348875497978</v>
      </c>
      <c r="J343" s="1" t="n">
        <f aca="false">J341+J342</f>
        <v>0.0520455327698849</v>
      </c>
      <c r="K343" s="1" t="n">
        <f aca="false">K341+K342</f>
        <v>0.0619236707135471</v>
      </c>
      <c r="L343" s="1" t="n">
        <f aca="false">L341+L342</f>
        <v>0.0751942094508496</v>
      </c>
      <c r="M343" s="1" t="n">
        <f aca="false">M341+M342</f>
        <v>0.0888002818694274</v>
      </c>
      <c r="N343" s="1" t="n">
        <f aca="false">N341+N342</f>
        <v>0.112384365159332</v>
      </c>
      <c r="O343" s="1" t="n">
        <f aca="false">O341+O342</f>
        <v>0.126553493302294</v>
      </c>
      <c r="P343" s="1" t="n">
        <f aca="false">P341+P342</f>
        <v>0.128988730716416</v>
      </c>
      <c r="Q343" s="1" t="n">
        <f aca="false">Q341+Q342</f>
        <v>0.131580635952263</v>
      </c>
      <c r="R343" s="1" t="n">
        <f aca="false">R341+R342</f>
        <v>0.134334003823423</v>
      </c>
      <c r="S343" s="1" t="n">
        <f aca="false">S341+S342</f>
        <v>0.137236526929241</v>
      </c>
      <c r="T343" s="1" t="n">
        <f aca="false">T341+T342</f>
        <v>0.140277048769479</v>
      </c>
      <c r="U343" s="1" t="n">
        <f aca="false">U341+U342</f>
        <v>0.143445140990214</v>
      </c>
      <c r="V343" s="1" t="n">
        <f aca="false">V341+V342</f>
        <v>0.146703144887113</v>
      </c>
      <c r="W343" s="1" t="n">
        <f aca="false">W341+W342</f>
        <v>0.150051873099356</v>
      </c>
      <c r="X343" s="1" t="n">
        <f aca="false">X341+X342</f>
        <v>0.153502632134997</v>
      </c>
      <c r="Y343" s="1" t="n">
        <f aca="false">Y341+Y342</f>
        <v>0.157056316459839</v>
      </c>
      <c r="Z343" s="1" t="n">
        <f aca="false">Z341+Z342</f>
        <v>0.160713867603585</v>
      </c>
      <c r="AA343" s="1" t="n">
        <f aca="false">AA341+AA342</f>
        <v>0.164476274057656</v>
      </c>
      <c r="AB343" s="1" t="n">
        <f aca="false">AB341+AB342</f>
        <v>0.168344570348292</v>
      </c>
      <c r="AC343" s="1" t="n">
        <f aca="false">AC341+AC342</f>
        <v>0.172319608833222</v>
      </c>
      <c r="AD343" s="1" t="n">
        <f aca="false">AD341+AD342</f>
        <v>0.176402290261387</v>
      </c>
      <c r="AE343" s="1" t="n">
        <f aca="false">AE341+AE342</f>
        <v>0.180593562841176</v>
      </c>
      <c r="AF343" s="1" t="n">
        <f aca="false">AF341+AF342</f>
        <v>0.184894421314897</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1343</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0.0065</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1344</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3.230422220638</v>
      </c>
      <c r="AC50" s="116" t="n">
        <f aca="false">IF($C$6="Sí",23_v67_Intermedio!AC24,22_v67_Prudente!AC24)-AC194+AC345</f>
        <v>3.130322136886</v>
      </c>
      <c r="AD50" s="116" t="n">
        <f aca="false">IF($C$6="Sí",23_v67_Intermedio!AD24,22_v67_Prudente!AD24)-AD194+AD345</f>
        <v>3.030222053134</v>
      </c>
      <c r="AE50" s="116" t="n">
        <f aca="false">IF($C$6="Sí",23_v67_Intermedio!AE24,22_v67_Prudente!AE24)-AE194+AE345</f>
        <v>2.930121969382</v>
      </c>
      <c r="AF50" s="116" t="n">
        <f aca="false">IF($C$6="Sí",23_v67_Intermedio!AF24,22_v67_Prudente!AF24)-AF194+AF345</f>
        <v>2.83002188563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3.230422220638</v>
      </c>
      <c r="AC64" s="116" t="n">
        <f aca="false">AC48+AC50-AC57</f>
        <v>3.130322136886</v>
      </c>
      <c r="AD64" s="116" t="n">
        <f aca="false">AD48+AD50-AD57</f>
        <v>3.030222053134</v>
      </c>
      <c r="AE64" s="116" t="n">
        <f aca="false">AE48+AE50-AE57</f>
        <v>2.930121969382</v>
      </c>
      <c r="AF64" s="116" t="n">
        <f aca="false">AF48+AF50-AF57</f>
        <v>2.83002188563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3.03998784899078</v>
      </c>
      <c r="AC66" s="116" t="n">
        <f aca="false">AC64-AC65</f>
        <v>2.93316543191963</v>
      </c>
      <c r="AD66" s="116" t="n">
        <f aca="false">AD64-AD65</f>
        <v>2.82610571648232</v>
      </c>
      <c r="AE66" s="116" t="n">
        <f aca="false">AE64-AE65</f>
        <v>2.71880032604652</v>
      </c>
      <c r="AF66" s="116" t="n">
        <f aca="false">AF64-AF65</f>
        <v>2.61124058828477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198.384993311987</v>
      </c>
      <c r="N67" s="116" t="n">
        <f aca="false">M67+N66-N63</f>
        <v>201.290395518758</v>
      </c>
      <c r="O67" s="116" t="n">
        <f aca="false">N67+O66-O63</f>
        <v>204.200384827303</v>
      </c>
      <c r="P67" s="116" t="n">
        <f aca="false">O67+P66-P63</f>
        <v>207.114379071565</v>
      </c>
      <c r="Q67" s="116" t="n">
        <f aca="false">P67+Q66-Q63</f>
        <v>210.031812739564</v>
      </c>
      <c r="R67" s="116" t="n">
        <f aca="false">Q67+R66-R63</f>
        <v>212.852035617303</v>
      </c>
      <c r="S67" s="116" t="n">
        <f aca="false">R67+S66-S63</f>
        <v>215.574511732038</v>
      </c>
      <c r="T67" s="116" t="n">
        <f aca="false">S67+T66-T63</f>
        <v>218.198718089424</v>
      </c>
      <c r="U67" s="116" t="n">
        <f aca="false">T67+U66-U63</f>
        <v>220.724143536746</v>
      </c>
      <c r="V67" s="116" t="n">
        <f aca="false">U67+V66-V63</f>
        <v>223.150287665761</v>
      </c>
      <c r="W67" s="116" t="n">
        <f aca="false">V67+W66-W63</f>
        <v>225.476659752565</v>
      </c>
      <c r="X67" s="116" t="n">
        <f aca="false">W67+X66-X63</f>
        <v>227.702777732021</v>
      </c>
      <c r="Y67" s="116" t="n">
        <f aca="false">X67+Y66-Y63</f>
        <v>229.828167204339</v>
      </c>
      <c r="Z67" s="116" t="n">
        <f aca="false">Y67+Z66-Z63</f>
        <v>231.852360471556</v>
      </c>
      <c r="AA67" s="116" t="n">
        <f aca="false">Z67+AA66-AA63</f>
        <v>233.774895601702</v>
      </c>
      <c r="AB67" s="116" t="n">
        <f aca="false">AA67+AB66-AB63</f>
        <v>235.595315518552</v>
      </c>
      <c r="AC67" s="116" t="n">
        <f aca="false">AB67+AC66-AC63</f>
        <v>237.313167114937</v>
      </c>
      <c r="AD67" s="116" t="n">
        <f aca="false">AC67+AD66-AD63</f>
        <v>238.928000387663</v>
      </c>
      <c r="AE67" s="116" t="n">
        <f aca="false">AD67+AE66-AE63</f>
        <v>240.43936759214</v>
      </c>
      <c r="AF67" s="116" t="n">
        <f aca="false">AE67+AF66-AF63</f>
        <v>241.846822414934</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70.6634487934097</v>
      </c>
      <c r="N68" s="116" t="n">
        <f aca="false">M68+(01_Supuestos!$I$125-1)*N66</f>
        <v>72.0963286863452</v>
      </c>
      <c r="O68" s="116" t="n">
        <f aca="false">N68+(01_Supuestos!$I$125-1)*O66</f>
        <v>73.5278022987521</v>
      </c>
      <c r="P68" s="116" t="n">
        <f aca="false">O68+(01_Supuestos!$I$125-1)*P66</f>
        <v>74.9578199889278</v>
      </c>
      <c r="Q68" s="116" t="n">
        <f aca="false">P68+(01_Supuestos!$I$125-1)*Q66</f>
        <v>76.3863303628175</v>
      </c>
      <c r="R68" s="116" t="n">
        <f aca="false">Q68+(01_Supuestos!$I$125-1)*R66</f>
        <v>77.7792461836805</v>
      </c>
      <c r="S68" s="116" t="n">
        <f aca="false">R68+(01_Supuestos!$I$125-1)*S66</f>
        <v>79.1365123650004</v>
      </c>
      <c r="T68" s="116" t="n">
        <f aca="false">S68+(01_Supuestos!$I$125-1)*T66</f>
        <v>80.4580718757063</v>
      </c>
      <c r="U68" s="116" t="n">
        <f aca="false">T68+(01_Supuestos!$I$125-1)*U66</f>
        <v>81.7438656715309</v>
      </c>
      <c r="V68" s="116" t="n">
        <f aca="false">U68+(01_Supuestos!$I$125-1)*V66</f>
        <v>82.9938326239439</v>
      </c>
      <c r="W68" s="116" t="n">
        <f aca="false">V68+(01_Supuestos!$I$125-1)*W66</f>
        <v>84.2079094465782</v>
      </c>
      <c r="X68" s="116" t="n">
        <f aca="false">W68+(01_Supuestos!$I$125-1)*X66</f>
        <v>85.3860306190578</v>
      </c>
      <c r="Y68" s="116" t="n">
        <f aca="false">X68+(01_Supuestos!$I$125-1)*Y66</f>
        <v>86.5281283081373</v>
      </c>
      <c r="Z68" s="116" t="n">
        <f aca="false">Y68+(01_Supuestos!$I$125-1)*Z66</f>
        <v>87.634132286058</v>
      </c>
      <c r="AA68" s="116" t="n">
        <f aca="false">Z68+(01_Supuestos!$I$125-1)*AA66</f>
        <v>88.7039698460211</v>
      </c>
      <c r="AB68" s="116" t="n">
        <f aca="false">AA68+(01_Supuestos!$I$125-1)*AB66</f>
        <v>89.737565714678</v>
      </c>
      <c r="AC68" s="116" t="n">
        <f aca="false">AB68+(01_Supuestos!$I$125-1)*AC66</f>
        <v>90.7348419615307</v>
      </c>
      <c r="AD68" s="116" t="n">
        <f aca="false">AC68+(01_Supuestos!$I$125-1)*AD66</f>
        <v>91.6957179051347</v>
      </c>
      <c r="AE68" s="116" t="n">
        <f aca="false">AD68+(01_Supuestos!$I$125-1)*AE66</f>
        <v>92.6201100159905</v>
      </c>
      <c r="AF68" s="116" t="n">
        <f aca="false">AE68+(01_Supuestos!$I$125-1)*AF66</f>
        <v>93.5079318160073</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256.607001012742</v>
      </c>
      <c r="G69" s="116" t="n">
        <f aca="false">F69+G48+G49+G50+G51-G63+G245</f>
        <v>262.236608254652</v>
      </c>
      <c r="H69" s="116" t="n">
        <f aca="false">G69+H48+H49+H50+H51-H63+H245</f>
        <v>267.878706911562</v>
      </c>
      <c r="I69" s="116" t="n">
        <f aca="false">H69+I48+I49+I50+I51-I63+I245</f>
        <v>273.532672412722</v>
      </c>
      <c r="J69" s="116" t="n">
        <f aca="false">I69+J48+J49+J50+J51-J63+J245</f>
        <v>279.19791141592</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319.126273175618</v>
      </c>
      <c r="R69" s="116" t="n">
        <f aca="false">Q69+R48+R49+R50+R51-R63+R245</f>
        <v>324.763506273682</v>
      </c>
      <c r="S69" s="116" t="n">
        <f aca="false">R69+S48+S49+S50+S51-S63+S245</f>
        <v>330.307744406</v>
      </c>
      <c r="T69" s="116" t="n">
        <f aca="false">S69+T48+T49+T50+T51-T63+T245</f>
        <v>335.758632316669</v>
      </c>
      <c r="U69" s="116" t="n">
        <f aca="false">T69+U48+U49+U50+U51-U63+U245</f>
        <v>341.115832512587</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380.565374819158</v>
      </c>
      <c r="AD69" s="116" t="n">
        <f aca="false">AC69+AD48+AD49+AD50+AD51-AD63+AD245</f>
        <v>385.066722828534</v>
      </c>
      <c r="AE69" s="116" t="n">
        <f aca="false">AD69+AE48+AE49+AE50+AE51-AE63+AE245</f>
        <v>389.471810076347</v>
      </c>
      <c r="AF69" s="116" t="n">
        <f aca="false">AE69+AF48+AF49+AF50+AF51-AF63+AF245</f>
        <v>393.780444596487</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52.9916758096682</v>
      </c>
      <c r="G70" s="116" t="n">
        <f aca="false">F70+G49+G51+G57+G65+G245</f>
        <v>60.0055973515782</v>
      </c>
      <c r="H70" s="116" t="n">
        <f aca="false">G70+H49+H51+H57+H65+H245</f>
        <v>67.0195188934882</v>
      </c>
      <c r="I70" s="116" t="n">
        <f aca="false">H70+I49+I51+I57+I65+I245</f>
        <v>74.0334404353982</v>
      </c>
      <c r="J70" s="116" t="n">
        <f aca="false">I70+J49+J51+J57+J65+J245</f>
        <v>81.0473619773081</v>
      </c>
      <c r="K70" s="116" t="n">
        <f aca="false">J70+K49+K51+K57+K65+K245</f>
        <v>88.0612835192181</v>
      </c>
      <c r="L70" s="116" t="n">
        <f aca="false">K70+L49+L51+L57+L65+L245</f>
        <v>95.0752050611281</v>
      </c>
      <c r="M70" s="116" t="n">
        <f aca="false">L70+M49+M51+M57+M65+M245</f>
        <v>97.8707788843187</v>
      </c>
      <c r="N70" s="116" t="n">
        <f aca="false">M70+N49+N51+N57+N65+N245</f>
        <v>100.670347799948</v>
      </c>
      <c r="O70" s="116" t="n">
        <f aca="false">N70+O49+O51+O57+O65+O245</f>
        <v>103.474052834779</v>
      </c>
      <c r="P70" s="116" t="n">
        <f aca="false">O70+P49+P51+P57+P65+P245</f>
        <v>106.282039993819</v>
      </c>
      <c r="Q70" s="116" t="n">
        <f aca="false">P70+Q49+Q51+Q57+Q65+Q245</f>
        <v>109.094460436054</v>
      </c>
      <c r="R70" s="116" t="n">
        <f aca="false">Q70+R49+R51+R57+R65+R245</f>
        <v>111.911470656379</v>
      </c>
      <c r="S70" s="116" t="n">
        <f aca="false">R70+S49+S51+S57+S65+S245</f>
        <v>114.733232673962</v>
      </c>
      <c r="T70" s="116" t="n">
        <f aca="false">S70+T49+T51+T57+T65+T245</f>
        <v>117.559914227246</v>
      </c>
      <c r="U70" s="116" t="n">
        <f aca="false">T70+U49+U51+U57+U65+U245</f>
        <v>120.39168897584</v>
      </c>
      <c r="V70" s="116" t="n">
        <f aca="false">U70+V49+V51+V57+V65+V245</f>
        <v>123.22873670954</v>
      </c>
      <c r="W70" s="116" t="n">
        <f aca="false">V70+W49+W51+W57+W65+W245</f>
        <v>126.071243564719</v>
      </c>
      <c r="X70" s="116" t="n">
        <f aca="false">W70+X49+X51+X57+X65+X245</f>
        <v>128.919402248367</v>
      </c>
      <c r="Y70" s="116" t="n">
        <f aca="false">X70+Y49+Y51+Y57+Y65+Y245</f>
        <v>131.773412270027</v>
      </c>
      <c r="Z70" s="116" t="n">
        <f aca="false">Y70+Z49+Z51+Z57+Z65+Z245</f>
        <v>134.633480181931</v>
      </c>
      <c r="AA70" s="116" t="n">
        <f aca="false">Z70+AA49+AA51+AA57+AA65+AA245</f>
        <v>137.499819827606</v>
      </c>
      <c r="AB70" s="116" t="n">
        <f aca="false">AA70+AB49+AB51+AB57+AB65+AB245</f>
        <v>140.372652599254</v>
      </c>
      <c r="AC70" s="116" t="n">
        <f aca="false">AB70+AC49+AC51+AC57+AC65+AC245</f>
        <v>143.25220770422</v>
      </c>
      <c r="AD70" s="116" t="n">
        <f aca="false">AC70+AD49+AD51+AD57+AD65+AD245</f>
        <v>146.138722440872</v>
      </c>
      <c r="AE70" s="116" t="n">
        <f aca="false">AD70+AE49+AE51+AE57+AE65+AE245</f>
        <v>149.032442484207</v>
      </c>
      <c r="AF70" s="116" t="n">
        <f aca="false">AE70+AF49+AF51+AF57+AF65+AF245</f>
        <v>151.933622181552</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17.2988399625579</v>
      </c>
      <c r="D72" s="116" t="n">
        <f aca="false">IF($C$173="Sí",(D83-D326)+D181,$C$15*C83)</f>
        <v>34.9771117069655</v>
      </c>
      <c r="E72" s="116" t="n">
        <f aca="false">IF($C$173="Sí",(E83-E326)+E181,$C$15*D83)</f>
        <v>53.3834374272829</v>
      </c>
      <c r="F72" s="116" t="n">
        <f aca="false">IF($C$173="Sí",(F83-F326)+F181,$C$15*E83)</f>
        <v>73.4908703934434</v>
      </c>
      <c r="G72" s="116" t="n">
        <f aca="false">IF($C$173="Sí",(G83-G326)+G181,$C$15*F83)</f>
        <v>92.6207487315235</v>
      </c>
      <c r="H72" s="116" t="n">
        <f aca="false">IF($C$173="Sí",(H83-H326)+H181,$C$15*G83)</f>
        <v>103.907740862016</v>
      </c>
      <c r="I72" s="116" t="n">
        <f aca="false">IF($C$173="Sí",(I83-I326)+I181,$C$15*H83)</f>
        <v>115.76703498894</v>
      </c>
      <c r="J72" s="116" t="n">
        <f aca="false">IF($C$173="Sí",(J83-J326)+J181,$C$15*I83)</f>
        <v>127.898004101118</v>
      </c>
      <c r="K72" s="116" t="n">
        <f aca="false">IF($C$173="Sí",(K83-K326)+K181,$C$15*J83)</f>
        <v>140.306894140748</v>
      </c>
      <c r="L72" s="116" t="n">
        <f aca="false">IF($C$173="Sí",(L83-L326)+L181,$C$15*K83)</f>
        <v>153.00009483582</v>
      </c>
      <c r="M72" s="116" t="n">
        <f aca="false">IF($C$173="Sí",(M83-M326)+M181,$C$15*L83)</f>
        <v>164.839026400822</v>
      </c>
      <c r="N72" s="116" t="n">
        <f aca="false">IF($C$173="Sí",(N83-N326)+N181,$C$15*M83)</f>
        <v>177.796088160239</v>
      </c>
      <c r="O72" s="116" t="n">
        <f aca="false">IF($C$173="Sí",(O83-O326)+O181,$C$15*N83)</f>
        <v>191.975611829384</v>
      </c>
      <c r="P72" s="116" t="n">
        <f aca="false">IF($C$173="Sí",(P83-P326)+P181,$C$15*O83)</f>
        <v>206.025215197444</v>
      </c>
      <c r="Q72" s="116" t="n">
        <f aca="false">IF($C$173="Sí",(Q83-Q326)+Q181,$C$15*P83)</f>
        <v>220.205058498671</v>
      </c>
      <c r="R72" s="116" t="n">
        <f aca="false">IF($C$173="Sí",(R83-R326)+R181,$C$15*Q83)</f>
        <v>227.146023893646</v>
      </c>
      <c r="S72" s="116" t="n">
        <f aca="false">IF($C$173="Sí",(S83-S326)+S181,$C$15*R83)</f>
        <v>232.712860787371</v>
      </c>
      <c r="T72" s="116" t="n">
        <f aca="false">IF($C$173="Sí",(T83-T326)+T181,$C$15*S83)</f>
        <v>238.093760800139</v>
      </c>
      <c r="U72" s="116" t="n">
        <f aca="false">IF($C$173="Sí",(U83-U326)+U181,$C$15*T83)</f>
        <v>243.561443922713</v>
      </c>
      <c r="V72" s="116" t="n">
        <f aca="false">IF($C$173="Sí",(V83-V326)+V181,$C$15*U83)</f>
        <v>249.154361551258</v>
      </c>
      <c r="W72" s="116" t="n">
        <f aca="false">IF($C$173="Sí",(W83-W326)+W181,$C$15*V83)</f>
        <v>253.670946252158</v>
      </c>
      <c r="X72" s="116" t="n">
        <f aca="false">IF($C$173="Sí",(X83-X326)+X181,$C$15*W83)</f>
        <v>257.886925108444</v>
      </c>
      <c r="Y72" s="116" t="n">
        <f aca="false">IF($C$173="Sí",(Y83-Y326)+Y181,$C$15*X83)</f>
        <v>262.030897789904</v>
      </c>
      <c r="Z72" s="116" t="n">
        <f aca="false">IF($C$173="Sí",(Z83-Z326)+Z181,$C$15*Y83)</f>
        <v>266.143401604625</v>
      </c>
      <c r="AA72" s="116" t="n">
        <f aca="false">IF($C$173="Sí",(AA83-AA326)+AA181,$C$15*Z83)</f>
        <v>270.232211850874</v>
      </c>
      <c r="AB72" s="116" t="n">
        <f aca="false">IF($C$173="Sí",(AB83-AB326)+AB181,$C$15*AA83)</f>
        <v>274.297995679326</v>
      </c>
      <c r="AC72" s="116" t="n">
        <f aca="false">IF($C$173="Sí",(AC83-AC326)+AC181,$C$15*AB83)</f>
        <v>278.341428820095</v>
      </c>
      <c r="AD72" s="116" t="n">
        <f aca="false">IF($C$173="Sí",(AD83-AD326)+AD181,$C$15*AC83)</f>
        <v>282.363201230085</v>
      </c>
      <c r="AE72" s="116" t="n">
        <f aca="false">IF($C$173="Sí",(AE83-AE326)+AE181,$C$15*AD83)</f>
        <v>286.364025145884</v>
      </c>
      <c r="AF72" s="116" t="n">
        <f aca="false">IF($C$173="Sí",(AF83-AF326)+AF181,$C$15*AE83)</f>
        <v>290.344635238681</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17.2988399625579</v>
      </c>
      <c r="D73" s="116" t="n">
        <f aca="false">D72-C72</f>
        <v>17.6782717444076</v>
      </c>
      <c r="E73" s="116" t="n">
        <f aca="false">E72-D72</f>
        <v>18.4063257203175</v>
      </c>
      <c r="F73" s="116" t="n">
        <f aca="false">F72-E72</f>
        <v>20.1074329661605</v>
      </c>
      <c r="G73" s="116" t="n">
        <f aca="false">G72-F72</f>
        <v>19.1298783380801</v>
      </c>
      <c r="H73" s="116" t="n">
        <f aca="false">H72-G72</f>
        <v>11.2869921304925</v>
      </c>
      <c r="I73" s="116" t="n">
        <f aca="false">I72-H72</f>
        <v>11.8592941269238</v>
      </c>
      <c r="J73" s="116" t="n">
        <f aca="false">J72-I72</f>
        <v>12.1309691121785</v>
      </c>
      <c r="K73" s="116" t="n">
        <f aca="false">K72-J72</f>
        <v>12.4088900396301</v>
      </c>
      <c r="L73" s="116" t="n">
        <f aca="false">L72-K72</f>
        <v>12.6932006950722</v>
      </c>
      <c r="M73" s="116" t="n">
        <f aca="false">M72-L72</f>
        <v>11.8389315650012</v>
      </c>
      <c r="N73" s="116" t="n">
        <f aca="false">N72-M72</f>
        <v>12.9570617594175</v>
      </c>
      <c r="O73" s="116" t="n">
        <f aca="false">O72-N72</f>
        <v>14.1795236691446</v>
      </c>
      <c r="P73" s="116" t="n">
        <f aca="false">P72-O72</f>
        <v>14.0496033680602</v>
      </c>
      <c r="Q73" s="116" t="n">
        <f aca="false">Q72-P72</f>
        <v>14.1798433012266</v>
      </c>
      <c r="R73" s="116" t="n">
        <f aca="false">R72-Q72</f>
        <v>6.94096539497539</v>
      </c>
      <c r="S73" s="116" t="n">
        <f aca="false">S72-R72</f>
        <v>5.5668368937246</v>
      </c>
      <c r="T73" s="116" t="n">
        <f aca="false">T72-S72</f>
        <v>5.38090001276839</v>
      </c>
      <c r="U73" s="116" t="n">
        <f aca="false">U72-T72</f>
        <v>5.46768312257365</v>
      </c>
      <c r="V73" s="116" t="n">
        <f aca="false">V72-U72</f>
        <v>5.59291762854551</v>
      </c>
      <c r="W73" s="116" t="n">
        <f aca="false">W72-V72</f>
        <v>4.51658470089998</v>
      </c>
      <c r="X73" s="116" t="n">
        <f aca="false">X72-W72</f>
        <v>4.21597885628637</v>
      </c>
      <c r="Y73" s="116" t="n">
        <f aca="false">Y72-X72</f>
        <v>4.14397268145967</v>
      </c>
      <c r="Z73" s="116" t="n">
        <f aca="false">Z72-Y72</f>
        <v>4.11250381472058</v>
      </c>
      <c r="AA73" s="116" t="n">
        <f aca="false">AA72-Z72</f>
        <v>4.0888102462489</v>
      </c>
      <c r="AB73" s="116" t="n">
        <f aca="false">AB72-AA72</f>
        <v>4.06578382845237</v>
      </c>
      <c r="AC73" s="116" t="n">
        <f aca="false">AC72-AB72</f>
        <v>4.04343314076925</v>
      </c>
      <c r="AD73" s="116" t="n">
        <f aca="false">AD72-AC72</f>
        <v>4.02177240998981</v>
      </c>
      <c r="AE73" s="116" t="n">
        <f aca="false">AE72-AD72</f>
        <v>4.00082391579849</v>
      </c>
      <c r="AF73" s="116" t="n">
        <f aca="false">AF72-AE72</f>
        <v>3.98061009279729</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13.63682799189</v>
      </c>
      <c r="H75" s="116" t="n">
        <f aca="false">$C$19*G81</f>
        <v>14.2644544068308</v>
      </c>
      <c r="I75" s="116" t="n">
        <f aca="false">$C$19*H81</f>
        <v>14.8927053925215</v>
      </c>
      <c r="J75" s="116" t="n">
        <f aca="false">$C$19*I81</f>
        <v>15.5215497204247</v>
      </c>
      <c r="K75" s="116" t="n">
        <f aca="false">$C$19*J81</f>
        <v>16.1509577234298</v>
      </c>
      <c r="L75" s="116" t="n">
        <f aca="false">$C$19*K81</f>
        <v>16.7809012177817</v>
      </c>
      <c r="M75" s="116" t="n">
        <f aca="false">$C$19*L81</f>
        <v>17.411353428913</v>
      </c>
      <c r="N75" s="116" t="n">
        <f aca="false">$C$19*M81</f>
        <v>17.9523523078849</v>
      </c>
      <c r="O75" s="116" t="n">
        <f aca="false">$C$19*N81</f>
        <v>18.4416729880495</v>
      </c>
      <c r="P75" s="116" t="n">
        <f aca="false">$C$19*O81</f>
        <v>18.8980599485205</v>
      </c>
      <c r="Q75" s="116" t="n">
        <f aca="false">$C$19*P81</f>
        <v>19.2344129569677</v>
      </c>
      <c r="R75" s="116" t="n">
        <f aca="false">$C$19*Q81</f>
        <v>19.5845118518383</v>
      </c>
      <c r="S75" s="116" t="n">
        <f aca="false">$C$19*R81</f>
        <v>19.9437219738299</v>
      </c>
      <c r="T75" s="116" t="n">
        <f aca="false">$C$19*S81</f>
        <v>20.2959128275926</v>
      </c>
      <c r="U75" s="116" t="n">
        <f aca="false">$C$19*T81</f>
        <v>20.6434542947875</v>
      </c>
      <c r="V75" s="116" t="n">
        <f aca="false">$C$19*U81</f>
        <v>20.9868848777879</v>
      </c>
      <c r="W75" s="116" t="n">
        <f aca="false">$C$19*V81</f>
        <v>21.3263040788123</v>
      </c>
      <c r="X75" s="116" t="n">
        <f aca="false">$C$19*W81</f>
        <v>21.6550968966214</v>
      </c>
      <c r="Y75" s="116" t="n">
        <f aca="false">$C$19*X81</f>
        <v>21.9752592394401</v>
      </c>
      <c r="Z75" s="116" t="n">
        <f aca="false">$C$19*Y81</f>
        <v>22.2892308441859</v>
      </c>
      <c r="AA75" s="116" t="n">
        <f aca="false">$C$19*Z81</f>
        <v>22.5968254646277</v>
      </c>
      <c r="AB75" s="116" t="n">
        <f aca="false">$C$19*AA81</f>
        <v>22.8978574008347</v>
      </c>
      <c r="AC75" s="116" t="n">
        <f aca="false">$C$19*AB81</f>
        <v>23.1923116329146</v>
      </c>
      <c r="AD75" s="116" t="n">
        <f aca="false">$C$19*AC81</f>
        <v>23.4801736159648</v>
      </c>
      <c r="AE75" s="116" t="n">
        <f aca="false">$C$19*AD81</f>
        <v>23.7614292465808</v>
      </c>
      <c r="AF75" s="116" t="n">
        <f aca="false">$C$19*AE81</f>
        <v>24.0360648306938</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1324.00659137758</v>
      </c>
      <c r="E76" s="116" t="n">
        <f aca="false">(IF($C$173="Sí",(MAX(0,E74-D96)+MAX(0,D276+E53-E75))/E327,E73+MAX(0,E74-D96)+MAX(0,D276+E53-E75)))+IF($C$173="Sí",MAX(0,$C$226*(E70+D121)*0.3/0.55-D227)/E327,0)</f>
        <v>831.150638441392</v>
      </c>
      <c r="F76" s="116" t="n">
        <f aca="false">(IF($C$173="Sí",(MAX(0,F74-E96)+MAX(0,E276+F53-F75))/F327,F73+MAX(0,F74-E96)+MAX(0,E276+F53-F75)))+IF($C$173="Sí",MAX(0,$C$226*(F70+E121)*0.3/0.55-E227)/F327,0)</f>
        <v>925.243053883518</v>
      </c>
      <c r="G76" s="116" t="n">
        <f aca="false">(IF($C$173="Sí",(MAX(0,G74-F96)+MAX(0,F276+G53-G75))/G327,G73+MAX(0,G74-F96)+MAX(0,F276+G53-G75)))+IF($C$173="Sí",MAX(0,$C$226*(G70+F121)*0.3/0.55-F227)/G327,0)</f>
        <v>66975.9270916769</v>
      </c>
      <c r="H76" s="116" t="n">
        <f aca="false">(IF($C$173="Sí",(MAX(0,H74-G96)+MAX(0,G276+H53-H75))/H327,H73+MAX(0,H74-G96)+MAX(0,G276+H53-H75)))+IF($C$173="Sí",MAX(0,$C$226*(H70+G121)*0.3/0.55-G227)/H327,0)</f>
        <v>959.353379091209</v>
      </c>
      <c r="I76" s="116" t="n">
        <f aca="false">(IF($C$173="Sí",(MAX(0,I74-H96)+MAX(0,H276+I53-I75))/I327,I73+MAX(0,I74-H96)+MAX(0,H276+I53-I75)))+IF($C$173="Sí",MAX(0,$C$226*(I70+H121)*0.3/0.55-H227)/I327,0)</f>
        <v>1012.81273195895</v>
      </c>
      <c r="J76" s="116" t="n">
        <f aca="false">(IF($C$173="Sí",(MAX(0,J74-I96)+MAX(0,I276+J53-J75))/J327,J73+MAX(0,J74-I96)+MAX(0,I276+J53-J75)))+IF($C$173="Sí",MAX(0,$C$226*(J70+I121)*0.3/0.55-I227)/J327,0)</f>
        <v>1085.44976928952</v>
      </c>
      <c r="K76" s="116" t="n">
        <f aca="false">(IF($C$173="Sí",(MAX(0,K74-J96)+MAX(0,J276+K53-K75))/K327,K73+MAX(0,K74-J96)+MAX(0,J276+K53-K75)))+IF($C$173="Sí",MAX(0,$C$226*(K70+J121)*0.3/0.55-J227)/K327,0)</f>
        <v>1170.56088356849</v>
      </c>
      <c r="L76" s="116" t="n">
        <f aca="false">(IF($C$173="Sí",(MAX(0,L74-K96)+MAX(0,K276+L53-L75))/L327,L73+MAX(0,L74-K96)+MAX(0,K276+L53-L75)))+IF($C$173="Sí",MAX(0,$C$226*(L70+K121)*0.3/0.55-K227)/L327,0)</f>
        <v>1266.53481896947</v>
      </c>
      <c r="M76" s="116" t="n">
        <f aca="false">(IF($C$173="Sí",(MAX(0,M74-L96)+MAX(0,L276+M53-M75))/M327,M73+MAX(0,M74-L96)+MAX(0,L276+M53-M75)))+IF($C$173="Sí",MAX(0,$C$226*(M70+L121)*0.3/0.55-L227)/M327,0)</f>
        <v>1174.5478405756</v>
      </c>
      <c r="N76" s="116" t="n">
        <f aca="false">(IF($C$173="Sí",(MAX(0,N74-M96)+MAX(0,M276+N53-N75))/N327,N73+MAX(0,N74-M96)+MAX(0,M276+N53-N75)))+IF($C$173="Sí",MAX(0,$C$226*(N70+M121)*0.3/0.55-M227)/N327,0)</f>
        <v>923.570897244884</v>
      </c>
      <c r="O76" s="116" t="n">
        <f aca="false">(IF($C$173="Sí",(MAX(0,O74-N96)+MAX(0,N276+O53-O75))/O327,O73+MAX(0,O74-N96)+MAX(0,N276+O53-O75)))+IF($C$173="Sí",MAX(0,$C$226*(O70+N121)*0.3/0.55-N227)/O327,0)</f>
        <v>892.143750678591</v>
      </c>
      <c r="P76" s="116" t="n">
        <f aca="false">(IF($C$173="Sí",(MAX(0,P74-O96)+MAX(0,O276+P53-P75))/P327,P73+MAX(0,P74-O96)+MAX(0,O276+P53-P75)))+IF($C$173="Sí",MAX(0,$C$226*(P70+O121)*0.3/0.55-O227)/P327,0)</f>
        <v>964.55667007712</v>
      </c>
      <c r="Q76" s="116" t="n">
        <f aca="false">(IF($C$173="Sí",(MAX(0,Q74-P96)+MAX(0,P276+Q53-Q75))/Q327,Q73+MAX(0,Q74-P96)+MAX(0,P276+Q53-Q75)))+IF($C$173="Sí",MAX(0,$C$226*(Q70+P121)*0.3/0.55-P227)/Q327,0)</f>
        <v>952.527701565223</v>
      </c>
      <c r="R76" s="116" t="n">
        <f aca="false">(IF($C$173="Sí",(MAX(0,R74-Q96)+MAX(0,Q276+R53-R75))/R327,R73+MAX(0,R74-Q96)+MAX(0,Q276+R53-R75)))+IF($C$173="Sí",MAX(0,$C$226*(R70+Q121)*0.3/0.55-Q227)/R327,0)</f>
        <v>945.647282545281</v>
      </c>
      <c r="S76" s="116" t="n">
        <f aca="false">(IF($C$173="Sí",(MAX(0,S74-R96)+MAX(0,R276+S53-S75))/S327,S73+MAX(0,S74-R96)+MAX(0,R276+S53-S75)))+IF($C$173="Sí",MAX(0,$C$226*(S70+R121)*0.3/0.55-R227)/S327,0)</f>
        <v>914.452475289026</v>
      </c>
      <c r="T76" s="116" t="n">
        <f aca="false">(IF($C$173="Sí",(MAX(0,T74-S96)+MAX(0,S276+T53-T75))/T327,T73+MAX(0,T74-S96)+MAX(0,S276+T53-T75)))+IF($C$173="Sí",MAX(0,$C$226*(T70+S121)*0.3/0.55-S227)/T327,0)</f>
        <v>915.297065515802</v>
      </c>
      <c r="U76" s="116" t="n">
        <f aca="false">(IF($C$173="Sí",(MAX(0,U74-T96)+MAX(0,T276+U53-U75))/U327,U73+MAX(0,U74-T96)+MAX(0,T276+U53-U75)))+IF($C$173="Sí",MAX(0,$C$226*(U70+T121)*0.3/0.55-T227)/U327,0)</f>
        <v>921.469228682661</v>
      </c>
      <c r="V76" s="116" t="n">
        <f aca="false">(IF($C$173="Sí",(MAX(0,V74-U96)+MAX(0,U276+V53-V75))/V327,V73+MAX(0,V74-U96)+MAX(0,U276+V53-V75)))+IF($C$173="Sí",MAX(0,$C$226*(V70+U121)*0.3/0.55-U227)/V327,0)</f>
        <v>927.656356714653</v>
      </c>
      <c r="W76" s="116" t="n">
        <f aca="false">(IF($C$173="Sí",(MAX(0,W74-V96)+MAX(0,V276+W53-W75))/W327,W73+MAX(0,W74-V96)+MAX(0,V276+W53-W75)))+IF($C$173="Sí",MAX(0,$C$226*(W70+V121)*0.3/0.55-V227)/W327,0)</f>
        <v>934.108475767166</v>
      </c>
      <c r="X76" s="116" t="n">
        <f aca="false">(IF($C$173="Sí",(MAX(0,X74-W96)+MAX(0,W276+X53-X75))/X327,X73+MAX(0,X74-W96)+MAX(0,W276+X53-X75)))+IF($C$173="Sí",MAX(0,$C$226*(X70+W121)*0.3/0.55-W227)/X327,0)</f>
        <v>934.177499128272</v>
      </c>
      <c r="Y76" s="116" t="n">
        <f aca="false">(IF($C$173="Sí",(MAX(0,Y74-X96)+MAX(0,X276+Y53-Y75))/Y327,Y73+MAX(0,Y74-X96)+MAX(0,X276+Y53-Y75)))+IF($C$173="Sí",MAX(0,$C$226*(Y70+X121)*0.3/0.55-X227)/Y327,0)</f>
        <v>939.503211787723</v>
      </c>
      <c r="Z76" s="116" t="n">
        <f aca="false">(IF($C$173="Sí",(MAX(0,Z74-Y96)+MAX(0,Y276+Z53-Z75))/Z327,Z73+MAX(0,Z74-Y96)+MAX(0,Y276+Z53-Z75)))+IF($C$173="Sí",MAX(0,$C$226*(Z70+Y121)*0.3/0.55-Y227)/Z327,0)</f>
        <v>945.710363651901</v>
      </c>
      <c r="AA76" s="116" t="n">
        <f aca="false">(IF($C$173="Sí",(MAX(0,AA74-Z96)+MAX(0,Z276+AA53-AA75))/AA327,AA73+MAX(0,AA74-Z96)+MAX(0,Z276+AA53-AA75)))+IF($C$173="Sí",MAX(0,$C$226*(AA70+Z121)*0.3/0.55-Z227)/AA327,0)</f>
        <v>951.516557485221</v>
      </c>
      <c r="AB76" s="116" t="n">
        <f aca="false">(IF($C$173="Sí",(MAX(0,AB74-AA96)+MAX(0,AA276+AB53-AB75))/AB327,AB73+MAX(0,AB74-AA96)+MAX(0,AA276+AB53-AB75)))+IF($C$173="Sí",MAX(0,$C$226*(AB70+AA121)*0.3/0.55-AA227)/AB327,0)</f>
        <v>957.037332692734</v>
      </c>
      <c r="AC76" s="116" t="n">
        <f aca="false">(IF($C$173="Sí",(MAX(0,AC74-AB96)+MAX(0,AB276+AC53-AC75))/AC327,AC73+MAX(0,AC74-AB96)+MAX(0,AB276+AC53-AC75)))+IF($C$173="Sí",MAX(0,$C$226*(AC70+AB121)*0.3/0.55-AB227)/AC327,0)</f>
        <v>962.34383148151</v>
      </c>
      <c r="AD76" s="116" t="n">
        <f aca="false">(IF($C$173="Sí",(MAX(0,AD74-AC96)+MAX(0,AC276+AD53-AD75))/AD327,AD73+MAX(0,AD74-AC96)+MAX(0,AC276+AD53-AD75)))+IF($C$173="Sí",MAX(0,$C$226*(AD70+AC121)*0.3/0.55-AC227)/AD327,0)</f>
        <v>967.501151747073</v>
      </c>
      <c r="AE76" s="116" t="n">
        <f aca="false">(IF($C$173="Sí",(MAX(0,AE74-AD96)+MAX(0,AD276+AE53-AE75))/AE327,AE73+MAX(0,AE74-AD96)+MAX(0,AD276+AE53-AE75)))+IF($C$173="Sí",MAX(0,$C$226*(AE70+AD121)*0.3/0.55-AD227)/AE327,0)</f>
        <v>972.574438469157</v>
      </c>
      <c r="AF76" s="116" t="n">
        <f aca="false">(IF($C$173="Sí",(MAX(0,AF74-AE96)+MAX(0,AE276+AF53-AF75))/AF327,AF73+MAX(0,AF74-AE96)+MAX(0,AE276+AF53-AF75)))+IF($C$173="Sí",MAX(0,$C$226*(AF70+AE121)*0.3/0.55-AE227)/AF327,0)</f>
        <v>977.629123135714</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9.75</v>
      </c>
      <c r="D78" s="116" t="n">
        <f aca="false">MIN(MIN(C83+IF(D$39&lt;=01_Supuestos!$C$182,01_Supuestos!$C$181,$C$174)*D41,C83+D76),IF(01_Supuestos!$C$179&gt;0,01_Supuestos!$C$179/(1-01_Supuestos!$C$179)*64_Inflacion!$C$5*D41/$C$41,1E+099))</f>
        <v>19.72425</v>
      </c>
      <c r="E78" s="116" t="n">
        <f aca="false">MIN(MIN(D83+IF(E$39&lt;=01_Supuestos!$C$182,01_Supuestos!$C$181,$C$174)*E41,D83+E76),IF(01_Supuestos!$C$179&gt;0,01_Supuestos!$C$179/(1-01_Supuestos!$C$179)*64_Inflacion!$C$5*E41/$C$41,1E+099))</f>
        <v>29.92790775</v>
      </c>
      <c r="F78" s="116" t="n">
        <f aca="false">MIN(MIN(E83+IF(F$39&lt;=01_Supuestos!$C$182,01_Supuestos!$C$181,$C$174)*F41,E83+F76),IF(01_Supuestos!$C$179&gt;0,01_Supuestos!$C$179/(1-01_Supuestos!$C$179)*64_Inflacion!$C$5*F41/$C$41,1E+099))</f>
        <v>40.36624962825</v>
      </c>
      <c r="G78" s="116" t="n">
        <f aca="false">MIN(MIN(F83+IF(G$39&lt;=01_Supuestos!$C$182,01_Supuestos!$C$181,$C$174)*G41,F83+G76),IF(01_Supuestos!$C$179&gt;0,01_Supuestos!$C$179/(1-01_Supuestos!$C$179)*64_Inflacion!$C$5*G41/$C$41,1E+099))</f>
        <v>51.0446733696997</v>
      </c>
      <c r="H78" s="116" t="n">
        <f aca="false">MIN(MIN(G83+IF(H$39&lt;=01_Supuestos!$C$182,01_Supuestos!$C$181,$C$174)*H41,G83+H76),IF(01_Supuestos!$C$179&gt;0,01_Supuestos!$C$179/(1-01_Supuestos!$C$179)*64_Inflacion!$C$5*H41/$C$41,1E+099))</f>
        <v>61.9687008572028</v>
      </c>
      <c r="I78" s="116" t="n">
        <f aca="false">MIN(MIN(H83+IF(I$39&lt;=01_Supuestos!$C$182,01_Supuestos!$C$181,$C$174)*I41,H83+I76),IF(01_Supuestos!$C$179&gt;0,01_Supuestos!$C$179/(1-01_Supuestos!$C$179)*64_Inflacion!$C$5*I41/$C$41,1E+099))</f>
        <v>73.1439809769185</v>
      </c>
      <c r="J78" s="116" t="n">
        <f aca="false">MIN(MIN(I83+IF(J$39&lt;=01_Supuestos!$C$182,01_Supuestos!$C$181,$C$174)*J41,I83+J76),IF(01_Supuestos!$C$179&gt;0,01_Supuestos!$C$179/(1-01_Supuestos!$C$179)*64_Inflacion!$C$5*J41/$C$41,1E+099))</f>
        <v>84.5762925393876</v>
      </c>
      <c r="K78" s="116" t="n">
        <f aca="false">MIN(MIN(J83+IF(K$39&lt;=01_Supuestos!$C$182,01_Supuestos!$C$181,$C$174)*K41,J83+K76),IF(01_Supuestos!$C$179&gt;0,01_Supuestos!$C$179/(1-01_Supuestos!$C$179)*64_Inflacion!$C$5*K41/$C$41,1E+099))</f>
        <v>96.2715472677935</v>
      </c>
      <c r="L78" s="116" t="n">
        <f aca="false">MIN(MIN(K83+IF(L$39&lt;=01_Supuestos!$C$182,01_Supuestos!$C$181,$C$174)*L41,K83+L76),IF(01_Supuestos!$C$179&gt;0,01_Supuestos!$C$179/(1-01_Supuestos!$C$179)*64_Inflacion!$C$5*L41/$C$41,1E+099))</f>
        <v>108.235792854953</v>
      </c>
      <c r="M78" s="116" t="n">
        <f aca="false">MIN(MIN(L83+IF(M$39&lt;=01_Supuestos!$C$182,01_Supuestos!$C$181,$C$174)*M41,L83+M76),IF(01_Supuestos!$C$179&gt;0,01_Supuestos!$C$179/(1-01_Supuestos!$C$179)*64_Inflacion!$C$5*M41/$C$41,1E+099))</f>
        <v>120.475216090617</v>
      </c>
      <c r="N78" s="116" t="n">
        <f aca="false">MIN(MIN(M83+IF(N$39&lt;=01_Supuestos!$C$182,01_Supuestos!$C$181,$C$174)*N41,M83+N76),IF(01_Supuestos!$C$179&gt;0,01_Supuestos!$C$179/(1-01_Supuestos!$C$179)*64_Inflacion!$C$5*N41/$C$41,1E+099))</f>
        <v>132.996146060701</v>
      </c>
      <c r="O78" s="116" t="n">
        <f aca="false">MIN(MIN(N83+IF(O$39&lt;=01_Supuestos!$C$182,01_Supuestos!$C$181,$C$174)*O41,N83+O76),IF(01_Supuestos!$C$179&gt;0,01_Supuestos!$C$179/(1-01_Supuestos!$C$179)*64_Inflacion!$C$5*O41/$C$41,1E+099))</f>
        <v>145.805057420097</v>
      </c>
      <c r="P78" s="116" t="n">
        <f aca="false">MIN(MIN(O83+IF(P$39&lt;=01_Supuestos!$C$182,01_Supuestos!$C$181,$C$174)*P41,O83+P76),IF(01_Supuestos!$C$179&gt;0,01_Supuestos!$C$179/(1-01_Supuestos!$C$179)*64_Inflacion!$C$5*P41/$C$41,1E+099))</f>
        <v>158.908573740759</v>
      </c>
      <c r="Q78" s="116" t="n">
        <f aca="false">MIN(MIN(P83+IF(Q$39&lt;=01_Supuestos!$C$182,01_Supuestos!$C$181,$C$174)*Q41,P83+Q76),IF(01_Supuestos!$C$179&gt;0,01_Supuestos!$C$179/(1-01_Supuestos!$C$179)*64_Inflacion!$C$5*Q41/$C$41,1E+099))</f>
        <v>172.313470936797</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231.551982589972</v>
      </c>
      <c r="AE78" s="116" t="n">
        <f aca="false">MIN(MIN(AD83+IF(AE$39&lt;=01_Supuestos!$C$182,01_Supuestos!$C$181,$C$174)*AE41,AD83+AE76),IF(01_Supuestos!$C$179&gt;0,01_Supuestos!$C$179/(1-01_Supuestos!$C$179)*64_Inflacion!$C$5*AE41/$C$41,1E+099))</f>
        <v>234.424340256121</v>
      </c>
      <c r="AF78" s="116" t="n">
        <f aca="false">MIN(MIN(AE83+IF(AF$39&lt;=01_Supuestos!$C$182,01_Supuestos!$C$181,$C$174)*AF41,AE83+AF76),IF(01_Supuestos!$C$179&gt;0,01_Supuestos!$C$179/(1-01_Supuestos!$C$179)*64_Inflacion!$C$5*AF41/$C$41,1E+099))</f>
        <v>237.246493063239</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9.75</v>
      </c>
      <c r="D79" s="116" t="n">
        <f aca="false">MAX(0,MIN(D67,$C$9*(D69+D68+C121),D78))</f>
        <v>19.72425</v>
      </c>
      <c r="E79" s="116" t="n">
        <f aca="false">MAX(0,MIN(E67,$C$9*(E69+E68+D121),E78))</f>
        <v>29.92790775</v>
      </c>
      <c r="F79" s="116" t="n">
        <f aca="false">MAX(0,MIN(F67,$C$9*(F69+F68+E121),F78))</f>
        <v>40.36624962825</v>
      </c>
      <c r="G79" s="116" t="n">
        <f aca="false">MAX(0,MIN(G67,$C$9*(G69+G68+F121),G78))</f>
        <v>51.0446733696997</v>
      </c>
      <c r="H79" s="116" t="n">
        <f aca="false">MAX(0,MIN(H67,$C$9*(H69+H68+G121),H78))</f>
        <v>61.9687008572028</v>
      </c>
      <c r="I79" s="116" t="n">
        <f aca="false">MAX(0,MIN(I67,$C$9*(I69+I68+H121),I78))</f>
        <v>73.1439809769185</v>
      </c>
      <c r="J79" s="116" t="n">
        <f aca="false">MAX(0,MIN(J67,$C$9*(J69+J68+I121),J78))</f>
        <v>84.5762925393876</v>
      </c>
      <c r="K79" s="116" t="n">
        <f aca="false">MAX(0,MIN(K67,$C$9*(K69+K68+J121),K78))</f>
        <v>96.2715472677935</v>
      </c>
      <c r="L79" s="116" t="n">
        <f aca="false">MAX(0,MIN(L67,$C$9*(L69+L68+K121),L78))</f>
        <v>108.235792854953</v>
      </c>
      <c r="M79" s="116" t="n">
        <f aca="false">MAX(0,MIN(M67,$C$9*(M69+M68+L121),M78))</f>
        <v>120.475216090617</v>
      </c>
      <c r="N79" s="116" t="n">
        <f aca="false">MAX(0,MIN(N67,$C$9*(N69+N68+M121),N78))</f>
        <v>132.996146060701</v>
      </c>
      <c r="O79" s="116" t="n">
        <f aca="false">MAX(0,MIN(O67,$C$9*(O69+O68+N121),O78))</f>
        <v>145.805057420097</v>
      </c>
      <c r="P79" s="116" t="n">
        <f aca="false">MAX(0,MIN(P67,$C$9*(P69+P68+O121),P78))</f>
        <v>158.908573740759</v>
      </c>
      <c r="Q79" s="116" t="n">
        <f aca="false">MAX(0,MIN(Q67,$C$9*(Q69+Q68+P121),Q78))</f>
        <v>172.313470936797</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197.541483942905</v>
      </c>
      <c r="X79" s="116" t="n">
        <f aca="false">MAX(0,MIN(X67,$C$9*(X69+X68+W121),X78))</f>
        <v>200.355062968917</v>
      </c>
      <c r="Y79" s="116" t="n">
        <f aca="false">MAX(0,MIN(Y67,$C$9*(Y69+Y68+X121),Y78))</f>
        <v>203.109736701293</v>
      </c>
      <c r="Z79" s="116" t="n">
        <f aca="false">MAX(0,MIN(Z67,$C$9*(Z69+Z68+Y121),Z78))</f>
        <v>205.805356021962</v>
      </c>
      <c r="AA79" s="116" t="n">
        <f aca="false">MAX(0,MIN(AA67,$C$9*(AA69+AA68+Z121),AA78))</f>
        <v>208.441776573065</v>
      </c>
      <c r="AB79" s="116" t="n">
        <f aca="false">MAX(0,MIN(AB67,$C$9*(AB69+AB68+AA121),AB78))</f>
        <v>211.018858423784</v>
      </c>
      <c r="AC79" s="116" t="n">
        <f aca="false">MAX(0,MIN(AC67,$C$9*(AC69+AC68+AB121),AC78))</f>
        <v>213.536465750477</v>
      </c>
      <c r="AD79" s="116" t="n">
        <f aca="false">MAX(0,MIN(AD67,$C$9*(AD69+AD68+AC121),AD78))</f>
        <v>215.994466529318</v>
      </c>
      <c r="AE79" s="116" t="n">
        <f aca="false">MAX(0,MIN(AE67,$C$9*(AE69+AE68+AD121),AE78))</f>
        <v>218.392732240719</v>
      </c>
      <c r="AF79" s="116" t="n">
        <f aca="false">MAX(0,MIN(AF67,$C$9*(AF69+AF68+AE121),AF78))</f>
        <v>220.731137584789</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62.7912739613924</v>
      </c>
      <c r="N80" s="116" t="n">
        <f aca="false">IF($C$177&lt;=1,N68,SUMPRODUCT($C$189:N189,((N$39-$C$39:N$39+1)&gt;=$C$177)+((N$39-$C$39:N$39+1)&lt;$C$177)*(N$39-$C$39:N$39+1)/$C$177))</f>
        <v>66.8727164422846</v>
      </c>
      <c r="O80" s="116" t="n">
        <f aca="false">IF($C$177&lt;=1,O68,SUMPRODUCT($C$189:O189,((O$39-$C$39:O$39+1)&gt;=$C$177)+((O$39-$C$39:O$39+1)&lt;$C$177)*(O$39-$C$39:O$39+1)/$C$177))</f>
        <v>70.0892053761823</v>
      </c>
      <c r="P80" s="116" t="n">
        <f aca="false">IF($C$177&lt;=1,P68,SUMPRODUCT($C$189:P189,((P$39-$C$39:P$39+1)&gt;=$C$177)+((P$39-$C$39:P$39+1)&lt;$C$177)*(P$39-$C$39:P$39+1)/$C$177))</f>
        <v>70.6620663181706</v>
      </c>
      <c r="Q80" s="116" t="n">
        <f aca="false">IF($C$177&lt;=1,Q68,SUMPRODUCT($C$189:Q189,((Q$39-$C$39:Q$39+1)&gt;=$C$177)+((Q$39-$C$39:Q$39+1)&lt;$C$177)*(Q$39-$C$39:Q$39+1)/$C$177))</f>
        <v>71.3777782975478</v>
      </c>
      <c r="R80" s="116" t="n">
        <f aca="false">IF($C$177&lt;=1,R68,SUMPRODUCT($C$189:R189,((R$39-$C$39:R$39+1)&gt;=$C$177)+((R$39-$C$39:R$39+1)&lt;$C$177)*(R$39-$C$39:R$39+1)/$C$177))</f>
        <v>72.2327818590113</v>
      </c>
      <c r="S80" s="116" t="n">
        <f aca="false">IF($C$177&lt;=1,S68,SUMPRODUCT($C$189:S189,((S$39-$C$39:S$39+1)&gt;=$C$177)+((S$39-$C$39:S$39+1)&lt;$C$177)*(S$39-$C$39:S$39+1)/$C$177))</f>
        <v>73.2235120386069</v>
      </c>
      <c r="T80" s="116" t="n">
        <f aca="false">IF($C$177&lt;=1,T68,SUMPRODUCT($C$189:T189,((T$39-$C$39:T$39+1)&gt;=$C$177)+((T$39-$C$39:T$39+1)&lt;$C$177)*(T$39-$C$39:T$39+1)/$C$177))</f>
        <v>74.346398169273</v>
      </c>
      <c r="U80" s="116" t="n">
        <f aca="false">IF($C$177&lt;=1,U68,SUMPRODUCT($C$189:U189,((U$39-$C$39:U$39+1)&gt;=$C$177)+((U$39-$C$39:U$39+1)&lt;$C$177)*(U$39-$C$39:U$39+1)/$C$177))</f>
        <v>75.5978636795216</v>
      </c>
      <c r="V80" s="116" t="n">
        <f aca="false">IF($C$177&lt;=1,V68,SUMPRODUCT($C$189:V189,((V$39-$C$39:V$39+1)&gt;=$C$177)+((V$39-$C$39:V$39+1)&lt;$C$177)*(V$39-$C$39:V$39+1)/$C$177))</f>
        <v>76.9743258850114</v>
      </c>
      <c r="W80" s="116" t="n">
        <f aca="false">IF($C$177&lt;=1,W68,SUMPRODUCT($C$189:W189,((W$39-$C$39:W$39+1)&gt;=$C$177)+((W$39-$C$39:W$39+1)&lt;$C$177)*(W$39-$C$39:W$39+1)/$C$177))</f>
        <v>78.3287719503283</v>
      </c>
      <c r="X80" s="116" t="n">
        <f aca="false">IF($C$177&lt;=1,X68,SUMPRODUCT($C$189:X189,((X$39-$C$39:X$39+1)&gt;=$C$177)+((X$39-$C$39:X$39+1)&lt;$C$177)*(X$39-$C$39:X$39+1)/$C$177))</f>
        <v>79.6577421435995</v>
      </c>
      <c r="Y80" s="116" t="n">
        <f aca="false">IF($C$177&lt;=1,Y68,SUMPRODUCT($C$189:Y189,((Y$39-$C$39:Y$39+1)&gt;=$C$177)+((Y$39-$C$39:Y$39+1)&lt;$C$177)*(Y$39-$C$39:Y$39+1)/$C$177))</f>
        <v>80.9577747445381</v>
      </c>
      <c r="Z80" s="116" t="n">
        <f aca="false">IF($C$177&lt;=1,Z68,SUMPRODUCT($C$189:Z189,((Z$39-$C$39:Z$39+1)&gt;=$C$177)+((Z$39-$C$39:Z$39+1)&lt;$C$177)*(Z$39-$C$39:Z$39+1)/$C$177))</f>
        <v>82.2254059742511</v>
      </c>
      <c r="AA80" s="116" t="n">
        <f aca="false">IF($C$177&lt;=1,AA68,SUMPRODUCT($C$189:AA189,((AA$39-$C$39:AA$39+1)&gt;=$C$177)+((AA$39-$C$39:AA$39+1)&lt;$C$177)*(AA$39-$C$39:AA$39+1)/$C$177))</f>
        <v>83.4571699225715</v>
      </c>
      <c r="AB80" s="116" t="n">
        <f aca="false">IF($C$177&lt;=1,AB68,SUMPRODUCT($C$189:AB189,((AB$39-$C$39:AB$39+1)&gt;=$C$177)+((AB$39-$C$39:AB$39+1)&lt;$C$177)*(AB$39-$C$39:AB$39+1)/$C$177))</f>
        <v>84.6530018756712</v>
      </c>
      <c r="AC80" s="116" t="n">
        <f aca="false">IF($C$177&lt;=1,AC68,SUMPRODUCT($C$189:AC189,((AC$39-$C$39:AC$39+1)&gt;=$C$177)+((AC$39-$C$39:AC$39+1)&lt;$C$177)*(AC$39-$C$39:AC$39+1)/$C$177))</f>
        <v>85.8128348353242</v>
      </c>
      <c r="AD80" s="116" t="n">
        <f aca="false">IF($C$177&lt;=1,AD68,SUMPRODUCT($C$189:AD189,((AD$39-$C$39:AD$39+1)&gt;=$C$177)+((AD$39-$C$39:AD$39+1)&lt;$C$177)*(AD$39-$C$39:AD$39+1)/$C$177))</f>
        <v>86.9365994382671</v>
      </c>
      <c r="AE80" s="116" t="n">
        <f aca="false">IF($C$177&lt;=1,AE68,SUMPRODUCT($C$189:AE189,((AE$39-$C$39:AE$39+1)&gt;=$C$177)+((AE$39-$C$39:AE$39+1)&lt;$C$177)*(AE$39-$C$39:AE$39+1)/$C$177))</f>
        <v>88.024223872713</v>
      </c>
      <c r="AF80" s="116" t="n">
        <f aca="false">IF($C$177&lt;=1,AF68,SUMPRODUCT($C$189:AF189,((AF$39-$C$39:AF$39+1)&gt;=$C$177)+((AF$39-$C$39:AF$39+1)&lt;$C$177)*(AF$39-$C$39:AF$39+1)/$C$177))</f>
        <v>89.0756337919194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272.736559837801</v>
      </c>
      <c r="G81" s="116" t="n">
        <f aca="false">G69+G80+F121</f>
        <v>285.289088136615</v>
      </c>
      <c r="H81" s="116" t="n">
        <f aca="false">H69+H80+G121</f>
        <v>297.85410785043</v>
      </c>
      <c r="I81" s="116" t="n">
        <f aca="false">I69+I80+H121</f>
        <v>310.430994408494</v>
      </c>
      <c r="J81" s="116" t="n">
        <f aca="false">J69+J80+I121</f>
        <v>323.019154468596</v>
      </c>
      <c r="K81" s="116" t="n">
        <f aca="false">K69+K80+J121</f>
        <v>335.618024355634</v>
      </c>
      <c r="L81" s="116" t="n">
        <f aca="false">L69+L80+K121</f>
        <v>348.22706857826</v>
      </c>
      <c r="M81" s="116" t="n">
        <f aca="false">M69+M80+L121</f>
        <v>359.047046157698</v>
      </c>
      <c r="N81" s="116" t="n">
        <f aca="false">N69+N80+M121</f>
        <v>368.833459760991</v>
      </c>
      <c r="O81" s="116" t="n">
        <f aca="false">O69+O80+N121</f>
        <v>377.96119897041</v>
      </c>
      <c r="P81" s="116" t="n">
        <f aca="false">P69+P80+O121</f>
        <v>384.688259139355</v>
      </c>
      <c r="Q81" s="116" t="n">
        <f aca="false">Q69+Q80+P121</f>
        <v>391.690237036766</v>
      </c>
      <c r="R81" s="116" t="n">
        <f aca="false">R69+R80+Q121</f>
        <v>398.874439476599</v>
      </c>
      <c r="S81" s="116" t="n">
        <f aca="false">S69+S80+R121</f>
        <v>405.918256551851</v>
      </c>
      <c r="T81" s="116" t="n">
        <f aca="false">T69+T80+S121</f>
        <v>412.86908589575</v>
      </c>
      <c r="U81" s="116" t="n">
        <f aca="false">U69+U80+T121</f>
        <v>419.737697555757</v>
      </c>
      <c r="V81" s="116" t="n">
        <f aca="false">V69+V80+U121</f>
        <v>426.526081576245</v>
      </c>
      <c r="W81" s="116" t="n">
        <f aca="false">W69+W80+V121</f>
        <v>433.101937932428</v>
      </c>
      <c r="X81" s="116" t="n">
        <f aca="false">X69+X80+W121</f>
        <v>439.505184788802</v>
      </c>
      <c r="Y81" s="116" t="n">
        <f aca="false">Y69+Y80+X121</f>
        <v>445.784616883719</v>
      </c>
      <c r="Z81" s="116" t="n">
        <f aca="false">Z69+Z80+Y121</f>
        <v>451.936509292554</v>
      </c>
      <c r="AA81" s="116" t="n">
        <f aca="false">AA69+AA80+Z121</f>
        <v>457.957148016695</v>
      </c>
      <c r="AB81" s="116" t="n">
        <f aca="false">AB69+AB80+AA121</f>
        <v>463.846232658292</v>
      </c>
      <c r="AC81" s="116" t="n">
        <f aca="false">AC69+AC80+AB121</f>
        <v>469.603472319297</v>
      </c>
      <c r="AD81" s="116" t="n">
        <f aca="false">AD69+AD80+AC121</f>
        <v>475.228584931617</v>
      </c>
      <c r="AE81" s="116" t="n">
        <f aca="false">AE69+AE80+AD121</f>
        <v>480.721296613876</v>
      </c>
      <c r="AF81" s="116" t="n">
        <f aca="false">AF69+AF80+AE121</f>
        <v>486.081341053221</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9.75</v>
      </c>
      <c r="D83" s="136" t="n">
        <f aca="false">D79+D82</f>
        <v>19.72425</v>
      </c>
      <c r="E83" s="136" t="n">
        <f aca="false">E79+E82</f>
        <v>29.92790775</v>
      </c>
      <c r="F83" s="136" t="n">
        <f aca="false">F79+F82</f>
        <v>40.36624962825</v>
      </c>
      <c r="G83" s="136" t="n">
        <f aca="false">G79+G82</f>
        <v>51.0446733696997</v>
      </c>
      <c r="H83" s="136" t="n">
        <f aca="false">H79+H82</f>
        <v>61.9687008572028</v>
      </c>
      <c r="I83" s="136" t="n">
        <f aca="false">I79+I82</f>
        <v>73.1439809769185</v>
      </c>
      <c r="J83" s="136" t="n">
        <f aca="false">J79+J82</f>
        <v>84.5762925393876</v>
      </c>
      <c r="K83" s="136" t="n">
        <f aca="false">K79+K82</f>
        <v>96.2715472677935</v>
      </c>
      <c r="L83" s="136" t="n">
        <f aca="false">L79+L82</f>
        <v>108.235792854953</v>
      </c>
      <c r="M83" s="136" t="n">
        <f aca="false">M79+M82</f>
        <v>120.475216090617</v>
      </c>
      <c r="N83" s="136" t="n">
        <f aca="false">N79+N82</f>
        <v>132.996146060701</v>
      </c>
      <c r="O83" s="136" t="n">
        <f aca="false">O79+O82</f>
        <v>145.805057420097</v>
      </c>
      <c r="P83" s="136" t="n">
        <f aca="false">P79+P82</f>
        <v>158.908573740759</v>
      </c>
      <c r="Q83" s="136" t="n">
        <f aca="false">Q79+Q82</f>
        <v>172.313470936797</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197.541483942905</v>
      </c>
      <c r="X83" s="136" t="n">
        <f aca="false">X79+X82</f>
        <v>200.355062968917</v>
      </c>
      <c r="Y83" s="136" t="n">
        <f aca="false">Y79+Y82</f>
        <v>203.109736701293</v>
      </c>
      <c r="Z83" s="136" t="n">
        <f aca="false">Z79+Z82</f>
        <v>205.805356021962</v>
      </c>
      <c r="AA83" s="136" t="n">
        <f aca="false">AA79+AA82</f>
        <v>208.441776573065</v>
      </c>
      <c r="AB83" s="136" t="n">
        <f aca="false">AB79+AB82</f>
        <v>211.018858423784</v>
      </c>
      <c r="AC83" s="136" t="n">
        <f aca="false">AC79+AC82</f>
        <v>213.536465750477</v>
      </c>
      <c r="AD83" s="136" t="n">
        <f aca="false">AD79+AD82</f>
        <v>215.994466529318</v>
      </c>
      <c r="AE83" s="136" t="n">
        <f aca="false">AE79+AE82</f>
        <v>218.392732240719</v>
      </c>
      <c r="AF83" s="136" t="n">
        <f aca="false">AF79+AF82</f>
        <v>220.731137584789</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49.3143938619143</v>
      </c>
      <c r="D84" s="116" t="n">
        <f aca="false">D67-D79+D80-D82</f>
        <v>77.3516961116566</v>
      </c>
      <c r="E84" s="116" t="n">
        <f aca="false">E67-E79+E80-E82</f>
        <v>100.934356370434</v>
      </c>
      <c r="F84" s="116" t="n">
        <f aca="false">F67-F79+F80-F82</f>
        <v>179.378634399883</v>
      </c>
      <c r="G84" s="116" t="n">
        <f aca="false">G67-G79+G80-G82</f>
        <v>174.238817415337</v>
      </c>
      <c r="H84" s="116" t="n">
        <f aca="false">H67-H79+H80-H82</f>
        <v>168.865888099739</v>
      </c>
      <c r="I84" s="116" t="n">
        <f aca="false">I67-I79+I80-I82</f>
        <v>163.253572996178</v>
      </c>
      <c r="J84" s="116" t="n">
        <f aca="false">J67-J79+J80-J82</f>
        <v>157.3954999519</v>
      </c>
      <c r="K84" s="116" t="n">
        <f aca="false">K67-K79+K80-K82</f>
        <v>151.285193568622</v>
      </c>
      <c r="L84" s="116" t="n">
        <f aca="false">L67-L79+L80-L82</f>
        <v>144.916070662179</v>
      </c>
      <c r="M84" s="116" t="n">
        <f aca="false">M67-M79+M80-M82</f>
        <v>140.701051182763</v>
      </c>
      <c r="N84" s="116" t="n">
        <f aca="false">N67-N79+N80-N82</f>
        <v>135.166965900342</v>
      </c>
      <c r="O84" s="116" t="n">
        <f aca="false">O67-O79+O80-O82</f>
        <v>128.484532783389</v>
      </c>
      <c r="P84" s="116" t="n">
        <f aca="false">P67-P79+P80-P82</f>
        <v>118.867871648977</v>
      </c>
      <c r="Q84" s="116" t="n">
        <f aca="false">Q67-Q79+Q80-Q82</f>
        <v>109.096120100315</v>
      </c>
      <c r="R84" s="116" t="n">
        <f aca="false">R67-R79+R80-R82</f>
        <v>107.56656273388</v>
      </c>
      <c r="S84" s="116" t="n">
        <f aca="false">S67-S79+S80-S82</f>
        <v>107.196849169134</v>
      </c>
      <c r="T84" s="116" t="n">
        <f aca="false">T67-T79+T80-T82</f>
        <v>106.767114641351</v>
      </c>
      <c r="U84" s="116" t="n">
        <f aca="false">U67-U79+U80-U82</f>
        <v>106.271111561724</v>
      </c>
      <c r="V84" s="116" t="n">
        <f aca="false">V67-V79+V80-V82</f>
        <v>105.702547296173</v>
      </c>
      <c r="W84" s="116" t="n">
        <f aca="false">W67-W79+W80-W82</f>
        <v>106.263947759988</v>
      </c>
      <c r="X84" s="116" t="n">
        <f aca="false">X67-X79+X80-X82</f>
        <v>107.005456906703</v>
      </c>
      <c r="Y84" s="116" t="n">
        <f aca="false">Y67-Y79+Y80-Y82</f>
        <v>107.676205247584</v>
      </c>
      <c r="Z84" s="116" t="n">
        <f aca="false">Z67-Z79+Z80-Z82</f>
        <v>108.272410423845</v>
      </c>
      <c r="AA84" s="116" t="n">
        <f aca="false">AA67-AA79+AA80-AA82</f>
        <v>108.790288951208</v>
      </c>
      <c r="AB84" s="116" t="n">
        <f aca="false">AB67-AB79+AB80-AB82</f>
        <v>109.229458970438</v>
      </c>
      <c r="AC84" s="116" t="n">
        <f aca="false">AC67-AC79+AC80-AC82</f>
        <v>109.589536199785</v>
      </c>
      <c r="AD84" s="116" t="n">
        <f aca="false">AD67-AD79+AD80-AD82</f>
        <v>109.870133296612</v>
      </c>
      <c r="AE84" s="116" t="n">
        <f aca="false">AE67-AE79+AE80-AE82</f>
        <v>110.070859224134</v>
      </c>
      <c r="AF84" s="116" t="n">
        <f aca="false">AF67-AF79+AF80-AF82</f>
        <v>110.191318622064</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32.7283871805361</v>
      </c>
      <c r="G85" s="116" t="n">
        <f aca="false">IF(AND($C$31&gt;0,G$39&gt;10),MIN(G83,MAX(01_Supuestos!$I$137*G81,F85*(1-1/MAX(1,$C$31)))),MIN(IF(G$39&lt;=10,01_Supuestos!$I$136,01_Supuestos!$I$137)*G81,G83))</f>
        <v>34.2346905763938</v>
      </c>
      <c r="H85" s="116" t="n">
        <f aca="false">IF(AND($C$31&gt;0,H$39&gt;10),MIN(H83,MAX(01_Supuestos!$I$137*H81,G85*(1-1/MAX(1,$C$31)))),MIN(IF(H$39&lt;=10,01_Supuestos!$I$136,01_Supuestos!$I$137)*H81,H83))</f>
        <v>35.7424929420516</v>
      </c>
      <c r="I85" s="116" t="n">
        <f aca="false">IF(AND($C$31&gt;0,I$39&gt;10),MIN(I83,MAX(01_Supuestos!$I$137*I81,H85*(1-1/MAX(1,$C$31)))),MIN(IF(I$39&lt;=10,01_Supuestos!$I$136,01_Supuestos!$I$137)*I81,I83))</f>
        <v>37.2517193290193</v>
      </c>
      <c r="J85" s="116" t="n">
        <f aca="false">IF(AND($C$31&gt;0,J$39&gt;10),MIN(J83,MAX(01_Supuestos!$I$137*J81,I85*(1-1/MAX(1,$C$31)))),MIN(IF(J$39&lt;=10,01_Supuestos!$I$136,01_Supuestos!$I$137)*J81,J83))</f>
        <v>38.7622985362316</v>
      </c>
      <c r="K85" s="116" t="n">
        <f aca="false">IF(AND($C$31&gt;0,K$39&gt;10),MIN(K83,MAX(01_Supuestos!$I$137*K81,J85*(1-1/MAX(1,$C$31)))),MIN(IF(K$39&lt;=10,01_Supuestos!$I$136,01_Supuestos!$I$137)*K81,K83))</f>
        <v>40.2741629226761</v>
      </c>
      <c r="L85" s="116" t="n">
        <f aca="false">IF(AND($C$31&gt;0,L$39&gt;10),MIN(L83,MAX(01_Supuestos!$I$137*L81,K85*(1-1/MAX(1,$C$31)))),MIN(IF(L$39&lt;=10,01_Supuestos!$I$136,01_Supuestos!$I$137)*L81,L83))</f>
        <v>41.7872482293912</v>
      </c>
      <c r="M85" s="116" t="n">
        <f aca="false">IF(AND($C$31&gt;0,M$39&gt;10),MIN(M83,MAX(01_Supuestos!$I$137*M81,L85*(1-1/MAX(1,$C$31)))),MIN(IF(M$39&lt;=10,01_Supuestos!$I$136,01_Supuestos!$I$137)*M81,M83))</f>
        <v>33.429798583513</v>
      </c>
      <c r="N85" s="116" t="n">
        <f aca="false">IF(AND($C$31&gt;0,N$39&gt;10),MIN(N83,MAX(01_Supuestos!$I$137*N81,M85*(1-1/MAX(1,$C$31)))),MIN(IF(N$39&lt;=10,01_Supuestos!$I$136,01_Supuestos!$I$137)*N81,N83))</f>
        <v>27.6625094820743</v>
      </c>
      <c r="O85" s="116" t="n">
        <f aca="false">IF(AND($C$31&gt;0,O$39&gt;10),MIN(O83,MAX(01_Supuestos!$I$137*O81,N85*(1-1/MAX(1,$C$31)))),MIN(IF(O$39&lt;=10,01_Supuestos!$I$136,01_Supuestos!$I$137)*O81,O83))</f>
        <v>28.3470899227807</v>
      </c>
      <c r="P85" s="116" t="n">
        <f aca="false">IF(AND($C$31&gt;0,P$39&gt;10),MIN(P83,MAX(01_Supuestos!$I$137*P81,O85*(1-1/MAX(1,$C$31)))),MIN(IF(P$39&lt;=10,01_Supuestos!$I$136,01_Supuestos!$I$137)*P81,P83))</f>
        <v>28.8516194354516</v>
      </c>
      <c r="Q85" s="116" t="n">
        <f aca="false">IF(AND($C$31&gt;0,Q$39&gt;10),MIN(Q83,MAX(01_Supuestos!$I$137*Q81,P85*(1-1/MAX(1,$C$31)))),MIN(IF(Q$39&lt;=10,01_Supuestos!$I$136,01_Supuestos!$I$137)*Q81,Q83))</f>
        <v>29.3767677777575</v>
      </c>
      <c r="R85" s="116" t="n">
        <f aca="false">IF(AND($C$31&gt;0,R$39&gt;10),MIN(R83,MAX(01_Supuestos!$I$137*R81,Q85*(1-1/MAX(1,$C$31)))),MIN(IF(R$39&lt;=10,01_Supuestos!$I$136,01_Supuestos!$I$137)*R81,R83))</f>
        <v>29.9155829607449</v>
      </c>
      <c r="S85" s="116" t="n">
        <f aca="false">IF(AND($C$31&gt;0,S$39&gt;10),MIN(S83,MAX(01_Supuestos!$I$137*S81,R85*(1-1/MAX(1,$C$31)))),MIN(IF(S$39&lt;=10,01_Supuestos!$I$136,01_Supuestos!$I$137)*S81,S83))</f>
        <v>30.4438692413889</v>
      </c>
      <c r="T85" s="116" t="n">
        <f aca="false">IF(AND($C$31&gt;0,T$39&gt;10),MIN(T83,MAX(01_Supuestos!$I$137*T81,S85*(1-1/MAX(1,$C$31)))),MIN(IF(T$39&lt;=10,01_Supuestos!$I$136,01_Supuestos!$I$137)*T81,T83))</f>
        <v>30.9651814421812</v>
      </c>
      <c r="U85" s="116" t="n">
        <f aca="false">IF(AND($C$31&gt;0,U$39&gt;10),MIN(U83,MAX(01_Supuestos!$I$137*U81,T85*(1-1/MAX(1,$C$31)))),MIN(IF(U$39&lt;=10,01_Supuestos!$I$136,01_Supuestos!$I$137)*U81,U83))</f>
        <v>31.4803273166818</v>
      </c>
      <c r="V85" s="116" t="n">
        <f aca="false">IF(AND($C$31&gt;0,V$39&gt;10),MIN(V83,MAX(01_Supuestos!$I$137*V81,U85*(1-1/MAX(1,$C$31)))),MIN(IF(V$39&lt;=10,01_Supuestos!$I$136,01_Supuestos!$I$137)*V81,V83))</f>
        <v>31.9894561182184</v>
      </c>
      <c r="W85" s="116" t="n">
        <f aca="false">IF(AND($C$31&gt;0,W$39&gt;10),MIN(W83,MAX(01_Supuestos!$I$137*W81,V85*(1-1/MAX(1,$C$31)))),MIN(IF(W$39&lt;=10,01_Supuestos!$I$136,01_Supuestos!$I$137)*W81,W83))</f>
        <v>32.4826453449321</v>
      </c>
      <c r="X85" s="116" t="n">
        <f aca="false">IF(AND($C$31&gt;0,X$39&gt;10),MIN(X83,MAX(01_Supuestos!$I$137*X81,W85*(1-1/MAX(1,$C$31)))),MIN(IF(X$39&lt;=10,01_Supuestos!$I$136,01_Supuestos!$I$137)*X81,X83))</f>
        <v>32.9628888591602</v>
      </c>
      <c r="Y85" s="116" t="n">
        <f aca="false">IF(AND($C$31&gt;0,Y$39&gt;10),MIN(Y83,MAX(01_Supuestos!$I$137*Y81,X85*(1-1/MAX(1,$C$31)))),MIN(IF(Y$39&lt;=10,01_Supuestos!$I$136,01_Supuestos!$I$137)*Y81,Y83))</f>
        <v>33.4338462662789</v>
      </c>
      <c r="Z85" s="116" t="n">
        <f aca="false">IF(AND($C$31&gt;0,Z$39&gt;10),MIN(Z83,MAX(01_Supuestos!$I$137*Z81,Y85*(1-1/MAX(1,$C$31)))),MIN(IF(Z$39&lt;=10,01_Supuestos!$I$136,01_Supuestos!$I$137)*Z81,Z83))</f>
        <v>33.8952381969415</v>
      </c>
      <c r="AA85" s="116" t="n">
        <f aca="false">IF(AND($C$31&gt;0,AA$39&gt;10),MIN(AA83,MAX(01_Supuestos!$I$137*AA81,Z85*(1-1/MAX(1,$C$31)))),MIN(IF(AA$39&lt;=10,01_Supuestos!$I$136,01_Supuestos!$I$137)*AA81,AA83))</f>
        <v>34.3467861012521</v>
      </c>
      <c r="AB85" s="116" t="n">
        <f aca="false">IF(AND($C$31&gt;0,AB$39&gt;10),MIN(AB83,MAX(01_Supuestos!$I$137*AB81,AA85*(1-1/MAX(1,$C$31)))),MIN(IF(AB$39&lt;=10,01_Supuestos!$I$136,01_Supuestos!$I$137)*AB81,AB83))</f>
        <v>34.7884674493719</v>
      </c>
      <c r="AC85" s="116" t="n">
        <f aca="false">IF(AND($C$31&gt;0,AC$39&gt;10),MIN(AC83,MAX(01_Supuestos!$I$137*AC81,AB85*(1-1/MAX(1,$C$31)))),MIN(IF(AC$39&lt;=10,01_Supuestos!$I$136,01_Supuestos!$I$137)*AC81,AC83))</f>
        <v>35.2202604239473</v>
      </c>
      <c r="AD85" s="116" t="n">
        <f aca="false">IF(AND($C$31&gt;0,AD$39&gt;10),MIN(AD83,MAX(01_Supuestos!$I$137*AD81,AC85*(1-1/MAX(1,$C$31)))),MIN(IF(AD$39&lt;=10,01_Supuestos!$I$136,01_Supuestos!$I$137)*AD81,AD83))</f>
        <v>35.6421438698713</v>
      </c>
      <c r="AE85" s="116" t="n">
        <f aca="false">IF(AND($C$31&gt;0,AE$39&gt;10),MIN(AE83,MAX(01_Supuestos!$I$137*AE81,AD85*(1-1/MAX(1,$C$31)))),MIN(IF(AE$39&lt;=10,01_Supuestos!$I$136,01_Supuestos!$I$137)*AE81,AE83))</f>
        <v>36.0540972460407</v>
      </c>
      <c r="AF85" s="116" t="n">
        <f aca="false">IF(AND($C$31&gt;0,AF$39&gt;10),MIN(AF83,MAX(01_Supuestos!$I$137*AF81,AE85*(1-1/MAX(1,$C$31)))),MIN(IF(AF$39&lt;=10,01_Supuestos!$I$136,01_Supuestos!$I$137)*AF81,AF83))</f>
        <v>36.4561005789916</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0.4875</v>
      </c>
      <c r="D86" s="116" t="n">
        <f aca="false">01_Supuestos!$I$127*D83</f>
        <v>0.9862125</v>
      </c>
      <c r="E86" s="116" t="n">
        <f aca="false">01_Supuestos!$I$127*E83</f>
        <v>1.4963953875</v>
      </c>
      <c r="F86" s="116" t="n">
        <f aca="false">01_Supuestos!$I$127*F83</f>
        <v>2.0183124814125</v>
      </c>
      <c r="G86" s="116" t="n">
        <f aca="false">01_Supuestos!$I$127*G83</f>
        <v>2.55223366848499</v>
      </c>
      <c r="H86" s="116" t="n">
        <f aca="false">01_Supuestos!$I$127*H83</f>
        <v>3.09843504286014</v>
      </c>
      <c r="I86" s="116" t="n">
        <f aca="false">01_Supuestos!$I$127*I83</f>
        <v>3.65719904884592</v>
      </c>
      <c r="J86" s="116" t="n">
        <f aca="false">01_Supuestos!$I$127*J83</f>
        <v>4.22881462696938</v>
      </c>
      <c r="K86" s="116" t="n">
        <f aca="false">01_Supuestos!$I$127*K83</f>
        <v>4.81357736338968</v>
      </c>
      <c r="L86" s="116" t="n">
        <f aca="false">01_Supuestos!$I$127*L83</f>
        <v>5.41178964274764</v>
      </c>
      <c r="M86" s="116" t="n">
        <f aca="false">01_Supuestos!$I$127*M83</f>
        <v>6.02376080453083</v>
      </c>
      <c r="N86" s="116" t="n">
        <f aca="false">01_Supuestos!$I$127*N83</f>
        <v>6.64980730303504</v>
      </c>
      <c r="O86" s="116" t="n">
        <f aca="false">01_Supuestos!$I$127*O83</f>
        <v>7.29025287100485</v>
      </c>
      <c r="P86" s="116" t="n">
        <f aca="false">01_Supuestos!$I$127*P83</f>
        <v>7.94542868703796</v>
      </c>
      <c r="Q86" s="116" t="n">
        <f aca="false">01_Supuestos!$I$127*Q83</f>
        <v>8.61567354683983</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9.87707419714526</v>
      </c>
      <c r="X86" s="116" t="n">
        <f aca="false">01_Supuestos!$I$127*X83</f>
        <v>10.0177531484459</v>
      </c>
      <c r="Y86" s="116" t="n">
        <f aca="false">01_Supuestos!$I$127*Y83</f>
        <v>10.1554868350647</v>
      </c>
      <c r="Z86" s="116" t="n">
        <f aca="false">01_Supuestos!$I$127*Z83</f>
        <v>10.2902678010981</v>
      </c>
      <c r="AA86" s="116" t="n">
        <f aca="false">01_Supuestos!$I$127*AA83</f>
        <v>10.4220888286533</v>
      </c>
      <c r="AB86" s="116" t="n">
        <f aca="false">01_Supuestos!$I$127*AB83</f>
        <v>10.5509429211892</v>
      </c>
      <c r="AC86" s="116" t="n">
        <f aca="false">01_Supuestos!$I$127*AC83</f>
        <v>10.6768232875238</v>
      </c>
      <c r="AD86" s="116" t="n">
        <f aca="false">01_Supuestos!$I$127*AD83</f>
        <v>10.7997233264659</v>
      </c>
      <c r="AE86" s="116" t="n">
        <f aca="false">01_Supuestos!$I$127*AE83</f>
        <v>10.9196366120359</v>
      </c>
      <c r="AF86" s="116" t="n">
        <f aca="false">01_Supuestos!$I$127*AF83</f>
        <v>11.0365568792395</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2.16517273657028</v>
      </c>
      <c r="D87" s="116" t="n">
        <f aca="false">D83-D85-D86</f>
        <v>7.0693850866012</v>
      </c>
      <c r="E87" s="116" t="n">
        <f aca="false">E83-E85-E86</f>
        <v>12.6982120655839</v>
      </c>
      <c r="F87" s="116" t="n">
        <f aca="false">F83-F85-F86</f>
        <v>5.61954996630142</v>
      </c>
      <c r="G87" s="116" t="n">
        <f aca="false">G83-G85-G86</f>
        <v>14.2577491248209</v>
      </c>
      <c r="H87" s="116" t="n">
        <f aca="false">H83-H85-H86</f>
        <v>23.1277728722911</v>
      </c>
      <c r="I87" s="116" t="n">
        <f aca="false">I83-I85-I86</f>
        <v>32.2350625990533</v>
      </c>
      <c r="J87" s="116" t="n">
        <f aca="false">J83-J85-J86</f>
        <v>41.5851793761867</v>
      </c>
      <c r="K87" s="116" t="n">
        <f aca="false">K83-K85-K86</f>
        <v>51.1838069817278</v>
      </c>
      <c r="L87" s="116" t="n">
        <f aca="false">L83-L85-L86</f>
        <v>61.0367549828139</v>
      </c>
      <c r="M87" s="116" t="n">
        <f aca="false">M83-M85-M86</f>
        <v>81.0216567025728</v>
      </c>
      <c r="N87" s="116" t="n">
        <f aca="false">N83-N85-N86</f>
        <v>98.6838292755915</v>
      </c>
      <c r="O87" s="116" t="n">
        <f aca="false">O83-O85-O86</f>
        <v>110.167714626311</v>
      </c>
      <c r="P87" s="116" t="n">
        <f aca="false">P83-P85-P86</f>
        <v>122.11152561827</v>
      </c>
      <c r="Q87" s="116" t="n">
        <f aca="false">Q83-Q85-Q86</f>
        <v>134.321029612199</v>
      </c>
      <c r="R87" s="116" t="n">
        <f aca="false">R83-R85-R86</f>
        <v>138.726759044568</v>
      </c>
      <c r="S87" s="116" t="n">
        <f aca="false">S83-S85-S86</f>
        <v>142.077246630046</v>
      </c>
      <c r="T87" s="116" t="n">
        <f aca="false">T83-T85-T86</f>
        <v>145.523920094297</v>
      </c>
      <c r="U87" s="116" t="n">
        <f aca="false">U83-U85-U86</f>
        <v>149.068023555135</v>
      </c>
      <c r="V87" s="116" t="n">
        <f aca="false">V83-V85-V86</f>
        <v>152.71150682365</v>
      </c>
      <c r="W87" s="116" t="n">
        <f aca="false">W83-W85-W86</f>
        <v>155.181764400828</v>
      </c>
      <c r="X87" s="116" t="n">
        <f aca="false">X83-X85-X86</f>
        <v>157.374420961311</v>
      </c>
      <c r="Y87" s="116" t="n">
        <f aca="false">Y83-Y85-Y86</f>
        <v>159.52040359995</v>
      </c>
      <c r="Z87" s="116" t="n">
        <f aca="false">Z83-Z85-Z86</f>
        <v>161.619850023923</v>
      </c>
      <c r="AA87" s="116" t="n">
        <f aca="false">AA83-AA85-AA86</f>
        <v>163.67290164316</v>
      </c>
      <c r="AB87" s="116" t="n">
        <f aca="false">AB83-AB85-AB86</f>
        <v>165.679448053223</v>
      </c>
      <c r="AC87" s="116" t="n">
        <f aca="false">AC83-AC85-AC86</f>
        <v>167.639382039005</v>
      </c>
      <c r="AD87" s="116" t="n">
        <f aca="false">AD83-AD85-AD86</f>
        <v>169.552599332981</v>
      </c>
      <c r="AE87" s="116" t="n">
        <f aca="false">AE83-AE85-AE86</f>
        <v>171.418998382642</v>
      </c>
      <c r="AF87" s="116" t="n">
        <f aca="false">AF83-AF85-AF86</f>
        <v>173.238480126558</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0.027421875</v>
      </c>
      <c r="D88" s="116" t="n">
        <f aca="false">D86/01_Supuestos!$I$131*01_Supuestos!$I$129*01_Supuestos!$I$130*01_Supuestos!$I$128</f>
        <v>0.055474453125</v>
      </c>
      <c r="E88" s="116" t="n">
        <f aca="false">E86/01_Supuestos!$I$131*01_Supuestos!$I$129*01_Supuestos!$I$130*01_Supuestos!$I$128</f>
        <v>0.084172240546875</v>
      </c>
      <c r="F88" s="116" t="n">
        <f aca="false">F86/01_Supuestos!$I$131*01_Supuestos!$I$129*01_Supuestos!$I$130*01_Supuestos!$I$128</f>
        <v>0.113530077079453</v>
      </c>
      <c r="G88" s="116" t="n">
        <f aca="false">G86/01_Supuestos!$I$131*01_Supuestos!$I$129*01_Supuestos!$I$130*01_Supuestos!$I$128</f>
        <v>0.143563143852281</v>
      </c>
      <c r="H88" s="116" t="n">
        <f aca="false">H86/01_Supuestos!$I$131*01_Supuestos!$I$129*01_Supuestos!$I$130*01_Supuestos!$I$128</f>
        <v>0.174286971160883</v>
      </c>
      <c r="I88" s="116" t="n">
        <f aca="false">I86/01_Supuestos!$I$131*01_Supuestos!$I$129*01_Supuestos!$I$130*01_Supuestos!$I$128</f>
        <v>0.205717446497583</v>
      </c>
      <c r="J88" s="116" t="n">
        <f aca="false">J86/01_Supuestos!$I$131*01_Supuestos!$I$129*01_Supuestos!$I$130*01_Supuestos!$I$128</f>
        <v>0.237870822767028</v>
      </c>
      <c r="K88" s="116" t="n">
        <f aca="false">K86/01_Supuestos!$I$131*01_Supuestos!$I$129*01_Supuestos!$I$130*01_Supuestos!$I$128</f>
        <v>0.270763726690669</v>
      </c>
      <c r="L88" s="116" t="n">
        <f aca="false">L86/01_Supuestos!$I$131*01_Supuestos!$I$129*01_Supuestos!$I$130*01_Supuestos!$I$128</f>
        <v>0.304413167404555</v>
      </c>
      <c r="M88" s="116" t="n">
        <f aca="false">M86/01_Supuestos!$I$131*01_Supuestos!$I$129*01_Supuestos!$I$130*01_Supuestos!$I$128</f>
        <v>0.338836545254859</v>
      </c>
      <c r="N88" s="116" t="n">
        <f aca="false">N86/01_Supuestos!$I$131*01_Supuestos!$I$129*01_Supuestos!$I$130*01_Supuestos!$I$128</f>
        <v>0.374051660795721</v>
      </c>
      <c r="O88" s="116" t="n">
        <f aca="false">O86/01_Supuestos!$I$131*01_Supuestos!$I$129*01_Supuestos!$I$130*01_Supuestos!$I$128</f>
        <v>0.410076723994023</v>
      </c>
      <c r="P88" s="116" t="n">
        <f aca="false">P86/01_Supuestos!$I$131*01_Supuestos!$I$129*01_Supuestos!$I$130*01_Supuestos!$I$128</f>
        <v>0.446930363645885</v>
      </c>
      <c r="Q88" s="116" t="n">
        <f aca="false">Q86/01_Supuestos!$I$131*01_Supuestos!$I$129*01_Supuestos!$I$130*01_Supuestos!$I$128</f>
        <v>0.484631637009741</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0.555585423589421</v>
      </c>
      <c r="X88" s="116" t="n">
        <f aca="false">X86/01_Supuestos!$I$131*01_Supuestos!$I$129*01_Supuestos!$I$130*01_Supuestos!$I$128</f>
        <v>0.56349861460008</v>
      </c>
      <c r="Y88" s="116" t="n">
        <f aca="false">Y86/01_Supuestos!$I$131*01_Supuestos!$I$129*01_Supuestos!$I$130*01_Supuestos!$I$128</f>
        <v>0.571246134472387</v>
      </c>
      <c r="Z88" s="116" t="n">
        <f aca="false">Z86/01_Supuestos!$I$131*01_Supuestos!$I$129*01_Supuestos!$I$130*01_Supuestos!$I$128</f>
        <v>0.578827563811769</v>
      </c>
      <c r="AA88" s="116" t="n">
        <f aca="false">AA86/01_Supuestos!$I$131*01_Supuestos!$I$129*01_Supuestos!$I$130*01_Supuestos!$I$128</f>
        <v>0.586242496611746</v>
      </c>
      <c r="AB88" s="116" t="n">
        <f aca="false">AB86/01_Supuestos!$I$131*01_Supuestos!$I$129*01_Supuestos!$I$130*01_Supuestos!$I$128</f>
        <v>0.593490539316894</v>
      </c>
      <c r="AC88" s="116" t="n">
        <f aca="false">AC86/01_Supuestos!$I$131*01_Supuestos!$I$129*01_Supuestos!$I$130*01_Supuestos!$I$128</f>
        <v>0.600571309923215</v>
      </c>
      <c r="AD88" s="116" t="n">
        <f aca="false">AD86/01_Supuestos!$I$131*01_Supuestos!$I$129*01_Supuestos!$I$130*01_Supuestos!$I$128</f>
        <v>0.607484437113707</v>
      </c>
      <c r="AE88" s="116" t="n">
        <f aca="false">AE86/01_Supuestos!$I$131*01_Supuestos!$I$129*01_Supuestos!$I$130*01_Supuestos!$I$128</f>
        <v>0.614229559427022</v>
      </c>
      <c r="AF88" s="116" t="n">
        <f aca="false">AF86/01_Supuestos!$I$131*01_Supuestos!$I$129*01_Supuestos!$I$130*01_Supuestos!$I$128</f>
        <v>0.62080632445722</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0.251160037442151</v>
      </c>
      <c r="D90" s="116" t="n">
        <f aca="false">D83-C83-D73+D185-D228</f>
        <v>0.45477825559237</v>
      </c>
      <c r="E90" s="116" t="n">
        <f aca="false">E83-D83-E73+E185-E228</f>
        <v>0.32731062968254</v>
      </c>
      <c r="F90" s="116" t="n">
        <f aca="false">F83-E83-F73+F185-F228</f>
        <v>-0.755175677510511</v>
      </c>
      <c r="G90" s="116" t="n">
        <f aca="false">G83-F83-G73+G185-G228</f>
        <v>0.859546358768633</v>
      </c>
      <c r="H90" s="116" t="n">
        <f aca="false">H83-G83-H73+H185-H228</f>
        <v>0.619450341223995</v>
      </c>
      <c r="I90" s="116" t="n">
        <f aca="false">I83-H83-I73+I185-I228</f>
        <v>0.320996521642179</v>
      </c>
      <c r="J90" s="116" t="n">
        <f aca="false">J83-I83-J73+J185-J228</f>
        <v>0.329468221304495</v>
      </c>
      <c r="K90" s="116" t="n">
        <f aca="false">K83-J83-K73+K185-K228</f>
        <v>0.338137352523013</v>
      </c>
      <c r="L90" s="116" t="n">
        <f aca="false">L83-K83-L73+L185-L228</f>
        <v>0.34700832710039</v>
      </c>
      <c r="M90" s="116" t="n">
        <f aca="false">M83-L83-M73+M185-M228</f>
        <v>1.5012022646814</v>
      </c>
      <c r="N90" s="116" t="n">
        <f aca="false">N83-M83-N73+N185-N228</f>
        <v>0.689895148347738</v>
      </c>
      <c r="O90" s="116" t="n">
        <f aca="false">O83-N83-O73+O185-O228</f>
        <v>-0.218686752500773</v>
      </c>
      <c r="P90" s="116" t="n">
        <f aca="false">P83-O83-P73+P185-P228</f>
        <v>0.232332797666437</v>
      </c>
      <c r="Q90" s="116" t="n">
        <f aca="false">Q83-P83-Q73+Q185-Q228</f>
        <v>0.430577396311797</v>
      </c>
      <c r="R90" s="116" t="n">
        <f aca="false">R83-Q83-R73+R185-R228</f>
        <v>-0.502931047301971</v>
      </c>
      <c r="S90" s="116" t="n">
        <f aca="false">S83-R83-S73+S185-S228</f>
        <v>-0.222301730146327</v>
      </c>
      <c r="T90" s="116" t="n">
        <f aca="false">T83-S83-T73+T185-T228</f>
        <v>0.0865594595721433</v>
      </c>
      <c r="U90" s="116" t="n">
        <f aca="false">U83-T83-U73+U185-U228</f>
        <v>0.125527917630713</v>
      </c>
      <c r="V90" s="116" t="n">
        <f aca="false">V83-U83-V73+V185-V228</f>
        <v>0.128937265583602</v>
      </c>
      <c r="W90" s="116" t="n">
        <f aca="false">W83-V83-W73+W185-W228</f>
        <v>-0.015416979755237</v>
      </c>
      <c r="X90" s="116" t="n">
        <f aca="false">X83-W83-X73+X185-X228</f>
        <v>0.0111304533192254</v>
      </c>
      <c r="Y90" s="116" t="n">
        <f aca="false">Y83-X83-Y73+Y185-Y228</f>
        <v>0.0567425310324126</v>
      </c>
      <c r="Z90" s="116" t="n">
        <f aca="false">Z83-Y83-Z73+Z185-Z228</f>
        <v>0.0624159401073996</v>
      </c>
      <c r="AA90" s="116" t="n">
        <f aca="false">AA83-Z83-AA73+AA185-AA228</f>
        <v>0.0609346489984262</v>
      </c>
      <c r="AB90" s="116" t="n">
        <f aca="false">AB83-AA83-AB73+AB185-AB228</f>
        <v>0.0594288263267941</v>
      </c>
      <c r="AC90" s="116" t="n">
        <f aca="false">AC83-AB83-AC73+AC185-AC228</f>
        <v>0.057911998476186</v>
      </c>
      <c r="AD90" s="116" t="n">
        <f aca="false">AD83-AC83-AD73+AD185-AD228</f>
        <v>0.0563921510935614</v>
      </c>
      <c r="AE90" s="116" t="n">
        <f aca="false">AE83-AD83-AE73+AE185-AE228</f>
        <v>0.0548693448359501</v>
      </c>
      <c r="AF90" s="116" t="n">
        <f aca="false">AF83-AE83-AF73+AF185-AF228</f>
        <v>0.0533436341388409</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0.251160037442151</v>
      </c>
      <c r="D92" s="116" t="n">
        <f aca="false">IF(D90&gt;0,IF($C$20="BC",MIN(D90-D91,MAX(0,C276+D53-D75)),MIN(D90,MAX(0,C276+D53-D75))),0)</f>
        <v>0.45477825559237</v>
      </c>
      <c r="E92" s="116" t="n">
        <f aca="false">IF(E90&gt;0,IF($C$20="BC",MIN(E90-E91,MAX(0,D276+E53-E75)),MIN(E90,MAX(0,D276+E53-E75))),0)</f>
        <v>0.32731062968254</v>
      </c>
      <c r="F92" s="116" t="n">
        <f aca="false">IF(F90&gt;0,IF($C$20="BC",MIN(F90-F91,MAX(0,E276+F53-F75)),MIN(F90,MAX(0,E276+F53-F75))),0)</f>
        <v>0</v>
      </c>
      <c r="G92" s="116" t="n">
        <f aca="false">IF(G90&gt;0,IF($C$20="BC",MIN(G90-G91,MAX(0,F276+G53-G75)),MIN(G90,MAX(0,F276+G53-G75))),0)</f>
        <v>0.859546358768633</v>
      </c>
      <c r="H92" s="116" t="n">
        <f aca="false">IF(H90&gt;0,IF($C$20="BC",MIN(H90-H91,MAX(0,G276+H53-H75)),MIN(H90,MAX(0,G276+H53-H75))),0)</f>
        <v>0.619450341223995</v>
      </c>
      <c r="I92" s="116" t="n">
        <f aca="false">IF(I90&gt;0,IF($C$20="BC",MIN(I90-I91,MAX(0,H276+I53-I75)),MIN(I90,MAX(0,H276+I53-I75))),0)</f>
        <v>0.320996521642179</v>
      </c>
      <c r="J92" s="116" t="n">
        <f aca="false">IF(J90&gt;0,IF($C$20="BC",MIN(J90-J91,MAX(0,I276+J53-J75)),MIN(J90,MAX(0,I276+J53-J75))),0)</f>
        <v>0.329468221304495</v>
      </c>
      <c r="K92" s="116" t="n">
        <f aca="false">IF(K90&gt;0,IF($C$20="BC",MIN(K90-K91,MAX(0,J276+K53-K75)),MIN(K90,MAX(0,J276+K53-K75))),0)</f>
        <v>0.338137352523013</v>
      </c>
      <c r="L92" s="116" t="n">
        <f aca="false">IF(L90&gt;0,IF($C$20="BC",MIN(L90-L91,MAX(0,K276+L53-L75)),MIN(L90,MAX(0,K276+L53-L75))),0)</f>
        <v>0.34700832710039</v>
      </c>
      <c r="M92" s="116" t="n">
        <f aca="false">IF(M90&gt;0,IF($C$20="BC",MIN(M90-M91,MAX(0,L276+M53-M75)),MIN(M90,MAX(0,L276+M53-M75))),0)</f>
        <v>1.5012022646814</v>
      </c>
      <c r="N92" s="116" t="n">
        <f aca="false">IF(N90&gt;0,IF($C$20="BC",MIN(N90-N91,MAX(0,M276+N53-N75)),MIN(N90,MAX(0,M276+N53-N75))),0)</f>
        <v>0.689895148347738</v>
      </c>
      <c r="O92" s="116" t="n">
        <f aca="false">IF(O90&gt;0,IF($C$20="BC",MIN(O90-O91,MAX(0,N276+O53-O75)),MIN(O90,MAX(0,N276+O53-O75))),0)</f>
        <v>0</v>
      </c>
      <c r="P92" s="116" t="n">
        <f aca="false">IF(P90&gt;0,IF($C$20="BC",MIN(P90-P91,MAX(0,O276+P53-P75)),MIN(P90,MAX(0,O276+P53-P75))),0)</f>
        <v>0.232332797666437</v>
      </c>
      <c r="Q92" s="116" t="n">
        <f aca="false">IF(Q90&gt;0,IF($C$20="BC",MIN(Q90-Q91,MAX(0,P276+Q53-Q75)),MIN(Q90,MAX(0,P276+Q53-Q75))),0)</f>
        <v>0.430577396311797</v>
      </c>
      <c r="R92" s="116" t="n">
        <f aca="false">IF(R90&gt;0,IF($C$20="BC",MIN(R90-R91,MAX(0,Q276+R53-R75)),MIN(R90,MAX(0,Q276+R53-R75))),0)</f>
        <v>0</v>
      </c>
      <c r="S92" s="116" t="n">
        <f aca="false">IF(S90&gt;0,IF($C$20="BC",MIN(S90-S91,MAX(0,R276+S53-S75)),MIN(S90,MAX(0,R276+S53-S75))),0)</f>
        <v>0</v>
      </c>
      <c r="T92" s="116" t="n">
        <f aca="false">IF(T90&gt;0,IF($C$20="BC",MIN(T90-T91,MAX(0,S276+T53-T75)),MIN(T90,MAX(0,S276+T53-T75))),0)</f>
        <v>0.0865594595721433</v>
      </c>
      <c r="U92" s="116" t="n">
        <f aca="false">IF(U90&gt;0,IF($C$20="BC",MIN(U90-U91,MAX(0,T276+U53-U75)),MIN(U90,MAX(0,T276+U53-U75))),0)</f>
        <v>0.125527917630713</v>
      </c>
      <c r="V92" s="116" t="n">
        <f aca="false">IF(V90&gt;0,IF($C$20="BC",MIN(V90-V91,MAX(0,U276+V53-V75)),MIN(V90,MAX(0,U276+V53-V75))),0)</f>
        <v>0.128937265583602</v>
      </c>
      <c r="W92" s="116" t="n">
        <f aca="false">IF(W90&gt;0,IF($C$20="BC",MIN(W90-W91,MAX(0,V276+W53-W75)),MIN(W90,MAX(0,V276+W53-W75))),0)</f>
        <v>0</v>
      </c>
      <c r="X92" s="116" t="n">
        <f aca="false">IF(X90&gt;0,IF($C$20="BC",MIN(X90-X91,MAX(0,W276+X53-X75)),MIN(X90,MAX(0,W276+X53-X75))),0)</f>
        <v>0.0111304533192254</v>
      </c>
      <c r="Y92" s="116" t="n">
        <f aca="false">IF(Y90&gt;0,IF($C$20="BC",MIN(Y90-Y91,MAX(0,X276+Y53-Y75)),MIN(Y90,MAX(0,X276+Y53-Y75))),0)</f>
        <v>0.0567425310324126</v>
      </c>
      <c r="Z92" s="116" t="n">
        <f aca="false">IF(Z90&gt;0,IF($C$20="BC",MIN(Z90-Z91,MAX(0,Y276+Z53-Z75)),MIN(Z90,MAX(0,Y276+Z53-Z75))),0)</f>
        <v>0.0624159401073996</v>
      </c>
      <c r="AA92" s="116" t="n">
        <f aca="false">IF(AA90&gt;0,IF($C$20="BC",MIN(AA90-AA91,MAX(0,Z276+AA53-AA75)),MIN(AA90,MAX(0,Z276+AA53-AA75))),0)</f>
        <v>0.0609346489984262</v>
      </c>
      <c r="AB92" s="116" t="n">
        <f aca="false">IF(AB90&gt;0,IF($C$20="BC",MIN(AB90-AB91,MAX(0,AA276+AB53-AB75)),MIN(AB90,MAX(0,AA276+AB53-AB75))),0)</f>
        <v>0.0594288263267941</v>
      </c>
      <c r="AC92" s="116" t="n">
        <f aca="false">IF(AC90&gt;0,IF($C$20="BC",MIN(AC90-AC91,MAX(0,AB276+AC53-AC75)),MIN(AC90,MAX(0,AB276+AC53-AC75))),0)</f>
        <v>0.057911998476186</v>
      </c>
      <c r="AD92" s="116" t="n">
        <f aca="false">IF(AD90&gt;0,IF($C$20="BC",MIN(AD90-AD91,MAX(0,AC276+AD53-AD75)),MIN(AD90,MAX(0,AC276+AD53-AD75))),0)</f>
        <v>0.0563921510935614</v>
      </c>
      <c r="AE92" s="116" t="n">
        <f aca="false">IF(AE90&gt;0,IF($C$20="BC",MIN(AE90-AE91,MAX(0,AD276+AE53-AE75)),MIN(AE90,MAX(0,AD276+AE53-AE75))),0)</f>
        <v>0.0548693448359501</v>
      </c>
      <c r="AF92" s="116" t="n">
        <f aca="false">IF(AF90&gt;0,IF($C$20="BC",MIN(AF90-AF91,MAX(0,AE276+AF53-AF75)),MIN(AF90,MAX(0,AE276+AF53-AF75))),0)</f>
        <v>0.0533436341388409</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0.755175677510511</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0.218686752500773</v>
      </c>
      <c r="P94" s="116" t="n">
        <f aca="false">IF(P90&lt;0,-P90-P93,0)</f>
        <v>0</v>
      </c>
      <c r="Q94" s="116" t="n">
        <f aca="false">IF(Q90&lt;0,-Q90-Q93,0)</f>
        <v>0</v>
      </c>
      <c r="R94" s="116" t="n">
        <f aca="false">IF(R90&lt;0,-R90-R93,0)</f>
        <v>0.502931047301971</v>
      </c>
      <c r="S94" s="116" t="n">
        <f aca="false">IF(S90&lt;0,-S90-S93,0)</f>
        <v>0.222301730146327</v>
      </c>
      <c r="T94" s="116" t="n">
        <f aca="false">IF(T90&lt;0,-T90-T93,0)</f>
        <v>0</v>
      </c>
      <c r="U94" s="116" t="n">
        <f aca="false">IF(U90&lt;0,-U90-U93,0)</f>
        <v>0</v>
      </c>
      <c r="V94" s="116" t="n">
        <f aca="false">IF(V90&lt;0,-V90-V93,0)</f>
        <v>0</v>
      </c>
      <c r="W94" s="116" t="n">
        <f aca="false">IF(W90&lt;0,-W90-W93,0)</f>
        <v>0.015416979755237</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6.81841399594502</v>
      </c>
      <c r="G100" s="116" t="n">
        <f aca="false">$C$21*$C$22*G81</f>
        <v>7.13222720341538</v>
      </c>
      <c r="H100" s="116" t="n">
        <f aca="false">$C$21*$C$22*H81</f>
        <v>7.44635269626074</v>
      </c>
      <c r="I100" s="116" t="n">
        <f aca="false">$C$21*$C$22*I81</f>
        <v>7.76077486021236</v>
      </c>
      <c r="J100" s="116" t="n">
        <f aca="false">$C$21*$C$22*J81</f>
        <v>8.07547886171491</v>
      </c>
      <c r="K100" s="116" t="n">
        <f aca="false">$C$21*$C$22*K81</f>
        <v>8.39045060889085</v>
      </c>
      <c r="L100" s="116" t="n">
        <f aca="false">$C$21*$C$22*L81</f>
        <v>8.70567671445651</v>
      </c>
      <c r="M100" s="116" t="n">
        <f aca="false">$C$21*$C$22*M81</f>
        <v>8.97617615394246</v>
      </c>
      <c r="N100" s="116" t="n">
        <f aca="false">$C$21*$C$22*N81</f>
        <v>9.22083649402477</v>
      </c>
      <c r="O100" s="116" t="n">
        <f aca="false">$C$21*$C$22*O81</f>
        <v>9.44902997426024</v>
      </c>
      <c r="P100" s="116" t="n">
        <f aca="false">$C$21*$C$22*P81</f>
        <v>9.61720647848387</v>
      </c>
      <c r="Q100" s="116" t="n">
        <f aca="false">$C$21*$C$22*Q81</f>
        <v>9.79225592591916</v>
      </c>
      <c r="R100" s="116" t="n">
        <f aca="false">$C$21*$C$22*R81</f>
        <v>9.97186098691497</v>
      </c>
      <c r="S100" s="116" t="n">
        <f aca="false">$C$21*$C$22*S81</f>
        <v>10.1479564137963</v>
      </c>
      <c r="T100" s="116" t="n">
        <f aca="false">$C$21*$C$22*T81</f>
        <v>10.3217271473938</v>
      </c>
      <c r="U100" s="116" t="n">
        <f aca="false">$C$21*$C$22*U81</f>
        <v>10.4934424388939</v>
      </c>
      <c r="V100" s="116" t="n">
        <f aca="false">$C$21*$C$22*V81</f>
        <v>10.6631520394061</v>
      </c>
      <c r="W100" s="116" t="n">
        <f aca="false">$C$21*$C$22*W81</f>
        <v>10.8275484483107</v>
      </c>
      <c r="X100" s="116" t="n">
        <f aca="false">$C$21*$C$22*X81</f>
        <v>10.9876296197201</v>
      </c>
      <c r="Y100" s="116" t="n">
        <f aca="false">$C$21*$C$22*Y81</f>
        <v>11.144615422093</v>
      </c>
      <c r="Z100" s="116" t="n">
        <f aca="false">$C$21*$C$22*Z81</f>
        <v>11.2984127323138</v>
      </c>
      <c r="AA100" s="116" t="n">
        <f aca="false">$C$21*$C$22*AA81</f>
        <v>11.4489287004174</v>
      </c>
      <c r="AB100" s="116" t="n">
        <f aca="false">$C$21*$C$22*AB81</f>
        <v>11.5961558164573</v>
      </c>
      <c r="AC100" s="116" t="n">
        <f aca="false">$C$21*$C$22*AC81</f>
        <v>11.7400868079824</v>
      </c>
      <c r="AD100" s="116" t="n">
        <f aca="false">$C$21*$C$22*AD81</f>
        <v>11.8807146232904</v>
      </c>
      <c r="AE100" s="116" t="n">
        <f aca="false">$C$21*$C$22*AE81</f>
        <v>12.0180324153469</v>
      </c>
      <c r="AF100" s="116" t="n">
        <f aca="false">$C$21*$C$22*AF81</f>
        <v>12.1520335263305</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0.00681841399594502</v>
      </c>
      <c r="H102" s="116" t="n">
        <f aca="false">G104*$C$24</f>
        <v>0.00713222720341538</v>
      </c>
      <c r="I102" s="116" t="n">
        <f aca="false">H104*$C$24</f>
        <v>0.00744635269626074</v>
      </c>
      <c r="J102" s="116" t="n">
        <f aca="false">I104*$C$24</f>
        <v>0.00776077486021236</v>
      </c>
      <c r="K102" s="116" t="n">
        <f aca="false">J104*$C$24</f>
        <v>0.00807547886171491</v>
      </c>
      <c r="L102" s="116" t="n">
        <f aca="false">K104*$C$24</f>
        <v>0.00839045060889085</v>
      </c>
      <c r="M102" s="116" t="n">
        <f aca="false">L104*$C$24</f>
        <v>0.00870567671445651</v>
      </c>
      <c r="N102" s="116" t="n">
        <f aca="false">M104*$C$24</f>
        <v>0.00897617615394246</v>
      </c>
      <c r="O102" s="116" t="n">
        <f aca="false">N104*$C$24</f>
        <v>0.00922083649402477</v>
      </c>
      <c r="P102" s="116" t="n">
        <f aca="false">O104*$C$24</f>
        <v>0.00944902997426024</v>
      </c>
      <c r="Q102" s="116" t="n">
        <f aca="false">P104*$C$24</f>
        <v>0.00961720647848387</v>
      </c>
      <c r="R102" s="116" t="n">
        <f aca="false">Q104*$C$24</f>
        <v>0.00979225592591916</v>
      </c>
      <c r="S102" s="116" t="n">
        <f aca="false">R104*$C$24</f>
        <v>0.00997186098691497</v>
      </c>
      <c r="T102" s="116" t="n">
        <f aca="false">S104*$C$24</f>
        <v>0.0101479564137963</v>
      </c>
      <c r="U102" s="116" t="n">
        <f aca="false">T104*$C$24</f>
        <v>0.0103217271473938</v>
      </c>
      <c r="V102" s="116" t="n">
        <f aca="false">U104*$C$24</f>
        <v>0.0104934424388939</v>
      </c>
      <c r="W102" s="116" t="n">
        <f aca="false">V104*$C$24</f>
        <v>0.0106631520394061</v>
      </c>
      <c r="X102" s="116" t="n">
        <f aca="false">W104*$C$24</f>
        <v>0.0108275484483107</v>
      </c>
      <c r="Y102" s="116" t="n">
        <f aca="false">X104*$C$24</f>
        <v>0.0109876296197201</v>
      </c>
      <c r="Z102" s="116" t="n">
        <f aca="false">Y104*$C$24</f>
        <v>0.011144615422093</v>
      </c>
      <c r="AA102" s="116" t="n">
        <f aca="false">Z104*$C$24</f>
        <v>0.0112984127323138</v>
      </c>
      <c r="AB102" s="116" t="n">
        <f aca="false">AA104*$C$24</f>
        <v>0.0114489287004174</v>
      </c>
      <c r="AC102" s="116" t="n">
        <f aca="false">AB104*$C$24</f>
        <v>0.0115961558164573</v>
      </c>
      <c r="AD102" s="116" t="n">
        <f aca="false">AC104*$C$24</f>
        <v>0.0117400868079824</v>
      </c>
      <c r="AE102" s="116" t="n">
        <f aca="false">AD104*$C$24</f>
        <v>0.0118807146232904</v>
      </c>
      <c r="AF102" s="116" t="n">
        <f aca="false">AE104*$C$24</f>
        <v>0.0120180324153469</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3.54064310075416</v>
      </c>
      <c r="G103" s="116" t="n">
        <f aca="false">MIN(MAX(0,G100-F104-G101),MAX(0,F276))</f>
        <v>0.313813207470362</v>
      </c>
      <c r="H103" s="116" t="n">
        <f aca="false">MIN(MAX(0,H100-G104-H101),MAX(0,G276))</f>
        <v>0.314125492845364</v>
      </c>
      <c r="I103" s="116" t="n">
        <f aca="false">MIN(MAX(0,I100-H104-I101),MAX(0,H276))</f>
        <v>0.314422163951614</v>
      </c>
      <c r="J103" s="116" t="n">
        <f aca="false">MIN(MAX(0,J100-I104-J101),MAX(0,I276))</f>
        <v>0.314704001502549</v>
      </c>
      <c r="K103" s="116" t="n">
        <f aca="false">MIN(MAX(0,K100-J104-K101),MAX(0,J276))</f>
        <v>0.314971747175941</v>
      </c>
      <c r="L103" s="116" t="n">
        <f aca="false">MIN(MAX(0,L100-K104-L101),MAX(0,K276))</f>
        <v>0.315226105565662</v>
      </c>
      <c r="M103" s="116" t="n">
        <f aca="false">MIN(MAX(0,M100-L104-M101),MAX(0,L276))</f>
        <v>0.270499439485951</v>
      </c>
      <c r="N103" s="116" t="n">
        <f aca="false">MIN(MAX(0,N100-M104-N101),MAX(0,M276))</f>
        <v>0.244660340082312</v>
      </c>
      <c r="O103" s="116" t="n">
        <f aca="false">MIN(MAX(0,O100-N104-O101),MAX(0,N276))</f>
        <v>0.228193480235472</v>
      </c>
      <c r="P103" s="116" t="n">
        <f aca="false">MIN(MAX(0,P100-O104-P101),MAX(0,O276))</f>
        <v>0.168176504223629</v>
      </c>
      <c r="Q103" s="116" t="n">
        <f aca="false">MIN(MAX(0,Q100-P104-Q101),MAX(0,P276))</f>
        <v>0.175049447435287</v>
      </c>
      <c r="R103" s="116" t="n">
        <f aca="false">MIN(MAX(0,R100-Q104-R101),MAX(0,Q276))</f>
        <v>0.179605060995813</v>
      </c>
      <c r="S103" s="116" t="n">
        <f aca="false">MIN(MAX(0,S100-R104-S101),MAX(0,R276))</f>
        <v>0.176095426881314</v>
      </c>
      <c r="T103" s="116" t="n">
        <f aca="false">MIN(MAX(0,T100-S104-T101),MAX(0,S276))</f>
        <v>0.173770733597465</v>
      </c>
      <c r="U103" s="116" t="n">
        <f aca="false">MIN(MAX(0,U100-T104-U101),MAX(0,T276))</f>
        <v>0.171715291500179</v>
      </c>
      <c r="V103" s="116" t="n">
        <f aca="false">MIN(MAX(0,V100-U104-V101),MAX(0,U276))</f>
        <v>0.169709600512201</v>
      </c>
      <c r="W103" s="116" t="n">
        <f aca="false">MIN(MAX(0,W100-V104-W101),MAX(0,V276))</f>
        <v>0.164396408904578</v>
      </c>
      <c r="X103" s="116" t="n">
        <f aca="false">MIN(MAX(0,X100-W104-X101),MAX(0,W276))</f>
        <v>0.160081171409351</v>
      </c>
      <c r="Y103" s="116" t="n">
        <f aca="false">MIN(MAX(0,Y100-X104-Y101),MAX(0,X276))</f>
        <v>0.156985802372912</v>
      </c>
      <c r="Z103" s="116" t="n">
        <f aca="false">MIN(MAX(0,Z100-Y104-Z101),MAX(0,Y276))</f>
        <v>0.15379731022087</v>
      </c>
      <c r="AA103" s="116" t="n">
        <f aca="false">MIN(MAX(0,AA100-Z104-AA101),MAX(0,Z276))</f>
        <v>0.150515968103527</v>
      </c>
      <c r="AB103" s="116" t="n">
        <f aca="false">MIN(MAX(0,AB100-AA104-AB101),MAX(0,AA276))</f>
        <v>0.147227116039923</v>
      </c>
      <c r="AC103" s="116" t="n">
        <f aca="false">MIN(MAX(0,AC100-AB104-AC101),MAX(0,AB276))</f>
        <v>0.143930991525131</v>
      </c>
      <c r="AD103" s="116" t="n">
        <f aca="false">MIN(MAX(0,AD100-AC104-AD101),MAX(0,AC276))</f>
        <v>0.140627815307996</v>
      </c>
      <c r="AE103" s="116" t="n">
        <f aca="false">MIN(MAX(0,AE100-AD104-AE101),MAX(0,AD276))</f>
        <v>0.137317792056468</v>
      </c>
      <c r="AF103" s="116" t="n">
        <f aca="false">MIN(MAX(0,AF100-AE104-AF101),MAX(0,AE276))</f>
        <v>0.13400111098364</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6.81841399594502</v>
      </c>
      <c r="G104" s="136" t="n">
        <f aca="false">F104+G101+G103</f>
        <v>7.13222720341538</v>
      </c>
      <c r="H104" s="136" t="n">
        <f aca="false">G104+H101+H103</f>
        <v>7.44635269626074</v>
      </c>
      <c r="I104" s="136" t="n">
        <f aca="false">H104+I101+I103</f>
        <v>7.76077486021236</v>
      </c>
      <c r="J104" s="136" t="n">
        <f aca="false">I104+J101+J103</f>
        <v>8.07547886171491</v>
      </c>
      <c r="K104" s="136" t="n">
        <f aca="false">J104+K101+K103</f>
        <v>8.39045060889085</v>
      </c>
      <c r="L104" s="136" t="n">
        <f aca="false">K104+L101+L103</f>
        <v>8.70567671445651</v>
      </c>
      <c r="M104" s="136" t="n">
        <f aca="false">L104+M101+M103</f>
        <v>8.97617615394246</v>
      </c>
      <c r="N104" s="136" t="n">
        <f aca="false">M104+N101+N103</f>
        <v>9.22083649402477</v>
      </c>
      <c r="O104" s="136" t="n">
        <f aca="false">N104+O101+O103</f>
        <v>9.44902997426024</v>
      </c>
      <c r="P104" s="136" t="n">
        <f aca="false">O104+P101+P103</f>
        <v>9.61720647848387</v>
      </c>
      <c r="Q104" s="136" t="n">
        <f aca="false">P104+Q101+Q103</f>
        <v>9.79225592591916</v>
      </c>
      <c r="R104" s="136" t="n">
        <f aca="false">Q104+R101+R103</f>
        <v>9.97186098691497</v>
      </c>
      <c r="S104" s="136" t="n">
        <f aca="false">R104+S101+S103</f>
        <v>10.1479564137963</v>
      </c>
      <c r="T104" s="136" t="n">
        <f aca="false">S104+T101+T103</f>
        <v>10.3217271473938</v>
      </c>
      <c r="U104" s="136" t="n">
        <f aca="false">T104+U101+U103</f>
        <v>10.4934424388939</v>
      </c>
      <c r="V104" s="136" t="n">
        <f aca="false">U104+V101+V103</f>
        <v>10.6631520394061</v>
      </c>
      <c r="W104" s="136" t="n">
        <f aca="false">V104+W101+W103</f>
        <v>10.8275484483107</v>
      </c>
      <c r="X104" s="136" t="n">
        <f aca="false">W104+X101+X103</f>
        <v>10.9876296197201</v>
      </c>
      <c r="Y104" s="136" t="n">
        <f aca="false">X104+Y101+Y103</f>
        <v>11.144615422093</v>
      </c>
      <c r="Z104" s="136" t="n">
        <f aca="false">Y104+Z101+Z103</f>
        <v>11.2984127323138</v>
      </c>
      <c r="AA104" s="136" t="n">
        <f aca="false">Z104+AA101+AA103</f>
        <v>11.4489287004174</v>
      </c>
      <c r="AB104" s="136" t="n">
        <f aca="false">AA104+AB101+AB103</f>
        <v>11.5961558164573</v>
      </c>
      <c r="AC104" s="136" t="n">
        <f aca="false">AB104+AC101+AC103</f>
        <v>11.7400868079824</v>
      </c>
      <c r="AD104" s="136" t="n">
        <f aca="false">AC104+AD101+AD103</f>
        <v>11.8807146232904</v>
      </c>
      <c r="AE104" s="136" t="n">
        <f aca="false">AD104+AE101+AE103</f>
        <v>12.0180324153469</v>
      </c>
      <c r="AF104" s="136" t="n">
        <f aca="false">AE104+AF101+AF103</f>
        <v>12.1520335263305</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53.0956193936339</v>
      </c>
      <c r="G105" s="139" t="n">
        <f aca="false">G104/($C$36*(1+$C$23)^(G$39-1))</f>
        <v>55.5393118174808</v>
      </c>
      <c r="H105" s="139" t="n">
        <f aca="false">H104/($C$36*(1+$C$23)^(H$39-1))</f>
        <v>57.9854360363789</v>
      </c>
      <c r="I105" s="139" t="n">
        <f aca="false">I104/($C$36*(1+$C$23)^(I$39-1))</f>
        <v>60.4338704605758</v>
      </c>
      <c r="J105" s="139" t="n">
        <f aca="false">J104/($C$36*(1+$C$23)^(J$39-1))</f>
        <v>62.8844995798065</v>
      </c>
      <c r="K105" s="139" t="n">
        <f aca="false">K104/($C$36*(1+$C$23)^(K$39-1))</f>
        <v>65.3372136593193</v>
      </c>
      <c r="L105" s="139" t="n">
        <f aca="false">L104/($C$36*(1+$C$23)^(L$39-1))</f>
        <v>67.7919084511001</v>
      </c>
      <c r="M105" s="139" t="n">
        <f aca="false">M104/($C$36*(1+$C$23)^(M$39-1))</f>
        <v>69.8983125640916</v>
      </c>
      <c r="N105" s="139" t="n">
        <f aca="false">N104/($C$36*(1+$C$23)^(N$39-1))</f>
        <v>71.803505224064</v>
      </c>
      <c r="O105" s="139" t="n">
        <f aca="false">O104/($C$36*(1+$C$23)^(O$39-1))</f>
        <v>73.5804689258717</v>
      </c>
      <c r="P105" s="139" t="n">
        <f aca="false">P104/($C$36*(1+$C$23)^(P$39-1))</f>
        <v>74.8900748935527</v>
      </c>
      <c r="Q105" s="139" t="n">
        <f aca="false">Q104/($C$36*(1+$C$23)^(Q$39-1))</f>
        <v>76.2532011046654</v>
      </c>
      <c r="R105" s="139" t="n">
        <f aca="false">R104/($C$36*(1+$C$23)^(R$39-1))</f>
        <v>77.6518022992357</v>
      </c>
      <c r="S105" s="139" t="n">
        <f aca="false">S104/($C$36*(1+$C$23)^(S$39-1))</f>
        <v>79.0230736488796</v>
      </c>
      <c r="T105" s="139" t="n">
        <f aca="false">T104/($C$36*(1+$C$23)^(T$39-1))</f>
        <v>80.3762423972616</v>
      </c>
      <c r="U105" s="139" t="n">
        <f aca="false">U104/($C$36*(1+$C$23)^(U$39-1))</f>
        <v>81.7134052282341</v>
      </c>
      <c r="V105" s="139" t="n">
        <f aca="false">V104/($C$36*(1+$C$23)^(V$39-1))</f>
        <v>83.0349495582792</v>
      </c>
      <c r="W105" s="139" t="n">
        <f aca="false">W104/($C$36*(1+$C$23)^(W$39-1))</f>
        <v>84.3151195746597</v>
      </c>
      <c r="X105" s="139" t="n">
        <f aca="false">X104/($C$36*(1+$C$23)^(X$39-1))</f>
        <v>85.561686438199</v>
      </c>
      <c r="Y105" s="139" t="n">
        <f aca="false">Y104/($C$36*(1+$C$23)^(Y$39-1))</f>
        <v>86.7841493772276</v>
      </c>
      <c r="Z105" s="139" t="n">
        <f aca="false">Z104/($C$36*(1+$C$23)^(Z$39-1))</f>
        <v>87.9817832334452</v>
      </c>
      <c r="AA105" s="139" t="n">
        <f aca="false">AA104/($C$36*(1+$C$23)^(AA$39-1))</f>
        <v>89.1538649755985</v>
      </c>
      <c r="AB105" s="139" t="n">
        <f aca="false">AB104/($C$36*(1+$C$23)^(AB$39-1))</f>
        <v>90.3003361230423</v>
      </c>
      <c r="AC105" s="139" t="n">
        <f aca="false">AC104/($C$36*(1+$C$23)^(AC$39-1))</f>
        <v>91.4211400445278</v>
      </c>
      <c r="AD105" s="139" t="n">
        <f aca="false">AD104/($C$36*(1+$C$23)^(AD$39-1))</f>
        <v>92.5162218277976</v>
      </c>
      <c r="AE105" s="139" t="n">
        <f aca="false">AE104/($C$36*(1+$C$23)^(AE$39-1))</f>
        <v>93.5855281543628</v>
      </c>
      <c r="AF105" s="139" t="n">
        <f aca="false">AF104/($C$36*(1+$C$23)^(AF$39-1))</f>
        <v>94.629007179154</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0.378806681432986</v>
      </c>
      <c r="D107" s="116" t="n">
        <f aca="false">D87*(1-$C$340)*$C$175+D85*01_Supuestos!$I$126+D55*D88</f>
        <v>0.773237264985065</v>
      </c>
      <c r="E107" s="116" t="n">
        <f aca="false">E87*(1-$C$340)*$C$175+E85*01_Supuestos!$I$126+E55*E88</f>
        <v>1.17831212356324</v>
      </c>
      <c r="F107" s="116" t="n">
        <f aca="false">F87*(1-$C$340)*$C$175+F85*01_Supuestos!$I$126+F55*F88</f>
        <v>1.55971273699484</v>
      </c>
      <c r="G107" s="116" t="n">
        <f aca="false">G87*(1-$C$340)*$C$175+G85*01_Supuestos!$I$126+G55*G88</f>
        <v>1.99069631768461</v>
      </c>
      <c r="H107" s="116" t="n">
        <f aca="false">H87*(1-$C$340)*$C$175+H85*01_Supuestos!$I$126+H55*H88</f>
        <v>2.43167770597158</v>
      </c>
      <c r="I107" s="116" t="n">
        <f aca="false">I87*(1-$C$340)*$C$175+I85*01_Supuestos!$I$126+I55*I88</f>
        <v>2.88288713265223</v>
      </c>
      <c r="J107" s="116" t="n">
        <f aca="false">J87*(1-$C$340)*$C$175+J85*01_Supuestos!$I$126+J55*J88</f>
        <v>3.34456010977023</v>
      </c>
      <c r="K107" s="116" t="n">
        <f aca="false">K87*(1-$C$340)*$C$175+K85*01_Supuestos!$I$126+K55*K88</f>
        <v>3.81693755278826</v>
      </c>
      <c r="L107" s="116" t="n">
        <f aca="false">L87*(1-$C$340)*$C$175+L85*01_Supuestos!$I$126+L55*L88</f>
        <v>4.30026590553449</v>
      </c>
      <c r="M107" s="116" t="n">
        <f aca="false">M87*(1-$C$340)*$C$175+M85*01_Supuestos!$I$126+M55*M88</f>
        <v>4.82016752369453</v>
      </c>
      <c r="N107" s="116" t="n">
        <f aca="false">N87*(1-$C$340)*$C$175+N85*01_Supuestos!$I$126+N55*N88</f>
        <v>5.34487615762447</v>
      </c>
      <c r="O107" s="116" t="n">
        <f aca="false">O87*(1-$C$340)*$C$175+O85*01_Supuestos!$I$126+O55*O88</f>
        <v>5.86473088095271</v>
      </c>
      <c r="P107" s="116" t="n">
        <f aca="false">P87*(1-$C$340)*$C$175+P85*01_Supuestos!$I$126+P55*P88</f>
        <v>6.39704545935239</v>
      </c>
      <c r="Q107" s="116" t="n">
        <f aca="false">Q87*(1-$C$340)*$C$175+Q85*01_Supuestos!$I$126+Q55*Q88</f>
        <v>6.9415801054026</v>
      </c>
      <c r="R107" s="116" t="n">
        <f aca="false">R87*(1-$C$340)*$C$175+R85*01_Supuestos!$I$126+R55*R88</f>
        <v>7.15214846010336</v>
      </c>
      <c r="S107" s="116" t="n">
        <f aca="false">S87*(1-$C$340)*$C$175+S85*01_Supuestos!$I$126+S55*S88</f>
        <v>7.3170584890533</v>
      </c>
      <c r="T107" s="116" t="n">
        <f aca="false">T87*(1-$C$340)*$C$175+T85*01_Supuestos!$I$126+T55*T88</f>
        <v>7.48581059905634</v>
      </c>
      <c r="U107" s="116" t="n">
        <f aca="false">U87*(1-$C$340)*$C$175+U85*01_Supuestos!$I$126+U55*U88</f>
        <v>7.65849066981222</v>
      </c>
      <c r="V107" s="116" t="n">
        <f aca="false">V87*(1-$C$340)*$C$175+V85*01_Supuestos!$I$126+V55*V88</f>
        <v>7.83518829634564</v>
      </c>
      <c r="W107" s="116" t="n">
        <f aca="false">W87*(1-$C$340)*$C$175+W85*01_Supuestos!$I$126+W55*W88</f>
        <v>7.96095206669947</v>
      </c>
      <c r="X107" s="116" t="n">
        <f aca="false">X87*(1-$C$340)*$C$175+X85*01_Supuestos!$I$126+X55*X88</f>
        <v>8.07429451614943</v>
      </c>
      <c r="Y107" s="116" t="n">
        <f aca="false">Y87*(1-$C$340)*$C$175+Y85*01_Supuestos!$I$126+Y55*Y88</f>
        <v>8.18526204534825</v>
      </c>
      <c r="Z107" s="116" t="n">
        <f aca="false">Z87*(1-$C$340)*$C$175+Z85*01_Supuestos!$I$126+Z55*Z88</f>
        <v>8.29384929977722</v>
      </c>
      <c r="AA107" s="116" t="n">
        <f aca="false">AA87*(1-$C$340)*$C$175+AA85*01_Supuestos!$I$126+AA55*AA88</f>
        <v>8.40005111666057</v>
      </c>
      <c r="AB107" s="116" t="n">
        <f aca="false">AB87*(1-$C$340)*$C$175+AB85*01_Supuestos!$I$126+AB55*AB88</f>
        <v>8.50386185553228</v>
      </c>
      <c r="AC107" s="116" t="n">
        <f aca="false">AC87*(1-$C$340)*$C$175+AC85*01_Supuestos!$I$126+AC55*AC88</f>
        <v>8.60527604135067</v>
      </c>
      <c r="AD107" s="116" t="n">
        <f aca="false">AD87*(1-$C$340)*$C$175+AD85*01_Supuestos!$I$126+AD55*AD88</f>
        <v>8.70428835211121</v>
      </c>
      <c r="AE107" s="116" t="n">
        <f aca="false">AE87*(1-$C$340)*$C$175+AE85*01_Supuestos!$I$126+AE55*AE88</f>
        <v>8.80089360693341</v>
      </c>
      <c r="AF107" s="116" t="n">
        <f aca="false">AF87*(1-$C$340)*$C$175+AF85*01_Supuestos!$I$126+AF55*AF88</f>
        <v>8.89508675459296</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0.0140736227877068</v>
      </c>
      <c r="E108" s="116" t="n">
        <f aca="false">E330-E332</f>
        <v>0.0459510030629078</v>
      </c>
      <c r="F108" s="116" t="n">
        <f aca="false">F330-F332</f>
        <v>0.0825383784262954</v>
      </c>
      <c r="G108" s="116" t="n">
        <f aca="false">G330-G332</f>
        <v>0.0365270747809592</v>
      </c>
      <c r="H108" s="116" t="n">
        <f aca="false">H330-H332</f>
        <v>0.0926753693113361</v>
      </c>
      <c r="I108" s="116" t="n">
        <f aca="false">I330-I332</f>
        <v>0.150330523669892</v>
      </c>
      <c r="J108" s="116" t="n">
        <f aca="false">J330-J332</f>
        <v>0.209527906893846</v>
      </c>
      <c r="K108" s="116" t="n">
        <f aca="false">K330-K332</f>
        <v>0.270303665945214</v>
      </c>
      <c r="L108" s="116" t="n">
        <f aca="false">L330-L332</f>
        <v>0.332694745381231</v>
      </c>
      <c r="M108" s="116" t="n">
        <f aca="false">M330-M332</f>
        <v>0.39673890738829</v>
      </c>
      <c r="N108" s="116" t="n">
        <f aca="false">N330-N332</f>
        <v>0.526640768566724</v>
      </c>
      <c r="O108" s="116" t="n">
        <f aca="false">O330-O332</f>
        <v>0.641444890291345</v>
      </c>
      <c r="P108" s="116" t="n">
        <f aca="false">P330-P332</f>
        <v>0.716090145071024</v>
      </c>
      <c r="Q108" s="116" t="n">
        <f aca="false">Q330-Q332</f>
        <v>0.793724916518752</v>
      </c>
      <c r="R108" s="116" t="n">
        <f aca="false">R330-R332</f>
        <v>0.873086692479296</v>
      </c>
      <c r="S108" s="116" t="n">
        <f aca="false">S330-S332</f>
        <v>0.901723933789692</v>
      </c>
      <c r="T108" s="116" t="n">
        <f aca="false">T330-T332</f>
        <v>0.923502103095301</v>
      </c>
      <c r="U108" s="116" t="n">
        <f aca="false">U330-U332</f>
        <v>0.945905480612929</v>
      </c>
      <c r="V108" s="116" t="n">
        <f aca="false">V330-V332</f>
        <v>0.968942153108379</v>
      </c>
      <c r="W108" s="116" t="n">
        <f aca="false">W330-W332</f>
        <v>0.992624794353728</v>
      </c>
      <c r="X108" s="116" t="n">
        <f aca="false">X330-X332</f>
        <v>1.00868146860538</v>
      </c>
      <c r="Y108" s="116" t="n">
        <f aca="false">Y330-Y332</f>
        <v>1.02293373624852</v>
      </c>
      <c r="Z108" s="116" t="n">
        <f aca="false">Z330-Z332</f>
        <v>1.03688262339967</v>
      </c>
      <c r="AA108" s="116" t="n">
        <f aca="false">AA330-AA332</f>
        <v>1.0505290251555</v>
      </c>
      <c r="AB108" s="116" t="n">
        <f aca="false">AB330-AB332</f>
        <v>1.06387386068054</v>
      </c>
      <c r="AC108" s="116" t="n">
        <f aca="false">AC330-AC332</f>
        <v>1.07691641234595</v>
      </c>
      <c r="AD108" s="116" t="n">
        <f aca="false">AD330-AD332</f>
        <v>1.08965598325354</v>
      </c>
      <c r="AE108" s="116" t="n">
        <f aca="false">AE330-AE332</f>
        <v>1.10209189566438</v>
      </c>
      <c r="AF108" s="116" t="n">
        <f aca="false">AF330-AF332</f>
        <v>1.11422348948717</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1.25253051913761</v>
      </c>
      <c r="G109" s="116" t="n">
        <f aca="false">(G70+F121)*(0.3*$C$5+0.25*01_Supuestos!$I$134)/0.55-F227*$C$5</f>
        <v>1.41831411921912</v>
      </c>
      <c r="H109" s="116" t="n">
        <f aca="false">(H70+G121)*(0.3*$C$5+0.25*01_Supuestos!$I$134)/0.55-G227*$C$5</f>
        <v>1.58409771930063</v>
      </c>
      <c r="I109" s="116" t="n">
        <f aca="false">(I70+H121)*(0.3*$C$5+0.25*01_Supuestos!$I$134)/0.55-H227*$C$5</f>
        <v>1.74988131938214</v>
      </c>
      <c r="J109" s="116" t="n">
        <f aca="false">(J70+I121)*(0.3*$C$5+0.25*01_Supuestos!$I$134)/0.55-I227*$C$5</f>
        <v>1.91566491946365</v>
      </c>
      <c r="K109" s="116" t="n">
        <f aca="false">(K70+J121)*(0.3*$C$5+0.25*01_Supuestos!$I$134)/0.55-J227*$C$5</f>
        <v>2.08144851954516</v>
      </c>
      <c r="L109" s="116" t="n">
        <f aca="false">(L70+K121)*(0.3*$C$5+0.25*01_Supuestos!$I$134)/0.55-K227*$C$5</f>
        <v>2.24723211962667</v>
      </c>
      <c r="M109" s="116" t="n">
        <f aca="false">(M70+L121)*(0.3*$C$5+0.25*01_Supuestos!$I$134)/0.55-L227*$C$5</f>
        <v>2.3133093190839</v>
      </c>
      <c r="N109" s="116" t="n">
        <f aca="false">(N70+M121)*(0.3*$C$5+0.25*01_Supuestos!$I$134)/0.55-M227*$C$5</f>
        <v>2.37948094799877</v>
      </c>
      <c r="O109" s="116" t="n">
        <f aca="false">(O70+N121)*(0.3*$C$5+0.25*01_Supuestos!$I$134)/0.55-N227*$C$5</f>
        <v>2.45041984358184</v>
      </c>
      <c r="P109" s="116" t="n">
        <f aca="false">(P70+O121)*(0.3*$C$5+0.25*01_Supuestos!$I$134)/0.55-O227*$C$5</f>
        <v>2.52700650680917</v>
      </c>
      <c r="Q109" s="116" t="n">
        <f aca="false">(Q70+P121)*(0.3*$C$5+0.25*01_Supuestos!$I$134)/0.55-P227*$C$5</f>
        <v>2.60663345090093</v>
      </c>
      <c r="R109" s="116" t="n">
        <f aca="false">(R70+Q121)*(0.3*$C$5+0.25*01_Supuestos!$I$134)/0.55-Q227*$C$5</f>
        <v>2.68957288364309</v>
      </c>
      <c r="S109" s="116" t="n">
        <f aca="false">(S70+R121)*(0.3*$C$5+0.25*01_Supuestos!$I$134)/0.55-R227*$C$5</f>
        <v>2.76829641119216</v>
      </c>
      <c r="T109" s="116" t="n">
        <f aca="false">(T70+S121)*(0.3*$C$5+0.25*01_Supuestos!$I$134)/0.55-S227*$C$5</f>
        <v>2.84402110051217</v>
      </c>
      <c r="U109" s="116" t="n">
        <f aca="false">(U70+T121)*(0.3*$C$5+0.25*01_Supuestos!$I$134)/0.55-T227*$C$5</f>
        <v>2.91709813529702</v>
      </c>
      <c r="V109" s="116" t="n">
        <f aca="false">(V70+U121)*(0.3*$C$5+0.25*01_Supuestos!$I$134)/0.55-U227*$C$5</f>
        <v>2.98767106242027</v>
      </c>
      <c r="W109" s="116" t="n">
        <f aca="false">(W70+V121)*(0.3*$C$5+0.25*01_Supuestos!$I$134)/0.55-V227*$C$5</f>
        <v>3.05609923815264</v>
      </c>
      <c r="X109" s="116" t="n">
        <f aca="false">(X70+W121)*(0.3*$C$5+0.25*01_Supuestos!$I$134)/0.55-W227*$C$5</f>
        <v>3.12341935249339</v>
      </c>
      <c r="Y109" s="116" t="n">
        <f aca="false">(Y70+X121)*(0.3*$C$5+0.25*01_Supuestos!$I$134)/0.55-X227*$C$5</f>
        <v>3.19087777118717</v>
      </c>
      <c r="Z109" s="116" t="n">
        <f aca="false">(Z70+Y121)*(0.3*$C$5+0.25*01_Supuestos!$I$134)/0.55-Y227*$C$5</f>
        <v>3.25847937637765</v>
      </c>
      <c r="AA109" s="116" t="n">
        <f aca="false">(AA70+Z121)*(0.3*$C$5+0.25*01_Supuestos!$I$134)/0.55-Z227*$C$5</f>
        <v>3.32622922254815</v>
      </c>
      <c r="AB109" s="116" t="n">
        <f aca="false">(AB70+AA121)*(0.3*$C$5+0.25*01_Supuestos!$I$134)/0.55-AA227*$C$5</f>
        <v>3.39413254260526</v>
      </c>
      <c r="AC109" s="116" t="n">
        <f aca="false">(AC70+AB121)*(0.3*$C$5+0.25*01_Supuestos!$I$134)/0.55-AB227*$C$5</f>
        <v>3.46219475417719</v>
      </c>
      <c r="AD109" s="116" t="n">
        <f aca="false">(AD70+AC121)*(0.3*$C$5+0.25*01_Supuestos!$I$134)/0.55-AC227*$C$5</f>
        <v>3.53042146613442</v>
      </c>
      <c r="AE109" s="116" t="n">
        <f aca="false">(AE70+AD121)*(0.3*$C$5+0.25*01_Supuestos!$I$134)/0.55-AD227*$C$5</f>
        <v>3.59881848534053</v>
      </c>
      <c r="AF109" s="116" t="n">
        <f aca="false">(AF70+AE121)*(0.3*$C$5+0.25*01_Supuestos!$I$134)/0.55-AE227*$C$5</f>
        <v>3.66739182364142</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0.668055059017723</v>
      </c>
      <c r="E110" s="116" t="n">
        <f aca="false">D120*$C$10</f>
        <v>1.22853341700197</v>
      </c>
      <c r="F110" s="116" t="n">
        <f aca="false">E120*$C$10</f>
        <v>1.84085399517182</v>
      </c>
      <c r="G110" s="116" t="n">
        <f aca="false">F120*$C$10</f>
        <v>2.10044642792484</v>
      </c>
      <c r="H110" s="116" t="n">
        <f aca="false">G120*$C$10</f>
        <v>2.46152603238121</v>
      </c>
      <c r="I110" s="116" t="n">
        <f aca="false">H120*$C$10</f>
        <v>2.86545666313966</v>
      </c>
      <c r="J110" s="116" t="n">
        <f aca="false">I120*$C$10</f>
        <v>3.31536245884601</v>
      </c>
      <c r="K110" s="116" t="n">
        <f aca="false">J120*$C$10</f>
        <v>3.80175439855466</v>
      </c>
      <c r="L110" s="116" t="n">
        <f aca="false">K120*$C$10</f>
        <v>4.32560092499012</v>
      </c>
      <c r="M110" s="116" t="n">
        <f aca="false">L120*$C$10</f>
        <v>4.88795557675236</v>
      </c>
      <c r="N110" s="116" t="n">
        <f aca="false">M120*$C$10</f>
        <v>4.87241057853655</v>
      </c>
      <c r="O110" s="116" t="n">
        <f aca="false">N120*$C$10</f>
        <v>4.88883878177616</v>
      </c>
      <c r="P110" s="116" t="n">
        <f aca="false">O120*$C$10</f>
        <v>4.93887213277347</v>
      </c>
      <c r="Q110" s="116" t="n">
        <f aca="false">P120*$C$10</f>
        <v>4.97647954583704</v>
      </c>
      <c r="R110" s="116" t="n">
        <f aca="false">Q120*$C$10</f>
        <v>5.00819847590136</v>
      </c>
      <c r="S110" s="116" t="n">
        <f aca="false">R120*$C$10</f>
        <v>5.07375365175743</v>
      </c>
      <c r="T110" s="116" t="n">
        <f aca="false">S120*$C$10</f>
        <v>5.13096560786544</v>
      </c>
      <c r="U110" s="116" t="n">
        <f aca="false">T120*$C$10</f>
        <v>5.17883865498559</v>
      </c>
      <c r="V110" s="116" t="n">
        <f aca="false">U120*$C$10</f>
        <v>5.22684436164412</v>
      </c>
      <c r="W110" s="116" t="n">
        <f aca="false">V120*$C$10</f>
        <v>5.27626117078333</v>
      </c>
      <c r="X110" s="116" t="n">
        <f aca="false">W120*$C$10</f>
        <v>5.32955627957864</v>
      </c>
      <c r="Y110" s="116" t="n">
        <f aca="false">X120*$C$10</f>
        <v>5.37931071618027</v>
      </c>
      <c r="Z110" s="116" t="n">
        <f aca="false">Y120*$C$10</f>
        <v>5.42516038517099</v>
      </c>
      <c r="AA110" s="116" t="n">
        <f aca="false">Z120*$C$10</f>
        <v>5.46877293755678</v>
      </c>
      <c r="AB110" s="116" t="n">
        <f aca="false">AA120*$C$10</f>
        <v>5.51071452134717</v>
      </c>
      <c r="AC110" s="116" t="n">
        <f aca="false">AB120*$C$10</f>
        <v>5.55130696861817</v>
      </c>
      <c r="AD110" s="116" t="n">
        <f aca="false">AC120*$C$10</f>
        <v>5.5908722724863</v>
      </c>
      <c r="AE110" s="116" t="n">
        <f aca="false">AD120*$C$10</f>
        <v>5.62973364414007</v>
      </c>
      <c r="AF110" s="116" t="n">
        <f aca="false">AE120*$C$10</f>
        <v>5.66821663891901</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12.0384856508805</v>
      </c>
      <c r="G111" s="136" t="n">
        <f aca="false">G69*01_Supuestos!$I$107-G218</f>
        <v>11.9686104803045</v>
      </c>
      <c r="H111" s="136" t="n">
        <f aca="false">H69*01_Supuestos!$I$107-H218</f>
        <v>11.9220198581063</v>
      </c>
      <c r="I111" s="136" t="n">
        <f aca="false">I69*01_Supuestos!$I$107-I218</f>
        <v>11.8972211454721</v>
      </c>
      <c r="J111" s="136" t="n">
        <f aca="false">J69*01_Supuestos!$I$107-J218</f>
        <v>11.8928175157698</v>
      </c>
      <c r="K111" s="136" t="n">
        <f aca="false">K69*01_Supuestos!$I$107-K218</f>
        <v>11.9075017979621</v>
      </c>
      <c r="L111" s="136" t="n">
        <f aca="false">L69*01_Supuestos!$I$107-L218</f>
        <v>11.9400507159457</v>
      </c>
      <c r="M111" s="136" t="n">
        <f aca="false">M69*01_Supuestos!$I$107-M218</f>
        <v>12.0815481177673</v>
      </c>
      <c r="N111" s="136" t="n">
        <f aca="false">N69*01_Supuestos!$I$107-N218</f>
        <v>12.2891228407001</v>
      </c>
      <c r="O111" s="136" t="n">
        <f aca="false">O69*01_Supuestos!$I$107-O218</f>
        <v>12.550086887955</v>
      </c>
      <c r="P111" s="136" t="n">
        <f aca="false">P69*01_Supuestos!$I$107-P218</f>
        <v>13.0189356222772</v>
      </c>
      <c r="Q111" s="136" t="n">
        <f aca="false">Q69*01_Supuestos!$I$107-Q218</f>
        <v>13.47639191512</v>
      </c>
      <c r="R111" s="136" t="n">
        <f aca="false">R69*01_Supuestos!$I$107-R218</f>
        <v>13.9181912001576</v>
      </c>
      <c r="S111" s="136" t="n">
        <f aca="false">S69*01_Supuestos!$I$107-S218</f>
        <v>14.3450258769335</v>
      </c>
      <c r="T111" s="136" t="n">
        <f aca="false">T69*01_Supuestos!$I$107-T218</f>
        <v>14.7575434190715</v>
      </c>
      <c r="U111" s="136" t="n">
        <f aca="false">U69*01_Supuestos!$I$107-U218</f>
        <v>15.1563492852328</v>
      </c>
      <c r="V111" s="136" t="n">
        <f aca="false">V69*01_Supuestos!$I$107-V218</f>
        <v>15.5420096416593</v>
      </c>
      <c r="W111" s="136" t="n">
        <f aca="false">W69*01_Supuestos!$I$107-W218</f>
        <v>15.9150539084887</v>
      </c>
      <c r="X111" s="136" t="n">
        <f aca="false">X69*01_Supuestos!$I$107-X218</f>
        <v>16.2759771412383</v>
      </c>
      <c r="Y111" s="136" t="n">
        <f aca="false">Y69*01_Supuestos!$I$107-Y218</f>
        <v>16.6252422581189</v>
      </c>
      <c r="Z111" s="136" t="n">
        <f aca="false">Z69*01_Supuestos!$I$107-Z218</f>
        <v>16.9632821231507</v>
      </c>
      <c r="AA111" s="136" t="n">
        <f aca="false">AA69*01_Supuestos!$I$107-AA218</f>
        <v>17.2905014944087</v>
      </c>
      <c r="AB111" s="136" t="n">
        <f aca="false">AB69*01_Supuestos!$I$107-AB218</f>
        <v>17.6072788461221</v>
      </c>
      <c r="AC111" s="136" t="n">
        <f aca="false">AC69*01_Supuestos!$I$107-AC218</f>
        <v>17.913968072787</v>
      </c>
      <c r="AD111" s="136" t="n">
        <f aca="false">AD69*01_Supuestos!$I$107-AD218</f>
        <v>18.2109000829274</v>
      </c>
      <c r="AE111" s="136" t="n">
        <f aca="false">AE69*01_Supuestos!$I$107-AE218</f>
        <v>18.4983842896424</v>
      </c>
      <c r="AF111" s="136" t="n">
        <f aca="false">AF69*01_Supuestos!$I$107-AF218</f>
        <v>18.7767100046175</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0.118288787723829</v>
      </c>
      <c r="D112" s="116" t="n">
        <f aca="false">D81*$C$7</f>
        <v>0.194477540223313</v>
      </c>
      <c r="E112" s="116" t="n">
        <f aca="false">E81*$C$7</f>
        <v>0.262221671615268</v>
      </c>
      <c r="F112" s="116" t="n">
        <f aca="false">F81*$C$7</f>
        <v>0.545473119675601</v>
      </c>
      <c r="G112" s="116" t="n">
        <f aca="false">G81*$C$7</f>
        <v>0.57057817627323</v>
      </c>
      <c r="H112" s="116" t="n">
        <f aca="false">H81*$C$7</f>
        <v>0.59570821570086</v>
      </c>
      <c r="I112" s="116" t="n">
        <f aca="false">I81*$C$7</f>
        <v>0.620861988816989</v>
      </c>
      <c r="J112" s="116" t="n">
        <f aca="false">J81*$C$7</f>
        <v>0.646038308937193</v>
      </c>
      <c r="K112" s="116" t="n">
        <f aca="false">K81*$C$7</f>
        <v>0.671236048711268</v>
      </c>
      <c r="L112" s="116" t="n">
        <f aca="false">L81*$C$7</f>
        <v>0.696454137156521</v>
      </c>
      <c r="M112" s="116" t="n">
        <f aca="false">M81*$C$7</f>
        <v>0.718094092315397</v>
      </c>
      <c r="N112" s="116" t="n">
        <f aca="false">N81*$C$7</f>
        <v>0.737666919521982</v>
      </c>
      <c r="O112" s="116" t="n">
        <f aca="false">O81*$C$7</f>
        <v>0.75592239794082</v>
      </c>
      <c r="P112" s="116" t="n">
        <f aca="false">P81*$C$7</f>
        <v>0.76937651827871</v>
      </c>
      <c r="Q112" s="116" t="n">
        <f aca="false">Q81*$C$7</f>
        <v>0.783380474073533</v>
      </c>
      <c r="R112" s="116" t="n">
        <f aca="false">R81*$C$7</f>
        <v>0.797748878953198</v>
      </c>
      <c r="S112" s="116" t="n">
        <f aca="false">S81*$C$7</f>
        <v>0.811836513103703</v>
      </c>
      <c r="T112" s="116" t="n">
        <f aca="false">T81*$C$7</f>
        <v>0.8257381717915</v>
      </c>
      <c r="U112" s="116" t="n">
        <f aca="false">U81*$C$7</f>
        <v>0.839475395111515</v>
      </c>
      <c r="V112" s="116" t="n">
        <f aca="false">V81*$C$7</f>
        <v>0.853052163152491</v>
      </c>
      <c r="W112" s="116" t="n">
        <f aca="false">W81*$C$7</f>
        <v>0.866203875864857</v>
      </c>
      <c r="X112" s="116" t="n">
        <f aca="false">X81*$C$7</f>
        <v>0.879010369577605</v>
      </c>
      <c r="Y112" s="116" t="n">
        <f aca="false">Y81*$C$7</f>
        <v>0.891569233767438</v>
      </c>
      <c r="Z112" s="116" t="n">
        <f aca="false">Z81*$C$7</f>
        <v>0.903873018585107</v>
      </c>
      <c r="AA112" s="116" t="n">
        <f aca="false">AA81*$C$7</f>
        <v>0.91591429603339</v>
      </c>
      <c r="AB112" s="116" t="n">
        <f aca="false">AB81*$C$7</f>
        <v>0.927692465316583</v>
      </c>
      <c r="AC112" s="116" t="n">
        <f aca="false">AC81*$C$7</f>
        <v>0.939206944638594</v>
      </c>
      <c r="AD112" s="116" t="n">
        <f aca="false">AD81*$C$7</f>
        <v>0.950457169863234</v>
      </c>
      <c r="AE112" s="116" t="n">
        <f aca="false">AE81*$C$7</f>
        <v>0.961442593227751</v>
      </c>
      <c r="AF112" s="116" t="n">
        <f aca="false">AF81*$C$7</f>
        <v>0.972162682106442</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-2.33155256205148</v>
      </c>
      <c r="D113" s="136" t="n">
        <f aca="false">D107+D109+D110-D111-D112-D108-D97-D98-D102+D184-D190-D229-D265-D268-D274</f>
        <v>-2.79733512063782</v>
      </c>
      <c r="E113" s="136" t="n">
        <f aca="false">E107+E109+E110-E111-E112-E108-E97-E98-E102+E184-E190-E229-E265-E268-E274</f>
        <v>-3.05518281592214</v>
      </c>
      <c r="F113" s="136" t="n">
        <f aca="false">F107+F109+F110-F111-F112-F108-F97-F98-F102+F184-F190-F229-F265-F268-F274</f>
        <v>-7.21835575351006</v>
      </c>
      <c r="G113" s="136" t="n">
        <f aca="false">G107+G109+G110-G111-G112-G108-G97-G98-G102+G184-G190-G229-G265-G268-G274</f>
        <v>-6.05154528074688</v>
      </c>
      <c r="H113" s="136" t="n">
        <f aca="false">H107+H109+H110-H111-H112-H108-H97-H98-H102+H184-H190-H229-H265-H268-H274</f>
        <v>-5.09978533434923</v>
      </c>
      <c r="I113" s="136" t="n">
        <f aca="false">I107+I109+I110-I111-I112-I108-I97-I98-I102+I184-I190-I229-I265-I268-I274</f>
        <v>-4.11799040100415</v>
      </c>
      <c r="J113" s="136" t="n">
        <f aca="false">J107+J109+J110-J111-J112-J108-J97-J98-J102+J184-J190-J229-J265-J268-J274</f>
        <v>-3.10127486418476</v>
      </c>
      <c r="K113" s="136" t="n">
        <f aca="false">K107+K109+K110-K111-K112-K108-K97-K98-K102+K184-K190-K229-K265-K268-K274</f>
        <v>-2.05760449482201</v>
      </c>
      <c r="L113" s="136" t="n">
        <f aca="false">L107+L109+L110-L111-L112-L108-L97-L98-L102+L184-L190-L229-L265-L268-L274</f>
        <v>-0.984566587643092</v>
      </c>
      <c r="M113" s="136" t="n">
        <f aca="false">M107+M109+M110-M111-M112-M108-M97-M98-M102+M184-M190-M229-M265-M268-M274</f>
        <v>-0.0421315642886579</v>
      </c>
      <c r="N113" s="136" t="n">
        <f aca="false">N107+N109+N110-N111-N112-N108-N97-N98-N102+N184-N190-N229-N265-N268-N274</f>
        <v>0.197555932145338</v>
      </c>
      <c r="O113" s="136" t="n">
        <f aca="false">O107+O109+O110-O111-O112-O108-O97-O98-O102+O184-O190-O229-O265-O268-O274</f>
        <v>0.432217823654447</v>
      </c>
      <c r="P113" s="136" t="n">
        <f aca="false">P107+P109+P110-P111-P112-P108-P97-P98-P102+P184-P190-P229-P265-P268-P274</f>
        <v>0.556411807801341</v>
      </c>
      <c r="Q113" s="136" t="n">
        <f aca="false">Q107+Q109+Q110-Q111-Q112-Q108-Q97-Q98-Q102+Q184-Q190-Q229-Q265-Q268-Q274</f>
        <v>0.691965780304236</v>
      </c>
      <c r="R113" s="136" t="n">
        <f aca="false">R107+R109+R110-R111-R112-R108-R97-R98-R102+R184-R190-R229-R265-R268-R274</f>
        <v>0.508848763339655</v>
      </c>
      <c r="S113" s="136" t="n">
        <f aca="false">S107+S109+S110-S111-S112-S108-S97-S98-S102+S184-S190-S229-S265-S268-S274</f>
        <v>0.377055302562584</v>
      </c>
      <c r="T113" s="136" t="n">
        <f aca="false">T107+T109+T110-T111-T112-T108-T97-T98-T102+T184-T190-T229-T265-T268-T274</f>
        <v>0.259945953841593</v>
      </c>
      <c r="U113" s="136" t="n">
        <f aca="false">U107+U109+U110-U111-U112-U108-U97-U98-U102+U184-U190-U229-U265-U268-U274</f>
        <v>0.148729952283828</v>
      </c>
      <c r="V113" s="136" t="n">
        <f aca="false">V107+V109+V110-V111-V112-V108-V97-V98-V102+V184-V190-V229-V265-V268-V274</f>
        <v>0.0525313488822066</v>
      </c>
      <c r="W113" s="136" t="n">
        <f aca="false">W107+W109+W110-W111-W112-W108-W97-W98-W102+W184-W190-W229-W265-W268-W274</f>
        <v>-0.0816227678095345</v>
      </c>
      <c r="X113" s="136" t="n">
        <f aca="false">X107+X109+X110-X111-X112-X108-X97-X98-X102+X184-X190-X229-X265-X268-X274</f>
        <v>-0.204385624684736</v>
      </c>
      <c r="Y113" s="136" t="n">
        <f aca="false">Y107+Y109+Y110-Y111-Y112-Y108-Y97-Y98-Y102+Y184-Y190-Y229-Y265-Y268-Y274</f>
        <v>-0.318362519413299</v>
      </c>
      <c r="Z113" s="136" t="n">
        <f aca="false">Z107+Z109+Z110-Z111-Z112-Z108-Z97-Z98-Z102+Z184-Z190-Z229-Z265-Z268-Z274</f>
        <v>-0.425847254659497</v>
      </c>
      <c r="AA113" s="136" t="n">
        <f aca="false">AA107+AA109+AA110-AA111-AA112-AA108-AA97-AA98-AA102+AA184-AA190-AA229-AA265-AA268-AA274</f>
        <v>-0.52555518351177</v>
      </c>
      <c r="AB113" s="136" t="n">
        <f aca="false">AB107+AB109+AB110-AB111-AB112-AB108-AB97-AB98-AB102+AB184-AB190-AB229-AB265-AB268-AB274</f>
        <v>-0.617280035094955</v>
      </c>
      <c r="AC113" s="136" t="n">
        <f aca="false">AC107+AC109+AC110-AC111-AC112-AC108-AC97-AC98-AC102+AC184-AC190-AC229-AC265-AC268-AC274</f>
        <v>-0.701032946458512</v>
      </c>
      <c r="AD113" s="136" t="n">
        <f aca="false">AD107+AD109+AD110-AD111-AD112-AD108-AD97-AD98-AD102+AD184-AD190-AD229-AD265-AD268-AD274</f>
        <v>-0.776801148785794</v>
      </c>
      <c r="AE113" s="136" t="n">
        <f aca="false">AE107+AE109+AE110-AE111-AE112-AE108-AE97-AE98-AE102+AE184-AE190-AE229-AE265-AE268-AE274</f>
        <v>-0.844548396636462</v>
      </c>
      <c r="AF113" s="136" t="n">
        <f aca="false">AF107+AF109+AF110-AF111-AF112-AF108-AF97-AF98-AF102+AF184-AF190-AF229-AF265-AF268-AF274</f>
        <v>-0.904215226840385</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19.0872874005064</v>
      </c>
      <c r="D114" s="116" t="n">
        <f aca="false">C120+D53+D56-D57+(D58-D65)+D113-D92+D94-D95-D103+D60-D245</f>
        <v>35.1009547714848</v>
      </c>
      <c r="E114" s="116" t="n">
        <f aca="false">D120+E53+E56-E57+(E58-E65)+E113-E92+E94-E95-E103+E60-E245</f>
        <v>52.5958284334807</v>
      </c>
      <c r="F114" s="116" t="n">
        <f aca="false">E120+F53+F56-F57+(F58-F65)+F113-F92+F94-F95-F103+F60-F245</f>
        <v>60.012755083567</v>
      </c>
      <c r="G114" s="116" t="n">
        <f aca="false">F120+G53+G56-G57+(G58-G65)+G113-G92+G94-G95-G103+G60-G245</f>
        <v>70.3293152108917</v>
      </c>
      <c r="H114" s="116" t="n">
        <f aca="false">G120+H53+H56-H57+(H58-H65)+H113-H92+H94-H95-H103+H60-H245</f>
        <v>81.8701903754187</v>
      </c>
      <c r="I114" s="116" t="n">
        <f aca="false">H120+I53+I56-I57+(I58-I65)+I113-I92+I94-I95-I103+I60-I245</f>
        <v>94.7246416813146</v>
      </c>
      <c r="J114" s="116" t="n">
        <f aca="false">I120+J53+J56-J57+(J58-J65)+J113-J92+J94-J95-J103+J60-J245</f>
        <v>108.621554244419</v>
      </c>
      <c r="K114" s="116" t="n">
        <f aca="false">J120+K53+K56-K57+(K58-K65)+K113-K92+K94-K95-K103+K60-K245</f>
        <v>123.588597856861</v>
      </c>
      <c r="L114" s="116" t="n">
        <f aca="false">K120+L53+L56-L57+(L58-L65)+L113-L92+L94-L95-L103+L60-L245</f>
        <v>139.655873621496</v>
      </c>
      <c r="M114" s="116" t="n">
        <f aca="false">L120+M53+M56-M57+(M58-M65)+M113-M92+M94-M95-M103+M60-M245</f>
        <v>139.21173081533</v>
      </c>
      <c r="N114" s="116" t="n">
        <f aca="false">M120+N53+N56-N57+(N58-N65)+N113-N92+N94-N95-N103+N60-N245</f>
        <v>139.878663982893</v>
      </c>
      <c r="O114" s="116" t="n">
        <f aca="false">N120+O53+O56-O57+(O58-O65)+O113-O92+O94-O95-O103+O60-O245</f>
        <v>141.542850188611</v>
      </c>
      <c r="P114" s="116" t="n">
        <f aca="false">O120+P53+P56-P57+(P58-P65)+P113-P92+P94-P95-P103+P60-P245</f>
        <v>142.74154168886</v>
      </c>
      <c r="Q114" s="116" t="n">
        <f aca="false">P120+Q53+Q56-Q57+(Q58-Q65)+Q113-Q92+Q94-Q95-Q103+Q60-Q245</f>
        <v>143.783350806057</v>
      </c>
      <c r="R114" s="116" t="n">
        <f aca="false">Q120+R53+R56-R57+(R58-R65)+R113-R92+R94-R95-R103+R60-R245</f>
        <v>145.473238813552</v>
      </c>
      <c r="S114" s="116" t="n">
        <f aca="false">R120+S53+S56-S57+(S58-S65)+S113-S92+S94-S95-S103+S60-S245</f>
        <v>146.976072670147</v>
      </c>
      <c r="T114" s="116" t="n">
        <f aca="false">S120+T53+T56-T57+(T58-T65)+T113-T92+T94-T95-T103+T60-T245</f>
        <v>148.226764667716</v>
      </c>
      <c r="U114" s="116" t="n">
        <f aca="false">T120+U53+U56-U57+(U58-U65)+U113-U92+U94-U95-U103+U60-U245</f>
        <v>149.487140284973</v>
      </c>
      <c r="V114" s="116" t="n">
        <f aca="false">U120+V53+V56-V57+(V58-V65)+V113-V92+V94-V95-V103+V60-V245</f>
        <v>150.80285051412</v>
      </c>
      <c r="W114" s="116" t="n">
        <f aca="false">V120+W53+W56-W57+(W58-W65)+W113-W92+W94-W95-W103+W60-W245</f>
        <v>152.27303655939</v>
      </c>
      <c r="X114" s="116" t="n">
        <f aca="false">W120+X53+X56-X57+(X58-X65)+X113-X92+X94-X95-X103+X60-X245</f>
        <v>153.694591890865</v>
      </c>
      <c r="Y114" s="116" t="n">
        <f aca="false">X120+Y53+Y56-Y57+(Y58-Y65)+Y113-Y92+Y94-Y95-Y103+Y60-Y245</f>
        <v>155.004582433457</v>
      </c>
      <c r="Z114" s="116" t="n">
        <f aca="false">Y120+Z53+Z56-Z57+(Z58-Z65)+Z113-Z92+Z94-Z95-Z103+Z60-Z245</f>
        <v>156.250655358765</v>
      </c>
      <c r="AA114" s="116" t="n">
        <f aca="false">Z120+AA53+AA56-AA57+(AA58-AA65)+AA113-AA92+AA94-AA95-AA103+AA60-AA245</f>
        <v>157.448986324205</v>
      </c>
      <c r="AB114" s="116" t="n">
        <f aca="false">AA120+AB53+AB56-AB57+(AB58-AB65)+AB113-AB92+AB94-AB95-AB103+AB60-AB245</f>
        <v>158.608770531948</v>
      </c>
      <c r="AC114" s="116" t="n">
        <f aca="false">AB120+AC53+AC56-AC57+(AC58-AC65)+AC113-AC92+AC94-AC95-AC103+AC60-AC245</f>
        <v>159.739207785323</v>
      </c>
      <c r="AD114" s="116" t="n">
        <f aca="false">AC120+AD53+AD56-AD57+(AD58-AD65)+AD113-AD92+AD94-AD95-AD103+AD60-AD245</f>
        <v>160.849532689716</v>
      </c>
      <c r="AE114" s="116" t="n">
        <f aca="false">AD120+AE53+AE56-AE57+(AE58-AE65)+AE113-AE92+AE94-AE95-AE103+AE60-AE245</f>
        <v>161.949046826257</v>
      </c>
      <c r="AF114" s="116" t="n">
        <f aca="false">AE120+AF53+AF56-AF57+(AF58-AF65)+AF113-AF92+AF94-AF95-AF103+AF60-AF245</f>
        <v>163.047142766117</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v>
      </c>
      <c r="N115" s="116" t="n">
        <f aca="false">IF(N113&gt;0,MIN(N113,01_Supuestos!$I$106*N81),0)</f>
        <v>0.197555932145338</v>
      </c>
      <c r="O115" s="116" t="n">
        <f aca="false">IF(O113&gt;0,MIN(O113,01_Supuestos!$I$106*O81),0)</f>
        <v>0.432217823654447</v>
      </c>
      <c r="P115" s="116" t="n">
        <f aca="false">IF(P113&gt;0,MIN(P113,01_Supuestos!$I$106*P81),0)</f>
        <v>0.556411807801341</v>
      </c>
      <c r="Q115" s="116" t="n">
        <f aca="false">IF(Q113&gt;0,MIN(Q113,01_Supuestos!$I$106*Q81),0)</f>
        <v>0.691965780304236</v>
      </c>
      <c r="R115" s="116" t="n">
        <f aca="false">IF(R113&gt;0,MIN(R113,01_Supuestos!$I$106*R81),0)</f>
        <v>0.508848763339655</v>
      </c>
      <c r="S115" s="116" t="n">
        <f aca="false">IF(S113&gt;0,MIN(S113,01_Supuestos!$I$106*S81),0)</f>
        <v>0.377055302562584</v>
      </c>
      <c r="T115" s="116" t="n">
        <f aca="false">IF(T113&gt;0,MIN(T113,01_Supuestos!$I$106*T81),0)</f>
        <v>0.259945953841593</v>
      </c>
      <c r="U115" s="116" t="n">
        <f aca="false">IF(U113&gt;0,MIN(U113,01_Supuestos!$I$106*U81),0)</f>
        <v>0.148729952283828</v>
      </c>
      <c r="V115" s="116" t="n">
        <f aca="false">IF(V113&gt;0,MIN(V113,01_Supuestos!$I$106*V81),0)</f>
        <v>0.0525313488822066</v>
      </c>
      <c r="W115" s="116" t="n">
        <f aca="false">IF(W113&gt;0,MIN(W113,01_Supuestos!$I$106*W81),0)</f>
        <v>0</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19.0872874005064</v>
      </c>
      <c r="D120" s="136" t="n">
        <f aca="false">D114-D115+D118+D119</f>
        <v>35.1009547714848</v>
      </c>
      <c r="E120" s="136" t="n">
        <f aca="false">E114-E115+E118+E119</f>
        <v>52.5958284334807</v>
      </c>
      <c r="F120" s="136" t="n">
        <f aca="false">F114-F115+F118+F119</f>
        <v>60.012755083567</v>
      </c>
      <c r="G120" s="136" t="n">
        <f aca="false">G114-G115+G118+G119</f>
        <v>70.3293152108917</v>
      </c>
      <c r="H120" s="136" t="n">
        <f aca="false">H114-H115+H118+H119</f>
        <v>81.8701903754187</v>
      </c>
      <c r="I120" s="136" t="n">
        <f aca="false">I114-I115+I118+I119</f>
        <v>94.7246416813146</v>
      </c>
      <c r="J120" s="136" t="n">
        <f aca="false">J114-J115+J118+J119</f>
        <v>108.621554244419</v>
      </c>
      <c r="K120" s="136" t="n">
        <f aca="false">K114-K115+K118+K119</f>
        <v>123.588597856861</v>
      </c>
      <c r="L120" s="136" t="n">
        <f aca="false">L114-L115+L118+L119</f>
        <v>139.655873621496</v>
      </c>
      <c r="M120" s="136" t="n">
        <f aca="false">M114-M115+M118+M119</f>
        <v>139.21173081533</v>
      </c>
      <c r="N120" s="136" t="n">
        <f aca="false">N114-N115+N118+N119</f>
        <v>139.681108050747</v>
      </c>
      <c r="O120" s="136" t="n">
        <f aca="false">O114-O115+O118+O119</f>
        <v>141.110632364956</v>
      </c>
      <c r="P120" s="136" t="n">
        <f aca="false">P114-P115+P118+P119</f>
        <v>142.185129881058</v>
      </c>
      <c r="Q120" s="136" t="n">
        <f aca="false">Q114-Q115+Q118+Q119</f>
        <v>143.091385025753</v>
      </c>
      <c r="R120" s="136" t="n">
        <f aca="false">R114-R115+R118+R119</f>
        <v>144.964390050212</v>
      </c>
      <c r="S120" s="136" t="n">
        <f aca="false">S114-S115+S118+S119</f>
        <v>146.599017367584</v>
      </c>
      <c r="T120" s="136" t="n">
        <f aca="false">T114-T115+T118+T119</f>
        <v>147.966818713874</v>
      </c>
      <c r="U120" s="136" t="n">
        <f aca="false">U114-U115+U118+U119</f>
        <v>149.338410332689</v>
      </c>
      <c r="V120" s="136" t="n">
        <f aca="false">V114-V115+V118+V119</f>
        <v>150.750319165238</v>
      </c>
      <c r="W120" s="136" t="n">
        <f aca="false">W114-W115+W118+W119</f>
        <v>152.27303655939</v>
      </c>
      <c r="X120" s="136" t="n">
        <f aca="false">X114-X115+X118+X119</f>
        <v>153.694591890865</v>
      </c>
      <c r="Y120" s="136" t="n">
        <f aca="false">Y114-Y115+Y118+Y119</f>
        <v>155.004582433457</v>
      </c>
      <c r="Z120" s="136" t="n">
        <f aca="false">Z114-Z115+Z118+Z119</f>
        <v>156.250655358765</v>
      </c>
      <c r="AA120" s="136" t="n">
        <f aca="false">AA114-AA115+AA118+AA119</f>
        <v>157.448986324205</v>
      </c>
      <c r="AB120" s="136" t="n">
        <f aca="false">AB114-AB115+AB118+AB119</f>
        <v>158.608770531948</v>
      </c>
      <c r="AC120" s="136" t="n">
        <f aca="false">AC114-AC115+AC118+AC119</f>
        <v>159.739207785323</v>
      </c>
      <c r="AD120" s="136" t="n">
        <f aca="false">AD114-AD115+AD118+AD119</f>
        <v>160.849532689716</v>
      </c>
      <c r="AE120" s="136" t="n">
        <f aca="false">AE114-AE115+AE118+AE119</f>
        <v>161.949046826257</v>
      </c>
      <c r="AF120" s="136" t="n">
        <f aca="false">AF114-AF115+AF118+AF119</f>
        <v>163.047142766117</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v>
      </c>
      <c r="M121" s="116" t="n">
        <f aca="false">L121+M115</f>
        <v>0</v>
      </c>
      <c r="N121" s="116" t="n">
        <f aca="false">M121+N115</f>
        <v>0.197555932145338</v>
      </c>
      <c r="O121" s="116" t="n">
        <f aca="false">N121+O115</f>
        <v>0.629773755799785</v>
      </c>
      <c r="P121" s="116" t="n">
        <f aca="false">O121+P115</f>
        <v>1.18618556360113</v>
      </c>
      <c r="Q121" s="116" t="n">
        <f aca="false">P121+Q115</f>
        <v>1.87815134390536</v>
      </c>
      <c r="R121" s="116" t="n">
        <f aca="false">Q121+R115</f>
        <v>2.38700010724502</v>
      </c>
      <c r="S121" s="116" t="n">
        <f aca="false">R121+S115</f>
        <v>2.7640554098076</v>
      </c>
      <c r="T121" s="116" t="n">
        <f aca="false">S121+T115</f>
        <v>3.02400136364919</v>
      </c>
      <c r="U121" s="116" t="n">
        <f aca="false">T121+U115</f>
        <v>3.17273131593302</v>
      </c>
      <c r="V121" s="116" t="n">
        <f aca="false">U121+V115</f>
        <v>3.22526266481523</v>
      </c>
      <c r="W121" s="116" t="n">
        <f aca="false">V121+W115</f>
        <v>3.22526266481523</v>
      </c>
      <c r="X121" s="116" t="n">
        <f aca="false">W121+X115</f>
        <v>3.22526266481523</v>
      </c>
      <c r="Y121" s="116" t="n">
        <f aca="false">X121+Y115</f>
        <v>3.22526266481523</v>
      </c>
      <c r="Z121" s="116" t="n">
        <f aca="false">Y121+Z115</f>
        <v>3.22526266481523</v>
      </c>
      <c r="AA121" s="116" t="n">
        <f aca="false">Z121+AA115</f>
        <v>3.22526266481523</v>
      </c>
      <c r="AB121" s="116" t="n">
        <f aca="false">AA121+AB115</f>
        <v>3.22526266481523</v>
      </c>
      <c r="AC121" s="116" t="n">
        <f aca="false">AB121+AC115</f>
        <v>3.22526266481523</v>
      </c>
      <c r="AD121" s="116" t="n">
        <f aca="false">AC121+AD115</f>
        <v>3.22526266481523</v>
      </c>
      <c r="AE121" s="116" t="n">
        <f aca="false">AD121+AE115</f>
        <v>3.22526266481523</v>
      </c>
      <c r="AF121" s="116" t="n">
        <f aca="false">AE121+AF115</f>
        <v>3.22526266481523</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0.308714112133284</v>
      </c>
      <c r="D122" s="87" t="n">
        <f aca="false">D276/(D81+D115)</f>
        <v>0.343752909018133</v>
      </c>
      <c r="E122" s="87" t="n">
        <f aca="false">E276/(E81+E115)</f>
        <v>0.381659100748013</v>
      </c>
      <c r="F122" s="87" t="n">
        <f aca="false">F276/(F81+F115)</f>
        <v>0.220039275699808</v>
      </c>
      <c r="G122" s="87" t="n">
        <f aca="false">G276/(G81+G115)</f>
        <v>0.246519471425467</v>
      </c>
      <c r="H122" s="87" t="n">
        <f aca="false">H276/(H81+H115)</f>
        <v>0.27486674924937</v>
      </c>
      <c r="I122" s="87" t="n">
        <f aca="false">I276/(I81+I115)</f>
        <v>0.305139123951866</v>
      </c>
      <c r="J122" s="87" t="n">
        <f aca="false">J276/(J81+J115)</f>
        <v>0.336269700238408</v>
      </c>
      <c r="K122" s="87" t="n">
        <f aca="false">K276/(K81+K115)</f>
        <v>0.368241837112721</v>
      </c>
      <c r="L122" s="87" t="n">
        <f aca="false">L276/(L81+L115)</f>
        <v>0.401048299294142</v>
      </c>
      <c r="M122" s="87" t="n">
        <f aca="false">M276/(M81+M115)</f>
        <v>0.387725598372382</v>
      </c>
      <c r="N122" s="87" t="n">
        <f aca="false">N276/(N81+N115)</f>
        <v>0.378507773359889</v>
      </c>
      <c r="O122" s="87" t="n">
        <f aca="false">O276/(O81+O115)</f>
        <v>0.372920421186275</v>
      </c>
      <c r="P122" s="87" t="n">
        <f aca="false">P276/(P81+P115)</f>
        <v>0.369077473626006</v>
      </c>
      <c r="Q122" s="87" t="n">
        <f aca="false">Q276/(Q81+Q115)</f>
        <v>0.364673484165291</v>
      </c>
      <c r="R122" s="87" t="n">
        <f aca="false">R276/(R81+R115)</f>
        <v>0.362970595712862</v>
      </c>
      <c r="S122" s="87" t="n">
        <f aca="false">S276/(S81+S115)</f>
        <v>0.360818875065224</v>
      </c>
      <c r="T122" s="87" t="n">
        <f aca="false">T276/(T81+T115)</f>
        <v>0.35816126998246</v>
      </c>
      <c r="U122" s="87" t="n">
        <f aca="false">U276/(U81+U115)</f>
        <v>0.355663818949778</v>
      </c>
      <c r="V122" s="87" t="n">
        <f aca="false">V276/(V81+V115)</f>
        <v>0.353393992566846</v>
      </c>
      <c r="W122" s="87" t="n">
        <f aca="false">W276/(W81+W115)</f>
        <v>0.351587058895005</v>
      </c>
      <c r="X122" s="87" t="n">
        <f aca="false">X276/(X81+X115)</f>
        <v>0.349699155346075</v>
      </c>
      <c r="Y122" s="87" t="n">
        <f aca="false">Y276/(Y81+Y115)</f>
        <v>0.347711824416519</v>
      </c>
      <c r="Z122" s="87" t="n">
        <f aca="false">Z276/(Z81+Z115)</f>
        <v>0.345735854807027</v>
      </c>
      <c r="AA122" s="87" t="n">
        <f aca="false">AA276/(AA81+AA115)</f>
        <v>0.343807247045012</v>
      </c>
      <c r="AB122" s="87" t="n">
        <f aca="false">AB276/(AB81+AB115)</f>
        <v>0.341942564937878</v>
      </c>
      <c r="AC122" s="87" t="n">
        <f aca="false">AC276/(AC81+AC115)</f>
        <v>0.340157637669066</v>
      </c>
      <c r="AD122" s="87" t="n">
        <f aca="false">AD276/(AD81+AD115)</f>
        <v>0.338467713832622</v>
      </c>
      <c r="AE122" s="87" t="n">
        <f aca="false">AE276/(AE81+AE115)</f>
        <v>0.336887606118141</v>
      </c>
      <c r="AF122" s="87" t="n">
        <f aca="false">AF276/(AF81+AF115)</f>
        <v>0.335431807386049</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2.33155256205148</v>
      </c>
      <c r="D127" s="116" t="n">
        <f aca="false">MAX(0,-D113)</f>
        <v>2.79733512063782</v>
      </c>
      <c r="E127" s="116" t="n">
        <f aca="false">MAX(0,-E113)</f>
        <v>3.05518281592214</v>
      </c>
      <c r="F127" s="116" t="n">
        <f aca="false">MAX(0,-F113)</f>
        <v>7.21835575351006</v>
      </c>
      <c r="G127" s="116" t="n">
        <f aca="false">MAX(0,-G113)</f>
        <v>6.05154528074688</v>
      </c>
      <c r="H127" s="116" t="n">
        <f aca="false">MAX(0,-H113)</f>
        <v>5.09978533434923</v>
      </c>
      <c r="I127" s="116" t="n">
        <f aca="false">MAX(0,-I113)</f>
        <v>4.11799040100415</v>
      </c>
      <c r="J127" s="116" t="n">
        <f aca="false">MAX(0,-J113)</f>
        <v>3.10127486418476</v>
      </c>
      <c r="K127" s="116" t="n">
        <f aca="false">MAX(0,-K113)</f>
        <v>2.05760449482201</v>
      </c>
      <c r="L127" s="116" t="n">
        <f aca="false">MAX(0,-L113)</f>
        <v>0.984566587643092</v>
      </c>
      <c r="M127" s="116" t="n">
        <f aca="false">MAX(0,-M113)</f>
        <v>0.0421315642886579</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0.0816227678095345</v>
      </c>
      <c r="X127" s="116" t="n">
        <f aca="false">MAX(0,-X113)</f>
        <v>0.204385624684736</v>
      </c>
      <c r="Y127" s="116" t="n">
        <f aca="false">MAX(0,-Y113)</f>
        <v>0.318362519413299</v>
      </c>
      <c r="Z127" s="116" t="n">
        <f aca="false">MAX(0,-Z113)</f>
        <v>0.425847254659497</v>
      </c>
      <c r="AA127" s="116" t="n">
        <f aca="false">MAX(0,-AA113)</f>
        <v>0.52555518351177</v>
      </c>
      <c r="AB127" s="116" t="n">
        <f aca="false">MAX(0,-AB113)</f>
        <v>0.617280035094955</v>
      </c>
      <c r="AC127" s="116" t="n">
        <f aca="false">MAX(0,-AC113)</f>
        <v>0.701032946458512</v>
      </c>
      <c r="AD127" s="116" t="n">
        <f aca="false">MAX(0,-AD113)</f>
        <v>0.776801148785794</v>
      </c>
      <c r="AE127" s="116" t="n">
        <f aca="false">MAX(0,-AE113)</f>
        <v>0.844548396636462</v>
      </c>
      <c r="AF127" s="116" t="n">
        <f aca="false">MAX(0,-AF113)</f>
        <v>0.904215226840385</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3.94003930444006</v>
      </c>
      <c r="D128" s="116" t="n">
        <f aca="false">IF(AVERAGE(E127:I127)&gt;0,D120/AVERAGE(E127:I127),99)</f>
        <v>6.87099160803555</v>
      </c>
      <c r="E128" s="116" t="n">
        <f aca="false">IF(AVERAGE(F127:J127)&gt;0,E120/AVERAGE(F127:J127),99)</f>
        <v>10.2770580808043</v>
      </c>
      <c r="F128" s="116" t="n">
        <f aca="false">IF(AVERAGE(G127:K127)&gt;0,F120/AVERAGE(G127:K127),99)</f>
        <v>14.6887033565365</v>
      </c>
      <c r="G128" s="116" t="n">
        <f aca="false">IF(AVERAGE(H127:L127)&gt;0,G120/AVERAGE(H127:L127),99)</f>
        <v>22.8918365566222</v>
      </c>
      <c r="H128" s="116" t="n">
        <f aca="false">IF(AVERAGE(I127:M127)&gt;0,H120/AVERAGE(I127:M127),99)</f>
        <v>39.7290487504453</v>
      </c>
      <c r="I128" s="116" t="n">
        <f aca="false">IF(AVERAGE(J127:N127)&gt;0,I120/AVERAGE(J127:N127),99)</f>
        <v>76.5689553754717</v>
      </c>
      <c r="J128" s="116" t="n">
        <f aca="false">IF(AVERAGE(K127:O127)&gt;0,J120/AVERAGE(K127:O127),99)</f>
        <v>176.087703907306</v>
      </c>
      <c r="K128" s="116" t="n">
        <f aca="false">IF(AVERAGE(L127:P127)&gt;0,K120/AVERAGE(L127:P127),99)</f>
        <v>601.874064077775</v>
      </c>
      <c r="L128" s="116" t="n">
        <f aca="false">IF(AVERAGE(M127:Q127)&gt;0,L120/AVERAGE(M127:Q127),99)</f>
        <v>16573.7821487787</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8880.14422571926</v>
      </c>
      <c r="S128" s="116" t="n">
        <f aca="false">IF(AVERAGE(T127:X127)&gt;0,S120/AVERAGE(T127:X127),99)</f>
        <v>2562.84467894628</v>
      </c>
      <c r="T128" s="116" t="n">
        <f aca="false">IF(AVERAGE(U127:Y127)&gt;0,T120/AVERAGE(U127:Y127),99)</f>
        <v>1224.13914864671</v>
      </c>
      <c r="U128" s="116" t="n">
        <f aca="false">IF(AVERAGE(V127:Z127)&gt;0,U120/AVERAGE(V127:Z127),99)</f>
        <v>724.790220067272</v>
      </c>
      <c r="V128" s="116" t="n">
        <f aca="false">IF(AVERAGE(W127:AA127)&gt;0,V120/AVERAGE(W127:AA127),99)</f>
        <v>484.486763954399</v>
      </c>
      <c r="W128" s="116" t="n">
        <f aca="false">IF(AVERAGE(X127:AB127)&gt;0,W120/AVERAGE(X127:AB127),99)</f>
        <v>364.040373357671</v>
      </c>
      <c r="X128" s="116" t="n">
        <f aca="false">IF(AVERAGE(Y127:AC127)&gt;0,X120/AVERAGE(Y127:AC127),99)</f>
        <v>296.928059172077</v>
      </c>
      <c r="Y128" s="116" t="n">
        <f aca="false">IF(AVERAGE(Z127:AD127)&gt;0,Y120/AVERAGE(Z127:AD127),99)</f>
        <v>254.396421203841</v>
      </c>
      <c r="Z128" s="116" t="n">
        <f aca="false">IF(AVERAGE(AA127:AE127)&gt;0,Z120/AVERAGE(AA127:AE127),99)</f>
        <v>225.455755472264</v>
      </c>
      <c r="AA128" s="116" t="n">
        <f aca="false">IF(AVERAGE(AB127:AF127)&gt;0,AA120/AVERAGE(AB127:AF127),99)</f>
        <v>204.804882475637</v>
      </c>
      <c r="AB128" s="116" t="n">
        <f aca="false">IF(AVERAGE(AC127:AF127)&gt;0,AB120/AVERAGE(AC127:AF127),99)</f>
        <v>196.626644358766</v>
      </c>
      <c r="AC128" s="116" t="n">
        <f aca="false">IF(AVERAGE(AD127:AF127)&gt;0,AC120/AVERAGE(AD127:AF127),99)</f>
        <v>189.746716702356</v>
      </c>
      <c r="AD128" s="116" t="n">
        <f aca="false">IF(AVERAGE(AE127:AF127)&gt;0,AD120/AVERAGE(AE127:AF127),99)</f>
        <v>183.958003849507</v>
      </c>
      <c r="AE128" s="116" t="n">
        <f aca="false">IF(AVERAGE(AF127:AF127)&gt;0,AE120/AVERAGE(AF127:AF127),99)</f>
        <v>179.104533985961</v>
      </c>
      <c r="AF128" s="116" t="n">
        <f aca="false">IF(AF127&gt;0,AF120/AF127,99)</f>
        <v>180.31895275183</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0.03</v>
      </c>
      <c r="D129" s="87" t="n">
        <f aca="false">D83/D41</f>
        <v>0.0593255131964809</v>
      </c>
      <c r="E129" s="87" t="n">
        <f aca="false">E83/E41</f>
        <v>0.0879917040043802</v>
      </c>
      <c r="F129" s="87" t="n">
        <f aca="false">F83/F41</f>
        <v>0.11601339589871</v>
      </c>
      <c r="G129" s="87" t="n">
        <f aca="false">G83/G41</f>
        <v>0.143405079079873</v>
      </c>
      <c r="H129" s="87" t="n">
        <f aca="false">H83/H41</f>
        <v>0.17018091796664</v>
      </c>
      <c r="I129" s="87" t="n">
        <f aca="false">I83/I41</f>
        <v>0.196354758520665</v>
      </c>
      <c r="J129" s="87" t="n">
        <f aca="false">J83/J41</f>
        <v>0.22194013540632</v>
      </c>
      <c r="K129" s="87" t="n">
        <f aca="false">K83/K41</f>
        <v>0.24695027898956</v>
      </c>
      <c r="L129" s="87" t="n">
        <f aca="false">L83/L41</f>
        <v>0.271398122179433</v>
      </c>
      <c r="M129" s="87" t="n">
        <f aca="false">M83/M41</f>
        <v>0.29529630711577</v>
      </c>
      <c r="N129" s="87" t="n">
        <f aca="false">N83/N41</f>
        <v>0.31865719170652</v>
      </c>
      <c r="O129" s="87" t="n">
        <f aca="false">O83/O41</f>
        <v>0.341492856018104</v>
      </c>
      <c r="P129" s="87" t="n">
        <f aca="false">P83/P41</f>
        <v>0.363815108522096</v>
      </c>
      <c r="Q129" s="87" t="n">
        <f aca="false">Q83/Q41</f>
        <v>0.385635492201462</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0.385711223884316</v>
      </c>
      <c r="X129" s="87" t="n">
        <f aca="false">X83/X41</f>
        <v>0.382409482299062</v>
      </c>
      <c r="Y129" s="87" t="n">
        <f aca="false">Y83/Y41</f>
        <v>0.37895133425977</v>
      </c>
      <c r="Z129" s="87" t="n">
        <f aca="false">Z83/Z41</f>
        <v>0.375347680633334</v>
      </c>
      <c r="AA129" s="87" t="n">
        <f aca="false">AA83/AA41</f>
        <v>0.371608976342939</v>
      </c>
      <c r="AB129" s="87" t="n">
        <f aca="false">AB83/AB41</f>
        <v>0.367745244593675</v>
      </c>
      <c r="AC129" s="87" t="n">
        <f aca="false">AC83/AC41</f>
        <v>0.363766090768775</v>
      </c>
      <c r="AD129" s="87" t="n">
        <f aca="false">AD83/AD41</f>
        <v>0.359680715996666</v>
      </c>
      <c r="AE129" s="87" t="n">
        <f aca="false">AE83/AE41</f>
        <v>0.355497930389671</v>
      </c>
      <c r="AF129" s="87" t="n">
        <f aca="false">AF83/AF41</f>
        <v>0.351226165955926</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0.674436573088052</v>
      </c>
      <c r="G136" s="116" t="n">
        <f aca="false">01_Supuestos!$C$152*MAX(0,G111-01_Supuestos!$C$153-01_Supuestos!$C$154-G59-0.05*SUM($C$51:G51))</f>
        <v>0.654037064030453</v>
      </c>
      <c r="H136" s="116" t="n">
        <f aca="false">01_Supuestos!$C$152*MAX(0,H111-01_Supuestos!$C$153-01_Supuestos!$C$154-H59-0.05*SUM($C$51:H51))</f>
        <v>0.635966009810634</v>
      </c>
      <c r="I136" s="116" t="n">
        <f aca="false">01_Supuestos!$C$152*MAX(0,I111-01_Supuestos!$C$153-01_Supuestos!$C$154-I59-0.05*SUM($C$51:I51))</f>
        <v>0.620074146547213</v>
      </c>
      <c r="J136" s="116" t="n">
        <f aca="false">01_Supuestos!$C$152*MAX(0,J111-01_Supuestos!$C$153-01_Supuestos!$C$154-J59-0.05*SUM($C$51:J51))</f>
        <v>0.606221791576975</v>
      </c>
      <c r="K136" s="116" t="n">
        <f aca="false">01_Supuestos!$C$152*MAX(0,K111-01_Supuestos!$C$153-01_Supuestos!$C$154-K59-0.05*SUM($C$51:K51))</f>
        <v>0.59427822779621</v>
      </c>
      <c r="L136" s="116" t="n">
        <f aca="false">01_Supuestos!$C$152*MAX(0,L111-01_Supuestos!$C$153-01_Supuestos!$C$154-L59-0.05*SUM($C$51:L51))</f>
        <v>0.584121127594575</v>
      </c>
      <c r="M136" s="116" t="n">
        <f aca="false">01_Supuestos!$C$152*MAX(0,M111-01_Supuestos!$C$153-01_Supuestos!$C$154-M59-0.05*SUM($C$51:M51))</f>
        <v>0.584858875776728</v>
      </c>
      <c r="N136" s="116" t="n">
        <f aca="false">01_Supuestos!$C$152*MAX(0,N111-01_Supuestos!$C$153-01_Supuestos!$C$154-N59-0.05*SUM($C$51:N51))</f>
        <v>0.592204356070011</v>
      </c>
      <c r="O136" s="116" t="n">
        <f aca="false">01_Supuestos!$C$152*MAX(0,O111-01_Supuestos!$C$153-01_Supuestos!$C$154-O59-0.05*SUM($C$51:O51))</f>
        <v>0.604888768795499</v>
      </c>
      <c r="P136" s="116" t="n">
        <f aca="false">01_Supuestos!$C$152*MAX(0,P111-01_Supuestos!$C$153-01_Supuestos!$C$154-P59-0.05*SUM($C$51:P51))</f>
        <v>0.63836165022772</v>
      </c>
      <c r="Q136" s="116" t="n">
        <f aca="false">01_Supuestos!$C$152*MAX(0,Q111-01_Supuestos!$C$153-01_Supuestos!$C$154-Q59-0.05*SUM($C$51:Q51))</f>
        <v>0.670695287511998</v>
      </c>
      <c r="R136" s="116" t="n">
        <f aca="false">01_Supuestos!$C$152*MAX(0,R111-01_Supuestos!$C$153-01_Supuestos!$C$154-R59-0.05*SUM($C$51:R51))</f>
        <v>0.701463224015755</v>
      </c>
      <c r="S136" s="116" t="n">
        <f aca="false">01_Supuestos!$C$152*MAX(0,S111-01_Supuestos!$C$153-01_Supuestos!$C$154-S59-0.05*SUM($C$51:S51))</f>
        <v>0.73073469969335</v>
      </c>
      <c r="T136" s="116" t="n">
        <f aca="false">01_Supuestos!$C$152*MAX(0,T111-01_Supuestos!$C$153-01_Supuestos!$C$154-T59-0.05*SUM($C$51:T51))</f>
        <v>0.758574461907152</v>
      </c>
      <c r="U136" s="116" t="n">
        <f aca="false">01_Supuestos!$C$152*MAX(0,U111-01_Supuestos!$C$153-01_Supuestos!$C$154-U59-0.05*SUM($C$51:U51))</f>
        <v>0.785043056523277</v>
      </c>
      <c r="V136" s="116" t="n">
        <f aca="false">01_Supuestos!$C$152*MAX(0,V111-01_Supuestos!$C$153-01_Supuestos!$C$154-V59-0.05*SUM($C$51:V51))</f>
        <v>0.810197100165926</v>
      </c>
      <c r="W136" s="116" t="n">
        <f aca="false">01_Supuestos!$C$152*MAX(0,W111-01_Supuestos!$C$153-01_Supuestos!$C$154-W59-0.05*SUM($C$51:W51))</f>
        <v>0.834089534848869</v>
      </c>
      <c r="X136" s="116" t="n">
        <f aca="false">01_Supuestos!$C$152*MAX(0,X111-01_Supuestos!$C$153-01_Supuestos!$C$154-X59-0.05*SUM($C$51:X51))</f>
        <v>0.856769866123831</v>
      </c>
      <c r="Y136" s="116" t="n">
        <f aca="false">01_Supuestos!$C$152*MAX(0,Y111-01_Supuestos!$C$153-01_Supuestos!$C$154-Y59-0.05*SUM($C$51:Y51))</f>
        <v>0.878284385811889</v>
      </c>
      <c r="Z136" s="116" t="n">
        <f aca="false">01_Supuestos!$C$152*MAX(0,Z111-01_Supuestos!$C$153-01_Supuestos!$C$154-Z59-0.05*SUM($C$51:Z51))</f>
        <v>0.898676380315068</v>
      </c>
      <c r="AA136" s="116" t="n">
        <f aca="false">01_Supuestos!$C$152*MAX(0,AA111-01_Supuestos!$C$153-01_Supuestos!$C$154-AA59-0.05*SUM($C$51:AA51))</f>
        <v>0.917986325440875</v>
      </c>
      <c r="AB136" s="116" t="n">
        <f aca="false">01_Supuestos!$C$152*MAX(0,AB111-01_Supuestos!$C$153-01_Supuestos!$C$154-AB59-0.05*SUM($C$51:AB51))</f>
        <v>0.936252068612208</v>
      </c>
      <c r="AC136" s="116" t="n">
        <f aca="false">01_Supuestos!$C$152*MAX(0,AC111-01_Supuestos!$C$153-01_Supuestos!$C$154-AC59-0.05*SUM($C$51:AC51))</f>
        <v>0.953508999278695</v>
      </c>
      <c r="AD136" s="116" t="n">
        <f aca="false">01_Supuestos!$C$152*MAX(0,AD111-01_Supuestos!$C$153-01_Supuestos!$C$154-AD59-0.05*SUM($C$51:AD51))</f>
        <v>0.969790208292742</v>
      </c>
      <c r="AE136" s="116" t="n">
        <f aca="false">01_Supuestos!$C$152*MAX(0,AE111-01_Supuestos!$C$153-01_Supuestos!$C$154-AE59-0.05*SUM($C$51:AE51))</f>
        <v>0.985126636964244</v>
      </c>
      <c r="AF136" s="116" t="n">
        <f aca="false">01_Supuestos!$C$152*MAX(0,AF111-01_Supuestos!$C$153-01_Supuestos!$C$154-AF59-0.05*SUM($C$51:AF51))</f>
        <v>0.999547216461745</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0.0246796875</v>
      </c>
      <c r="D139" s="116" t="n">
        <f aca="false">(1-D55)*D88</f>
        <v>0.0499270078125</v>
      </c>
      <c r="E139" s="116" t="n">
        <f aca="false">(1-E55)*E88</f>
        <v>0.0757550164921875</v>
      </c>
      <c r="F139" s="116" t="n">
        <f aca="false">(1-F55)*F88</f>
        <v>0.102177069371508</v>
      </c>
      <c r="G139" s="116" t="n">
        <f aca="false">(1-G55)*G88</f>
        <v>0.129206829467052</v>
      </c>
      <c r="H139" s="116" t="n">
        <f aca="false">(1-H55)*H88</f>
        <v>0.156858274044795</v>
      </c>
      <c r="I139" s="116" t="n">
        <f aca="false">(1-I55)*I88</f>
        <v>0.185145701847825</v>
      </c>
      <c r="J139" s="116" t="n">
        <f aca="false">(1-J55)*J88</f>
        <v>0.214083740490325</v>
      </c>
      <c r="K139" s="116" t="n">
        <f aca="false">(1-K55)*K88</f>
        <v>0.243687354021602</v>
      </c>
      <c r="L139" s="116" t="n">
        <f aca="false">(1-L55)*L88</f>
        <v>0.273971850664099</v>
      </c>
      <c r="M139" s="116" t="n">
        <f aca="false">(1-M55)*M88</f>
        <v>0.304952890729374</v>
      </c>
      <c r="N139" s="116" t="n">
        <f aca="false">(1-N55)*N88</f>
        <v>0.336646494716149</v>
      </c>
      <c r="O139" s="116" t="n">
        <f aca="false">(1-O55)*O88</f>
        <v>0.36906905159462</v>
      </c>
      <c r="P139" s="116" t="n">
        <f aca="false">(1-P55)*P88</f>
        <v>0.402237327281297</v>
      </c>
      <c r="Q139" s="116" t="n">
        <f aca="false">(1-Q55)*Q88</f>
        <v>0.436168473308766</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0.500026881230479</v>
      </c>
      <c r="X139" s="116" t="n">
        <f aca="false">(1-X55)*X88</f>
        <v>0.507148753140072</v>
      </c>
      <c r="Y139" s="116" t="n">
        <f aca="false">(1-Y55)*Y88</f>
        <v>0.514121521025148</v>
      </c>
      <c r="Z139" s="116" t="n">
        <f aca="false">(1-Z55)*Z88</f>
        <v>0.520944807430592</v>
      </c>
      <c r="AA139" s="116" t="n">
        <f aca="false">(1-AA55)*AA88</f>
        <v>0.527618246950571</v>
      </c>
      <c r="AB139" s="116" t="n">
        <f aca="false">(1-AB55)*AB88</f>
        <v>0.534141485385204</v>
      </c>
      <c r="AC139" s="116" t="n">
        <f aca="false">(1-AC55)*AC88</f>
        <v>0.540514178930894</v>
      </c>
      <c r="AD139" s="116" t="n">
        <f aca="false">(1-AD55)*AD88</f>
        <v>0.546735993402336</v>
      </c>
      <c r="AE139" s="116" t="n">
        <f aca="false">(1-AE55)*AE88</f>
        <v>0.55280660348432</v>
      </c>
      <c r="AF139" s="116" t="n">
        <f aca="false">(1-AF55)*AF88</f>
        <v>0.558725692011498</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-18.8066203125</v>
      </c>
      <c r="D140" s="116" t="n">
        <f aca="false">SUM(D133:D139)</f>
        <v>-18.7400860990875</v>
      </c>
      <c r="E140" s="116" t="n">
        <f aca="false">SUM(E133:E139)</f>
        <v>-18.6918256300898</v>
      </c>
      <c r="F140" s="116" t="n">
        <f aca="false">SUM(F133:F139)</f>
        <v>-17.9315372905651</v>
      </c>
      <c r="G140" s="116" t="n">
        <f aca="false">SUM(G133:G139)</f>
        <v>-17.9509990298176</v>
      </c>
      <c r="H140" s="116" t="n">
        <f aca="false">SUM(H133:H139)</f>
        <v>-17.9683122453735</v>
      </c>
      <c r="I140" s="116" t="n">
        <f aca="false">SUM(I133:I139)</f>
        <v>-17.9836274632857</v>
      </c>
      <c r="J140" s="116" t="n">
        <f aca="false">SUM(J133:J139)</f>
        <v>-17.9970858229248</v>
      </c>
      <c r="K140" s="116" t="n">
        <f aca="false">SUM(K133:K139)</f>
        <v>-18.0088196941279</v>
      </c>
      <c r="L140" s="116" t="n">
        <f aca="false">SUM(L133:L139)</f>
        <v>-18.0189532549271</v>
      </c>
      <c r="M140" s="116" t="n">
        <f aca="false">SUM(M133:M139)</f>
        <v>2.58161982953446</v>
      </c>
      <c r="N140" s="116" t="n">
        <f aca="false">SUM(N133:N139)</f>
        <v>2.58861019149771</v>
      </c>
      <c r="O140" s="116" t="n">
        <f aca="false">SUM(O133:O139)</f>
        <v>2.60074657606872</v>
      </c>
      <c r="P140" s="116" t="n">
        <f aca="false">SUM(P133:P139)</f>
        <v>2.63347585821036</v>
      </c>
      <c r="Q140" s="116" t="n">
        <f aca="false">SUM(Q133:Q139)</f>
        <v>2.6648674551115</v>
      </c>
      <c r="R140" s="116" t="n">
        <f aca="false">SUM(R133:R139)</f>
        <v>2.67295487543025</v>
      </c>
      <c r="S140" s="116" t="n">
        <f aca="false">SUM(S133:S139)</f>
        <v>2.67570293282979</v>
      </c>
      <c r="T140" s="116" t="n">
        <f aca="false">SUM(T133:T139)</f>
        <v>2.67623191985376</v>
      </c>
      <c r="U140" s="116" t="n">
        <f aca="false">SUM(U133:U139)</f>
        <v>2.67458533109069</v>
      </c>
      <c r="V140" s="116" t="n">
        <f aca="false">SUM(V133:V139)</f>
        <v>2.67080220142944</v>
      </c>
      <c r="W140" s="116" t="n">
        <f aca="false">SUM(W133:W139)</f>
        <v>2.66149436632876</v>
      </c>
      <c r="X140" s="116" t="n">
        <f aca="false">SUM(X133:X139)</f>
        <v>2.64908114849475</v>
      </c>
      <c r="Y140" s="116" t="n">
        <f aca="false">SUM(Y133:Y139)</f>
        <v>2.63420866324209</v>
      </c>
      <c r="Z140" s="116" t="n">
        <f aca="false">SUM(Z133:Z139)</f>
        <v>2.61689387971097</v>
      </c>
      <c r="AA140" s="116" t="n">
        <f aca="false">SUM(AA133:AA139)</f>
        <v>2.59715023993152</v>
      </c>
      <c r="AB140" s="116" t="n">
        <f aca="false">SUM(AB133:AB139)</f>
        <v>2.57498782437835</v>
      </c>
      <c r="AC140" s="116" t="n">
        <f aca="false">SUM(AC133:AC139)</f>
        <v>2.55041350529284</v>
      </c>
      <c r="AD140" s="116" t="n">
        <f aca="false">SUM(AD133:AD139)</f>
        <v>2.52343108852492</v>
      </c>
      <c r="AE140" s="116" t="n">
        <f aca="false">SUM(AE133:AE139)</f>
        <v>2.49404144459657</v>
      </c>
      <c r="AF140" s="116" t="n">
        <f aca="false">SUM(AF133:AF139)</f>
        <v>2.46224262964295</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-1.30913548722144</v>
      </c>
      <c r="G141" s="116" t="n">
        <f aca="false">-G85*01_Supuestos!$I$126</f>
        <v>-1.36938762305575</v>
      </c>
      <c r="H141" s="116" t="n">
        <f aca="false">-H85*01_Supuestos!$I$126</f>
        <v>-1.42969971768206</v>
      </c>
      <c r="I141" s="116" t="n">
        <f aca="false">-I85*01_Supuestos!$I$126</f>
        <v>-1.49006877316077</v>
      </c>
      <c r="J141" s="116" t="n">
        <f aca="false">-J85*01_Supuestos!$I$126</f>
        <v>-1.55049194144926</v>
      </c>
      <c r="K141" s="116" t="n">
        <f aca="false">-K85*01_Supuestos!$I$126</f>
        <v>-1.61096651690704</v>
      </c>
      <c r="L141" s="116" t="n">
        <f aca="false">-L85*01_Supuestos!$I$126</f>
        <v>-1.67148992917565</v>
      </c>
      <c r="M141" s="116" t="n">
        <f aca="false">-M85*01_Supuestos!$I$126</f>
        <v>-1.33719194334052</v>
      </c>
      <c r="N141" s="116" t="n">
        <f aca="false">-N85*01_Supuestos!$I$126</f>
        <v>-1.10650037928297</v>
      </c>
      <c r="O141" s="116" t="n">
        <f aca="false">-O85*01_Supuestos!$I$126</f>
        <v>-1.13388359691123</v>
      </c>
      <c r="P141" s="116" t="n">
        <f aca="false">-P85*01_Supuestos!$I$126</f>
        <v>-1.15406477741806</v>
      </c>
      <c r="Q141" s="116" t="n">
        <f aca="false">-Q85*01_Supuestos!$I$126</f>
        <v>-1.1750707111103</v>
      </c>
      <c r="R141" s="116" t="n">
        <f aca="false">-R85*01_Supuestos!$I$126</f>
        <v>-1.1966233184298</v>
      </c>
      <c r="S141" s="116" t="n">
        <f aca="false">-S85*01_Supuestos!$I$126</f>
        <v>-1.21775476965555</v>
      </c>
      <c r="T141" s="116" t="n">
        <f aca="false">-T85*01_Supuestos!$I$126</f>
        <v>-1.23860725768725</v>
      </c>
      <c r="U141" s="116" t="n">
        <f aca="false">-U85*01_Supuestos!$I$126</f>
        <v>-1.25921309266727</v>
      </c>
      <c r="V141" s="116" t="n">
        <f aca="false">-V85*01_Supuestos!$I$126</f>
        <v>-1.27957824472874</v>
      </c>
      <c r="W141" s="116" t="n">
        <f aca="false">-W85*01_Supuestos!$I$126</f>
        <v>-1.29930581379729</v>
      </c>
      <c r="X141" s="116" t="n">
        <f aca="false">-X85*01_Supuestos!$I$126</f>
        <v>-1.31851555436641</v>
      </c>
      <c r="Y141" s="116" t="n">
        <f aca="false">-Y85*01_Supuestos!$I$126</f>
        <v>-1.33735385065116</v>
      </c>
      <c r="Z141" s="116" t="n">
        <f aca="false">-Z85*01_Supuestos!$I$126</f>
        <v>-1.35580952787766</v>
      </c>
      <c r="AA141" s="116" t="n">
        <f aca="false">-AA85*01_Supuestos!$I$126</f>
        <v>-1.37387144405008</v>
      </c>
      <c r="AB141" s="116" t="n">
        <f aca="false">-AB85*01_Supuestos!$I$126</f>
        <v>-1.39153869797488</v>
      </c>
      <c r="AC141" s="116" t="n">
        <f aca="false">-AC85*01_Supuestos!$I$126</f>
        <v>-1.40881041695789</v>
      </c>
      <c r="AD141" s="116" t="n">
        <f aca="false">-AD85*01_Supuestos!$I$126</f>
        <v>-1.42568575479485</v>
      </c>
      <c r="AE141" s="116" t="n">
        <f aca="false">-AE85*01_Supuestos!$I$126</f>
        <v>-1.44216388984163</v>
      </c>
      <c r="AF141" s="116" t="n">
        <f aca="false">-AF85*01_Supuestos!$I$126</f>
        <v>-1.45824402315966</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0.883666453874474</v>
      </c>
      <c r="G142" s="116" t="n">
        <f aca="false">G85*01_Supuestos!$I$101</f>
        <v>0.924336645562633</v>
      </c>
      <c r="H142" s="116" t="n">
        <f aca="false">H85*01_Supuestos!$I$101</f>
        <v>0.965047309435392</v>
      </c>
      <c r="I142" s="116" t="n">
        <f aca="false">I85*01_Supuestos!$I$101</f>
        <v>1.00579642188352</v>
      </c>
      <c r="J142" s="116" t="n">
        <f aca="false">J85*01_Supuestos!$I$101</f>
        <v>1.04658206047825</v>
      </c>
      <c r="K142" s="116" t="n">
        <f aca="false">K85*01_Supuestos!$I$101</f>
        <v>1.08740239891225</v>
      </c>
      <c r="L142" s="116" t="n">
        <f aca="false">L85*01_Supuestos!$I$101</f>
        <v>1.12825570219356</v>
      </c>
      <c r="M142" s="116" t="n">
        <f aca="false">M85*01_Supuestos!$I$101</f>
        <v>0.902604561754851</v>
      </c>
      <c r="N142" s="116" t="n">
        <f aca="false">N85*01_Supuestos!$I$101</f>
        <v>0.746887756016007</v>
      </c>
      <c r="O142" s="116" t="n">
        <f aca="false">O85*01_Supuestos!$I$101</f>
        <v>0.76537142791508</v>
      </c>
      <c r="P142" s="116" t="n">
        <f aca="false">P85*01_Supuestos!$I$101</f>
        <v>0.778993724757194</v>
      </c>
      <c r="Q142" s="116" t="n">
        <f aca="false">Q85*01_Supuestos!$I$101</f>
        <v>0.793172729999452</v>
      </c>
      <c r="R142" s="116" t="n">
        <f aca="false">R85*01_Supuestos!$I$101</f>
        <v>0.807720739940113</v>
      </c>
      <c r="S142" s="116" t="n">
        <f aca="false">S85*01_Supuestos!$I$101</f>
        <v>0.821984469517499</v>
      </c>
      <c r="T142" s="116" t="n">
        <f aca="false">T85*01_Supuestos!$I$101</f>
        <v>0.836059898938894</v>
      </c>
      <c r="U142" s="116" t="n">
        <f aca="false">U85*01_Supuestos!$I$101</f>
        <v>0.849968837550408</v>
      </c>
      <c r="V142" s="116" t="n">
        <f aca="false">V85*01_Supuestos!$I$101</f>
        <v>0.863715315191897</v>
      </c>
      <c r="W142" s="116" t="n">
        <f aca="false">W85*01_Supuestos!$I$101</f>
        <v>0.877031424313167</v>
      </c>
      <c r="X142" s="116" t="n">
        <f aca="false">X85*01_Supuestos!$I$101</f>
        <v>0.889997999197325</v>
      </c>
      <c r="Y142" s="116" t="n">
        <f aca="false">Y85*01_Supuestos!$I$101</f>
        <v>0.902713849189531</v>
      </c>
      <c r="Z142" s="116" t="n">
        <f aca="false">Z85*01_Supuestos!$I$101</f>
        <v>0.915171431317421</v>
      </c>
      <c r="AA142" s="116" t="n">
        <f aca="false">AA85*01_Supuestos!$I$101</f>
        <v>0.927363224733807</v>
      </c>
      <c r="AB142" s="116" t="n">
        <f aca="false">AB85*01_Supuestos!$I$101</f>
        <v>0.939288621133041</v>
      </c>
      <c r="AC142" s="116" t="n">
        <f aca="false">AC85*01_Supuestos!$I$101</f>
        <v>0.950947031446576</v>
      </c>
      <c r="AD142" s="116" t="n">
        <f aca="false">AD85*01_Supuestos!$I$101</f>
        <v>0.962337884486524</v>
      </c>
      <c r="AE142" s="116" t="n">
        <f aca="false">AE85*01_Supuestos!$I$101</f>
        <v>0.973460625643098</v>
      </c>
      <c r="AF142" s="116" t="n">
        <f aca="false">AF85*01_Supuestos!$I$101</f>
        <v>0.984314715632773</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-18.8988855669246</v>
      </c>
      <c r="D148" s="136" t="n">
        <f aca="false">D140+D141+D142+D144+D145+D146+D147</f>
        <v>-18.8917785804617</v>
      </c>
      <c r="E148" s="136" t="n">
        <f aca="false">E140+E141+E142+E144+E145+E146+E147</f>
        <v>-18.8963585339497</v>
      </c>
      <c r="F148" s="136" t="n">
        <f aca="false">F140+F141+F142+F144+F145+F146+F147</f>
        <v>-18.357006323912</v>
      </c>
      <c r="G148" s="136" t="n">
        <f aca="false">G140+G141+G142+G144+G145+G146+G147</f>
        <v>-18.3960500073107</v>
      </c>
      <c r="H148" s="136" t="n">
        <f aca="false">H140+H141+H142+H144+H145+H146+H147</f>
        <v>-18.4329646536202</v>
      </c>
      <c r="I148" s="136" t="n">
        <f aca="false">I140+I141+I142+I144+I145+I146+I147</f>
        <v>-18.4678998145629</v>
      </c>
      <c r="J148" s="136" t="n">
        <f aca="false">J140+J141+J142+J144+J145+J146+J147</f>
        <v>-18.5009957038958</v>
      </c>
      <c r="K148" s="136" t="n">
        <f aca="false">K140+K141+K142+K144+K145+K146+K147</f>
        <v>-18.5323838121227</v>
      </c>
      <c r="L148" s="136" t="n">
        <f aca="false">L140+L141+L142+L144+L145+L146+L147</f>
        <v>-18.5621874819092</v>
      </c>
      <c r="M148" s="136" t="n">
        <f aca="false">M140+M141+M142+M144+M145+M146+M147</f>
        <v>2.14703244794879</v>
      </c>
      <c r="N148" s="136" t="n">
        <f aca="false">N140+N141+N142+N144+N145+N146+N147</f>
        <v>2.22899756823074</v>
      </c>
      <c r="O148" s="136" t="n">
        <f aca="false">O140+O141+O142+O144+O145+O146+O147</f>
        <v>2.23223440707257</v>
      </c>
      <c r="P148" s="136" t="n">
        <f aca="false">P140+P141+P142+P144+P145+P146+P147</f>
        <v>2.25840480554949</v>
      </c>
      <c r="Q148" s="136" t="n">
        <f aca="false">Q140+Q141+Q142+Q144+Q145+Q146+Q147</f>
        <v>2.28296947400065</v>
      </c>
      <c r="R148" s="136" t="n">
        <f aca="false">R140+R141+R142+R144+R145+R146+R147</f>
        <v>2.28405229694057</v>
      </c>
      <c r="S148" s="136" t="n">
        <f aca="false">S140+S141+S142+S144+S145+S146+S147</f>
        <v>2.27993263269173</v>
      </c>
      <c r="T148" s="136" t="n">
        <f aca="false">T140+T141+T142+T144+T145+T146+T147</f>
        <v>2.2736845611054</v>
      </c>
      <c r="U148" s="136" t="n">
        <f aca="false">U140+U141+U142+U144+U145+U146+U147</f>
        <v>2.26534107597383</v>
      </c>
      <c r="V148" s="136" t="n">
        <f aca="false">V140+V141+V142+V144+V145+V146+V147</f>
        <v>2.25493927189261</v>
      </c>
      <c r="W148" s="136" t="n">
        <f aca="false">W140+W141+W142+W144+W145+W146+W147</f>
        <v>2.23921997684465</v>
      </c>
      <c r="X148" s="136" t="n">
        <f aca="false">X140+X141+X142+X144+X145+X146+X147</f>
        <v>2.22056359332566</v>
      </c>
      <c r="Y148" s="136" t="n">
        <f aca="false">Y140+Y141+Y142+Y144+Y145+Y146+Y147</f>
        <v>2.19956866178046</v>
      </c>
      <c r="Z148" s="136" t="n">
        <f aca="false">Z140+Z141+Z142+Z144+Z145+Z146+Z147</f>
        <v>2.17625578315073</v>
      </c>
      <c r="AA148" s="136" t="n">
        <f aca="false">AA140+AA141+AA142+AA144+AA145+AA146+AA147</f>
        <v>2.15064202061524</v>
      </c>
      <c r="AB148" s="136" t="n">
        <f aca="false">AB140+AB141+AB142+AB144+AB145+AB146+AB147</f>
        <v>2.12273774753651</v>
      </c>
      <c r="AC148" s="136" t="n">
        <f aca="false">AC140+AC141+AC142+AC144+AC145+AC146+AC147</f>
        <v>2.09255011978152</v>
      </c>
      <c r="AD148" s="136" t="n">
        <f aca="false">AD140+AD141+AD142+AD144+AD145+AD146+AD147</f>
        <v>2.06008321821659</v>
      </c>
      <c r="AE148" s="136" t="n">
        <f aca="false">AE140+AE141+AE142+AE144+AE145+AE146+AE147</f>
        <v>2.02533818039804</v>
      </c>
      <c r="AF148" s="136" t="n">
        <f aca="false">AF140+AF141+AF142+AF144+AF145+AF146+AF147</f>
        <v>1.98831332211606</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-18.8988855669246</v>
      </c>
      <c r="D149" s="138" t="n">
        <f aca="false">C149+D148</f>
        <v>-37.7906641473863</v>
      </c>
      <c r="E149" s="138" t="n">
        <f aca="false">D149+E148</f>
        <v>-56.6870226813359</v>
      </c>
      <c r="F149" s="138" t="n">
        <f aca="false">E149+F148</f>
        <v>-75.044029005248</v>
      </c>
      <c r="G149" s="138" t="n">
        <f aca="false">F149+G148</f>
        <v>-93.4400790125587</v>
      </c>
      <c r="H149" s="138" t="n">
        <f aca="false">G149+H148</f>
        <v>-111.873043666179</v>
      </c>
      <c r="I149" s="138" t="n">
        <f aca="false">H149+I148</f>
        <v>-130.340943480742</v>
      </c>
      <c r="J149" s="138" t="n">
        <f aca="false">I149+J148</f>
        <v>-148.841939184638</v>
      </c>
      <c r="K149" s="138" t="n">
        <f aca="false">J149+K148</f>
        <v>-167.37432299676</v>
      </c>
      <c r="L149" s="138" t="n">
        <f aca="false">K149+L148</f>
        <v>-185.93651047867</v>
      </c>
      <c r="M149" s="138" t="n">
        <f aca="false">L149+M148</f>
        <v>-183.789478030721</v>
      </c>
      <c r="N149" s="138" t="n">
        <f aca="false">M149+N148</f>
        <v>-181.56048046249</v>
      </c>
      <c r="O149" s="138" t="n">
        <f aca="false">N149+O148</f>
        <v>-179.328246055417</v>
      </c>
      <c r="P149" s="138" t="n">
        <f aca="false">O149+P148</f>
        <v>-177.069841249868</v>
      </c>
      <c r="Q149" s="138" t="n">
        <f aca="false">P149+Q148</f>
        <v>-174.786871775867</v>
      </c>
      <c r="R149" s="138" t="n">
        <f aca="false">Q149+R148</f>
        <v>-172.502819478927</v>
      </c>
      <c r="S149" s="138" t="n">
        <f aca="false">R149+S148</f>
        <v>-170.222886846235</v>
      </c>
      <c r="T149" s="138" t="n">
        <f aca="false">S149+T148</f>
        <v>-167.94920228513</v>
      </c>
      <c r="U149" s="138" t="n">
        <f aca="false">T149+U148</f>
        <v>-165.683861209156</v>
      </c>
      <c r="V149" s="138" t="n">
        <f aca="false">U149+V148</f>
        <v>-163.428921937263</v>
      </c>
      <c r="W149" s="138" t="n">
        <f aca="false">V149+W148</f>
        <v>-161.189701960419</v>
      </c>
      <c r="X149" s="138" t="n">
        <f aca="false">W149+X148</f>
        <v>-158.969138367093</v>
      </c>
      <c r="Y149" s="138" t="n">
        <f aca="false">X149+Y148</f>
        <v>-156.769569705312</v>
      </c>
      <c r="Z149" s="138" t="n">
        <f aca="false">Y149+Z148</f>
        <v>-154.593313922162</v>
      </c>
      <c r="AA149" s="138" t="n">
        <f aca="false">Z149+AA148</f>
        <v>-152.442671901546</v>
      </c>
      <c r="AB149" s="138" t="n">
        <f aca="false">AA149+AB148</f>
        <v>-150.31993415401</v>
      </c>
      <c r="AC149" s="138" t="n">
        <f aca="false">AB149+AC148</f>
        <v>-148.227384034228</v>
      </c>
      <c r="AD149" s="138" t="n">
        <f aca="false">AC149+AD148</f>
        <v>-146.167300816012</v>
      </c>
      <c r="AE149" s="138" t="n">
        <f aca="false">AD149+AE148</f>
        <v>-144.141962635614</v>
      </c>
      <c r="AF149" s="138" t="n">
        <f aca="false">AE149+AF148</f>
        <v>-142.153649313498</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9.75</v>
      </c>
      <c r="D152" s="116" t="n">
        <f aca="false">D83</f>
        <v>19.72425</v>
      </c>
      <c r="E152" s="116" t="n">
        <f aca="false">E83</f>
        <v>29.92790775</v>
      </c>
      <c r="F152" s="116" t="n">
        <f aca="false">F83</f>
        <v>40.36624962825</v>
      </c>
      <c r="G152" s="116" t="n">
        <f aca="false">G83</f>
        <v>51.0446733696997</v>
      </c>
      <c r="H152" s="116" t="n">
        <f aca="false">H83</f>
        <v>61.9687008572028</v>
      </c>
      <c r="I152" s="116" t="n">
        <f aca="false">I83</f>
        <v>73.1439809769185</v>
      </c>
      <c r="J152" s="116" t="n">
        <f aca="false">J83</f>
        <v>84.5762925393876</v>
      </c>
      <c r="K152" s="116" t="n">
        <f aca="false">K83</f>
        <v>96.2715472677935</v>
      </c>
      <c r="L152" s="116" t="n">
        <f aca="false">L83</f>
        <v>108.235792854953</v>
      </c>
      <c r="M152" s="116" t="n">
        <f aca="false">M83</f>
        <v>120.475216090617</v>
      </c>
      <c r="N152" s="116" t="n">
        <f aca="false">N83</f>
        <v>132.996146060701</v>
      </c>
      <c r="O152" s="116" t="n">
        <f aca="false">O83</f>
        <v>145.805057420097</v>
      </c>
      <c r="P152" s="116" t="n">
        <f aca="false">P83</f>
        <v>158.908573740759</v>
      </c>
      <c r="Q152" s="116" t="n">
        <f aca="false">Q83</f>
        <v>172.313470936797</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197.541483942905</v>
      </c>
      <c r="X152" s="116" t="n">
        <f aca="false">X83</f>
        <v>200.355062968917</v>
      </c>
      <c r="Y152" s="116" t="n">
        <f aca="false">Y83</f>
        <v>203.109736701293</v>
      </c>
      <c r="Z152" s="116" t="n">
        <f aca="false">Z83</f>
        <v>205.805356021962</v>
      </c>
      <c r="AA152" s="116" t="n">
        <f aca="false">AA83</f>
        <v>208.441776573065</v>
      </c>
      <c r="AB152" s="116" t="n">
        <f aca="false">AB83</f>
        <v>211.018858423784</v>
      </c>
      <c r="AC152" s="116" t="n">
        <f aca="false">AC83</f>
        <v>213.536465750477</v>
      </c>
      <c r="AD152" s="116" t="n">
        <f aca="false">AD83</f>
        <v>215.994466529318</v>
      </c>
      <c r="AE152" s="116" t="n">
        <f aca="false">AE83</f>
        <v>218.392732240719</v>
      </c>
      <c r="AF152" s="116" t="n">
        <f aca="false">AF83</f>
        <v>220.731137584789</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19.0872874005064</v>
      </c>
      <c r="D153" s="116" t="n">
        <f aca="false">D120</f>
        <v>35.1009547714848</v>
      </c>
      <c r="E153" s="116" t="n">
        <f aca="false">E120</f>
        <v>52.5958284334807</v>
      </c>
      <c r="F153" s="116" t="n">
        <f aca="false">F120</f>
        <v>60.012755083567</v>
      </c>
      <c r="G153" s="116" t="n">
        <f aca="false">G120</f>
        <v>70.3293152108917</v>
      </c>
      <c r="H153" s="116" t="n">
        <f aca="false">H120</f>
        <v>81.8701903754187</v>
      </c>
      <c r="I153" s="116" t="n">
        <f aca="false">I120</f>
        <v>94.7246416813146</v>
      </c>
      <c r="J153" s="116" t="n">
        <f aca="false">J120</f>
        <v>108.621554244419</v>
      </c>
      <c r="K153" s="116" t="n">
        <f aca="false">K120</f>
        <v>123.588597856861</v>
      </c>
      <c r="L153" s="116" t="n">
        <f aca="false">L120</f>
        <v>139.655873621496</v>
      </c>
      <c r="M153" s="116" t="n">
        <f aca="false">M120</f>
        <v>139.21173081533</v>
      </c>
      <c r="N153" s="116" t="n">
        <f aca="false">N120</f>
        <v>139.681108050747</v>
      </c>
      <c r="O153" s="116" t="n">
        <f aca="false">O120</f>
        <v>141.110632364956</v>
      </c>
      <c r="P153" s="116" t="n">
        <f aca="false">P120</f>
        <v>142.185129881058</v>
      </c>
      <c r="Q153" s="116" t="n">
        <f aca="false">Q120</f>
        <v>143.091385025753</v>
      </c>
      <c r="R153" s="116" t="n">
        <f aca="false">R120</f>
        <v>144.964390050212</v>
      </c>
      <c r="S153" s="116" t="n">
        <f aca="false">S120</f>
        <v>146.599017367584</v>
      </c>
      <c r="T153" s="116" t="n">
        <f aca="false">T120</f>
        <v>147.966818713874</v>
      </c>
      <c r="U153" s="116" t="n">
        <f aca="false">U120</f>
        <v>149.338410332689</v>
      </c>
      <c r="V153" s="116" t="n">
        <f aca="false">V120</f>
        <v>150.750319165238</v>
      </c>
      <c r="W153" s="116" t="n">
        <f aca="false">W120</f>
        <v>152.27303655939</v>
      </c>
      <c r="X153" s="116" t="n">
        <f aca="false">X120</f>
        <v>153.694591890865</v>
      </c>
      <c r="Y153" s="116" t="n">
        <f aca="false">Y120</f>
        <v>155.004582433457</v>
      </c>
      <c r="Z153" s="116" t="n">
        <f aca="false">Z120</f>
        <v>156.250655358765</v>
      </c>
      <c r="AA153" s="116" t="n">
        <f aca="false">AA120</f>
        <v>157.448986324205</v>
      </c>
      <c r="AB153" s="116" t="n">
        <f aca="false">AB120</f>
        <v>158.608770531948</v>
      </c>
      <c r="AC153" s="116" t="n">
        <f aca="false">AC120</f>
        <v>159.739207785323</v>
      </c>
      <c r="AD153" s="116" t="n">
        <f aca="false">AD120</f>
        <v>160.849532689716</v>
      </c>
      <c r="AE153" s="116" t="n">
        <f aca="false">AE120</f>
        <v>161.949046826257</v>
      </c>
      <c r="AF153" s="116" t="n">
        <f aca="false">AF120</f>
        <v>163.047142766117</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6.81841399594502</v>
      </c>
      <c r="G154" s="116" t="n">
        <f aca="false">G104</f>
        <v>7.13222720341538</v>
      </c>
      <c r="H154" s="116" t="n">
        <f aca="false">H104</f>
        <v>7.44635269626074</v>
      </c>
      <c r="I154" s="116" t="n">
        <f aca="false">I104</f>
        <v>7.76077486021236</v>
      </c>
      <c r="J154" s="116" t="n">
        <f aca="false">J104</f>
        <v>8.07547886171491</v>
      </c>
      <c r="K154" s="116" t="n">
        <f aca="false">K104</f>
        <v>8.39045060889085</v>
      </c>
      <c r="L154" s="116" t="n">
        <f aca="false">L104</f>
        <v>8.70567671445651</v>
      </c>
      <c r="M154" s="116" t="n">
        <f aca="false">M104</f>
        <v>8.97617615394246</v>
      </c>
      <c r="N154" s="116" t="n">
        <f aca="false">N104</f>
        <v>9.22083649402477</v>
      </c>
      <c r="O154" s="116" t="n">
        <f aca="false">O104</f>
        <v>9.44902997426024</v>
      </c>
      <c r="P154" s="116" t="n">
        <f aca="false">P104</f>
        <v>9.61720647848387</v>
      </c>
      <c r="Q154" s="116" t="n">
        <f aca="false">Q104</f>
        <v>9.79225592591916</v>
      </c>
      <c r="R154" s="116" t="n">
        <f aca="false">R104</f>
        <v>9.97186098691497</v>
      </c>
      <c r="S154" s="116" t="n">
        <f aca="false">S104</f>
        <v>10.1479564137963</v>
      </c>
      <c r="T154" s="116" t="n">
        <f aca="false">T104</f>
        <v>10.3217271473938</v>
      </c>
      <c r="U154" s="116" t="n">
        <f aca="false">U104</f>
        <v>10.4934424388939</v>
      </c>
      <c r="V154" s="116" t="n">
        <f aca="false">V104</f>
        <v>10.6631520394061</v>
      </c>
      <c r="W154" s="116" t="n">
        <f aca="false">W104</f>
        <v>10.8275484483107</v>
      </c>
      <c r="X154" s="116" t="n">
        <f aca="false">X104</f>
        <v>10.9876296197201</v>
      </c>
      <c r="Y154" s="116" t="n">
        <f aca="false">Y104</f>
        <v>11.144615422093</v>
      </c>
      <c r="Z154" s="116" t="n">
        <f aca="false">Z104</f>
        <v>11.2984127323138</v>
      </c>
      <c r="AA154" s="116" t="n">
        <f aca="false">AA104</f>
        <v>11.4489287004174</v>
      </c>
      <c r="AB154" s="116" t="n">
        <f aca="false">AB104</f>
        <v>11.5961558164573</v>
      </c>
      <c r="AC154" s="116" t="n">
        <f aca="false">AC104</f>
        <v>11.7400868079824</v>
      </c>
      <c r="AD154" s="116" t="n">
        <f aca="false">AD104</f>
        <v>11.8807146232904</v>
      </c>
      <c r="AE154" s="116" t="n">
        <f aca="false">AE104</f>
        <v>12.0180324153469</v>
      </c>
      <c r="AF154" s="116" t="n">
        <f aca="false">AF104</f>
        <v>12.1520335263305</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52.9916758096682</v>
      </c>
      <c r="G155" s="116" t="n">
        <f aca="false">G70+G121-G227</f>
        <v>60.0055973515782</v>
      </c>
      <c r="H155" s="116" t="n">
        <f aca="false">H70+H121-H227</f>
        <v>67.0195188934882</v>
      </c>
      <c r="I155" s="116" t="n">
        <f aca="false">I70+I121-I227</f>
        <v>74.0334404353982</v>
      </c>
      <c r="J155" s="116" t="n">
        <f aca="false">J70+J121-J227</f>
        <v>81.0473619773081</v>
      </c>
      <c r="K155" s="116" t="n">
        <f aca="false">K70+K121-K227</f>
        <v>88.0612835192181</v>
      </c>
      <c r="L155" s="116" t="n">
        <f aca="false">L70+L121-L227</f>
        <v>95.0752050611281</v>
      </c>
      <c r="M155" s="116" t="n">
        <f aca="false">M70+M121-M227</f>
        <v>97.8707788843187</v>
      </c>
      <c r="N155" s="116" t="n">
        <f aca="false">N70+N121-N227</f>
        <v>100.867903732093</v>
      </c>
      <c r="O155" s="116" t="n">
        <f aca="false">O70+O121-O227</f>
        <v>104.103826590578</v>
      </c>
      <c r="P155" s="116" t="n">
        <f aca="false">P70+P121-P227</f>
        <v>107.46822555742</v>
      </c>
      <c r="Q155" s="116" t="n">
        <f aca="false">Q70+Q121-Q227</f>
        <v>110.972611779959</v>
      </c>
      <c r="R155" s="116" t="n">
        <f aca="false">R70+R121-R227</f>
        <v>114.298470763624</v>
      </c>
      <c r="S155" s="116" t="n">
        <f aca="false">S70+S121-S227</f>
        <v>117.49728808377</v>
      </c>
      <c r="T155" s="116" t="n">
        <f aca="false">T70+T121-T227</f>
        <v>120.583915590895</v>
      </c>
      <c r="U155" s="116" t="n">
        <f aca="false">U70+U121-U227</f>
        <v>123.564420291773</v>
      </c>
      <c r="V155" s="116" t="n">
        <f aca="false">V70+V121-V227</f>
        <v>126.453999374355</v>
      </c>
      <c r="W155" s="116" t="n">
        <f aca="false">W70+W121-W227</f>
        <v>129.296506229535</v>
      </c>
      <c r="X155" s="116" t="n">
        <f aca="false">X70+X121-X227</f>
        <v>132.144664913182</v>
      </c>
      <c r="Y155" s="116" t="n">
        <f aca="false">Y70+Y121-Y227</f>
        <v>134.998674934842</v>
      </c>
      <c r="Z155" s="116" t="n">
        <f aca="false">Z70+Z121-Z227</f>
        <v>137.858742846747</v>
      </c>
      <c r="AA155" s="116" t="n">
        <f aca="false">AA70+AA121-AA227</f>
        <v>140.725082492422</v>
      </c>
      <c r="AB155" s="116" t="n">
        <f aca="false">AB70+AB121-AB227</f>
        <v>143.597915264069</v>
      </c>
      <c r="AC155" s="116" t="n">
        <f aca="false">AC70+AC121-AC227</f>
        <v>146.477470369035</v>
      </c>
      <c r="AD155" s="116" t="n">
        <f aca="false">AD70+AD121-AD227</f>
        <v>149.363985105687</v>
      </c>
      <c r="AE155" s="116" t="n">
        <f aca="false">AE70+AE121-AE227</f>
        <v>152.257705149022</v>
      </c>
      <c r="AF155" s="116" t="n">
        <f aca="false">AF70+AF121-AF227</f>
        <v>155.158884846368</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36.7172874005064</v>
      </c>
      <c r="D156" s="136" t="n">
        <f aca="false">SUM(D152:D155)+D187</f>
        <v>73.3777980242762</v>
      </c>
      <c r="E156" s="136" t="n">
        <f aca="false">SUM(E152:E155)+E187</f>
        <v>110.538857365872</v>
      </c>
      <c r="F156" s="136" t="n">
        <f aca="false">SUM(F152:F155)+F187</f>
        <v>193.59178852783</v>
      </c>
      <c r="G156" s="136" t="n">
        <f aca="false">SUM(G152:G155)+G187</f>
        <v>231.225508101384</v>
      </c>
      <c r="H156" s="136" t="n">
        <f aca="false">SUM(H152:H155)+H187</f>
        <v>262.000872772383</v>
      </c>
      <c r="I156" s="136" t="n">
        <f aca="false">SUM(I152:I155)+I187</f>
        <v>294.363958432706</v>
      </c>
      <c r="J156" s="136" t="n">
        <f aca="false">SUM(J152:J155)+J187</f>
        <v>328.049933872706</v>
      </c>
      <c r="K156" s="136" t="n">
        <f aca="false">SUM(K152:K155)+K187</f>
        <v>363.092898166387</v>
      </c>
      <c r="L156" s="136" t="n">
        <f aca="false">SUM(L152:L155)+L187</f>
        <v>399.52953060067</v>
      </c>
      <c r="M156" s="136" t="n">
        <f aca="false">SUM(M152:M155)+M187</f>
        <v>415.491594886864</v>
      </c>
      <c r="N156" s="136" t="n">
        <f aca="false">SUM(N152:N155)+N187</f>
        <v>432.849714217903</v>
      </c>
      <c r="O156" s="136" t="n">
        <f aca="false">SUM(O152:O155)+O187</f>
        <v>451.704191787476</v>
      </c>
      <c r="P156" s="136" t="n">
        <f aca="false">SUM(P152:P155)+P187</f>
        <v>470.59320094037</v>
      </c>
      <c r="Q156" s="136" t="n">
        <f aca="false">SUM(Q152:Q155)+Q187</f>
        <v>489.789312452578</v>
      </c>
      <c r="R156" s="136" t="n">
        <f aca="false">SUM(R152:R155)+R187</f>
        <v>501.605815869371</v>
      </c>
      <c r="S156" s="136" t="n">
        <f aca="false">SUM(S152:S155)+S187</f>
        <v>511.959891097348</v>
      </c>
      <c r="T156" s="136" t="n">
        <f aca="false">SUM(T152:T155)+T187</f>
        <v>522.055550156701</v>
      </c>
      <c r="U156" s="136" t="n">
        <f aca="false">SUM(U152:U155)+U187</f>
        <v>532.172572808099</v>
      </c>
      <c r="V156" s="136" t="n">
        <f aca="false">SUM(V152:V155)+V187</f>
        <v>542.365625217871</v>
      </c>
      <c r="W156" s="136" t="n">
        <f aca="false">SUM(W152:W155)+W187</f>
        <v>551.396413597252</v>
      </c>
      <c r="X156" s="136" t="n">
        <f aca="false">SUM(X152:X155)+X187</f>
        <v>560.053318093389</v>
      </c>
      <c r="Y156" s="136" t="n">
        <f aca="false">SUM(Y152:Y155)+Y187</f>
        <v>568.575019672506</v>
      </c>
      <c r="Z156" s="136" t="n">
        <f aca="false">SUM(Z152:Z155)+Z187</f>
        <v>577.009877574768</v>
      </c>
      <c r="AA156" s="136" t="n">
        <f aca="false">SUM(AA152:AA155)+AA187</f>
        <v>585.374809049234</v>
      </c>
      <c r="AB156" s="136" t="n">
        <f aca="false">SUM(AB152:AB155)+AB187</f>
        <v>593.679865799443</v>
      </c>
      <c r="AC156" s="136" t="n">
        <f aca="false">SUM(AC152:AC155)+AC187</f>
        <v>601.935134288555</v>
      </c>
      <c r="AD156" s="136" t="n">
        <f aca="false">SUM(AD152:AD155)+AD187</f>
        <v>610.150766305991</v>
      </c>
      <c r="AE156" s="136" t="n">
        <f aca="false">SUM(AE152:AE155)+AE187</f>
        <v>618.337011538559</v>
      </c>
      <c r="AF156" s="136" t="n">
        <f aca="false">SUM(AF152:AF155)+AF187</f>
        <v>626.504242013683</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272.736559837801</v>
      </c>
      <c r="G157" s="116" t="n">
        <f aca="false">G69+G80+G121</f>
        <v>285.289088136615</v>
      </c>
      <c r="H157" s="116" t="n">
        <f aca="false">H69+H80+H121</f>
        <v>297.85410785043</v>
      </c>
      <c r="I157" s="116" t="n">
        <f aca="false">I69+I80+I121</f>
        <v>310.430994408494</v>
      </c>
      <c r="J157" s="116" t="n">
        <f aca="false">J69+J80+J121</f>
        <v>323.019154468596</v>
      </c>
      <c r="K157" s="116" t="n">
        <f aca="false">K69+K80+K121</f>
        <v>335.618024355634</v>
      </c>
      <c r="L157" s="116" t="n">
        <f aca="false">L69+L80+L121</f>
        <v>348.22706857826</v>
      </c>
      <c r="M157" s="116" t="n">
        <f aca="false">M69+M80+M121</f>
        <v>359.047046157698</v>
      </c>
      <c r="N157" s="116" t="n">
        <f aca="false">N69+N80+N121</f>
        <v>369.031015693136</v>
      </c>
      <c r="O157" s="116" t="n">
        <f aca="false">O69+O80+O121</f>
        <v>378.393416794064</v>
      </c>
      <c r="P157" s="116" t="n">
        <f aca="false">P69+P80+P121</f>
        <v>385.244670947156</v>
      </c>
      <c r="Q157" s="116" t="n">
        <f aca="false">Q69+Q80+Q121</f>
        <v>392.382202817071</v>
      </c>
      <c r="R157" s="116" t="n">
        <f aca="false">R69+R80+R121</f>
        <v>399.383288239939</v>
      </c>
      <c r="S157" s="116" t="n">
        <f aca="false">S69+S80+S121</f>
        <v>406.295311854414</v>
      </c>
      <c r="T157" s="116" t="n">
        <f aca="false">T69+T80+T121</f>
        <v>413.129031849592</v>
      </c>
      <c r="U157" s="116" t="n">
        <f aca="false">U69+U80+U121</f>
        <v>419.886427508041</v>
      </c>
      <c r="V157" s="116" t="n">
        <f aca="false">V69+V80+V121</f>
        <v>426.578612925127</v>
      </c>
      <c r="W157" s="116" t="n">
        <f aca="false">W69+W80+W121</f>
        <v>433.101937932428</v>
      </c>
      <c r="X157" s="116" t="n">
        <f aca="false">X69+X80+X121</f>
        <v>439.505184788802</v>
      </c>
      <c r="Y157" s="116" t="n">
        <f aca="false">Y69+Y80+Y121</f>
        <v>445.784616883719</v>
      </c>
      <c r="Z157" s="116" t="n">
        <f aca="false">Z69+Z80+Z121</f>
        <v>451.936509292554</v>
      </c>
      <c r="AA157" s="116" t="n">
        <f aca="false">AA69+AA80+AA121</f>
        <v>457.957148016695</v>
      </c>
      <c r="AB157" s="116" t="n">
        <f aca="false">AB69+AB80+AB121</f>
        <v>463.846232658292</v>
      </c>
      <c r="AC157" s="116" t="n">
        <f aca="false">AC69+AC80+AC121</f>
        <v>469.603472319297</v>
      </c>
      <c r="AD157" s="116" t="n">
        <f aca="false">AD69+AD80+AD121</f>
        <v>475.228584931617</v>
      </c>
      <c r="AE157" s="116" t="n">
        <f aca="false">AE69+AE80+AE121</f>
        <v>480.721296613876</v>
      </c>
      <c r="AF157" s="116" t="n">
        <f aca="false">AF69+AF80+AF121</f>
        <v>486.081341053221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17.2988399625579</v>
      </c>
      <c r="D159" s="116" t="n">
        <f aca="false">D72</f>
        <v>34.9771117069655</v>
      </c>
      <c r="E159" s="116" t="n">
        <f aca="false">E72</f>
        <v>53.3834374272829</v>
      </c>
      <c r="F159" s="116" t="n">
        <f aca="false">F72</f>
        <v>73.4908703934434</v>
      </c>
      <c r="G159" s="116" t="n">
        <f aca="false">G72</f>
        <v>92.6207487315235</v>
      </c>
      <c r="H159" s="116" t="n">
        <f aca="false">H72</f>
        <v>103.907740862016</v>
      </c>
      <c r="I159" s="116" t="n">
        <f aca="false">I72</f>
        <v>115.76703498894</v>
      </c>
      <c r="J159" s="116" t="n">
        <f aca="false">J72</f>
        <v>127.898004101118</v>
      </c>
      <c r="K159" s="116" t="n">
        <f aca="false">K72</f>
        <v>140.306894140748</v>
      </c>
      <c r="L159" s="116" t="n">
        <f aca="false">L72</f>
        <v>153.00009483582</v>
      </c>
      <c r="M159" s="116" t="n">
        <f aca="false">M72</f>
        <v>164.839026400822</v>
      </c>
      <c r="N159" s="116" t="n">
        <f aca="false">N72</f>
        <v>177.796088160239</v>
      </c>
      <c r="O159" s="116" t="n">
        <f aca="false">O72</f>
        <v>191.975611829384</v>
      </c>
      <c r="P159" s="116" t="n">
        <f aca="false">P72</f>
        <v>206.025215197444</v>
      </c>
      <c r="Q159" s="116" t="n">
        <f aca="false">Q72</f>
        <v>220.205058498671</v>
      </c>
      <c r="R159" s="116" t="n">
        <f aca="false">R72</f>
        <v>227.146023893646</v>
      </c>
      <c r="S159" s="116" t="n">
        <f aca="false">S72</f>
        <v>232.712860787371</v>
      </c>
      <c r="T159" s="116" t="n">
        <f aca="false">T72</f>
        <v>238.093760800139</v>
      </c>
      <c r="U159" s="116" t="n">
        <f aca="false">U72</f>
        <v>243.561443922713</v>
      </c>
      <c r="V159" s="116" t="n">
        <f aca="false">V72</f>
        <v>249.154361551258</v>
      </c>
      <c r="W159" s="116" t="n">
        <f aca="false">W72</f>
        <v>253.670946252158</v>
      </c>
      <c r="X159" s="116" t="n">
        <f aca="false">X72</f>
        <v>257.886925108444</v>
      </c>
      <c r="Y159" s="116" t="n">
        <f aca="false">Y72</f>
        <v>262.030897789904</v>
      </c>
      <c r="Z159" s="116" t="n">
        <f aca="false">Z72</f>
        <v>266.143401604625</v>
      </c>
      <c r="AA159" s="116" t="n">
        <f aca="false">AA72</f>
        <v>270.232211850874</v>
      </c>
      <c r="AB159" s="116" t="n">
        <f aca="false">AB72</f>
        <v>274.297995679326</v>
      </c>
      <c r="AC159" s="116" t="n">
        <f aca="false">AC72</f>
        <v>278.341428820095</v>
      </c>
      <c r="AD159" s="116" t="n">
        <f aca="false">AD72</f>
        <v>282.363201230085</v>
      </c>
      <c r="AE159" s="116" t="n">
        <f aca="false">AE72</f>
        <v>286.364025145884</v>
      </c>
      <c r="AF159" s="116" t="n">
        <f aca="false">AF72</f>
        <v>290.344635238681</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76.4432338244722</v>
      </c>
      <c r="D160" s="136" t="n">
        <f aca="false">SUM(D157:D159)</f>
        <v>132.215881818622</v>
      </c>
      <c r="E160" s="136" t="n">
        <f aca="false">SUM(E157:E159)</f>
        <v>184.494273234917</v>
      </c>
      <c r="F160" s="136" t="n">
        <f aca="false">SUM(F157:F159)</f>
        <v>346.227430231244</v>
      </c>
      <c r="G160" s="136" t="n">
        <f aca="false">SUM(G157:G159)</f>
        <v>377.909836868139</v>
      </c>
      <c r="H160" s="136" t="n">
        <f aca="false">SUM(H157:H159)</f>
        <v>401.761848712446</v>
      </c>
      <c r="I160" s="136" t="n">
        <f aca="false">SUM(I157:I159)</f>
        <v>426.198029397434</v>
      </c>
      <c r="J160" s="136" t="n">
        <f aca="false">SUM(J157:J159)</f>
        <v>450.917158569715</v>
      </c>
      <c r="K160" s="136" t="n">
        <f aca="false">SUM(K157:K159)</f>
        <v>475.924918496382</v>
      </c>
      <c r="L160" s="136" t="n">
        <f aca="false">SUM(L157:L159)</f>
        <v>501.227163414081</v>
      </c>
      <c r="M160" s="136" t="n">
        <f aca="false">SUM(M157:M159)</f>
        <v>523.88607255852</v>
      </c>
      <c r="N160" s="136" t="n">
        <f aca="false">SUM(N157:N159)</f>
        <v>546.827103853375</v>
      </c>
      <c r="O160" s="136" t="n">
        <f aca="false">SUM(O157:O159)</f>
        <v>570.369028623448</v>
      </c>
      <c r="P160" s="136" t="n">
        <f aca="false">SUM(P157:P159)</f>
        <v>591.2698861446</v>
      </c>
      <c r="Q160" s="136" t="n">
        <f aca="false">SUM(Q157:Q159)</f>
        <v>612.587261315741</v>
      </c>
      <c r="R160" s="136" t="n">
        <f aca="false">SUM(R157:R159)</f>
        <v>626.529312133584</v>
      </c>
      <c r="S160" s="136" t="n">
        <f aca="false">SUM(S157:S159)</f>
        <v>639.008172641785</v>
      </c>
      <c r="T160" s="136" t="n">
        <f aca="false">SUM(T157:T159)</f>
        <v>651.222792649731</v>
      </c>
      <c r="U160" s="136" t="n">
        <f aca="false">SUM(U157:U159)</f>
        <v>663.447871430754</v>
      </c>
      <c r="V160" s="136" t="n">
        <f aca="false">SUM(V157:V159)</f>
        <v>675.732974476386</v>
      </c>
      <c r="W160" s="136" t="n">
        <f aca="false">SUM(W157:W159)</f>
        <v>686.772884184587</v>
      </c>
      <c r="X160" s="136" t="n">
        <f aca="false">SUM(X157:X159)</f>
        <v>697.392109897247</v>
      </c>
      <c r="Y160" s="136" t="n">
        <f aca="false">SUM(Y157:Y159)</f>
        <v>707.815514673623</v>
      </c>
      <c r="Z160" s="136" t="n">
        <f aca="false">SUM(Z157:Z159)</f>
        <v>718.079910897178</v>
      </c>
      <c r="AA160" s="136" t="n">
        <f aca="false">SUM(AA157:AA159)</f>
        <v>728.189359867568</v>
      </c>
      <c r="AB160" s="136" t="n">
        <f aca="false">SUM(AB157:AB159)</f>
        <v>738.144228337618</v>
      </c>
      <c r="AC160" s="136" t="n">
        <f aca="false">SUM(AC157:AC159)</f>
        <v>747.944901139392</v>
      </c>
      <c r="AD160" s="136" t="n">
        <f aca="false">SUM(AD157:AD159)</f>
        <v>757.591786161702</v>
      </c>
      <c r="AE160" s="136" t="n">
        <f aca="false">SUM(AE157:AE159)</f>
        <v>767.085321759759</v>
      </c>
      <c r="AF160" s="136" t="n">
        <f aca="false">SUM(AF157:AF159)</f>
        <v>776.425976291902</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-39.7259464239658</v>
      </c>
      <c r="D161" s="138" t="n">
        <f aca="false">D156-D160</f>
        <v>-58.8380837943459</v>
      </c>
      <c r="E161" s="138" t="n">
        <f aca="false">E156-E160</f>
        <v>-73.9554158690456</v>
      </c>
      <c r="F161" s="138" t="n">
        <f aca="false">F156-F160</f>
        <v>-152.635641703414</v>
      </c>
      <c r="G161" s="138" t="n">
        <f aca="false">G156-G160</f>
        <v>-146.684328766755</v>
      </c>
      <c r="H161" s="138" t="n">
        <f aca="false">H156-H160</f>
        <v>-139.760975940063</v>
      </c>
      <c r="I161" s="138" t="n">
        <f aca="false">I156-I160</f>
        <v>-131.834070964728</v>
      </c>
      <c r="J161" s="138" t="n">
        <f aca="false">J156-J160</f>
        <v>-122.867224697009</v>
      </c>
      <c r="K161" s="138" t="n">
        <f aca="false">K156-K160</f>
        <v>-112.832020329995</v>
      </c>
      <c r="L161" s="138" t="n">
        <f aca="false">L156-L160</f>
        <v>-101.69763281341</v>
      </c>
      <c r="M161" s="138" t="n">
        <f aca="false">M156-M160</f>
        <v>-108.394477671657</v>
      </c>
      <c r="N161" s="138" t="n">
        <f aca="false">N156-N160</f>
        <v>-113.977389635472</v>
      </c>
      <c r="O161" s="138" t="n">
        <f aca="false">O156-O160</f>
        <v>-118.664836835972</v>
      </c>
      <c r="P161" s="138" t="n">
        <f aca="false">P156-P160</f>
        <v>-120.67668520423</v>
      </c>
      <c r="Q161" s="138" t="n">
        <f aca="false">Q156-Q160</f>
        <v>-122.797948863163</v>
      </c>
      <c r="R161" s="138" t="n">
        <f aca="false">R156-R160</f>
        <v>-124.923496264213</v>
      </c>
      <c r="S161" s="138" t="n">
        <f aca="false">S156-S160</f>
        <v>-127.048281544437</v>
      </c>
      <c r="T161" s="138" t="n">
        <f aca="false">T156-T160</f>
        <v>-129.16724249303</v>
      </c>
      <c r="U161" s="138" t="n">
        <f aca="false">U156-U160</f>
        <v>-131.275298622655</v>
      </c>
      <c r="V161" s="138" t="n">
        <f aca="false">V156-V160</f>
        <v>-133.367349258514</v>
      </c>
      <c r="W161" s="138" t="n">
        <f aca="false">W156-W160</f>
        <v>-135.376470587335</v>
      </c>
      <c r="X161" s="138" t="n">
        <f aca="false">X156-X160</f>
        <v>-137.338791803858</v>
      </c>
      <c r="Y161" s="138" t="n">
        <f aca="false">Y156-Y160</f>
        <v>-139.240495001117</v>
      </c>
      <c r="Z161" s="138" t="n">
        <f aca="false">Z156-Z160</f>
        <v>-141.07003332241</v>
      </c>
      <c r="AA161" s="138" t="n">
        <f aca="false">AA156-AA160</f>
        <v>-142.814550818335</v>
      </c>
      <c r="AB161" s="138" t="n">
        <f aca="false">AB156-AB160</f>
        <v>-144.464362538175</v>
      </c>
      <c r="AC161" s="138" t="n">
        <f aca="false">AC156-AC160</f>
        <v>-146.009766850837</v>
      </c>
      <c r="AD161" s="138" t="n">
        <f aca="false">AD156-AD160</f>
        <v>-147.441019855711</v>
      </c>
      <c r="AE161" s="138" t="n">
        <f aca="false">AE156-AE160</f>
        <v>-148.7483102212</v>
      </c>
      <c r="AF161" s="138" t="n">
        <f aca="false">AF156-AF160</f>
        <v>-149.921734278219</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93.3029176301665</v>
      </c>
      <c r="G162" s="116" t="n">
        <f aca="false">G48+G50+(G80-F80)-G63</f>
        <v>9.87012989881451</v>
      </c>
      <c r="H162" s="116" t="n">
        <f aca="false">H48+H50+(H80-G80)-H63</f>
        <v>9.88262131381451</v>
      </c>
      <c r="I162" s="116" t="n">
        <f aca="false">I48+I50+(I80-H80)-I63</f>
        <v>9.89448815806452</v>
      </c>
      <c r="J162" s="116" t="n">
        <f aca="false">J48+J50+(J80-I80)-J63</f>
        <v>9.90576166010201</v>
      </c>
      <c r="K162" s="116" t="n">
        <f aca="false">K48+K50+(K80-J80)-K63</f>
        <v>9.91647148703763</v>
      </c>
      <c r="L162" s="116" t="n">
        <f aca="false">L48+L50+(L80-K80)-L63</f>
        <v>9.92664582262648</v>
      </c>
      <c r="M162" s="116" t="n">
        <f aca="false">M48+M50+(M80-L80)-M63</f>
        <v>8.13757917943803</v>
      </c>
      <c r="N162" s="116" t="n">
        <f aca="false">N48+N50+(N80-M80)-N63</f>
        <v>7.10401520329251</v>
      </c>
      <c r="O162" s="116" t="n">
        <f aca="false">O48+O50+(O80-N80)-O63</f>
        <v>6.24778487727347</v>
      </c>
      <c r="P162" s="116" t="n">
        <f aca="false">P48+P50+(P80-O80)-P63</f>
        <v>3.61244394529077</v>
      </c>
      <c r="Q162" s="116" t="n">
        <f aca="false">Q48+Q50+(Q80-P80)-Q63</f>
        <v>3.76316768961011</v>
      </c>
      <c r="R162" s="116" t="n">
        <f aca="false">R48+R50+(R80-Q80)-R63</f>
        <v>3.80983825952828</v>
      </c>
      <c r="S162" s="116" t="n">
        <f aca="false">S48+S50+(S80-R80)-S63</f>
        <v>3.85256991191292</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3.46949400883476</v>
      </c>
      <c r="AA162" s="116" t="n">
        <f aca="false">AA48+AA50+(AA80-Z80)-AA63</f>
        <v>3.33824032414111</v>
      </c>
      <c r="AB162" s="116" t="n">
        <f aca="false">AB48+AB50+(AB80-AA80)-AB63</f>
        <v>3.20668624159695</v>
      </c>
      <c r="AC162" s="116" t="n">
        <f aca="false">AC48+AC50+(AC80-AB80)-AC63</f>
        <v>3.07484126100528</v>
      </c>
      <c r="AD162" s="116" t="n">
        <f aca="false">AD48+AD50+(AD80-AC80)-AD63</f>
        <v>2.94271421231978</v>
      </c>
      <c r="AE162" s="116" t="n">
        <f aca="false">AE48+AE50+(AE80-AD80)-AE63</f>
        <v>2.81031328225874</v>
      </c>
      <c r="AF162" s="116" t="n">
        <f aca="false">AF48+AF50+(AF80-AE80)-AF63</f>
        <v>2.67764603934558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-39.7259464239658</v>
      </c>
      <c r="D163" s="116" t="n">
        <f aca="false">C163+D53+D56+D58+D118+D119+D60+D113+D101-D115-D162</f>
        <v>-58.8380837943459</v>
      </c>
      <c r="E163" s="116" t="n">
        <f aca="false">D163+E53+E56+E58+E118+E119+E60+E113+E101-E115-E162</f>
        <v>-73.9554158690456</v>
      </c>
      <c r="F163" s="116" t="n">
        <f aca="false">E163+F53+F56+F58+F118+F119+F60+F113+F101-F115-F162</f>
        <v>-152.635641703414</v>
      </c>
      <c r="G163" s="116" t="n">
        <f aca="false">F163+G53+G56+G58+G118+G119+G60+G113+G101-G115-G162</f>
        <v>-146.684328766755</v>
      </c>
      <c r="H163" s="116" t="n">
        <f aca="false">G163+H53+H56+H58+H118+H119+H60+H113+H101-H115-H162</f>
        <v>-139.760975940063</v>
      </c>
      <c r="I163" s="116" t="n">
        <f aca="false">H163+I53+I56+I58+I118+I119+I60+I113+I101-I115-I162</f>
        <v>-131.834070964728</v>
      </c>
      <c r="J163" s="116" t="n">
        <f aca="false">I163+J53+J56+J58+J118+J119+J60+J113+J101-J115-J162</f>
        <v>-122.867224697009</v>
      </c>
      <c r="K163" s="116" t="n">
        <f aca="false">J163+K53+K56+K58+K118+K119+K60+K113+K101-K115-K162</f>
        <v>-112.832020329995</v>
      </c>
      <c r="L163" s="116" t="n">
        <f aca="false">K163+L53+L56+L58+L118+L119+L60+L113+L101-L115-L162</f>
        <v>-101.697632813411</v>
      </c>
      <c r="M163" s="116" t="n">
        <f aca="false">L163+M53+M56+M58+M118+M119+M60+M113+M101-M115-M162</f>
        <v>-108.394477671657</v>
      </c>
      <c r="N163" s="116" t="n">
        <f aca="false">M163+N53+N56+N58+N118+N119+N60+N113+N101-N115-N162</f>
        <v>-113.977389635473</v>
      </c>
      <c r="O163" s="116" t="n">
        <f aca="false">N163+O53+O56+O58+O118+O119+O60+O113+O101-O115-O162</f>
        <v>-118.664836835972</v>
      </c>
      <c r="P163" s="116" t="n">
        <f aca="false">O163+P53+P56+P58+P118+P119+P60+P113+P101-P115-P162</f>
        <v>-120.67668520423</v>
      </c>
      <c r="Q163" s="116" t="n">
        <f aca="false">P163+Q53+Q56+Q58+Q118+Q119+Q60+Q113+Q101-Q115-Q162</f>
        <v>-122.797948863163</v>
      </c>
      <c r="R163" s="116" t="n">
        <f aca="false">Q163+R53+R56+R58+R118+R119+R60+R113+R101-R115-R162</f>
        <v>-124.923496264213</v>
      </c>
      <c r="S163" s="116" t="n">
        <f aca="false">R163+S53+S56+S58+S118+S119+S60+S113+S101-S115-S162</f>
        <v>-127.048281544437</v>
      </c>
      <c r="T163" s="116" t="n">
        <f aca="false">S163+T53+T56+T58+T118+T119+T60+T113+T101-T115-T162</f>
        <v>-129.167242493029</v>
      </c>
      <c r="U163" s="116" t="n">
        <f aca="false">T163+U53+U56+U58+U118+U119+U60+U113+U101-U115-U162</f>
        <v>-131.275298622655</v>
      </c>
      <c r="V163" s="116" t="n">
        <f aca="false">U163+V53+V56+V58+V118+V119+V60+V113+V101-V115-V162</f>
        <v>-133.367349258514</v>
      </c>
      <c r="W163" s="116" t="n">
        <f aca="false">V163+W53+W56+W58+W118+W119+W60+W113+W101-W115-W162</f>
        <v>-135.376470587335</v>
      </c>
      <c r="X163" s="116" t="n">
        <f aca="false">W163+X53+X56+X58+X118+X119+X60+X113+X101-X115-X162</f>
        <v>-137.338791803858</v>
      </c>
      <c r="Y163" s="116" t="n">
        <f aca="false">X163+Y53+Y56+Y58+Y118+Y119+Y60+Y113+Y101-Y115-Y162</f>
        <v>-139.240495001117</v>
      </c>
      <c r="Z163" s="116" t="n">
        <f aca="false">Y163+Z53+Z56+Z58+Z118+Z119+Z60+Z113+Z101-Z115-Z162</f>
        <v>-141.07003332241</v>
      </c>
      <c r="AA163" s="116" t="n">
        <f aca="false">Z163+AA53+AA56+AA58+AA118+AA119+AA60+AA113+AA101-AA115-AA162</f>
        <v>-142.814550818335</v>
      </c>
      <c r="AB163" s="116" t="n">
        <f aca="false">AA163+AB53+AB56+AB58+AB118+AB119+AB60+AB113+AB101-AB115-AB162</f>
        <v>-144.464362538175</v>
      </c>
      <c r="AC163" s="116" t="n">
        <f aca="false">AB163+AC53+AC56+AC58+AC118+AC119+AC60+AC113+AC101-AC115-AC162</f>
        <v>-146.009766850837</v>
      </c>
      <c r="AD163" s="116" t="n">
        <f aca="false">AC163+AD53+AD56+AD58+AD118+AD119+AD60+AD113+AD101-AD115-AD162</f>
        <v>-147.441019855711</v>
      </c>
      <c r="AE163" s="116" t="n">
        <f aca="false">AD163+AE53+AE56+AE58+AE118+AE119+AE60+AE113+AE101-AE115-AE162</f>
        <v>-148.7483102212</v>
      </c>
      <c r="AF163" s="116" t="n">
        <f aca="false">AE163+AF53+AF56+AF58+AF118+AF119+AF60+AF113+AF101-AF115-AF162</f>
        <v>-149.921734278219</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0.03</v>
      </c>
      <c r="D174" s="83" t="s">
        <v>1345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41.5143938619143</v>
      </c>
      <c r="D186" s="142" t="n">
        <f aca="false">D84-D181</f>
        <v>61.3928961116566</v>
      </c>
      <c r="E186" s="142" t="n">
        <f aca="false">E84-E181</f>
        <v>76.4455777704342</v>
      </c>
      <c r="F186" s="142" t="n">
        <f aca="false">F84-F181</f>
        <v>145.975940389483</v>
      </c>
      <c r="G186" s="142" t="n">
        <f aca="false">G84-G181</f>
        <v>131.525122449538</v>
      </c>
      <c r="H186" s="142" t="n">
        <f aca="false">H84-H181</f>
        <v>125.169778149726</v>
      </c>
      <c r="I186" s="142" t="n">
        <f aca="false">I84-I181</f>
        <v>118.552452517315</v>
      </c>
      <c r="J186" s="142" t="n">
        <f aca="false">J84-J181</f>
        <v>111.666253702024</v>
      </c>
      <c r="K186" s="142" t="n">
        <f aca="false">K84-K181</f>
        <v>104.504174654999</v>
      </c>
      <c r="L186" s="142" t="n">
        <f aca="false">L84-L181</f>
        <v>97.0590883135424</v>
      </c>
      <c r="M186" s="142" t="n">
        <f aca="false">M84-M181</f>
        <v>91.7433582401073</v>
      </c>
      <c r="N186" s="142" t="n">
        <f aca="false">N84-N181</f>
        <v>85.0832460200054</v>
      </c>
      <c r="O186" s="142" t="n">
        <f aca="false">O84-O181</f>
        <v>77.2488873458042</v>
      </c>
      <c r="P186" s="142" t="n">
        <f aca="false">P84-P181</f>
        <v>66.4538063663279</v>
      </c>
      <c r="Q186" s="142" t="n">
        <f aca="false">Q84-Q181</f>
        <v>55.4765313161651</v>
      </c>
      <c r="R186" s="142" t="n">
        <f aca="false">R84-R181</f>
        <v>52.7137234076945</v>
      </c>
      <c r="S186" s="142" t="n">
        <f aca="false">S84-S181</f>
        <v>51.0823945384463</v>
      </c>
      <c r="T186" s="142" t="n">
        <f aca="false">T84-T181</f>
        <v>49.3620275541581</v>
      </c>
      <c r="U186" s="142" t="n">
        <f aca="false">U84-U181</f>
        <v>47.5457074715249</v>
      </c>
      <c r="V186" s="142" t="n">
        <f aca="false">V84-V181</f>
        <v>45.6264589119001</v>
      </c>
      <c r="W186" s="142" t="n">
        <f aca="false">W84-W181</f>
        <v>44.8061093428768</v>
      </c>
      <c r="X186" s="142" t="n">
        <f aca="false">X84-X181</f>
        <v>44.1340882059979</v>
      </c>
      <c r="Y186" s="142" t="n">
        <f aca="false">Y84-Y181</f>
        <v>43.3587950667622</v>
      </c>
      <c r="Z186" s="142" t="n">
        <f aca="false">Z84-Z181</f>
        <v>42.4756998088643</v>
      </c>
      <c r="AA186" s="142" t="n">
        <f aca="false">AA84-AA181</f>
        <v>41.4802539920832</v>
      </c>
      <c r="AB186" s="142" t="n">
        <f aca="false">AB84-AB181</f>
        <v>40.3712932072537</v>
      </c>
      <c r="AC186" s="142" t="n">
        <f aca="false">AC84-AC181</f>
        <v>39.1476326240472</v>
      </c>
      <c r="AD186" s="142" t="n">
        <f aca="false">AD84-AD181</f>
        <v>37.8080659386319</v>
      </c>
      <c r="AE186" s="142" t="n">
        <f aca="false">AE84-AE181</f>
        <v>36.3513643169208</v>
      </c>
      <c r="AF186" s="142" t="n">
        <f aca="false">AF84-AF181</f>
        <v>34.776275331985</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1.03359586865686</v>
      </c>
      <c r="AC189" s="142" t="n">
        <f aca="false">AC68-AB68</f>
        <v>0.997276246852678</v>
      </c>
      <c r="AD189" s="142" t="n">
        <f aca="false">AD68-AC68</f>
        <v>0.960875943603995</v>
      </c>
      <c r="AE189" s="142" t="n">
        <f aca="false">AE68-AD68</f>
        <v>0.92439211085582</v>
      </c>
      <c r="AF189" s="142" t="n">
        <f aca="false">AF68-AE68</f>
        <v>0.887821800016823</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-18.8988855669246</v>
      </c>
      <c r="D192" s="142" t="n">
        <f aca="false">D149-SUM($C$191:D191)</f>
        <v>-38.3468641473863</v>
      </c>
      <c r="E192" s="142" t="n">
        <f aca="false">E149-SUM($C$191:E191)</f>
        <v>-58.3556226813359</v>
      </c>
      <c r="F192" s="142" t="n">
        <f aca="false">F149-SUM($C$191:F191)</f>
        <v>-78.381229005248</v>
      </c>
      <c r="G192" s="142" t="n">
        <f aca="false">G149-SUM($C$191:G191)</f>
        <v>-99.0020790125587</v>
      </c>
      <c r="H192" s="142" t="n">
        <f aca="false">H149-SUM($C$191:H191)</f>
        <v>-120.216043666179</v>
      </c>
      <c r="I192" s="142" t="n">
        <f aca="false">I149-SUM($C$191:I191)</f>
        <v>-142.021143480742</v>
      </c>
      <c r="J192" s="142" t="n">
        <f aca="false">J149-SUM($C$191:J191)</f>
        <v>-164.415539184638</v>
      </c>
      <c r="K192" s="142" t="n">
        <f aca="false">K149-SUM($C$191:K191)</f>
        <v>-187.39752299676</v>
      </c>
      <c r="L192" s="142" t="n">
        <f aca="false">L149-SUM($C$191:L191)</f>
        <v>-210.96551047867</v>
      </c>
      <c r="M192" s="142" t="n">
        <f aca="false">M149-SUM($C$191:M191)</f>
        <v>-214.380478030721</v>
      </c>
      <c r="N192" s="142" t="n">
        <f aca="false">N149-SUM($C$191:N191)</f>
        <v>-217.71348046249</v>
      </c>
      <c r="O192" s="142" t="n">
        <f aca="false">O149-SUM($C$191:O191)</f>
        <v>-221.043246055417</v>
      </c>
      <c r="P192" s="142" t="n">
        <f aca="false">P149-SUM($C$191:P191)</f>
        <v>-224.346841249868</v>
      </c>
      <c r="Q192" s="142" t="n">
        <f aca="false">Q149-SUM($C$191:Q191)</f>
        <v>-227.625871775867</v>
      </c>
      <c r="R192" s="142" t="n">
        <f aca="false">R149-SUM($C$191:R191)</f>
        <v>-230.903819478927</v>
      </c>
      <c r="S192" s="142" t="n">
        <f aca="false">S149-SUM($C$191:S191)</f>
        <v>-234.185886846235</v>
      </c>
      <c r="T192" s="142" t="n">
        <f aca="false">T149-SUM($C$191:T191)</f>
        <v>-237.47420228513</v>
      </c>
      <c r="U192" s="142" t="n">
        <f aca="false">U149-SUM($C$191:U191)</f>
        <v>-240.770861209156</v>
      </c>
      <c r="V192" s="142" t="n">
        <f aca="false">V149-SUM($C$191:V191)</f>
        <v>-244.077921937263</v>
      </c>
      <c r="W192" s="142" t="n">
        <f aca="false">W149-SUM($C$191:W191)</f>
        <v>-247.400701960419</v>
      </c>
      <c r="X192" s="142" t="n">
        <f aca="false">X149-SUM($C$191:X191)</f>
        <v>-250.742138367093</v>
      </c>
      <c r="Y192" s="142" t="n">
        <f aca="false">Y149-SUM($C$191:Y191)</f>
        <v>-254.104569705312</v>
      </c>
      <c r="Z192" s="142" t="n">
        <f aca="false">Z149-SUM($C$191:Z191)</f>
        <v>-257.490313922162</v>
      </c>
      <c r="AA192" s="142" t="n">
        <f aca="false">AA149-SUM($C$191:AA191)</f>
        <v>-260.901671901547</v>
      </c>
      <c r="AB192" s="142" t="n">
        <f aca="false">AB149-SUM($C$191:AB191)</f>
        <v>-264.34093415401</v>
      </c>
      <c r="AC192" s="142" t="n">
        <f aca="false">AC149-SUM($C$191:AC191)</f>
        <v>-267.810384034228</v>
      </c>
      <c r="AD192" s="142" t="n">
        <f aca="false">AD149-SUM($C$191:AD191)</f>
        <v>-271.312300816012</v>
      </c>
      <c r="AE192" s="142" t="n">
        <f aca="false">AE149-SUM($C$191:AE191)</f>
        <v>-274.848962635614</v>
      </c>
      <c r="AF192" s="142" t="n">
        <f aca="false">AF149-SUM($C$191:AF191)</f>
        <v>-278.422649313498</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1346</v>
      </c>
      <c r="C221" s="116" t="n">
        <f aca="false">C112</f>
        <v>0.118288787723829</v>
      </c>
      <c r="D221" s="116" t="n">
        <f aca="false">D112</f>
        <v>0.194477540223313</v>
      </c>
      <c r="E221" s="116" t="n">
        <f aca="false">E112</f>
        <v>0.262221671615268</v>
      </c>
      <c r="F221" s="116" t="n">
        <f aca="false">F112</f>
        <v>0.545473119675601</v>
      </c>
      <c r="G221" s="116" t="n">
        <f aca="false">G112</f>
        <v>0.57057817627323</v>
      </c>
      <c r="H221" s="116" t="n">
        <f aca="false">H112</f>
        <v>0.59570821570086</v>
      </c>
      <c r="I221" s="116" t="n">
        <f aca="false">I112</f>
        <v>0.620861988816989</v>
      </c>
      <c r="J221" s="116" t="n">
        <f aca="false">J112</f>
        <v>0.646038308937193</v>
      </c>
      <c r="K221" s="116" t="n">
        <f aca="false">K112</f>
        <v>0.671236048711268</v>
      </c>
      <c r="L221" s="116" t="n">
        <f aca="false">L112</f>
        <v>0.696454137156521</v>
      </c>
      <c r="M221" s="116" t="n">
        <f aca="false">M112</f>
        <v>0.718094092315397</v>
      </c>
      <c r="N221" s="116" t="n">
        <f aca="false">N112</f>
        <v>0.737666919521982</v>
      </c>
      <c r="O221" s="116" t="n">
        <f aca="false">O112</f>
        <v>0.75592239794082</v>
      </c>
      <c r="P221" s="116" t="n">
        <f aca="false">P112</f>
        <v>0.76937651827871</v>
      </c>
      <c r="Q221" s="116" t="n">
        <f aca="false">Q112</f>
        <v>0.783380474073533</v>
      </c>
      <c r="R221" s="116" t="n">
        <f aca="false">R112</f>
        <v>0.797748878953198</v>
      </c>
      <c r="S221" s="116" t="n">
        <f aca="false">S112</f>
        <v>0.811836513103703</v>
      </c>
      <c r="T221" s="116" t="n">
        <f aca="false">T112</f>
        <v>0.8257381717915</v>
      </c>
      <c r="U221" s="116" t="n">
        <f aca="false">U112</f>
        <v>0.839475395111515</v>
      </c>
      <c r="V221" s="116" t="n">
        <f aca="false">V112</f>
        <v>0.853052163152491</v>
      </c>
      <c r="W221" s="116" t="n">
        <f aca="false">W112</f>
        <v>0.866203875864857</v>
      </c>
      <c r="X221" s="116" t="n">
        <f aca="false">X112</f>
        <v>0.879010369577605</v>
      </c>
      <c r="Y221" s="116" t="n">
        <f aca="false">Y112</f>
        <v>0.891569233767438</v>
      </c>
      <c r="Z221" s="116" t="n">
        <f aca="false">Z112</f>
        <v>0.903873018585107</v>
      </c>
      <c r="AA221" s="116" t="n">
        <f aca="false">AA112</f>
        <v>0.91591429603339</v>
      </c>
      <c r="AB221" s="116" t="n">
        <f aca="false">AB112</f>
        <v>0.927692465316583</v>
      </c>
      <c r="AC221" s="116" t="n">
        <f aca="false">AC112</f>
        <v>0.939206944638594</v>
      </c>
      <c r="AD221" s="116" t="n">
        <f aca="false">AD112</f>
        <v>0.950457169863234</v>
      </c>
      <c r="AE221" s="116" t="n">
        <f aca="false">AE112</f>
        <v>0.961442593227751</v>
      </c>
      <c r="AF221" s="116" t="n">
        <f aca="false">AF112</f>
        <v>0.972162682106442</v>
      </c>
    </row>
    <row r="222" customFormat="false" ht="14.25" hidden="false" customHeight="true" outlineLevel="0" collapsed="false">
      <c r="B222" s="1" t="s">
        <v>1218</v>
      </c>
      <c r="C222" s="87" t="n">
        <f aca="false">IF(C221&gt;0,C220/C221,0)</f>
        <v>0.779690291911077</v>
      </c>
      <c r="D222" s="87" t="n">
        <f aca="false">IF(D221&gt;0,D220/D221,0)</f>
        <v>1.20777960047155</v>
      </c>
      <c r="E222" s="87" t="n">
        <f aca="false">IF(E221&gt;0,E220/E221,0)</f>
        <v>1.58753747659019</v>
      </c>
      <c r="F222" s="87" t="n">
        <f aca="false">IF(F221&gt;0,F220/F221,0)</f>
        <v>1.45170196512618</v>
      </c>
      <c r="G222" s="87" t="n">
        <f aca="false">IF(G221&gt;0,G220/G221,0)</f>
        <v>2.00361664705631</v>
      </c>
      <c r="H222" s="87" t="n">
        <f aca="false">IF(H221&gt;0,H220/H221,0)</f>
        <v>2.47086652269859</v>
      </c>
      <c r="I222" s="87" t="n">
        <f aca="false">IF(I221&gt;0,I220/I221,0)</f>
        <v>2.8660354591115</v>
      </c>
      <c r="J222" s="87" t="n">
        <f aca="false">IF(J221&gt;0,J220/J221,0)</f>
        <v>3.19962148750406</v>
      </c>
      <c r="K222" s="87" t="n">
        <f aca="false">IF(K221&gt;0,K220/K221,0)</f>
        <v>3.48043168841404</v>
      </c>
      <c r="L222" s="87" t="n">
        <f aca="false">IF(L221&gt;0,L220/L221,0)</f>
        <v>3.715892140736</v>
      </c>
      <c r="M222" s="87" t="n">
        <f aca="false">IF(M221&gt;0,M220/M221,0)</f>
        <v>3.80345768232337</v>
      </c>
      <c r="N222" s="87" t="n">
        <f aca="false">IF(N221&gt;0,N220/N221,0)</f>
        <v>3.80783555680581</v>
      </c>
      <c r="O222" s="87" t="n">
        <f aca="false">IF(O221&gt;0,O220/O221,0)</f>
        <v>3.74857922303681</v>
      </c>
      <c r="P222" s="87" t="n">
        <f aca="false">IF(P221&gt;0,P220/P221,0)</f>
        <v>3.44549809880179</v>
      </c>
      <c r="Q222" s="87" t="n">
        <f aca="false">IF(Q221&gt;0,Q220/Q221,0)</f>
        <v>3.1656670363067</v>
      </c>
      <c r="R222" s="87" t="n">
        <f aca="false">IF(R221&gt;0,R220/R221,0)</f>
        <v>2.90816342678016</v>
      </c>
      <c r="S222" s="87" t="n">
        <f aca="false">IF(S221&gt;0,S220/S221,0)</f>
        <v>2.67339705511526</v>
      </c>
      <c r="T222" s="87" t="n">
        <f aca="false">IF(T221&gt;0,T220/T221,0)</f>
        <v>2.45887651331035</v>
      </c>
      <c r="U222" s="87" t="n">
        <f aca="false">IF(U221&gt;0,U220/U221,0)</f>
        <v>2.26265397587292</v>
      </c>
      <c r="V222" s="87" t="n">
        <f aca="false">IF(V221&gt;0,V220/V221,0)</f>
        <v>2.08303976457784</v>
      </c>
      <c r="W222" s="87" t="n">
        <f aca="false">IF(W221&gt;0,W220/W221,0)</f>
        <v>1.91911085102892</v>
      </c>
      <c r="X222" s="87" t="n">
        <f aca="false">IF(X221&gt;0,X220/X221,0)</f>
        <v>1.76918488291369</v>
      </c>
      <c r="Y222" s="87" t="n">
        <f aca="false">IF(Y221&gt;0,Y220/Y221,0)</f>
        <v>1.63177088272977</v>
      </c>
      <c r="Z222" s="87" t="n">
        <f aca="false">IF(Z221&gt;0,Z220/Z221,0)</f>
        <v>1.50575344272824</v>
      </c>
      <c r="AA222" s="87" t="n">
        <f aca="false">IF(AA221&gt;0,AA220/AA221,0)</f>
        <v>1.3901238167924</v>
      </c>
      <c r="AB222" s="87" t="n">
        <f aca="false">IF(AB221&gt;0,AB220/AB221,0)</f>
        <v>1.28395950630224</v>
      </c>
      <c r="AC222" s="87" t="n">
        <f aca="false">IF(AC221&gt;0,AC220/AC221,0)</f>
        <v>1.18642720279257</v>
      </c>
      <c r="AD222" s="87" t="n">
        <f aca="false">IF(AD221&gt;0,AD220/AD221,0)</f>
        <v>1.09677331241481</v>
      </c>
      <c r="AE222" s="87" t="n">
        <f aca="false">IF(AE221&gt;0,AE220/AE221,0)</f>
        <v>1.01431559309325</v>
      </c>
      <c r="AF222" s="87" t="n">
        <f aca="false">IF(AF221&gt;0,AF220/AF221,0)</f>
        <v>0.938435759774403</v>
      </c>
    </row>
    <row r="223" customFormat="false" ht="14.25" hidden="false" customHeight="true" outlineLevel="0" collapsed="false">
      <c r="B223" s="1" t="s">
        <v>1219</v>
      </c>
      <c r="C223" s="88" t="n">
        <f aca="false">C220-C221</f>
        <v>-0.0260601682936292</v>
      </c>
      <c r="D223" s="88" t="n">
        <f aca="false">D220-D221</f>
        <v>0.0404084656082906</v>
      </c>
      <c r="E223" s="88" t="n">
        <f aca="false">E220-E221</f>
        <v>0.154065059248095</v>
      </c>
      <c r="F223" s="88" t="n">
        <f aca="false">F220-F221</f>
        <v>0.246391280080977</v>
      </c>
      <c r="G223" s="88" t="n">
        <f aca="false">G220-G221</f>
        <v>0.572641756154843</v>
      </c>
      <c r="H223" s="88" t="n">
        <f aca="false">H220-H221</f>
        <v>0.876207271770902</v>
      </c>
      <c r="I223" s="88" t="n">
        <f aca="false">I220-I221</f>
        <v>1.15855048634699</v>
      </c>
      <c r="J223" s="88" t="n">
        <f aca="false">J220-J221</f>
        <v>1.42103974608903</v>
      </c>
      <c r="K223" s="88" t="n">
        <f aca="false">K220-K221</f>
        <v>1.66495516562926</v>
      </c>
      <c r="L223" s="88" t="n">
        <f aca="false">L220-L221</f>
        <v>1.89149431748647</v>
      </c>
      <c r="M223" s="88" t="n">
        <f aca="false">M220-M221</f>
        <v>2.01314639973262</v>
      </c>
      <c r="N223" s="88" t="n">
        <f aca="false">N220-N221</f>
        <v>2.07124740571323</v>
      </c>
      <c r="O223" s="88" t="n">
        <f aca="false">O220-O221</f>
        <v>2.0777125972083</v>
      </c>
      <c r="P223" s="88" t="n">
        <f aca="false">P220-P221</f>
        <v>1.88150881271332</v>
      </c>
      <c r="Q223" s="88" t="n">
        <f aca="false">Q220-Q221</f>
        <v>1.69654126958737</v>
      </c>
      <c r="R223" s="88" t="n">
        <f aca="false">R220-R221</f>
        <v>1.52223523457336</v>
      </c>
      <c r="S223" s="88" t="n">
        <f aca="false">S220-S221</f>
        <v>1.35852483026278</v>
      </c>
      <c r="T223" s="88" t="n">
        <f aca="false">T220-T221</f>
        <v>1.20465002497045</v>
      </c>
      <c r="U223" s="88" t="n">
        <f aca="false">U220-U221</f>
        <v>1.05996694528504</v>
      </c>
      <c r="V223" s="88" t="n">
        <f aca="false">V220-V221</f>
        <v>0.92388941395329</v>
      </c>
      <c r="W223" s="88" t="n">
        <f aca="false">W220-W221</f>
        <v>0.7961373815107</v>
      </c>
      <c r="X223" s="88" t="n">
        <f aca="false">X220-X221</f>
        <v>0.676121488203471</v>
      </c>
      <c r="Y223" s="88" t="n">
        <f aca="false">Y220-Y221</f>
        <v>0.563267481831955</v>
      </c>
      <c r="Z223" s="88" t="n">
        <f aca="false">Z220-Z221</f>
        <v>0.457136890938582</v>
      </c>
      <c r="AA223" s="88" t="n">
        <f aca="false">AA220-AA221</f>
        <v>0.357319981023271</v>
      </c>
      <c r="AB223" s="88" t="n">
        <f aca="false">AB220-AB221</f>
        <v>0.263427094451605</v>
      </c>
      <c r="AC223" s="88" t="n">
        <f aca="false">AC220-AC221</f>
        <v>0.175093723532332</v>
      </c>
      <c r="AD223" s="88" t="n">
        <f aca="false">AD220-AD221</f>
        <v>0.0919788886360665</v>
      </c>
      <c r="AE223" s="88" t="n">
        <f aca="false">AE220-AE221</f>
        <v>0.0137636209471721</v>
      </c>
      <c r="AF223" s="88" t="n">
        <f aca="false">AF220-AF221</f>
        <v>-0.0598504568995618</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0.00973376431700337</v>
      </c>
      <c r="D233" s="1" t="n">
        <f aca="false">IF(C81&gt;0,(D107+D109+D110+D184-D108-D229)/C81,0)</f>
        <v>0.0309418551614619</v>
      </c>
      <c r="E233" s="1" t="n">
        <f aca="false">IF(D81&gt;0,(E107+E109+E110+E184-E108-E229)/D81,0)</f>
        <v>0.0306358187158267</v>
      </c>
      <c r="F233" s="1" t="n">
        <f aca="false">IF(E81&gt;0,(F107+F109+F110+F184-F108-F229)/E81,0)</f>
        <v>0.0412294391217909</v>
      </c>
      <c r="G233" s="1" t="n">
        <f aca="false">IF(F81&gt;0,(G107+G109+G110+G184-G108-G229)/F81,0)</f>
        <v>0.0239820146154313</v>
      </c>
      <c r="H233" s="1" t="n">
        <f aca="false">IF(G81&gt;0,(H107+H109+H110+H184-H108-H229)/G81,0)</f>
        <v>0.0262086043526204</v>
      </c>
      <c r="I233" s="1" t="n">
        <f aca="false">IF(H81&gt;0,(I107+I109+I110+I184-I108-I229)/H81,0)</f>
        <v>0.0284213726799655</v>
      </c>
      <c r="J233" s="1" t="n">
        <f aca="false">IF(I81&gt;0,(J107+J109+J110+J184-J108-J229)/I81,0)</f>
        <v>0.0306325428475732</v>
      </c>
      <c r="K233" s="1" t="n">
        <f aca="false">IF(J81&gt;0,(K107+K109+K110+K184-K108-K229)/J81,0)</f>
        <v>0.0328134171957097</v>
      </c>
      <c r="L233" s="1" t="n">
        <f aca="false">IF(K81&gt;0,(L107+L109+L110+L184-L108-L229)/K81,0)</f>
        <v>0.0349707939137654</v>
      </c>
      <c r="M233" s="1" t="n">
        <f aca="false">IF(L81&gt;0,(M107+M109+M110+M184-M108-M229)/L81,0)</f>
        <v>0.0368972920116958</v>
      </c>
      <c r="N233" s="1" t="n">
        <f aca="false">IF(M81&gt;0,(N107+N109+N110+N184-N108-N229)/M81,0)</f>
        <v>0.0371043852196188</v>
      </c>
      <c r="O233" s="1" t="n">
        <f aca="false">IF(N81&gt;0,(O107+O109+O110+O184-O108-O229)/N81,0)</f>
        <v>0.0375330257751824</v>
      </c>
      <c r="P233" s="1" t="n">
        <f aca="false">IF(O81&gt;0,(P107+P109+P110+P184-P108-P229)/O81,0)</f>
        <v>0.0382504490548568</v>
      </c>
      <c r="Q233" s="1" t="n">
        <f aca="false">IF(P81&gt;0,(Q107+Q109+Q110+Q184-Q108-Q229)/P81,0)</f>
        <v>0.0391783672809361</v>
      </c>
      <c r="R233" s="1" t="n">
        <f aca="false">IF(Q81&gt;0,(R107+R109+R110+R184-R108-R229)/Q81,0)</f>
        <v>0.0391844183465887</v>
      </c>
      <c r="S233" s="1" t="n">
        <f aca="false">IF(R81&gt;0,(S107+S109+S110+S184-S108-S229)/R81,0)</f>
        <v>0.0392610917975333</v>
      </c>
      <c r="T233" s="1" t="n">
        <f aca="false">IF(S81&gt;0,(T107+T109+T110+T184-T108-T229)/S81,0)</f>
        <v>0.0393488642693709</v>
      </c>
      <c r="U233" s="1" t="n">
        <f aca="false">IF(T81&gt;0,(U107+U109+U110+U184-U108-U229)/T81,0)</f>
        <v>0.0394232884896757</v>
      </c>
      <c r="V233" s="1" t="n">
        <f aca="false">IF(U81&gt;0,(V107+V109+V110+V184-V108-V229)/U81,0)</f>
        <v>0.0395072062230142</v>
      </c>
      <c r="W233" s="1" t="n">
        <f aca="false">IF(V81&gt;0,(W107+W109+W110+W184-W108-W229)/V81,0)</f>
        <v>0.0394750388522248</v>
      </c>
      <c r="X233" s="1" t="n">
        <f aca="false">IF(W81&gt;0,(X107+X109+X110+X184-X108-X229)/W81,0)</f>
        <v>0.0394603935016336</v>
      </c>
      <c r="Y233" s="1" t="n">
        <f aca="false">IF(X81&gt;0,(Y107+Y109+Y110+Y184-Y108-Y229)/X81,0)</f>
        <v>0.0394544880268486</v>
      </c>
      <c r="Z233" s="1" t="n">
        <f aca="false">IF(Y81&gt;0,(Z107+Z109+Z110+Z184-Z108-Z229)/Y81,0)</f>
        <v>0.0394484769937402</v>
      </c>
      <c r="AA233" s="1" t="n">
        <f aca="false">IF(Z81&gt;0,(AA107+AA109+AA110+AA184-AA108-AA229)/Z81,0)</f>
        <v>0.039446415058377</v>
      </c>
      <c r="AB233" s="1" t="n">
        <f aca="false">IF(AA81&gt;0,(AB107+AB109+AB110+AB184-AB108-AB229)/AA81,0)</f>
        <v>0.0394497373414186</v>
      </c>
      <c r="AC233" s="1" t="n">
        <f aca="false">IF(AB81&gt;0,(AC107+AC109+AC110+AC184-AC108-AC229)/AB81,0)</f>
        <v>0.0394590009630994</v>
      </c>
      <c r="AD233" s="1" t="n">
        <f aca="false">IF(AC81&gt;0,(AD107+AD109+AD110+AD184-AD108-AD229)/AC81,0)</f>
        <v>0.0394747460019285</v>
      </c>
      <c r="AE233" s="1" t="n">
        <f aca="false">IF(AD81&gt;0,(AE107+AE109+AE110+AE184-AE108-AE229)/AD81,0)</f>
        <v>0.0394975003789617</v>
      </c>
      <c r="AF233" s="1" t="n">
        <f aca="false">IF(AE81&gt;0,(AF107+AF109+AF110+AF184-AF108-AF229)/AE81,0)</f>
        <v>0.0395277844850315</v>
      </c>
    </row>
    <row r="234" customFormat="false" ht="14.25" hidden="false" customHeight="true" outlineLevel="0" collapsed="false">
      <c r="B234" s="1" t="s">
        <v>1230</v>
      </c>
      <c r="C234" s="1" t="n">
        <f aca="false">(C232+0)/2*C233</f>
        <v>0.00897731644816159</v>
      </c>
      <c r="D234" s="1" t="n">
        <f aca="false">(D232+C232)/2*D233</f>
        <v>0.101215333560466</v>
      </c>
      <c r="E234" s="1" t="n">
        <f aca="false">(E232+D232)/2*E233</f>
        <v>0.199492099140758</v>
      </c>
      <c r="F234" s="1" t="n">
        <f aca="false">(F232+E232)/2*F233</f>
        <v>0.498113934898178</v>
      </c>
      <c r="G234" s="1" t="n">
        <f aca="false">(G232+F232)/2*G233</f>
        <v>0.464072207365444</v>
      </c>
      <c r="H234" s="1" t="n">
        <f aca="false">(H232+G232)/2*H233</f>
        <v>0.685390495486786</v>
      </c>
      <c r="I234" s="1" t="n">
        <f aca="false">(I232+H232)/2*I233</f>
        <v>0.924072037308632</v>
      </c>
      <c r="J234" s="1" t="n">
        <f aca="false">(J232+I232)/2*J233</f>
        <v>1.17827785978836</v>
      </c>
      <c r="K234" s="1" t="n">
        <f aca="false">(K232+J232)/2*K233</f>
        <v>1.44486311560779</v>
      </c>
      <c r="L234" s="1" t="n">
        <f aca="false">(L232+K232)/2*L233</f>
        <v>1.7220107356662</v>
      </c>
      <c r="M234" s="1" t="n">
        <f aca="false">(M232+L232)/2*M233</f>
        <v>1.96263667831443</v>
      </c>
      <c r="N234" s="1" t="n">
        <f aca="false">(N232+M232)/2*N233</f>
        <v>2.05564038516804</v>
      </c>
      <c r="O234" s="1" t="n">
        <f aca="false">(O232+N232)/2*O233</f>
        <v>2.11781949079723</v>
      </c>
      <c r="P234" s="1" t="n">
        <f aca="false">(P232+O232)/2*P233</f>
        <v>2.09785365325388</v>
      </c>
      <c r="Q234" s="1" t="n">
        <f aca="false">(Q232+P232)/2*Q233</f>
        <v>2.01016644018378</v>
      </c>
      <c r="R234" s="1" t="n">
        <f aca="false">(R232+Q232)/2*R233</f>
        <v>1.88081519132275</v>
      </c>
      <c r="S234" s="1" t="n">
        <f aca="false">(S232+R232)/2*S233</f>
        <v>1.76295865185714</v>
      </c>
      <c r="T234" s="1" t="n">
        <f aca="false">(T232+S232)/2*T233</f>
        <v>1.65294723484136</v>
      </c>
      <c r="U234" s="1" t="n">
        <f aca="false">(U232+T232)/2*U233</f>
        <v>1.54926842981937</v>
      </c>
      <c r="V234" s="1" t="n">
        <f aca="false">(V232+U232)/2*V233</f>
        <v>1.45243657583738</v>
      </c>
      <c r="W234" s="1" t="n">
        <f aca="false">(W232+V232)/2*W233</f>
        <v>1.35765823514941</v>
      </c>
      <c r="X234" s="1" t="n">
        <f aca="false">(X232+W232)/2*X233</f>
        <v>1.26962755205008</v>
      </c>
      <c r="Y234" s="1" t="n">
        <f aca="false">(Y232+X232)/2*Y233</f>
        <v>1.1875676903963</v>
      </c>
      <c r="Z234" s="1" t="n">
        <f aca="false">(Z232+Y232)/2*Z233</f>
        <v>1.11080860809069</v>
      </c>
      <c r="AA234" s="1" t="n">
        <f aca="false">(AA232+Z232)/2*AA233</f>
        <v>1.03911489548965</v>
      </c>
      <c r="AB234" s="1" t="n">
        <f aca="false">(AB232+AA232)/2*AB233</f>
        <v>0.972181115790575</v>
      </c>
      <c r="AC234" s="1" t="n">
        <f aca="false">(AC232+AB232)/2*AC233</f>
        <v>0.909695789945982</v>
      </c>
      <c r="AD234" s="1" t="n">
        <f aca="false">(AD232+AC232)/2*AD233</f>
        <v>0.851366344783378</v>
      </c>
      <c r="AE234" s="1" t="n">
        <f aca="false">(AE232+AD232)/2*AE233</f>
        <v>0.796918264295592</v>
      </c>
      <c r="AF234" s="1" t="n">
        <f aca="false">(AF232+AE232)/2*AF233</f>
        <v>0.74609422083407</v>
      </c>
    </row>
    <row r="235" customFormat="false" ht="14.25" hidden="false" customHeight="true" outlineLevel="0" collapsed="false">
      <c r="B235" s="1" t="s">
        <v>1231</v>
      </c>
      <c r="C235" s="1" t="n">
        <f aca="false">MAX(0,MIN(C234,$C$231*C232))</f>
        <v>0.00897731644816159</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v>
      </c>
      <c r="D236" s="1" t="n">
        <f aca="false">MAX(0,D234-D235)</f>
        <v>0.0777267329773056</v>
      </c>
      <c r="E236" s="1" t="n">
        <f aca="false">MAX(0,E234-E235)</f>
        <v>0.157863426054421</v>
      </c>
      <c r="F236" s="1" t="n">
        <f aca="false">MAX(0,F234-F235)</f>
        <v>0.41892749492252</v>
      </c>
      <c r="G236" s="1" t="n">
        <f aca="false">MAX(0,G234-G235)</f>
        <v>0.349750214122637</v>
      </c>
      <c r="H236" s="1" t="n">
        <f aca="false">MAX(0,H234-H235)</f>
        <v>0.538198946739609</v>
      </c>
      <c r="I236" s="1" t="n">
        <f aca="false">MAX(0,I234-I235)</f>
        <v>0.746130789792234</v>
      </c>
      <c r="J236" s="1" t="n">
        <f aca="false">MAX(0,J234-J235)</f>
        <v>0.971570054285736</v>
      </c>
      <c r="K236" s="1" t="n">
        <f aca="false">MAX(0,K234-K235)</f>
        <v>1.21124399417374</v>
      </c>
      <c r="L236" s="1" t="n">
        <f aca="false">MAX(0,L234-L235)</f>
        <v>1.4632158902019</v>
      </c>
      <c r="M236" s="1" t="n">
        <f aca="false">MAX(0,M234-M235)</f>
        <v>1.68951262910962</v>
      </c>
      <c r="N236" s="1" t="n">
        <f aca="false">MAX(0,N234-N235)</f>
        <v>1.77474895264452</v>
      </c>
      <c r="O236" s="1" t="n">
        <f aca="false">MAX(0,O234-O235)</f>
        <v>1.83445599128232</v>
      </c>
      <c r="P236" s="1" t="n">
        <f aca="false">MAX(0,P234-P235)</f>
        <v>1.83276512015468</v>
      </c>
      <c r="Q236" s="1" t="n">
        <f aca="false">MAX(0,Q234-Q235)</f>
        <v>1.76217426581769</v>
      </c>
      <c r="R236" s="1" t="n">
        <f aca="false">MAX(0,R234-R235)</f>
        <v>1.64881677997009</v>
      </c>
      <c r="S236" s="1" t="n">
        <f aca="false">MAX(0,S234-S235)</f>
        <v>1.5459225175205</v>
      </c>
      <c r="T236" s="1" t="n">
        <f aca="false">MAX(0,T234-T235)</f>
        <v>1.44990841516516</v>
      </c>
      <c r="U236" s="1" t="n">
        <f aca="false">MAX(0,U234-U235)</f>
        <v>1.35932419577972</v>
      </c>
      <c r="V236" s="1" t="n">
        <f aca="false">MAX(0,V234-V235)</f>
        <v>1.2747424181268</v>
      </c>
      <c r="W236" s="1" t="n">
        <f aca="false">MAX(0,W234-W235)</f>
        <v>1.19142410941185</v>
      </c>
      <c r="X236" s="1" t="n">
        <f aca="false">MAX(0,X234-X235)</f>
        <v>1.11411436627197</v>
      </c>
      <c r="Y236" s="1" t="n">
        <f aca="false">MAX(0,Y234-Y235)</f>
        <v>1.04208401883636</v>
      </c>
      <c r="Z236" s="1" t="n">
        <f aca="false">MAX(0,Z234-Z235)</f>
        <v>0.974707617138321</v>
      </c>
      <c r="AA236" s="1" t="n">
        <f aca="false">MAX(0,AA234-AA235)</f>
        <v>0.911791467783985</v>
      </c>
      <c r="AB236" s="1" t="n">
        <f aca="false">MAX(0,AB234-AB235)</f>
        <v>0.853069159813757</v>
      </c>
      <c r="AC236" s="1" t="n">
        <f aca="false">MAX(0,AC234-AC235)</f>
        <v>0.79826572312889</v>
      </c>
      <c r="AD236" s="1" t="n">
        <f aca="false">MAX(0,AD234-AD235)</f>
        <v>0.747122738933448</v>
      </c>
      <c r="AE236" s="1" t="n">
        <f aca="false">MAX(0,AE234-AE235)</f>
        <v>0.6993976428781</v>
      </c>
      <c r="AF236" s="1" t="n">
        <f aca="false">MAX(0,AF234-AF235)</f>
        <v>0.654862998313382</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0.0758932154171799</v>
      </c>
      <c r="D238" s="1" t="n">
        <f aca="false">IF(D112&gt;0,D235/D112,0)</f>
        <v>0.120777960047155</v>
      </c>
      <c r="E238" s="1" t="n">
        <f aca="false">IF(E112&gt;0,E235/E112,0)</f>
        <v>0.158753747659019</v>
      </c>
      <c r="F238" s="1" t="n">
        <f aca="false">IF(F112&gt;0,F235/F112,0)</f>
        <v>0.145170196512618</v>
      </c>
      <c r="G238" s="1" t="n">
        <f aca="false">IF(G112&gt;0,G235/G112,0)</f>
        <v>0.200361664705631</v>
      </c>
      <c r="H238" s="1" t="n">
        <f aca="false">IF(H112&gt;0,H235/H112,0)</f>
        <v>0.247086652269859</v>
      </c>
      <c r="I238" s="1" t="n">
        <f aca="false">IF(I112&gt;0,I235/I112,0)</f>
        <v>0.28660354591115</v>
      </c>
      <c r="J238" s="1" t="n">
        <f aca="false">IF(J112&gt;0,J235/J112,0)</f>
        <v>0.319962148750406</v>
      </c>
      <c r="K238" s="1" t="n">
        <f aca="false">IF(K112&gt;0,K235/K112,0)</f>
        <v>0.348043168841404</v>
      </c>
      <c r="L238" s="1" t="n">
        <f aca="false">IF(L112&gt;0,L235/L112,0)</f>
        <v>0.3715892140736</v>
      </c>
      <c r="M238" s="1" t="n">
        <f aca="false">IF(M112&gt;0,M235/M112,0)</f>
        <v>0.380345768232337</v>
      </c>
      <c r="N238" s="1" t="n">
        <f aca="false">IF(N112&gt;0,N235/N112,0)</f>
        <v>0.380783555680581</v>
      </c>
      <c r="O238" s="1" t="n">
        <f aca="false">IF(O112&gt;0,O235/O112,0)</f>
        <v>0.374857922303681</v>
      </c>
      <c r="P238" s="1" t="n">
        <f aca="false">IF(P112&gt;0,P235/P112,0)</f>
        <v>0.344549809880179</v>
      </c>
      <c r="Q238" s="1" t="n">
        <f aca="false">IF(Q112&gt;0,Q235/Q112,0)</f>
        <v>0.31656670363067</v>
      </c>
      <c r="R238" s="1" t="n">
        <f aca="false">IF(R112&gt;0,R235/R112,0)</f>
        <v>0.290816342678016</v>
      </c>
      <c r="S238" s="1" t="n">
        <f aca="false">IF(S112&gt;0,S235/S112,0)</f>
        <v>0.267339705511526</v>
      </c>
      <c r="T238" s="1" t="n">
        <f aca="false">IF(T112&gt;0,T235/T112,0)</f>
        <v>0.245887651331035</v>
      </c>
      <c r="U238" s="1" t="n">
        <f aca="false">IF(U112&gt;0,U235/U112,0)</f>
        <v>0.226265397587291</v>
      </c>
      <c r="V238" s="1" t="n">
        <f aca="false">IF(V112&gt;0,V235/V112,0)</f>
        <v>0.208303976457784</v>
      </c>
      <c r="W238" s="1" t="n">
        <f aca="false">IF(W112&gt;0,W235/W112,0)</f>
        <v>0.191911085102892</v>
      </c>
      <c r="X238" s="1" t="n">
        <f aca="false">IF(X112&gt;0,X235/X112,0)</f>
        <v>0.176918488291369</v>
      </c>
      <c r="Y238" s="1" t="n">
        <f aca="false">IF(Y112&gt;0,Y235/Y112,0)</f>
        <v>0.163177088272977</v>
      </c>
      <c r="Z238" s="1" t="n">
        <f aca="false">IF(Z112&gt;0,Z235/Z112,0)</f>
        <v>0.150575344272824</v>
      </c>
      <c r="AA238" s="1" t="n">
        <f aca="false">IF(AA112&gt;0,AA235/AA112,0)</f>
        <v>0.13901238167924</v>
      </c>
      <c r="AB238" s="1" t="n">
        <f aca="false">IF(AB112&gt;0,AB235/AB112,0)</f>
        <v>0.128395950630224</v>
      </c>
      <c r="AC238" s="1" t="n">
        <f aca="false">IF(AC112&gt;0,AC235/AC112,0)</f>
        <v>0.118642720279257</v>
      </c>
      <c r="AD238" s="1" t="n">
        <f aca="false">IF(AD112&gt;0,AD235/AD112,0)</f>
        <v>0.109677331241481</v>
      </c>
      <c r="AE238" s="1" t="n">
        <f aca="false">IF(AE112&gt;0,AE235/AE112,0)</f>
        <v>0.101431559309325</v>
      </c>
      <c r="AF238" s="1" t="n">
        <f aca="false">IF(AF112&gt;0,AF235/AF112,0)</f>
        <v>0.0938435759774403</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v>
      </c>
      <c r="D243" s="1" t="n">
        <f aca="false">D236</f>
        <v>0.0777267329773056</v>
      </c>
      <c r="E243" s="1" t="n">
        <f aca="false">E236</f>
        <v>0.157863426054421</v>
      </c>
      <c r="F243" s="1" t="n">
        <f aca="false">F236</f>
        <v>0.41892749492252</v>
      </c>
      <c r="G243" s="1" t="n">
        <f aca="false">G236</f>
        <v>0.349750214122637</v>
      </c>
      <c r="H243" s="1" t="n">
        <f aca="false">H236</f>
        <v>0.538198946739609</v>
      </c>
      <c r="I243" s="1" t="n">
        <f aca="false">I236</f>
        <v>0.746130789792234</v>
      </c>
      <c r="J243" s="1" t="n">
        <f aca="false">J236</f>
        <v>0.971570054285736</v>
      </c>
      <c r="K243" s="1" t="n">
        <f aca="false">K236</f>
        <v>1.21124399417374</v>
      </c>
      <c r="L243" s="1" t="n">
        <f aca="false">L236</f>
        <v>1.4632158902019</v>
      </c>
      <c r="M243" s="1" t="n">
        <f aca="false">M236</f>
        <v>1.68951262910962</v>
      </c>
      <c r="N243" s="1" t="n">
        <f aca="false">N236</f>
        <v>1.77474895264452</v>
      </c>
      <c r="O243" s="1" t="n">
        <f aca="false">O236</f>
        <v>1.83445599128232</v>
      </c>
      <c r="P243" s="1" t="n">
        <f aca="false">P236</f>
        <v>1.83276512015468</v>
      </c>
      <c r="Q243" s="1" t="n">
        <f aca="false">Q236</f>
        <v>1.76217426581769</v>
      </c>
      <c r="R243" s="1" t="n">
        <f aca="false">R236</f>
        <v>1.64881677997009</v>
      </c>
      <c r="S243" s="1" t="n">
        <f aca="false">S236</f>
        <v>1.5459225175205</v>
      </c>
      <c r="T243" s="1" t="n">
        <f aca="false">T236</f>
        <v>1.44990841516516</v>
      </c>
      <c r="U243" s="1" t="n">
        <f aca="false">U236</f>
        <v>1.35932419577972</v>
      </c>
      <c r="V243" s="1" t="n">
        <f aca="false">V236</f>
        <v>1.2747424181268</v>
      </c>
      <c r="W243" s="1" t="n">
        <f aca="false">W236</f>
        <v>1.19142410941185</v>
      </c>
      <c r="X243" s="1" t="n">
        <f aca="false">X236</f>
        <v>1.11411436627197</v>
      </c>
      <c r="Y243" s="1" t="n">
        <f aca="false">Y236</f>
        <v>1.04208401883636</v>
      </c>
      <c r="Z243" s="1" t="n">
        <f aca="false">Z236</f>
        <v>0.974707617138321</v>
      </c>
      <c r="AA243" s="1" t="n">
        <f aca="false">AA236</f>
        <v>0.911791467783985</v>
      </c>
      <c r="AB243" s="1" t="n">
        <f aca="false">AB236</f>
        <v>0.853069159813757</v>
      </c>
      <c r="AC243" s="1" t="n">
        <f aca="false">AC236</f>
        <v>0.79826572312889</v>
      </c>
      <c r="AD243" s="1" t="n">
        <f aca="false">AD236</f>
        <v>0.747122738933448</v>
      </c>
      <c r="AE243" s="1" t="n">
        <f aca="false">AE236</f>
        <v>0.6993976428781</v>
      </c>
      <c r="AF243" s="1" t="n">
        <f aca="false">AF236</f>
        <v>0.654862998313382</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v>
      </c>
      <c r="D247" s="1" t="n">
        <f aca="false">MAX(0,C248+D243-D244-D245-D246)</f>
        <v>0.0777267329773056</v>
      </c>
      <c r="E247" s="1" t="n">
        <f aca="false">MAX(0,D248+E243-E244-E245-E246)</f>
        <v>0.235590159031727</v>
      </c>
      <c r="F247" s="1" t="n">
        <f aca="false">MAX(0,E248+F243-F244-F245-F246)</f>
        <v>0.654517653954247</v>
      </c>
      <c r="G247" s="1" t="n">
        <f aca="false">MAX(0,F248+G243-G244-G245-G246)</f>
        <v>1.00426786807688</v>
      </c>
      <c r="H247" s="1" t="n">
        <f aca="false">MAX(0,G248+H243-H244-H245-H246)</f>
        <v>1.54246681481649</v>
      </c>
      <c r="I247" s="1" t="n">
        <f aca="false">MAX(0,H248+I243-I244-I245-I246)</f>
        <v>2.28859760460873</v>
      </c>
      <c r="J247" s="1" t="n">
        <f aca="false">MAX(0,I248+J243-J244-J245-J246)</f>
        <v>3.26016765889446</v>
      </c>
      <c r="K247" s="1" t="n">
        <f aca="false">MAX(0,J248+K243-K244-K245-K246)</f>
        <v>4.4714116530682</v>
      </c>
      <c r="L247" s="1" t="n">
        <f aca="false">MAX(0,K248+L243-L244-L245-L246)</f>
        <v>5.9346275432701</v>
      </c>
      <c r="M247" s="1" t="n">
        <f aca="false">MAX(0,L248+M243-M244-M245-M246)</f>
        <v>7.62414017237972</v>
      </c>
      <c r="N247" s="1" t="n">
        <f aca="false">MAX(0,M248+N243-N244-N245-N246)</f>
        <v>9.39888912502424</v>
      </c>
      <c r="O247" s="1" t="n">
        <f aca="false">MAX(0,N248+O243-O244-O245-O246)</f>
        <v>11.2333451163066</v>
      </c>
      <c r="P247" s="1" t="n">
        <f aca="false">MAX(0,O248+P243-P244-P245-P246)</f>
        <v>13.0661102364612</v>
      </c>
      <c r="Q247" s="1" t="n">
        <f aca="false">MAX(0,P248+Q243-Q244-Q245-Q246)</f>
        <v>14.8282845022789</v>
      </c>
      <c r="R247" s="1" t="n">
        <f aca="false">MAX(0,Q248+R243-R244-R245-R246)</f>
        <v>16.477101282249</v>
      </c>
      <c r="S247" s="1" t="n">
        <f aca="false">MAX(0,R248+S243-S244-S245-S246)</f>
        <v>18.0230237997695</v>
      </c>
      <c r="T247" s="1" t="n">
        <f aca="false">MAX(0,S248+T243-T244-T245-T246)</f>
        <v>19.4729322149347</v>
      </c>
      <c r="U247" s="1" t="n">
        <f aca="false">MAX(0,T248+U243-U244-U245-U246)</f>
        <v>20.8322564107144</v>
      </c>
      <c r="V247" s="1" t="n">
        <f aca="false">MAX(0,U248+V243-V244-V245-V246)</f>
        <v>22.1069988288412</v>
      </c>
      <c r="W247" s="1" t="n">
        <f aca="false">MAX(0,V248+W243-W244-W245-W246)</f>
        <v>23.298422938253</v>
      </c>
      <c r="X247" s="1" t="n">
        <f aca="false">MAX(0,W248+X243-X244-X245-X246)</f>
        <v>24.412537304525</v>
      </c>
      <c r="Y247" s="1" t="n">
        <f aca="false">MAX(0,X248+Y243-Y244-Y245-Y246)</f>
        <v>25.4546213233614</v>
      </c>
      <c r="Z247" s="1" t="n">
        <f aca="false">MAX(0,Y248+Z243-Z244-Z245-Z246)</f>
        <v>26.4293289404997</v>
      </c>
      <c r="AA247" s="1" t="n">
        <f aca="false">MAX(0,Z248+AA243-AA244-AA245-AA246)</f>
        <v>27.3411204082837</v>
      </c>
      <c r="AB247" s="1" t="n">
        <f aca="false">MAX(0,AA248+AB243-AB244-AB245-AB246)</f>
        <v>28.1941895680974</v>
      </c>
      <c r="AC247" s="1" t="n">
        <f aca="false">MAX(0,AB248+AC243-AC244-AC245-AC246)</f>
        <v>28.9924552912263</v>
      </c>
      <c r="AD247" s="1" t="n">
        <f aca="false">MAX(0,AC248+AD243-AD244-AD245-AD246)</f>
        <v>29.7395780301598</v>
      </c>
      <c r="AE247" s="1" t="n">
        <f aca="false">MAX(0,AD248+AE243-AE244-AE245-AE246)</f>
        <v>30.4389756730379</v>
      </c>
      <c r="AF247" s="1" t="n">
        <f aca="false">MAX(0,AE248+AF243-AF244-AF245-AF246)</f>
        <v>31.0938386713513</v>
      </c>
    </row>
    <row r="248" customFormat="false" ht="14.25" hidden="false" customHeight="true" outlineLevel="0" collapsed="false">
      <c r="B248" s="1" t="s">
        <v>1244</v>
      </c>
      <c r="C248" s="1" t="n">
        <f aca="false">MIN(C247,MAX(0,C276))</f>
        <v>0</v>
      </c>
      <c r="D248" s="1" t="n">
        <f aca="false">MIN(D247,MAX(0,D276))</f>
        <v>0.0777267329773056</v>
      </c>
      <c r="E248" s="1" t="n">
        <f aca="false">MIN(E247,MAX(0,E276))</f>
        <v>0.235590159031727</v>
      </c>
      <c r="F248" s="1" t="n">
        <f aca="false">MIN(F247,MAX(0,F276))</f>
        <v>0.654517653954247</v>
      </c>
      <c r="G248" s="1" t="n">
        <f aca="false">MIN(G247,MAX(0,G276))</f>
        <v>1.00426786807688</v>
      </c>
      <c r="H248" s="1" t="n">
        <f aca="false">MIN(H247,MAX(0,H276))</f>
        <v>1.54246681481649</v>
      </c>
      <c r="I248" s="1" t="n">
        <f aca="false">MIN(I247,MAX(0,I276))</f>
        <v>2.28859760460873</v>
      </c>
      <c r="J248" s="1" t="n">
        <f aca="false">MIN(J247,MAX(0,J276))</f>
        <v>3.26016765889446</v>
      </c>
      <c r="K248" s="1" t="n">
        <f aca="false">MIN(K247,MAX(0,K276))</f>
        <v>4.4714116530682</v>
      </c>
      <c r="L248" s="1" t="n">
        <f aca="false">MIN(L247,MAX(0,L276))</f>
        <v>5.9346275432701</v>
      </c>
      <c r="M248" s="1" t="n">
        <f aca="false">MIN(M247,MAX(0,M276))</f>
        <v>7.62414017237972</v>
      </c>
      <c r="N248" s="1" t="n">
        <f aca="false">MIN(N247,MAX(0,N276))</f>
        <v>9.39888912502424</v>
      </c>
      <c r="O248" s="1" t="n">
        <f aca="false">MIN(O247,MAX(0,O276))</f>
        <v>11.2333451163066</v>
      </c>
      <c r="P248" s="1" t="n">
        <f aca="false">MIN(P247,MAX(0,P276))</f>
        <v>13.0661102364612</v>
      </c>
      <c r="Q248" s="1" t="n">
        <f aca="false">MIN(Q247,MAX(0,Q276))</f>
        <v>14.8282845022789</v>
      </c>
      <c r="R248" s="1" t="n">
        <f aca="false">MIN(R247,MAX(0,R276))</f>
        <v>16.477101282249</v>
      </c>
      <c r="S248" s="1" t="n">
        <f aca="false">MIN(S247,MAX(0,S276))</f>
        <v>18.0230237997695</v>
      </c>
      <c r="T248" s="1" t="n">
        <f aca="false">MIN(T247,MAX(0,T276))</f>
        <v>19.4729322149347</v>
      </c>
      <c r="U248" s="1" t="n">
        <f aca="false">MIN(U247,MAX(0,U276))</f>
        <v>20.8322564107144</v>
      </c>
      <c r="V248" s="1" t="n">
        <f aca="false">MIN(V247,MAX(0,V276))</f>
        <v>22.1069988288412</v>
      </c>
      <c r="W248" s="1" t="n">
        <f aca="false">MIN(W247,MAX(0,W276))</f>
        <v>23.298422938253</v>
      </c>
      <c r="X248" s="1" t="n">
        <f aca="false">MIN(X247,MAX(0,X276))</f>
        <v>24.412537304525</v>
      </c>
      <c r="Y248" s="1" t="n">
        <f aca="false">MIN(Y247,MAX(0,Y276))</f>
        <v>25.4546213233614</v>
      </c>
      <c r="Z248" s="1" t="n">
        <f aca="false">MIN(Z247,MAX(0,Z276))</f>
        <v>26.4293289404997</v>
      </c>
      <c r="AA248" s="1" t="n">
        <f aca="false">MIN(AA247,MAX(0,AA276))</f>
        <v>27.3411204082837</v>
      </c>
      <c r="AB248" s="1" t="n">
        <f aca="false">MIN(AB247,MAX(0,AB276))</f>
        <v>28.1941895680974</v>
      </c>
      <c r="AC248" s="1" t="n">
        <f aca="false">MIN(AC247,MAX(0,AC276))</f>
        <v>28.9924552912263</v>
      </c>
      <c r="AD248" s="1" t="n">
        <f aca="false">MIN(AD247,MAX(0,AD276))</f>
        <v>29.7395780301598</v>
      </c>
      <c r="AE248" s="1" t="n">
        <f aca="false">MIN(AE247,MAX(0,AE276))</f>
        <v>30.4389756730379</v>
      </c>
      <c r="AF248" s="1" t="n">
        <f aca="false">MIN(AF247,MAX(0,AF276))</f>
        <v>31.0938386713513</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19.0872874005064</v>
      </c>
      <c r="D250" s="1" t="n">
        <f aca="false">D120-D248</f>
        <v>35.0232280385075</v>
      </c>
      <c r="E250" s="1" t="n">
        <f aca="false">E120-E248</f>
        <v>52.3602382744489</v>
      </c>
      <c r="F250" s="1" t="n">
        <f aca="false">F120-F248</f>
        <v>59.3582374296127</v>
      </c>
      <c r="G250" s="1" t="n">
        <f aca="false">G120-G248</f>
        <v>69.3250473428148</v>
      </c>
      <c r="H250" s="1" t="n">
        <f aca="false">H120-H248</f>
        <v>80.3277235606023</v>
      </c>
      <c r="I250" s="1" t="n">
        <f aca="false">I120-I248</f>
        <v>92.4360440767058</v>
      </c>
      <c r="J250" s="1" t="n">
        <f aca="false">J120-J248</f>
        <v>105.361386585524</v>
      </c>
      <c r="K250" s="1" t="n">
        <f aca="false">K120-K248</f>
        <v>119.117186203792</v>
      </c>
      <c r="L250" s="1" t="n">
        <f aca="false">L120-L248</f>
        <v>133.721246078226</v>
      </c>
      <c r="M250" s="1" t="n">
        <f aca="false">M120-M248</f>
        <v>131.58759064295</v>
      </c>
      <c r="N250" s="1" t="n">
        <f aca="false">N120-N248</f>
        <v>130.282218925723</v>
      </c>
      <c r="O250" s="1" t="n">
        <f aca="false">O120-O248</f>
        <v>129.87728724865</v>
      </c>
      <c r="P250" s="1" t="n">
        <f aca="false">P120-P248</f>
        <v>129.119019644597</v>
      </c>
      <c r="Q250" s="1" t="n">
        <f aca="false">Q120-Q248</f>
        <v>128.263100523474</v>
      </c>
      <c r="R250" s="1" t="n">
        <f aca="false">R120-R248</f>
        <v>128.487288767963</v>
      </c>
      <c r="S250" s="1" t="n">
        <f aca="false">S120-S248</f>
        <v>128.575993567815</v>
      </c>
      <c r="T250" s="1" t="n">
        <f aca="false">T120-T248</f>
        <v>128.493886498939</v>
      </c>
      <c r="U250" s="1" t="n">
        <f aca="false">U120-U248</f>
        <v>128.506153921975</v>
      </c>
      <c r="V250" s="1" t="n">
        <f aca="false">V120-V248</f>
        <v>128.643320336397</v>
      </c>
      <c r="W250" s="1" t="n">
        <f aca="false">W120-W248</f>
        <v>128.974613621137</v>
      </c>
      <c r="X250" s="1" t="n">
        <f aca="false">X120-X248</f>
        <v>129.28205458634</v>
      </c>
      <c r="Y250" s="1" t="n">
        <f aca="false">Y120-Y248</f>
        <v>129.549961110096</v>
      </c>
      <c r="Z250" s="1" t="n">
        <f aca="false">Z120-Z248</f>
        <v>129.821326418265</v>
      </c>
      <c r="AA250" s="1" t="n">
        <f aca="false">AA120-AA248</f>
        <v>130.107865915921</v>
      </c>
      <c r="AB250" s="1" t="n">
        <f aca="false">AB120-AB248</f>
        <v>130.41458096385</v>
      </c>
      <c r="AC250" s="1" t="n">
        <f aca="false">AC120-AC248</f>
        <v>130.746752494096</v>
      </c>
      <c r="AD250" s="1" t="n">
        <f aca="false">AD120-AD248</f>
        <v>131.109954659556</v>
      </c>
      <c r="AE250" s="1" t="n">
        <f aca="false">AE120-AE248</f>
        <v>131.51007115322</v>
      </c>
      <c r="AF250" s="1" t="n">
        <f aca="false">AF120-AF248</f>
        <v>131.953304094765</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v>
      </c>
      <c r="D252" s="1" t="n">
        <f aca="false">IF(D120&gt;0,D248/D120,0)</f>
        <v>0.00221437660266863</v>
      </c>
      <c r="E252" s="1" t="n">
        <f aca="false">IF(E120&gt;0,E248/E120,0)</f>
        <v>0.00447925559970377</v>
      </c>
      <c r="F252" s="1" t="n">
        <f aca="false">IF(F120&gt;0,F248/F120,0)</f>
        <v>0.0109063090511815</v>
      </c>
      <c r="G252" s="1" t="n">
        <f aca="false">IF(G120&gt;0,G248/G120,0)</f>
        <v>0.0142795058513716</v>
      </c>
      <c r="H252" s="1" t="n">
        <f aca="false">IF(H120&gt;0,H248/H120,0)</f>
        <v>0.0188403960921974</v>
      </c>
      <c r="I252" s="1" t="n">
        <f aca="false">IF(I120&gt;0,I248/I120,0)</f>
        <v>0.024160530607319</v>
      </c>
      <c r="J252" s="1" t="n">
        <f aca="false">IF(J120&gt;0,J248/J120,0)</f>
        <v>0.0300140030362526</v>
      </c>
      <c r="K252" s="1" t="n">
        <f aca="false">IF(K120&gt;0,K248/K120,0)</f>
        <v>0.0361798072848675</v>
      </c>
      <c r="L252" s="1" t="n">
        <f aca="false">IF(L120&gt;0,L248/L120,0)</f>
        <v>0.0424946505247212</v>
      </c>
      <c r="M252" s="1" t="n">
        <f aca="false">IF(M120&gt;0,M248/M120,0)</f>
        <v>0.0547665065848039</v>
      </c>
      <c r="N252" s="1" t="n">
        <f aca="false">IF(N120&gt;0,N248/N120,0)</f>
        <v>0.067288191339444</v>
      </c>
      <c r="O252" s="1" t="n">
        <f aca="false">IF(O120&gt;0,O248/O120,0)</f>
        <v>0.0796066527946216</v>
      </c>
      <c r="P252" s="1" t="n">
        <f aca="false">IF(P120&gt;0,P248/P120,0)</f>
        <v>0.0918950543379001</v>
      </c>
      <c r="Q252" s="1" t="n">
        <f aca="false">IF(Q120&gt;0,Q248/Q120,0)</f>
        <v>0.103628073064009</v>
      </c>
      <c r="R252" s="1" t="n">
        <f aca="false">IF(R120&gt;0,R248/R120,0)</f>
        <v>0.11366309530597</v>
      </c>
      <c r="S252" s="1" t="n">
        <f aca="false">IF(S120&gt;0,S248/S120,0)</f>
        <v>0.122940959110104</v>
      </c>
      <c r="T252" s="1" t="n">
        <f aca="false">IF(T120&gt;0,T248/T120,0)</f>
        <v>0.131603371513919</v>
      </c>
      <c r="U252" s="1" t="n">
        <f aca="false">IF(U120&gt;0,U248/U120,0)</f>
        <v>0.139496974450882</v>
      </c>
      <c r="V252" s="1" t="n">
        <f aca="false">IF(V120&gt;0,V248/V120,0)</f>
        <v>0.146646447923003</v>
      </c>
      <c r="W252" s="1" t="n">
        <f aca="false">IF(W120&gt;0,W248/W120,0)</f>
        <v>0.153004257777221</v>
      </c>
      <c r="X252" s="1" t="n">
        <f aca="false">IF(X120&gt;0,X248/X120,0)</f>
        <v>0.158837972138017</v>
      </c>
      <c r="Y252" s="1" t="n">
        <f aca="false">IF(Y120&gt;0,Y248/Y120,0)</f>
        <v>0.164218508406285</v>
      </c>
      <c r="Z252" s="1" t="n">
        <f aca="false">IF(Z120&gt;0,Z248/Z120,0)</f>
        <v>0.169146995766614</v>
      </c>
      <c r="AA252" s="1" t="n">
        <f aca="false">IF(AA120&gt;0,AA248/AA120,0)</f>
        <v>0.173650660106413</v>
      </c>
      <c r="AB252" s="1" t="n">
        <f aca="false">IF(AB120&gt;0,AB248/AB120,0)</f>
        <v>0.177759334956943</v>
      </c>
      <c r="AC252" s="1" t="n">
        <f aca="false">IF(AC120&gt;0,AC248/AC120,0)</f>
        <v>0.181498679586479</v>
      </c>
      <c r="AD252" s="1" t="n">
        <f aca="false">IF(AD120&gt;0,AD248/AD120,0)</f>
        <v>0.184890671006974</v>
      </c>
      <c r="AE252" s="1" t="n">
        <f aca="false">IF(AE120&gt;0,AE248/AE120,0)</f>
        <v>0.187954027946169</v>
      </c>
      <c r="AF252" s="1" t="n">
        <f aca="false">IF(AF120&gt;0,AF248/AF120,0)</f>
        <v>0.190704590978046</v>
      </c>
    </row>
    <row r="253" customFormat="false" ht="14.25" hidden="false" customHeight="true" outlineLevel="0" collapsed="false">
      <c r="B253" s="1" t="s">
        <v>1249</v>
      </c>
    </row>
    <row r="254" customFormat="false" ht="14.25" hidden="false" customHeight="true" outlineLevel="0" collapsed="false">
      <c r="B254" s="1" t="s">
        <v>1250</v>
      </c>
      <c r="C254" s="116" t="n">
        <f aca="false">C112</f>
        <v>0.118288787723829</v>
      </c>
      <c r="D254" s="116" t="n">
        <f aca="false">D112</f>
        <v>0.194477540223313</v>
      </c>
      <c r="E254" s="116" t="n">
        <f aca="false">E112</f>
        <v>0.262221671615268</v>
      </c>
      <c r="F254" s="116" t="n">
        <f aca="false">F112</f>
        <v>0.545473119675601</v>
      </c>
      <c r="G254" s="116" t="n">
        <f aca="false">G112</f>
        <v>0.57057817627323</v>
      </c>
      <c r="H254" s="116" t="n">
        <f aca="false">H112</f>
        <v>0.59570821570086</v>
      </c>
      <c r="I254" s="116" t="n">
        <f aca="false">I112</f>
        <v>0.620861988816989</v>
      </c>
      <c r="J254" s="116" t="n">
        <f aca="false">J112</f>
        <v>0.646038308937193</v>
      </c>
      <c r="K254" s="116" t="n">
        <f aca="false">K112</f>
        <v>0.671236048711268</v>
      </c>
      <c r="L254" s="116" t="n">
        <f aca="false">L112</f>
        <v>0.696454137156521</v>
      </c>
      <c r="M254" s="116" t="n">
        <f aca="false">M112</f>
        <v>0.718094092315397</v>
      </c>
      <c r="N254" s="116" t="n">
        <f aca="false">N112</f>
        <v>0.737666919521982</v>
      </c>
      <c r="O254" s="116" t="n">
        <f aca="false">O112</f>
        <v>0.75592239794082</v>
      </c>
      <c r="P254" s="116" t="n">
        <f aca="false">P112</f>
        <v>0.76937651827871</v>
      </c>
      <c r="Q254" s="116" t="n">
        <f aca="false">Q112</f>
        <v>0.783380474073533</v>
      </c>
      <c r="R254" s="116" t="n">
        <f aca="false">R112</f>
        <v>0.797748878953198</v>
      </c>
      <c r="S254" s="116" t="n">
        <f aca="false">S112</f>
        <v>0.811836513103703</v>
      </c>
      <c r="T254" s="116" t="n">
        <f aca="false">T112</f>
        <v>0.8257381717915</v>
      </c>
      <c r="U254" s="116" t="n">
        <f aca="false">U112</f>
        <v>0.839475395111515</v>
      </c>
      <c r="V254" s="116" t="n">
        <f aca="false">V112</f>
        <v>0.853052163152491</v>
      </c>
      <c r="W254" s="116" t="n">
        <f aca="false">W112</f>
        <v>0.866203875864857</v>
      </c>
      <c r="X254" s="116" t="n">
        <f aca="false">X112</f>
        <v>0.879010369577605</v>
      </c>
      <c r="Y254" s="116" t="n">
        <f aca="false">Y112</f>
        <v>0.891569233767438</v>
      </c>
      <c r="Z254" s="116" t="n">
        <f aca="false">Z112</f>
        <v>0.903873018585107</v>
      </c>
      <c r="AA254" s="116" t="n">
        <f aca="false">AA112</f>
        <v>0.91591429603339</v>
      </c>
      <c r="AB254" s="116" t="n">
        <f aca="false">AB112</f>
        <v>0.927692465316583</v>
      </c>
      <c r="AC254" s="116" t="n">
        <f aca="false">AC112</f>
        <v>0.939206944638594</v>
      </c>
      <c r="AD254" s="116" t="n">
        <f aca="false">AD112</f>
        <v>0.950457169863234</v>
      </c>
      <c r="AE254" s="116" t="n">
        <f aca="false">AE112</f>
        <v>0.961442593227751</v>
      </c>
      <c r="AF254" s="116" t="n">
        <f aca="false">AF112</f>
        <v>0.972162682106442</v>
      </c>
    </row>
    <row r="255" customFormat="false" ht="14.25" hidden="false" customHeight="true" outlineLevel="0" collapsed="false">
      <c r="B255" s="1" t="s">
        <v>1251</v>
      </c>
      <c r="C255" s="1" t="n">
        <f aca="false">MIN(C235,C254)</f>
        <v>0.00897731644816159</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0.109311471275667</v>
      </c>
      <c r="D256" s="1" t="n">
        <f aca="false">MIN(D254-D255,MAX(0,D107-D108+D109+D110+D184-D229-D235))</f>
        <v>0.170988939640153</v>
      </c>
      <c r="E256" s="1" t="n">
        <f aca="false">MIN(E254-E255,MAX(0,E107-E108+E109+E110+E184-E229-E235))</f>
        <v>0.220592998528932</v>
      </c>
      <c r="F256" s="1" t="n">
        <f aca="false">MIN(F254-F255,MAX(0,F107-F108+F109+F110+F184-F229-F235))</f>
        <v>0.466286679699944</v>
      </c>
      <c r="G256" s="1" t="n">
        <f aca="false">MIN(G254-G255,MAX(0,G107-G108+G109+G110+G184-G229-G235))</f>
        <v>0.456256183030423</v>
      </c>
      <c r="H256" s="1" t="n">
        <f aca="false">MIN(H254-H255,MAX(0,H107-H108+H109+H110+H184-H229-H235))</f>
        <v>0.448516666953683</v>
      </c>
      <c r="I256" s="1" t="n">
        <f aca="false">MIN(I254-I255,MAX(0,I107-I108+I109+I110+I184-I229-I235))</f>
        <v>0.442920741300591</v>
      </c>
      <c r="J256" s="1" t="n">
        <f aca="false">MIN(J254-J255,MAX(0,J107-J108+J109+J110+J184-J229-J235))</f>
        <v>0.43933050343457</v>
      </c>
      <c r="K256" s="1" t="n">
        <f aca="false">MIN(K254-K255,MAX(0,K107-K108+K109+K110+K184-K229-K235))</f>
        <v>0.437616927277215</v>
      </c>
      <c r="L256" s="1" t="n">
        <f aca="false">MIN(L254-L255,MAX(0,L107-L108+L109+L110+L184-L229-L235))</f>
        <v>0.437659291692222</v>
      </c>
      <c r="M256" s="1" t="n">
        <f aca="false">MIN(M254-M255,MAX(0,M107-M108+M109+M110+M184-M229-M235))</f>
        <v>0.444970043110595</v>
      </c>
      <c r="N256" s="1" t="n">
        <f aca="false">MIN(N254-N255,MAX(0,N107-N108+N109+N110+N184-N229-N235))</f>
        <v>0.456775486998461</v>
      </c>
      <c r="O256" s="1" t="n">
        <f aca="false">MIN(O254-O255,MAX(0,O107-O108+O109+O110+O184-O229-O235))</f>
        <v>0.472558898425908</v>
      </c>
      <c r="P256" s="1" t="n">
        <f aca="false">MIN(P254-P255,MAX(0,P107-P108+P109+P110+P184-P229-P235))</f>
        <v>0.504287985179507</v>
      </c>
      <c r="Q256" s="1" t="n">
        <f aca="false">MIN(Q254-Q255,MAX(0,Q107-Q108+Q109+Q110+Q184-Q229-Q235))</f>
        <v>0.535388299707443</v>
      </c>
      <c r="R256" s="1" t="n">
        <f aca="false">MIN(R254-R255,MAX(0,R107-R108+R109+R110+R184-R229-R235))</f>
        <v>0.565750467600542</v>
      </c>
      <c r="S256" s="1" t="n">
        <f aca="false">MIN(S254-S255,MAX(0,S107-S108+S109+S110+S184-S229-S235))</f>
        <v>0.594800378767055</v>
      </c>
      <c r="T256" s="1" t="n">
        <f aca="false">MIN(T254-T255,MAX(0,T107-T108+T109+T110+T184-T229-T235))</f>
        <v>0.622699352115305</v>
      </c>
      <c r="U256" s="1" t="n">
        <f aca="false">MIN(U254-U255,MAX(0,U107-U108+U109+U110+U184-U229-U235))</f>
        <v>0.649531161071859</v>
      </c>
      <c r="V256" s="1" t="n">
        <f aca="false">MIN(V254-V255,MAX(0,V107-V108+V109+V110+V184-V229-V235))</f>
        <v>0.675358005441913</v>
      </c>
      <c r="W256" s="1" t="n">
        <f aca="false">MIN(W254-W255,MAX(0,W107-W108+W109+W110+W184-W229-W235))</f>
        <v>0.699969750127301</v>
      </c>
      <c r="X256" s="1" t="n">
        <f aca="false">MIN(X254-X255,MAX(0,X107-X108+X109+X110+X184-X229-X235))</f>
        <v>0.723497183799497</v>
      </c>
      <c r="Y256" s="1" t="n">
        <f aca="false">MIN(Y254-Y255,MAX(0,Y107-Y108+Y109+Y110+Y184-Y229-Y235))</f>
        <v>0.746085562207498</v>
      </c>
      <c r="Z256" s="1" t="n">
        <f aca="false">MIN(Z254-Z255,MAX(0,Z107-Z108+Z109+Z110+Z184-Z229-Z235))</f>
        <v>0.767772027632738</v>
      </c>
      <c r="AA256" s="1" t="n">
        <f aca="false">MIN(AA254-AA255,MAX(0,AA107-AA108+AA109+AA110+AA184-AA229-AA235))</f>
        <v>0.788590868327724</v>
      </c>
      <c r="AB256" s="1" t="n">
        <f aca="false">MIN(AB254-AB255,MAX(0,AB107-AB108+AB109+AB110+AB184-AB229-AB235))</f>
        <v>0.808580509339764</v>
      </c>
      <c r="AC256" s="1" t="n">
        <f aca="false">MIN(AC254-AC255,MAX(0,AC107-AC108+AC109+AC110+AC184-AC229-AC235))</f>
        <v>0.827776877821501</v>
      </c>
      <c r="AD256" s="1" t="n">
        <f aca="false">MIN(AD254-AD255,MAX(0,AD107-AD108+AD109+AD110+AD184-AD229-AD235))</f>
        <v>0.846213564013304</v>
      </c>
      <c r="AE256" s="1" t="n">
        <f aca="false">MIN(AE254-AE255,MAX(0,AE107-AE108+AE109+AE110+AE184-AE229-AE235))</f>
        <v>0.863921971810259</v>
      </c>
      <c r="AF256" s="1" t="n">
        <f aca="false">MIN(AF254-AF255,MAX(0,AF107-AF108+AF109+AF110+AF184-AF229-AF235))</f>
        <v>0.880931459585754</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17.2988399625579</v>
      </c>
      <c r="D261" s="1" t="n">
        <f aca="false">(D83-D326)+D181</f>
        <v>34.9771117069655</v>
      </c>
      <c r="E261" s="1" t="n">
        <f aca="false">(E83-E326)+E181</f>
        <v>53.3834374272829</v>
      </c>
      <c r="F261" s="1" t="n">
        <f aca="false">(F83-F326)+F181</f>
        <v>73.4908703934434</v>
      </c>
      <c r="G261" s="1" t="n">
        <f aca="false">(G83-G326)+G181</f>
        <v>92.6207487315235</v>
      </c>
      <c r="H261" s="1" t="n">
        <f aca="false">(H83-H326)+H181</f>
        <v>103.907740862016</v>
      </c>
      <c r="I261" s="1" t="n">
        <f aca="false">(I83-I326)+I181</f>
        <v>115.76703498894</v>
      </c>
      <c r="J261" s="1" t="n">
        <f aca="false">(J83-J326)+J181</f>
        <v>127.898004101118</v>
      </c>
      <c r="K261" s="1" t="n">
        <f aca="false">(K83-K326)+K181</f>
        <v>140.306894140748</v>
      </c>
      <c r="L261" s="1" t="n">
        <f aca="false">(L83-L326)+L181</f>
        <v>153.00009483582</v>
      </c>
      <c r="M261" s="1" t="n">
        <f aca="false">(M83-M326)+M181</f>
        <v>164.839026400822</v>
      </c>
      <c r="N261" s="1" t="n">
        <f aca="false">(N83-N326)+N181</f>
        <v>177.796088160239</v>
      </c>
      <c r="O261" s="1" t="n">
        <f aca="false">(O83-O326)+O181</f>
        <v>191.975611829384</v>
      </c>
      <c r="P261" s="1" t="n">
        <f aca="false">(P83-P326)+P181</f>
        <v>206.025215197444</v>
      </c>
      <c r="Q261" s="1" t="n">
        <f aca="false">(Q83-Q326)+Q181</f>
        <v>220.205058498671</v>
      </c>
      <c r="R261" s="1" t="n">
        <f aca="false">(R83-R326)+R181</f>
        <v>227.146023893646</v>
      </c>
      <c r="S261" s="1" t="n">
        <f aca="false">(S83-S326)+S181</f>
        <v>232.712860787371</v>
      </c>
      <c r="T261" s="1" t="n">
        <f aca="false">(T83-T326)+T181</f>
        <v>238.093760800139</v>
      </c>
      <c r="U261" s="1" t="n">
        <f aca="false">(U83-U326)+U181</f>
        <v>243.561443922713</v>
      </c>
      <c r="V261" s="1" t="n">
        <f aca="false">(V83-V326)+V181</f>
        <v>249.154361551258</v>
      </c>
      <c r="W261" s="1" t="n">
        <f aca="false">(W83-W326)+W181</f>
        <v>253.670946252158</v>
      </c>
      <c r="X261" s="1" t="n">
        <f aca="false">(X83-X326)+X181</f>
        <v>257.886925108444</v>
      </c>
      <c r="Y261" s="1" t="n">
        <f aca="false">(Y83-Y326)+Y181</f>
        <v>262.030897789904</v>
      </c>
      <c r="Z261" s="1" t="n">
        <f aca="false">(Z83-Z326)+Z181</f>
        <v>266.143401604625</v>
      </c>
      <c r="AA261" s="1" t="n">
        <f aca="false">(AA83-AA326)+AA181</f>
        <v>270.232211850874</v>
      </c>
      <c r="AB261" s="1" t="n">
        <f aca="false">(AB83-AB326)+AB181</f>
        <v>274.297995679326</v>
      </c>
      <c r="AC261" s="1" t="n">
        <f aca="false">(AC83-AC326)+AC181</f>
        <v>278.341428820095</v>
      </c>
      <c r="AD261" s="1" t="n">
        <f aca="false">(AD83-AD326)+AD181</f>
        <v>282.363201230085</v>
      </c>
      <c r="AE261" s="1" t="n">
        <f aca="false">(AE83-AE326)+AE181</f>
        <v>286.364025145884</v>
      </c>
      <c r="AF261" s="1" t="n">
        <f aca="false">(AF83-AF326)+AF181</f>
        <v>290.344635238681</v>
      </c>
    </row>
    <row r="262" customFormat="false" ht="14.25" hidden="false" customHeight="true" outlineLevel="0" collapsed="false">
      <c r="B262" s="1" t="s">
        <v>1257</v>
      </c>
      <c r="C262" s="1" t="n">
        <f aca="false">$C$260*C261</f>
        <v>0.864941998127893</v>
      </c>
      <c r="D262" s="1" t="n">
        <f aca="false">$C$260*D261</f>
        <v>1.74885558534827</v>
      </c>
      <c r="E262" s="1" t="n">
        <f aca="false">$C$260*E261</f>
        <v>2.66917187136415</v>
      </c>
      <c r="F262" s="1" t="n">
        <f aca="false">$C$260*F261</f>
        <v>3.67454351967217</v>
      </c>
      <c r="G262" s="1" t="n">
        <f aca="false">$C$260*G261</f>
        <v>4.63103743657618</v>
      </c>
      <c r="H262" s="1" t="n">
        <f aca="false">$C$260*H261</f>
        <v>5.1953870431008</v>
      </c>
      <c r="I262" s="1" t="n">
        <f aca="false">$C$260*I261</f>
        <v>5.78835174944699</v>
      </c>
      <c r="J262" s="1" t="n">
        <f aca="false">$C$260*J261</f>
        <v>6.39490020505591</v>
      </c>
      <c r="K262" s="1" t="n">
        <f aca="false">$C$260*K261</f>
        <v>7.01534470703741</v>
      </c>
      <c r="L262" s="1" t="n">
        <f aca="false">$C$260*L261</f>
        <v>7.65000474179102</v>
      </c>
      <c r="M262" s="1" t="n">
        <f aca="false">$C$260*M261</f>
        <v>8.24195132004108</v>
      </c>
      <c r="N262" s="1" t="n">
        <f aca="false">$C$260*N261</f>
        <v>8.88980440801196</v>
      </c>
      <c r="O262" s="1" t="n">
        <f aca="false">$C$260*O261</f>
        <v>9.59878059146919</v>
      </c>
      <c r="P262" s="1" t="n">
        <f aca="false">$C$260*P261</f>
        <v>10.3012607598722</v>
      </c>
      <c r="Q262" s="1" t="n">
        <f aca="false">$C$260*Q261</f>
        <v>11.0102529249335</v>
      </c>
      <c r="R262" s="1" t="n">
        <f aca="false">$C$260*R261</f>
        <v>11.3573011946823</v>
      </c>
      <c r="S262" s="1" t="n">
        <f aca="false">$C$260*S261</f>
        <v>11.6356430393685</v>
      </c>
      <c r="T262" s="1" t="n">
        <f aca="false">$C$260*T261</f>
        <v>11.9046880400069</v>
      </c>
      <c r="U262" s="1" t="n">
        <f aca="false">$C$260*U261</f>
        <v>12.1780721961356</v>
      </c>
      <c r="V262" s="1" t="n">
        <f aca="false">$C$260*V261</f>
        <v>12.4577180775629</v>
      </c>
      <c r="W262" s="1" t="n">
        <f aca="false">$C$260*W261</f>
        <v>12.6835473126079</v>
      </c>
      <c r="X262" s="1" t="n">
        <f aca="false">$C$260*X261</f>
        <v>12.8943462554222</v>
      </c>
      <c r="Y262" s="1" t="n">
        <f aca="false">$C$260*Y261</f>
        <v>13.1015448894952</v>
      </c>
      <c r="Z262" s="1" t="n">
        <f aca="false">$C$260*Z261</f>
        <v>13.3071700802312</v>
      </c>
      <c r="AA262" s="1" t="n">
        <f aca="false">$C$260*AA261</f>
        <v>13.5116105925437</v>
      </c>
      <c r="AB262" s="1" t="n">
        <f aca="false">$C$260*AB261</f>
        <v>13.7148997839663</v>
      </c>
      <c r="AC262" s="1" t="n">
        <f aca="false">$C$260*AC261</f>
        <v>13.9170714410048</v>
      </c>
      <c r="AD262" s="1" t="n">
        <f aca="false">$C$260*AD261</f>
        <v>14.1181600615043</v>
      </c>
      <c r="AE262" s="1" t="n">
        <f aca="false">$C$260*AE261</f>
        <v>14.3182012572942</v>
      </c>
      <c r="AF262" s="1" t="n">
        <f aca="false">$C$260*AF261</f>
        <v>14.517231761934</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24.087125368031</v>
      </c>
      <c r="G263" s="1" t="n">
        <f aca="false">MAX(0,(G70+F121-F227)*0.25/0.55)</f>
        <v>27.2752715234446</v>
      </c>
      <c r="H263" s="1" t="n">
        <f aca="false">MAX(0,(H70+G121-G227)*0.25/0.55)</f>
        <v>30.4634176788583</v>
      </c>
      <c r="I263" s="1" t="n">
        <f aca="false">MAX(0,(I70+H121-H227)*0.25/0.55)</f>
        <v>33.6515638342719</v>
      </c>
      <c r="J263" s="1" t="n">
        <f aca="false">MAX(0,(J70+I121-I227)*0.25/0.55)</f>
        <v>36.8397099896855</v>
      </c>
      <c r="K263" s="1" t="n">
        <f aca="false">MAX(0,(K70+J121-J227)*0.25/0.55)</f>
        <v>40.0278561450992</v>
      </c>
      <c r="L263" s="1" t="n">
        <f aca="false">MAX(0,(L70+K121-K227)*0.25/0.55)</f>
        <v>43.2160023005128</v>
      </c>
      <c r="M263" s="1" t="n">
        <f aca="false">MAX(0,(M70+L121-L227)*0.25/0.55)</f>
        <v>44.4867176746903</v>
      </c>
      <c r="N263" s="1" t="n">
        <f aca="false">MAX(0,(N70+M121-M227)*0.25/0.55)</f>
        <v>45.7592489999763</v>
      </c>
      <c r="O263" s="1" t="n">
        <f aca="false">MAX(0,(O70+N121-N227)*0.25/0.55)</f>
        <v>47.12345853042</v>
      </c>
      <c r="P263" s="1" t="n">
        <f aca="false">MAX(0,(P70+O121-O227)*0.25/0.55)</f>
        <v>48.5962789770995</v>
      </c>
      <c r="Q263" s="1" t="n">
        <f aca="false">MAX(0,(Q70+P121-P227)*0.25/0.55)</f>
        <v>50.1275663634794</v>
      </c>
      <c r="R263" s="1" t="n">
        <f aca="false">MAX(0,(R70+Q121-Q227)*0.25/0.55)</f>
        <v>51.7225554546747</v>
      </c>
      <c r="S263" s="1" t="n">
        <f aca="false">MAX(0,(S70+R121-R227)*0.25/0.55)</f>
        <v>53.2364694460032</v>
      </c>
      <c r="T263" s="1" t="n">
        <f aca="false">MAX(0,(T70+S121-S227)*0.25/0.55)</f>
        <v>54.6927134713878</v>
      </c>
      <c r="U263" s="1" t="n">
        <f aca="false">MAX(0,(U70+T121-T227)*0.25/0.55)</f>
        <v>56.0980410634042</v>
      </c>
      <c r="V263" s="1" t="n">
        <f aca="false">MAX(0,(V70+U121-U227)*0.25/0.55)</f>
        <v>57.4552127388513</v>
      </c>
      <c r="W263" s="1" t="n">
        <f aca="false">MAX(0,(W70+V121-V227)*0.25/0.55)</f>
        <v>58.771139195243</v>
      </c>
      <c r="X263" s="1" t="n">
        <f aca="false">MAX(0,(X70+W121-W227)*0.25/0.55)</f>
        <v>60.065756778719</v>
      </c>
      <c r="Y263" s="1" t="n">
        <f aca="false">MAX(0,(Y70+X121-X227)*0.25/0.55)</f>
        <v>61.3630340612918</v>
      </c>
      <c r="Z263" s="1" t="n">
        <f aca="false">MAX(0,(Z70+Y121-Y227)*0.25/0.55)</f>
        <v>62.6630649303394</v>
      </c>
      <c r="AA263" s="1" t="n">
        <f aca="false">MAX(0,(AA70+Z121-Z227)*0.25/0.55)</f>
        <v>63.9659465874643</v>
      </c>
      <c r="AB263" s="1" t="n">
        <f aca="false">MAX(0,(AB70+AA121-AA227)*0.25/0.55)</f>
        <v>65.2717796654858</v>
      </c>
      <c r="AC263" s="1" t="n">
        <f aca="false">MAX(0,(AC70+AB121-AB227)*0.25/0.55)</f>
        <v>66.5806683495614</v>
      </c>
      <c r="AD263" s="1" t="n">
        <f aca="false">MAX(0,(AD70+AC121-AC227)*0.25/0.55)</f>
        <v>67.8927205025849</v>
      </c>
      <c r="AE263" s="1" t="n">
        <f aca="false">MAX(0,(AE70+AD121-AD227)*0.25/0.55)</f>
        <v>69.2080477950102</v>
      </c>
      <c r="AF263" s="1" t="n">
        <f aca="false">MAX(0,(AF70+AE121-AE227)*0.25/0.55)</f>
        <v>70.526765839258</v>
      </c>
    </row>
    <row r="264" customFormat="false" ht="14.25" hidden="false" customHeight="true" outlineLevel="0" collapsed="false">
      <c r="B264" s="1" t="s">
        <v>1259</v>
      </c>
      <c r="C264" s="1" t="n">
        <f aca="false">MAX(0,C262-C263)</f>
        <v>0.828578361764256</v>
      </c>
      <c r="D264" s="1" t="n">
        <f aca="false">MAX(0,D262-D263)</f>
        <v>1.67484467625736</v>
      </c>
      <c r="E264" s="1" t="n">
        <f aca="false">MAX(0,E262-E263)</f>
        <v>2.55618474081869</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0.0207144590441064</v>
      </c>
      <c r="D265" s="1" t="n">
        <f aca="false">D264*MAX(0,$C$10-01_Supuestos!$I$134)</f>
        <v>0.0418711169064341</v>
      </c>
      <c r="E265" s="1" t="n">
        <f aca="false">E264*MAX(0,$C$10-01_Supuestos!$I$134)</f>
        <v>0.0639046185204673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23.785904948517</v>
      </c>
      <c r="D266" s="1" t="n">
        <f aca="false">IF(D263&gt;0,D262/D263,0)</f>
        <v>23.6297000919164</v>
      </c>
      <c r="E266" s="1" t="n">
        <f aca="false">IF(E263&gt;0,E262/E263,0)</f>
        <v>23.6236804889062</v>
      </c>
      <c r="F266" s="1" t="n">
        <f aca="false">IF(F263&gt;0,F262/F263,0)</f>
        <v>0.152552181446654</v>
      </c>
      <c r="G266" s="1" t="n">
        <f aca="false">IF(G263&gt;0,G262/G263,0)</f>
        <v>0.169788866541458</v>
      </c>
      <c r="H266" s="1" t="n">
        <f aca="false">IF(H263&gt;0,H262/H263,0)</f>
        <v>0.170545114073213</v>
      </c>
      <c r="I266" s="1" t="n">
        <f aca="false">IF(I263&gt;0,I262/I263,0)</f>
        <v>0.172008402877014</v>
      </c>
      <c r="J266" s="1" t="n">
        <f aca="false">IF(J263&gt;0,J262/J263,0)</f>
        <v>0.173587148401721</v>
      </c>
      <c r="K266" s="1" t="n">
        <f aca="false">IF(K263&gt;0,K262/K263,0)</f>
        <v>0.175261564886391</v>
      </c>
      <c r="L266" s="1" t="n">
        <f aca="false">IF(L263&gt;0,L262/L263,0)</f>
        <v>0.177017871495723</v>
      </c>
      <c r="M266" s="1" t="n">
        <f aca="false">IF(M263&gt;0,M262/M263,0)</f>
        <v>0.185267687769425</v>
      </c>
      <c r="N266" s="1" t="n">
        <f aca="false">IF(N263&gt;0,N262/N263,0)</f>
        <v>0.194273389583307</v>
      </c>
      <c r="O266" s="1" t="n">
        <f aca="false">IF(O263&gt;0,O262/O263,0)</f>
        <v>0.20369431469621</v>
      </c>
      <c r="P266" s="1" t="n">
        <f aca="false">IF(P263&gt;0,P262/P263,0)</f>
        <v>0.211976327749838</v>
      </c>
      <c r="Q266" s="1" t="n">
        <f aca="false">IF(Q263&gt;0,Q262/Q263,0)</f>
        <v>0.219644673054686</v>
      </c>
      <c r="R266" s="1" t="n">
        <f aca="false">IF(R263&gt;0,R262/R263,0)</f>
        <v>0.21958120775055</v>
      </c>
      <c r="S266" s="1" t="n">
        <f aca="false">IF(S263&gt;0,S262/S263,0)</f>
        <v>0.218565264760285</v>
      </c>
      <c r="T266" s="1" t="n">
        <f aca="false">IF(T263&gt;0,T262/T263,0)</f>
        <v>0.217664973712354</v>
      </c>
      <c r="U266" s="1" t="n">
        <f aca="false">IF(U263&gt;0,U262/U263,0)</f>
        <v>0.21708551609443</v>
      </c>
      <c r="V266" s="1" t="n">
        <f aca="false">IF(V263&gt;0,V262/V263,0)</f>
        <v>0.216824853372077</v>
      </c>
      <c r="W266" s="1" t="n">
        <f aca="false">IF(W263&gt;0,W262/W263,0)</f>
        <v>0.215812514208241</v>
      </c>
      <c r="X266" s="1" t="n">
        <f aca="false">IF(X263&gt;0,X262/X263,0)</f>
        <v>0.214670503577017</v>
      </c>
      <c r="Y266" s="1" t="n">
        <f aca="false">IF(Y263&gt;0,Y262/Y263,0)</f>
        <v>0.213508753110364</v>
      </c>
      <c r="Z266" s="1" t="n">
        <f aca="false">IF(Z263&gt;0,Z262/Z263,0)</f>
        <v>0.212360664053449</v>
      </c>
      <c r="AA266" s="1" t="n">
        <f aca="false">IF(AA263&gt;0,AA262/AA263,0)</f>
        <v>0.211231308428595</v>
      </c>
      <c r="AB266" s="1" t="n">
        <f aca="false">IF(AB263&gt;0,AB262/AB263,0)</f>
        <v>0.210119899507174</v>
      </c>
      <c r="AC266" s="1" t="n">
        <f aca="false">IF(AC263&gt;0,AC262/AC263,0)</f>
        <v>0.209025709503807</v>
      </c>
      <c r="AD266" s="1" t="n">
        <f aca="false">IF(AD263&gt;0,AD262/AD263,0)</f>
        <v>0.207948068025448</v>
      </c>
      <c r="AE266" s="1" t="n">
        <f aca="false">IF(AE263&gt;0,AE262/AE263,0)</f>
        <v>0.206886362402589</v>
      </c>
      <c r="AF266" s="1" t="n">
        <f aca="false">IF(AF263&gt;0,AF262/AF263,0)</f>
        <v>0.205840032350571</v>
      </c>
    </row>
    <row r="267" customFormat="false" ht="14.25" hidden="false" customHeight="true" outlineLevel="0" collapsed="false">
      <c r="B267" s="1" t="s">
        <v>1262</v>
      </c>
      <c r="C267" s="1" t="n">
        <f aca="false">C120-C264</f>
        <v>18.2587090387421</v>
      </c>
      <c r="D267" s="1" t="n">
        <f aca="false">D120-D264</f>
        <v>33.4261100952274</v>
      </c>
      <c r="E267" s="1" t="n">
        <f aca="false">E120-E264</f>
        <v>50.039643692662</v>
      </c>
      <c r="F267" s="1" t="n">
        <f aca="false">F120-F264</f>
        <v>60.012755083567</v>
      </c>
      <c r="G267" s="1" t="n">
        <f aca="false">G120-G264</f>
        <v>70.3293152108917</v>
      </c>
      <c r="H267" s="1" t="n">
        <f aca="false">H120-H264</f>
        <v>81.8701903754187</v>
      </c>
      <c r="I267" s="1" t="n">
        <f aca="false">I120-I264</f>
        <v>94.7246416813146</v>
      </c>
      <c r="J267" s="1" t="n">
        <f aca="false">J120-J264</f>
        <v>108.621554244419</v>
      </c>
      <c r="K267" s="1" t="n">
        <f aca="false">K120-K264</f>
        <v>123.588597856861</v>
      </c>
      <c r="L267" s="1" t="n">
        <f aca="false">L120-L264</f>
        <v>139.655873621496</v>
      </c>
      <c r="M267" s="1" t="n">
        <f aca="false">M120-M264</f>
        <v>139.21173081533</v>
      </c>
      <c r="N267" s="1" t="n">
        <f aca="false">N120-N264</f>
        <v>139.681108050747</v>
      </c>
      <c r="O267" s="1" t="n">
        <f aca="false">O120-O264</f>
        <v>141.110632364956</v>
      </c>
      <c r="P267" s="1" t="n">
        <f aca="false">P120-P264</f>
        <v>142.185129881058</v>
      </c>
      <c r="Q267" s="1" t="n">
        <f aca="false">Q120-Q264</f>
        <v>143.091385025753</v>
      </c>
      <c r="R267" s="1" t="n">
        <f aca="false">R120-R264</f>
        <v>144.964390050212</v>
      </c>
      <c r="S267" s="1" t="n">
        <f aca="false">S120-S264</f>
        <v>146.599017367584</v>
      </c>
      <c r="T267" s="1" t="n">
        <f aca="false">T120-T264</f>
        <v>147.966818713874</v>
      </c>
      <c r="U267" s="1" t="n">
        <f aca="false">U120-U264</f>
        <v>149.338410332689</v>
      </c>
      <c r="V267" s="1" t="n">
        <f aca="false">V120-V264</f>
        <v>150.750319165238</v>
      </c>
      <c r="W267" s="1" t="n">
        <f aca="false">W120-W264</f>
        <v>152.27303655939</v>
      </c>
      <c r="X267" s="1" t="n">
        <f aca="false">X120-X264</f>
        <v>153.694591890865</v>
      </c>
      <c r="Y267" s="1" t="n">
        <f aca="false">Y120-Y264</f>
        <v>155.004582433457</v>
      </c>
      <c r="Z267" s="1" t="n">
        <f aca="false">Z120-Z264</f>
        <v>156.250655358765</v>
      </c>
      <c r="AA267" s="1" t="n">
        <f aca="false">AA120-AA264</f>
        <v>157.448986324205</v>
      </c>
      <c r="AB267" s="1" t="n">
        <f aca="false">AB120-AB264</f>
        <v>158.608770531948</v>
      </c>
      <c r="AC267" s="1" t="n">
        <f aca="false">AC120-AC264</f>
        <v>159.739207785323</v>
      </c>
      <c r="AD267" s="1" t="n">
        <f aca="false">AD120-AD264</f>
        <v>160.849532689716</v>
      </c>
      <c r="AE267" s="1" t="n">
        <f aca="false">AE120-AE264</f>
        <v>161.949046826257</v>
      </c>
      <c r="AF267" s="1" t="n">
        <f aca="false">AF120-AF264</f>
        <v>163.047142766117</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0.864941998127893</v>
      </c>
      <c r="D270" s="1" t="n">
        <f aca="false">01_Supuestos!$C$173*D261</f>
        <v>1.74885558534827</v>
      </c>
      <c r="E270" s="1" t="n">
        <f aca="false">01_Supuestos!$C$173*E261</f>
        <v>2.66917187136415</v>
      </c>
      <c r="F270" s="1" t="n">
        <f aca="false">01_Supuestos!$C$173*F261</f>
        <v>3.67454351967217</v>
      </c>
      <c r="G270" s="1" t="n">
        <f aca="false">01_Supuestos!$C$173*G261</f>
        <v>4.63103743657618</v>
      </c>
      <c r="H270" s="1" t="n">
        <f aca="false">01_Supuestos!$C$173*H261</f>
        <v>5.1953870431008</v>
      </c>
      <c r="I270" s="1" t="n">
        <f aca="false">01_Supuestos!$C$173*I261</f>
        <v>5.78835174944699</v>
      </c>
      <c r="J270" s="1" t="n">
        <f aca="false">01_Supuestos!$C$173*J261</f>
        <v>6.39490020505591</v>
      </c>
      <c r="K270" s="1" t="n">
        <f aca="false">01_Supuestos!$C$173*K261</f>
        <v>7.01534470703741</v>
      </c>
      <c r="L270" s="1" t="n">
        <f aca="false">01_Supuestos!$C$173*L261</f>
        <v>7.65000474179102</v>
      </c>
      <c r="M270" s="1" t="n">
        <f aca="false">01_Supuestos!$C$173*M261</f>
        <v>8.24195132004108</v>
      </c>
      <c r="N270" s="1" t="n">
        <f aca="false">01_Supuestos!$C$173*N261</f>
        <v>8.88980440801196</v>
      </c>
      <c r="O270" s="1" t="n">
        <f aca="false">01_Supuestos!$C$173*O261</f>
        <v>9.59878059146919</v>
      </c>
      <c r="P270" s="1" t="n">
        <f aca="false">01_Supuestos!$C$173*P261</f>
        <v>10.3012607598722</v>
      </c>
      <c r="Q270" s="1" t="n">
        <f aca="false">01_Supuestos!$C$173*Q261</f>
        <v>11.0102529249335</v>
      </c>
      <c r="R270" s="1" t="n">
        <f aca="false">01_Supuestos!$C$173*R261</f>
        <v>11.3573011946823</v>
      </c>
      <c r="S270" s="1" t="n">
        <f aca="false">01_Supuestos!$C$173*S261</f>
        <v>11.6356430393685</v>
      </c>
      <c r="T270" s="1" t="n">
        <f aca="false">01_Supuestos!$C$173*T261</f>
        <v>11.9046880400069</v>
      </c>
      <c r="U270" s="1" t="n">
        <f aca="false">01_Supuestos!$C$173*U261</f>
        <v>12.1780721961356</v>
      </c>
      <c r="V270" s="1" t="n">
        <f aca="false">01_Supuestos!$C$173*V261</f>
        <v>12.4577180775629</v>
      </c>
      <c r="W270" s="1" t="n">
        <f aca="false">01_Supuestos!$C$173*W261</f>
        <v>12.6835473126079</v>
      </c>
      <c r="X270" s="1" t="n">
        <f aca="false">01_Supuestos!$C$173*X261</f>
        <v>12.8943462554222</v>
      </c>
      <c r="Y270" s="1" t="n">
        <f aca="false">01_Supuestos!$C$173*Y261</f>
        <v>13.1015448894952</v>
      </c>
      <c r="Z270" s="1" t="n">
        <f aca="false">01_Supuestos!$C$173*Z261</f>
        <v>13.3071700802312</v>
      </c>
      <c r="AA270" s="1" t="n">
        <f aca="false">01_Supuestos!$C$173*AA261</f>
        <v>13.5116105925437</v>
      </c>
      <c r="AB270" s="1" t="n">
        <f aca="false">01_Supuestos!$C$173*AB261</f>
        <v>13.7148997839663</v>
      </c>
      <c r="AC270" s="1" t="n">
        <f aca="false">01_Supuestos!$C$173*AC261</f>
        <v>13.9170714410048</v>
      </c>
      <c r="AD270" s="1" t="n">
        <f aca="false">01_Supuestos!$C$173*AD261</f>
        <v>14.1181600615043</v>
      </c>
      <c r="AE270" s="1" t="n">
        <f aca="false">01_Supuestos!$C$173*AE261</f>
        <v>14.3182012572942</v>
      </c>
      <c r="AF270" s="1" t="n">
        <f aca="false">01_Supuestos!$C$173*AF261</f>
        <v>14.517231761934</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3.67454351967217</v>
      </c>
      <c r="G271" s="1" t="n">
        <f aca="false">MIN(G270,G263)</f>
        <v>4.63103743657618</v>
      </c>
      <c r="H271" s="1" t="n">
        <f aca="false">MIN(H270,H263)</f>
        <v>5.1953870431008</v>
      </c>
      <c r="I271" s="1" t="n">
        <f aca="false">MIN(I270,I263)</f>
        <v>5.78835174944699</v>
      </c>
      <c r="J271" s="1" t="n">
        <f aca="false">MIN(J270,J263)</f>
        <v>6.39490020505591</v>
      </c>
      <c r="K271" s="1" t="n">
        <f aca="false">MIN(K270,K263)</f>
        <v>7.01534470703741</v>
      </c>
      <c r="L271" s="1" t="n">
        <f aca="false">MIN(L270,L263)</f>
        <v>7.65000474179102</v>
      </c>
      <c r="M271" s="1" t="n">
        <f aca="false">MIN(M270,M263)</f>
        <v>8.24195132004108</v>
      </c>
      <c r="N271" s="1" t="n">
        <f aca="false">MIN(N270,N263)</f>
        <v>8.88980440801196</v>
      </c>
      <c r="O271" s="1" t="n">
        <f aca="false">MIN(O270,O263)</f>
        <v>9.59878059146919</v>
      </c>
      <c r="P271" s="1" t="n">
        <f aca="false">MIN(P270,P263)</f>
        <v>10.3012607598722</v>
      </c>
      <c r="Q271" s="1" t="n">
        <f aca="false">MIN(Q270,Q263)</f>
        <v>11.0102529249335</v>
      </c>
      <c r="R271" s="1" t="n">
        <f aca="false">MIN(R270,R263)</f>
        <v>11.3573011946823</v>
      </c>
      <c r="S271" s="1" t="n">
        <f aca="false">MIN(S270,S263)</f>
        <v>11.6356430393685</v>
      </c>
      <c r="T271" s="1" t="n">
        <f aca="false">MIN(T270,T263)</f>
        <v>11.9046880400069</v>
      </c>
      <c r="U271" s="1" t="n">
        <f aca="false">MIN(U270,U263)</f>
        <v>12.1780721961356</v>
      </c>
      <c r="V271" s="1" t="n">
        <f aca="false">MIN(V270,V263)</f>
        <v>12.4577180775629</v>
      </c>
      <c r="W271" s="1" t="n">
        <f aca="false">MIN(W270,W263)</f>
        <v>12.6835473126079</v>
      </c>
      <c r="X271" s="1" t="n">
        <f aca="false">MIN(X270,X263)</f>
        <v>12.8943462554222</v>
      </c>
      <c r="Y271" s="1" t="n">
        <f aca="false">MIN(Y270,Y263)</f>
        <v>13.1015448894952</v>
      </c>
      <c r="Z271" s="1" t="n">
        <f aca="false">MIN(Z270,Z263)</f>
        <v>13.3071700802312</v>
      </c>
      <c r="AA271" s="1" t="n">
        <f aca="false">MIN(AA270,AA263)</f>
        <v>13.5116105925437</v>
      </c>
      <c r="AB271" s="1" t="n">
        <f aca="false">MIN(AB270,AB263)</f>
        <v>13.7148997839663</v>
      </c>
      <c r="AC271" s="1" t="n">
        <f aca="false">MIN(AC270,AC263)</f>
        <v>13.9170714410048</v>
      </c>
      <c r="AD271" s="1" t="n">
        <f aca="false">MIN(AD270,AD263)</f>
        <v>14.1181600615043</v>
      </c>
      <c r="AE271" s="1" t="n">
        <f aca="false">MIN(AE270,AE263)</f>
        <v>14.3182012572942</v>
      </c>
      <c r="AF271" s="1" t="n">
        <f aca="false">MIN(AF270,AF263)</f>
        <v>14.517231761934</v>
      </c>
    </row>
    <row r="272" customFormat="false" ht="14.25" hidden="false" customHeight="true" outlineLevel="0" collapsed="false">
      <c r="B272" s="1" t="s">
        <v>1267</v>
      </c>
      <c r="C272" s="1" t="n">
        <f aca="false">MIN(C270-C271,MAX(0,C120))</f>
        <v>0.828578361764256</v>
      </c>
      <c r="D272" s="1" t="n">
        <f aca="false">MIN(D270-D271,MAX(0,D120))</f>
        <v>1.67484467625736</v>
      </c>
      <c r="E272" s="1" t="n">
        <f aca="false">MIN(E270-E271,MAX(0,E120))</f>
        <v>2.55618474081869</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0.0174885558534827</v>
      </c>
      <c r="E274" s="1" t="n">
        <f aca="false">IF(01_Supuestos!$C$174="Sí",01_Supuestos!$C$172*E271,01_Supuestos!$I$134*(E271+MIN(MIN(E270-E271,MAX(0,D120)),E264))+$C$10*MAX(0,MIN(E270-E271,MAX(0,D120))-E264))</f>
        <v>0.0266917187136415</v>
      </c>
      <c r="F274" s="1" t="n">
        <f aca="false">IF(01_Supuestos!$C$174="Sí",01_Supuestos!$C$172*F271,01_Supuestos!$I$134*(F271+MIN(MIN(F270-F271,MAX(0,E120)),F264))+$C$10*MAX(0,MIN(F270-F271,MAX(0,E120))-F264))</f>
        <v>0.0367454351967217</v>
      </c>
      <c r="G274" s="1" t="n">
        <f aca="false">IF(01_Supuestos!$C$174="Sí",01_Supuestos!$C$172*G271,01_Supuestos!$I$134*(G271+MIN(MIN(G270-G271,MAX(0,F120)),G264))+$C$10*MAX(0,MIN(G270-G271,MAX(0,F120))-G264))</f>
        <v>0.0463103743657618</v>
      </c>
      <c r="H274" s="1" t="n">
        <f aca="false">IF(01_Supuestos!$C$174="Sí",01_Supuestos!$C$172*H271,01_Supuestos!$I$134*(H271+MIN(MIN(H270-H271,MAX(0,G120)),H264))+$C$10*MAX(0,MIN(H270-H271,MAX(0,G120))-H264))</f>
        <v>0.051953870431008</v>
      </c>
      <c r="I274" s="1" t="n">
        <f aca="false">IF(01_Supuestos!$C$174="Sí",01_Supuestos!$C$172*I271,01_Supuestos!$I$134*(I271+MIN(MIN(I270-I271,MAX(0,H120)),I264))+$C$10*MAX(0,MIN(I270-I271,MAX(0,H120))-I264))</f>
        <v>0.0578835174944699</v>
      </c>
      <c r="J274" s="1" t="n">
        <f aca="false">IF(01_Supuestos!$C$174="Sí",01_Supuestos!$C$172*J271,01_Supuestos!$I$134*(J271+MIN(MIN(J270-J271,MAX(0,I120)),J264))+$C$10*MAX(0,MIN(J270-J271,MAX(0,I120))-J264))</f>
        <v>0.0639490020505591</v>
      </c>
      <c r="K274" s="1" t="n">
        <f aca="false">IF(01_Supuestos!$C$174="Sí",01_Supuestos!$C$172*K271,01_Supuestos!$I$134*(K271+MIN(MIN(K270-K271,MAX(0,J120)),K264))+$C$10*MAX(0,MIN(K270-K271,MAX(0,J120))-K264))</f>
        <v>0.0701534470703741</v>
      </c>
      <c r="L274" s="1" t="n">
        <f aca="false">IF(01_Supuestos!$C$174="Sí",01_Supuestos!$C$172*L271,01_Supuestos!$I$134*(L271+MIN(MIN(L270-L271,MAX(0,K120)),L264))+$C$10*MAX(0,MIN(L270-L271,MAX(0,K120))-L264))</f>
        <v>0.0765000474179103</v>
      </c>
      <c r="M274" s="1" t="n">
        <f aca="false">IF(01_Supuestos!$C$174="Sí",01_Supuestos!$C$172*M271,01_Supuestos!$I$134*(M271+MIN(MIN(M270-M271,MAX(0,L120)),M264))+$C$10*MAX(0,MIN(M270-M271,MAX(0,L120))-M264))</f>
        <v>0.0824195132004108</v>
      </c>
      <c r="N274" s="1" t="n">
        <f aca="false">IF(01_Supuestos!$C$174="Sí",01_Supuestos!$C$172*N271,01_Supuestos!$I$134*(N271+MIN(MIN(N270-N271,MAX(0,M120)),N264))+$C$10*MAX(0,MIN(N270-N271,MAX(0,M120))-N264))</f>
        <v>0.0888980440801196</v>
      </c>
      <c r="O274" s="1" t="n">
        <f aca="false">IF(01_Supuestos!$C$174="Sí",01_Supuestos!$C$172*O271,01_Supuestos!$I$134*(O271+MIN(MIN(O270-O271,MAX(0,N120)),O264))+$C$10*MAX(0,MIN(O270-O271,MAX(0,N120))-O264))</f>
        <v>0.0959878059146919</v>
      </c>
      <c r="P274" s="1" t="n">
        <f aca="false">IF(01_Supuestos!$C$174="Sí",01_Supuestos!$C$172*P271,01_Supuestos!$I$134*(P271+MIN(MIN(P270-P271,MAX(0,O120)),P264))+$C$10*MAX(0,MIN(P270-P271,MAX(0,O120))-P264))</f>
        <v>0.103012607598722</v>
      </c>
      <c r="Q274" s="1" t="n">
        <f aca="false">IF(01_Supuestos!$C$174="Sí",01_Supuestos!$C$172*Q271,01_Supuestos!$I$134*(Q271+MIN(MIN(Q270-Q271,MAX(0,P120)),Q264))+$C$10*MAX(0,MIN(Q270-Q271,MAX(0,P120))-Q264))</f>
        <v>0.110102529249335</v>
      </c>
      <c r="R274" s="1" t="n">
        <f aca="false">IF(01_Supuestos!$C$174="Sí",01_Supuestos!$C$172*R271,01_Supuestos!$I$134*(R271+MIN(MIN(R270-R271,MAX(0,Q120)),R264))+$C$10*MAX(0,MIN(R270-R271,MAX(0,Q120))-R264))</f>
        <v>0.113573011946823</v>
      </c>
      <c r="S274" s="1" t="n">
        <f aca="false">IF(01_Supuestos!$C$174="Sí",01_Supuestos!$C$172*S271,01_Supuestos!$I$134*(S271+MIN(MIN(S270-S271,MAX(0,R120)),S264))+$C$10*MAX(0,MIN(S270-S271,MAX(0,R120))-S264))</f>
        <v>0.116356430393685</v>
      </c>
      <c r="T274" s="1" t="n">
        <f aca="false">IF(01_Supuestos!$C$174="Sí",01_Supuestos!$C$172*T271,01_Supuestos!$I$134*(T271+MIN(MIN(T270-T271,MAX(0,S120)),T264))+$C$10*MAX(0,MIN(T270-T271,MAX(0,S120))-T264))</f>
        <v>0.119046880400069</v>
      </c>
      <c r="U274" s="1" t="n">
        <f aca="false">IF(01_Supuestos!$C$174="Sí",01_Supuestos!$C$172*U271,01_Supuestos!$I$134*(U271+MIN(MIN(U270-U271,MAX(0,T120)),U264))+$C$10*MAX(0,MIN(U270-U271,MAX(0,T120))-U264))</f>
        <v>0.121780721961356</v>
      </c>
      <c r="V274" s="1" t="n">
        <f aca="false">IF(01_Supuestos!$C$174="Sí",01_Supuestos!$C$172*V271,01_Supuestos!$I$134*(V271+MIN(MIN(V270-V271,MAX(0,U120)),V264))+$C$10*MAX(0,MIN(V270-V271,MAX(0,U120))-V264))</f>
        <v>0.124577180775629</v>
      </c>
      <c r="W274" s="1" t="n">
        <f aca="false">IF(01_Supuestos!$C$174="Sí",01_Supuestos!$C$172*W271,01_Supuestos!$I$134*(W271+MIN(MIN(W270-W271,MAX(0,V120)),W264))+$C$10*MAX(0,MIN(W270-W271,MAX(0,V120))-W264))</f>
        <v>0.126835473126079</v>
      </c>
      <c r="X274" s="1" t="n">
        <f aca="false">IF(01_Supuestos!$C$174="Sí",01_Supuestos!$C$172*X271,01_Supuestos!$I$134*(X271+MIN(MIN(X270-X271,MAX(0,W120)),X264))+$C$10*MAX(0,MIN(X270-X271,MAX(0,W120))-X264))</f>
        <v>0.128943462554222</v>
      </c>
      <c r="Y274" s="1" t="n">
        <f aca="false">IF(01_Supuestos!$C$174="Sí",01_Supuestos!$C$172*Y271,01_Supuestos!$I$134*(Y271+MIN(MIN(Y270-Y271,MAX(0,X120)),Y264))+$C$10*MAX(0,MIN(Y270-Y271,MAX(0,X120))-Y264))</f>
        <v>0.131015448894952</v>
      </c>
      <c r="Z274" s="1" t="n">
        <f aca="false">IF(01_Supuestos!$C$174="Sí",01_Supuestos!$C$172*Z271,01_Supuestos!$I$134*(Z271+MIN(MIN(Z270-Z271,MAX(0,Y120)),Z264))+$C$10*MAX(0,MIN(Z270-Z271,MAX(0,Y120))-Z264))</f>
        <v>0.133071700802312</v>
      </c>
      <c r="AA274" s="1" t="n">
        <f aca="false">IF(01_Supuestos!$C$174="Sí",01_Supuestos!$C$172*AA271,01_Supuestos!$I$134*(AA271+MIN(MIN(AA270-AA271,MAX(0,Z120)),AA264))+$C$10*MAX(0,MIN(AA270-AA271,MAX(0,Z120))-AA264))</f>
        <v>0.135116105925437</v>
      </c>
      <c r="AB274" s="1" t="n">
        <f aca="false">IF(01_Supuestos!$C$174="Sí",01_Supuestos!$C$172*AB271,01_Supuestos!$I$134*(AB271+MIN(MIN(AB270-AB271,MAX(0,AA120)),AB264))+$C$10*MAX(0,MIN(AB270-AB271,MAX(0,AA120))-AB264))</f>
        <v>0.137148997839663</v>
      </c>
      <c r="AC274" s="1" t="n">
        <f aca="false">IF(01_Supuestos!$C$174="Sí",01_Supuestos!$C$172*AC271,01_Supuestos!$I$134*(AC271+MIN(MIN(AC270-AC271,MAX(0,AB120)),AC264))+$C$10*MAX(0,MIN(AC270-AC271,MAX(0,AB120))-AC264))</f>
        <v>0.139170714410048</v>
      </c>
      <c r="AD274" s="1" t="n">
        <f aca="false">IF(01_Supuestos!$C$174="Sí",01_Supuestos!$C$172*AD271,01_Supuestos!$I$134*(AD271+MIN(MIN(AD270-AD271,MAX(0,AC120)),AD264))+$C$10*MAX(0,MIN(AD270-AD271,MAX(0,AC120))-AD264))</f>
        <v>0.141181600615043</v>
      </c>
      <c r="AE274" s="1" t="n">
        <f aca="false">IF(01_Supuestos!$C$174="Sí",01_Supuestos!$C$172*AE271,01_Supuestos!$I$134*(AE271+MIN(MIN(AE270-AE271,MAX(0,AD120)),AE264))+$C$10*MAX(0,MIN(AE270-AE271,MAX(0,AD120))-AE264))</f>
        <v>0.143182012572942</v>
      </c>
      <c r="AF274" s="1" t="n">
        <f aca="false">IF(01_Supuestos!$C$174="Sí",01_Supuestos!$C$172*AF271,01_Supuestos!$I$134*(AF271+MIN(MIN(AF270-AF271,MAX(0,AE120)),AF264))+$C$10*MAX(0,MIN(AF270-AF271,MAX(0,AE120))-AF264))</f>
        <v>0.14517231761934</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18.2587090387421</v>
      </c>
      <c r="D276" s="1" t="n">
        <f aca="false">D120-MAX(D264,D272)</f>
        <v>33.4261100952274</v>
      </c>
      <c r="E276" s="1" t="n">
        <f aca="false">E120-MAX(E264,E272)</f>
        <v>50.039643692662</v>
      </c>
      <c r="F276" s="1" t="n">
        <f aca="false">F120-MAX(F264,F272)</f>
        <v>60.012755083567</v>
      </c>
      <c r="G276" s="1" t="n">
        <f aca="false">G120-MAX(G264,G272)</f>
        <v>70.3293152108917</v>
      </c>
      <c r="H276" s="1" t="n">
        <f aca="false">H120-MAX(H264,H272)</f>
        <v>81.8701903754187</v>
      </c>
      <c r="I276" s="1" t="n">
        <f aca="false">I120-MAX(I264,I272)</f>
        <v>94.7246416813146</v>
      </c>
      <c r="J276" s="1" t="n">
        <f aca="false">J120-MAX(J264,J272)</f>
        <v>108.621554244419</v>
      </c>
      <c r="K276" s="1" t="n">
        <f aca="false">K120-MAX(K264,K272)</f>
        <v>123.588597856861</v>
      </c>
      <c r="L276" s="1" t="n">
        <f aca="false">L120-MAX(L264,L272)</f>
        <v>139.655873621496</v>
      </c>
      <c r="M276" s="1" t="n">
        <f aca="false">M120-MAX(M264,M272)</f>
        <v>139.21173081533</v>
      </c>
      <c r="N276" s="1" t="n">
        <f aca="false">N120-MAX(N264,N272)</f>
        <v>139.681108050747</v>
      </c>
      <c r="O276" s="1" t="n">
        <f aca="false">O120-MAX(O264,O272)</f>
        <v>141.110632364956</v>
      </c>
      <c r="P276" s="1" t="n">
        <f aca="false">P120-MAX(P264,P272)</f>
        <v>142.185129881058</v>
      </c>
      <c r="Q276" s="1" t="n">
        <f aca="false">Q120-MAX(Q264,Q272)</f>
        <v>143.091385025753</v>
      </c>
      <c r="R276" s="1" t="n">
        <f aca="false">R120-MAX(R264,R272)</f>
        <v>144.964390050212</v>
      </c>
      <c r="S276" s="1" t="n">
        <f aca="false">S120-MAX(S264,S272)</f>
        <v>146.599017367584</v>
      </c>
      <c r="T276" s="1" t="n">
        <f aca="false">T120-MAX(T264,T272)</f>
        <v>147.966818713874</v>
      </c>
      <c r="U276" s="1" t="n">
        <f aca="false">U120-MAX(U264,U272)</f>
        <v>149.338410332689</v>
      </c>
      <c r="V276" s="1" t="n">
        <f aca="false">V120-MAX(V264,V272)</f>
        <v>150.750319165238</v>
      </c>
      <c r="W276" s="1" t="n">
        <f aca="false">W120-MAX(W264,W272)</f>
        <v>152.27303655939</v>
      </c>
      <c r="X276" s="1" t="n">
        <f aca="false">X120-MAX(X264,X272)</f>
        <v>153.694591890865</v>
      </c>
      <c r="Y276" s="1" t="n">
        <f aca="false">Y120-MAX(Y264,Y272)</f>
        <v>155.004582433457</v>
      </c>
      <c r="Z276" s="1" t="n">
        <f aca="false">Z120-MAX(Z264,Z272)</f>
        <v>156.250655358765</v>
      </c>
      <c r="AA276" s="1" t="n">
        <f aca="false">AA120-MAX(AA264,AA272)</f>
        <v>157.448986324205</v>
      </c>
      <c r="AB276" s="1" t="n">
        <f aca="false">AB120-MAX(AB264,AB272)</f>
        <v>158.608770531948</v>
      </c>
      <c r="AC276" s="1" t="n">
        <f aca="false">AC120-MAX(AC264,AC272)</f>
        <v>159.739207785323</v>
      </c>
      <c r="AD276" s="1" t="n">
        <f aca="false">AD120-MAX(AD264,AD272)</f>
        <v>160.849532689716</v>
      </c>
      <c r="AE276" s="1" t="n">
        <f aca="false">AE120-MAX(AE264,AE272)</f>
        <v>161.949046826257</v>
      </c>
      <c r="AF276" s="1" t="n">
        <f aca="false">AF120-MAX(AF264,AF272)</f>
        <v>163.047142766117</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0.909372549359519</v>
      </c>
      <c r="D284" s="1" t="n">
        <f aca="false">$C$279*D87</f>
        <v>2.96914173637251</v>
      </c>
      <c r="E284" s="1" t="n">
        <f aca="false">$C$279*E87</f>
        <v>5.33324906754524</v>
      </c>
      <c r="F284" s="1" t="n">
        <f aca="false">$C$279*F87</f>
        <v>2.36021098584659</v>
      </c>
      <c r="G284" s="1" t="n">
        <f aca="false">$C$279*G87</f>
        <v>5.98825463242479</v>
      </c>
      <c r="H284" s="1" t="n">
        <f aca="false">$C$279*H87</f>
        <v>9.71366460636227</v>
      </c>
      <c r="I284" s="1" t="n">
        <f aca="false">$C$279*I87</f>
        <v>13.5387262916024</v>
      </c>
      <c r="J284" s="1" t="n">
        <f aca="false">$C$279*J87</f>
        <v>17.4657753379984</v>
      </c>
      <c r="K284" s="1" t="n">
        <f aca="false">$C$279*K87</f>
        <v>21.4971989323257</v>
      </c>
      <c r="L284" s="1" t="n">
        <f aca="false">$C$279*L87</f>
        <v>25.6354370927818</v>
      </c>
      <c r="M284" s="1" t="n">
        <f aca="false">$C$279*M87</f>
        <v>34.0290958150806</v>
      </c>
      <c r="N284" s="1" t="n">
        <f aca="false">$C$279*N87</f>
        <v>41.4472082957484</v>
      </c>
      <c r="O284" s="1" t="n">
        <f aca="false">$C$279*O87</f>
        <v>46.2704401430508</v>
      </c>
      <c r="P284" s="1" t="n">
        <f aca="false">$C$279*P87</f>
        <v>51.2868407596732</v>
      </c>
      <c r="Q284" s="1" t="n">
        <f aca="false">$C$279*Q87</f>
        <v>56.4148324371237</v>
      </c>
      <c r="R284" s="1" t="n">
        <f aca="false">$C$279*R87</f>
        <v>58.2652387987185</v>
      </c>
      <c r="S284" s="1" t="n">
        <f aca="false">$C$279*S87</f>
        <v>59.6724435846194</v>
      </c>
      <c r="T284" s="1" t="n">
        <f aca="false">$C$279*T87</f>
        <v>61.1200464396047</v>
      </c>
      <c r="U284" s="1" t="n">
        <f aca="false">$C$279*U87</f>
        <v>62.6085698931568</v>
      </c>
      <c r="V284" s="1" t="n">
        <f aca="false">$C$279*V87</f>
        <v>64.1388328659332</v>
      </c>
      <c r="W284" s="1" t="n">
        <f aca="false">$C$279*W87</f>
        <v>65.1763410483477</v>
      </c>
      <c r="X284" s="1" t="n">
        <f aca="false">$C$279*X87</f>
        <v>66.0972568037507</v>
      </c>
      <c r="Y284" s="1" t="n">
        <f aca="false">$C$279*Y87</f>
        <v>66.9985695119788</v>
      </c>
      <c r="Z284" s="1" t="n">
        <f aca="false">$C$279*Z87</f>
        <v>67.8803370100475</v>
      </c>
      <c r="AA284" s="1" t="n">
        <f aca="false">$C$279*AA87</f>
        <v>68.7426186901271</v>
      </c>
      <c r="AB284" s="1" t="n">
        <f aca="false">$C$279*AB87</f>
        <v>69.5853681823538</v>
      </c>
      <c r="AC284" s="1" t="n">
        <f aca="false">$C$279*AC87</f>
        <v>70.4085404563823</v>
      </c>
      <c r="AD284" s="1" t="n">
        <f aca="false">$C$279*AD87</f>
        <v>71.2120917198519</v>
      </c>
      <c r="AE284" s="1" t="n">
        <f aca="false">$C$279*AE87</f>
        <v>71.9959793207098</v>
      </c>
      <c r="AF284" s="1" t="n">
        <f aca="false">$C$279*AF87</f>
        <v>72.7601616531544</v>
      </c>
    </row>
    <row r="285" customFormat="false" ht="14.25" hidden="false" customHeight="true" outlineLevel="0" collapsed="false">
      <c r="B285" s="84" t="s">
        <v>1280</v>
      </c>
      <c r="C285" s="1" t="n">
        <f aca="false">MAX(0/$C$280,0-C284)</f>
        <v>0</v>
      </c>
      <c r="D285" s="1" t="n">
        <f aca="false">MAX(C284*(1-$C$340)/$C$280,C284-D341-D284)</f>
        <v>0.0450139411932962</v>
      </c>
      <c r="E285" s="1" t="n">
        <f aca="false">MAX(D284*(1-$C$340)/$C$280,D284-E341-E284)</f>
        <v>0.146972515950439</v>
      </c>
      <c r="F285" s="1" t="n">
        <f aca="false">MAX(E284*(1-$C$340)/$C$280,E284-F341-F284)</f>
        <v>2.91970559102319</v>
      </c>
      <c r="G285" s="1" t="n">
        <f aca="false">MAX(F284*(1-$C$340)/$C$280,F284-G341-G284)</f>
        <v>0.116830443799406</v>
      </c>
      <c r="H285" s="1" t="n">
        <f aca="false">MAX(G284*(1-$C$340)/$C$280,G284-H341-H284)</f>
        <v>0.296418604305027</v>
      </c>
      <c r="I285" s="1" t="n">
        <f aca="false">MAX(H284*(1-$C$340)/$C$280,H284-I341-I284)</f>
        <v>0.480826398014932</v>
      </c>
      <c r="J285" s="1" t="n">
        <f aca="false">MAX(I284*(1-$C$340)/$C$280,I284-J341-J284)</f>
        <v>0.670166951434317</v>
      </c>
      <c r="K285" s="1" t="n">
        <f aca="false">MAX(J284*(1-$C$340)/$C$280,J284-K341-K284)</f>
        <v>0.864555879230921</v>
      </c>
      <c r="L285" s="1" t="n">
        <f aca="false">MAX(K284*(1-$C$340)/$C$280,K284-L341-L284)</f>
        <v>1.06411134715012</v>
      </c>
      <c r="M285" s="1" t="n">
        <f aca="false">MAX(L284*(1-$C$340)/$C$280,L284-M341-M284)</f>
        <v>1.2689541360927</v>
      </c>
      <c r="N285" s="1" t="n">
        <f aca="false">MAX(M284*(1-$C$340)/$C$280,M284-N341-N284)</f>
        <v>1.68444024284649</v>
      </c>
      <c r="O285" s="1" t="n">
        <f aca="false">MAX(N284*(1-$C$340)/$C$280,N284-O341-O284)</f>
        <v>2.05163681063955</v>
      </c>
      <c r="P285" s="1" t="n">
        <f aca="false">MAX(O284*(1-$C$340)/$C$280,O284-P341-P284)</f>
        <v>2.29038678708101</v>
      </c>
      <c r="Q285" s="1" t="n">
        <f aca="false">MAX(P284*(1-$C$340)/$C$280,P284-Q341-Q284)</f>
        <v>2.53869861760382</v>
      </c>
      <c r="R285" s="1" t="n">
        <f aca="false">MAX(Q284*(1-$C$340)/$C$280,Q284-R341-R284)</f>
        <v>2.79253420563762</v>
      </c>
      <c r="S285" s="1" t="n">
        <f aca="false">MAX(R284*(1-$C$340)/$C$280,R284-S341-S284)</f>
        <v>2.88412932053657</v>
      </c>
      <c r="T285" s="1" t="n">
        <f aca="false">MAX(S284*(1-$C$340)/$C$280,S284-T341-T284)</f>
        <v>2.95378595743866</v>
      </c>
      <c r="U285" s="1" t="n">
        <f aca="false">MAX(T284*(1-$C$340)/$C$280,T284-U341-U284)</f>
        <v>3.02544229876043</v>
      </c>
      <c r="V285" s="1" t="n">
        <f aca="false">MAX(U284*(1-$C$340)/$C$280,U284-V341-V284)</f>
        <v>3.09912420971126</v>
      </c>
      <c r="W285" s="1" t="n">
        <f aca="false">MAX(V284*(1-$C$340)/$C$280,V284-W341-W284)</f>
        <v>3.17487222686369</v>
      </c>
      <c r="X285" s="1" t="n">
        <f aca="false">MAX(W284*(1-$C$340)/$C$280,W284-X341-X284)</f>
        <v>3.22622888189321</v>
      </c>
      <c r="Y285" s="1" t="n">
        <f aca="false">MAX(X284*(1-$C$340)/$C$280,X284-Y341-Y284)</f>
        <v>3.27181421178566</v>
      </c>
      <c r="Z285" s="1" t="n">
        <f aca="false">MAX(Y284*(1-$C$340)/$C$280,Y284-Z341-Z284)</f>
        <v>3.31642919084295</v>
      </c>
      <c r="AA285" s="1" t="n">
        <f aca="false">MAX(Z284*(1-$C$340)/$C$280,Z284-AA341-AA284)</f>
        <v>3.36007668199735</v>
      </c>
      <c r="AB285" s="1" t="n">
        <f aca="false">MAX(AA284*(1-$C$340)/$C$280,AA284-AB341-AB284)</f>
        <v>3.40275962516129</v>
      </c>
      <c r="AC285" s="1" t="n">
        <f aca="false">MAX(AB284*(1-$C$340)/$C$280,AB284-AC341-AC284)</f>
        <v>3.44447572502651</v>
      </c>
      <c r="AD285" s="1" t="n">
        <f aca="false">MAX(AC284*(1-$C$340)/$C$280,AC284-AD341-AD284)</f>
        <v>3.48522275259092</v>
      </c>
      <c r="AE285" s="1" t="n">
        <f aca="false">MAX(AD284*(1-$C$340)/$C$280,AD284-AE341-AE284)</f>
        <v>3.52499854013267</v>
      </c>
      <c r="AF285" s="1" t="n">
        <f aca="false">MAX(AE284*(1-$C$340)/$C$280,AE284-AF341-AF284)</f>
        <v>3.56380097637513</v>
      </c>
    </row>
    <row r="286" customFormat="false" ht="14.25" hidden="false" customHeight="true" outlineLevel="0" collapsed="false">
      <c r="B286" s="84" t="s">
        <v>1281</v>
      </c>
      <c r="C286" s="1" t="n">
        <f aca="false">C284-0+C285</f>
        <v>0.909372549359519</v>
      </c>
      <c r="D286" s="1" t="n">
        <f aca="false">D284-C284+D285+D341</f>
        <v>2.11387685369988</v>
      </c>
      <c r="E286" s="1" t="n">
        <f aca="false">E284-D284+E285+E341</f>
        <v>2.5407712644869</v>
      </c>
      <c r="F286" s="1" t="n">
        <f aca="false">F284-E284+F285+F341</f>
        <v>0</v>
      </c>
      <c r="G286" s="1" t="n">
        <f aca="false">G284-F284+G285+G341</f>
        <v>3.76847620023607</v>
      </c>
      <c r="H286" s="1" t="n">
        <f aca="false">H284-G284+H285+H341</f>
        <v>4.08171112456676</v>
      </c>
      <c r="I286" s="1" t="n">
        <f aca="false">I284-H284+I285+I341</f>
        <v>4.40302472931865</v>
      </c>
      <c r="J286" s="1" t="n">
        <f aca="false">J284-I284+J285+J341</f>
        <v>4.73260326074638</v>
      </c>
      <c r="K286" s="1" t="n">
        <f aca="false">K284-J284+K285+K341</f>
        <v>5.07063722693817</v>
      </c>
      <c r="L286" s="1" t="n">
        <f aca="false">L284-K284+L285+L341</f>
        <v>5.41732149692954</v>
      </c>
      <c r="M286" s="1" t="n">
        <f aca="false">M284-L284+M285+M341</f>
        <v>9.91896722931928</v>
      </c>
      <c r="N286" s="1" t="n">
        <f aca="false">N284-M284+N285+N341</f>
        <v>9.44284368166513</v>
      </c>
      <c r="O286" s="1" t="n">
        <f aca="false">O284-N284+O285+O341</f>
        <v>7.28934074089938</v>
      </c>
      <c r="P286" s="1" t="n">
        <f aca="false">P284-O284+P285+P341</f>
        <v>7.76949180513397</v>
      </c>
      <c r="Q286" s="1" t="n">
        <f aca="false">Q284-P284+Q285+Q341</f>
        <v>8.17955870265105</v>
      </c>
      <c r="R286" s="1" t="n">
        <f aca="false">R284-Q284+R285+R341</f>
        <v>5.20708889160368</v>
      </c>
      <c r="S286" s="1" t="n">
        <f aca="false">S284-R284+S285+S341</f>
        <v>4.87398649442463</v>
      </c>
      <c r="T286" s="1" t="n">
        <f aca="false">T284-S284+T285+T341</f>
        <v>4.9981132482701</v>
      </c>
      <c r="U286" s="1" t="n">
        <f aca="false">U284-T284+U285+U341</f>
        <v>5.12516621670863</v>
      </c>
      <c r="V286" s="1" t="n">
        <f aca="false">V284-U284+V285+V341</f>
        <v>5.25547288141921</v>
      </c>
      <c r="W286" s="1" t="n">
        <f aca="false">W284-V284+W285+W341</f>
        <v>4.85376873793755</v>
      </c>
      <c r="X286" s="1" t="n">
        <f aca="false">X284-W284+X285+X341</f>
        <v>4.79890804777969</v>
      </c>
      <c r="Y286" s="1" t="n">
        <f aca="false">Y284-X284+Y285+Y341</f>
        <v>4.83409948805127</v>
      </c>
      <c r="Z286" s="1" t="n">
        <f aca="false">Z284-Y284+Z285+Z341</f>
        <v>4.86818238403142</v>
      </c>
      <c r="AA286" s="1" t="n">
        <f aca="false">AA284-Z284+AA285+AA341</f>
        <v>4.9011617321774</v>
      </c>
      <c r="AB286" s="1" t="n">
        <f aca="false">AB284-AA284+AB285+AB341</f>
        <v>4.93293530428926</v>
      </c>
      <c r="AC286" s="1" t="n">
        <f aca="false">AC284-AB284+AC285+AC341</f>
        <v>4.96350168087854</v>
      </c>
      <c r="AD286" s="1" t="n">
        <f aca="false">AD284-AC284+AD285+AD341</f>
        <v>4.9928594206244</v>
      </c>
      <c r="AE286" s="1" t="n">
        <f aca="false">AE284-AD284+AE285+AE341</f>
        <v>5.02100705818901</v>
      </c>
      <c r="AF286" s="1" t="n">
        <f aca="false">AF284-AE284+AF285+AF341</f>
        <v>5.04794310202685</v>
      </c>
    </row>
    <row r="287" customFormat="false" ht="14.25" hidden="false" customHeight="true" outlineLevel="0" collapsed="false">
      <c r="B287" s="84" t="s">
        <v>1282</v>
      </c>
      <c r="C287" s="1" t="n">
        <f aca="false">C284*(1-$C$340)*$C$175</f>
        <v>0.0387119894262347</v>
      </c>
      <c r="D287" s="1" t="n">
        <f aca="false">D284*(1-$C$340)*$C$175</f>
        <v>0.126396363717378</v>
      </c>
      <c r="E287" s="1" t="n">
        <f aca="false">E284*(1-$C$340)*$C$175</f>
        <v>0.227036412805401</v>
      </c>
      <c r="F287" s="1" t="n">
        <f aca="false">F284*(1-$C$340)*$C$175</f>
        <v>0.10047418166749</v>
      </c>
      <c r="G287" s="1" t="n">
        <f aca="false">G284*(1-$C$340)*$C$175</f>
        <v>0.254919999702323</v>
      </c>
      <c r="H287" s="1" t="n">
        <f aca="false">H284*(1-$C$340)*$C$175</f>
        <v>0.413510702292842</v>
      </c>
      <c r="I287" s="1" t="n">
        <f aca="false">I284*(1-$C$340)*$C$175</f>
        <v>0.576343578233513</v>
      </c>
      <c r="J287" s="1" t="n">
        <f aca="false">J284*(1-$C$340)*$C$175</f>
        <v>0.743518056138592</v>
      </c>
      <c r="K287" s="1" t="n">
        <f aca="false">K284*(1-$C$340)*$C$175</f>
        <v>0.915135758549104</v>
      </c>
      <c r="L287" s="1" t="n">
        <f aca="false">L284*(1-$C$340)*$C$175</f>
        <v>1.09130055703972</v>
      </c>
      <c r="M287" s="1" t="n">
        <f aca="false">M284*(1-$C$340)*$C$175</f>
        <v>1.44861860884798</v>
      </c>
      <c r="N287" s="1" t="n">
        <f aca="false">N284*(1-$C$340)*$C$175</f>
        <v>1.76440765715001</v>
      </c>
      <c r="O287" s="1" t="n">
        <f aca="false">O284*(1-$C$340)*$C$175</f>
        <v>1.96973263688967</v>
      </c>
      <c r="P287" s="1" t="n">
        <f aca="false">P284*(1-$C$340)*$C$175</f>
        <v>2.18328081113929</v>
      </c>
      <c r="Q287" s="1" t="n">
        <f aca="false">Q284*(1-$C$340)*$C$175</f>
        <v>2.40157941684836</v>
      </c>
      <c r="R287" s="1" t="n">
        <f aca="false">R284*(1-$C$340)*$C$175</f>
        <v>2.48035121566145</v>
      </c>
      <c r="S287" s="1" t="n">
        <f aca="false">S284*(1-$C$340)*$C$175</f>
        <v>2.54025592339725</v>
      </c>
      <c r="T287" s="1" t="n">
        <f aca="false">T284*(1-$C$340)*$C$175</f>
        <v>2.60188037693397</v>
      </c>
      <c r="U287" s="1" t="n">
        <f aca="false">U284*(1-$C$340)*$C$175</f>
        <v>2.66524682035169</v>
      </c>
      <c r="V287" s="1" t="n">
        <f aca="false">V284*(1-$C$340)*$C$175</f>
        <v>2.73039011510278</v>
      </c>
      <c r="W287" s="1" t="n">
        <f aca="false">W284*(1-$C$340)*$C$175</f>
        <v>2.77455683842816</v>
      </c>
      <c r="X287" s="1" t="n">
        <f aca="false">X284*(1-$C$340)*$C$175</f>
        <v>2.81376022213567</v>
      </c>
      <c r="Y287" s="1" t="n">
        <f aca="false">Y284*(1-$C$340)*$C$175</f>
        <v>2.85212910412494</v>
      </c>
      <c r="Z287" s="1" t="n">
        <f aca="false">Z284*(1-$C$340)*$C$175</f>
        <v>2.88966594651772</v>
      </c>
      <c r="AA287" s="1" t="n">
        <f aca="false">AA284*(1-$C$340)*$C$175</f>
        <v>2.92637327763871</v>
      </c>
      <c r="AB287" s="1" t="n">
        <f aca="false">AB284*(1-$C$340)*$C$175</f>
        <v>2.9622491235228</v>
      </c>
      <c r="AC287" s="1" t="n">
        <f aca="false">AC284*(1-$C$340)*$C$175</f>
        <v>2.99729156722819</v>
      </c>
      <c r="AD287" s="1" t="n">
        <f aca="false">AD284*(1-$C$340)*$C$175</f>
        <v>3.0314987445141</v>
      </c>
      <c r="AE287" s="1" t="n">
        <f aca="false">AE284*(1-$C$340)*$C$175</f>
        <v>3.06486883968261</v>
      </c>
      <c r="AF287" s="1" t="n">
        <f aca="false">AF284*(1-$C$340)*$C$175</f>
        <v>3.09740008157478</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1.25580018721076</v>
      </c>
      <c r="D289" s="1" t="n">
        <f aca="false">(1-$C$279)*D87</f>
        <v>4.1002433502287</v>
      </c>
      <c r="E289" s="1" t="n">
        <f aca="false">(1-$C$279)*E87</f>
        <v>7.36496299803866</v>
      </c>
      <c r="F289" s="1" t="n">
        <f aca="false">(1-$C$279)*F87</f>
        <v>3.25933898045482</v>
      </c>
      <c r="G289" s="1" t="n">
        <f aca="false">(1-$C$279)*G87</f>
        <v>8.26949449239614</v>
      </c>
      <c r="H289" s="1" t="n">
        <f aca="false">(1-$C$279)*H87</f>
        <v>13.4141082659289</v>
      </c>
      <c r="I289" s="1" t="n">
        <f aca="false">(1-$C$279)*I87</f>
        <v>18.6963363074509</v>
      </c>
      <c r="J289" s="1" t="n">
        <f aca="false">(1-$C$279)*J87</f>
        <v>24.1194040381883</v>
      </c>
      <c r="K289" s="1" t="n">
        <f aca="false">(1-$C$279)*K87</f>
        <v>29.6866080494021</v>
      </c>
      <c r="L289" s="1" t="n">
        <f aca="false">(1-$C$279)*L87</f>
        <v>35.4013178900321</v>
      </c>
      <c r="M289" s="1" t="n">
        <f aca="false">(1-$C$279)*M87</f>
        <v>46.9925608874923</v>
      </c>
      <c r="N289" s="1" t="n">
        <f aca="false">(1-$C$279)*N87</f>
        <v>57.2366209798431</v>
      </c>
      <c r="O289" s="1" t="n">
        <f aca="false">(1-$C$279)*O87</f>
        <v>63.8972744832606</v>
      </c>
      <c r="P289" s="1" t="n">
        <f aca="false">(1-$C$279)*P87</f>
        <v>70.8246848585964</v>
      </c>
      <c r="Q289" s="1" t="n">
        <f aca="false">(1-$C$279)*Q87</f>
        <v>77.9061971750756</v>
      </c>
      <c r="R289" s="1" t="n">
        <f aca="false">(1-$C$279)*R87</f>
        <v>80.4615202458494</v>
      </c>
      <c r="S289" s="1" t="n">
        <f aca="false">(1-$C$279)*S87</f>
        <v>82.4048030454268</v>
      </c>
      <c r="T289" s="1" t="n">
        <f aca="false">(1-$C$279)*T87</f>
        <v>84.4038736546922</v>
      </c>
      <c r="U289" s="1" t="n">
        <f aca="false">(1-$C$279)*U87</f>
        <v>86.4594536619785</v>
      </c>
      <c r="V289" s="1" t="n">
        <f aca="false">(1-$C$279)*V87</f>
        <v>88.5726739577173</v>
      </c>
      <c r="W289" s="1" t="n">
        <f aca="false">(1-$C$279)*W87</f>
        <v>90.0054233524802</v>
      </c>
      <c r="X289" s="1" t="n">
        <f aca="false">(1-$C$279)*X87</f>
        <v>91.2771641575605</v>
      </c>
      <c r="Y289" s="1" t="n">
        <f aca="false">(1-$C$279)*Y87</f>
        <v>92.5218340879708</v>
      </c>
      <c r="Z289" s="1" t="n">
        <f aca="false">(1-$C$279)*Z87</f>
        <v>93.7395130138751</v>
      </c>
      <c r="AA289" s="1" t="n">
        <f aca="false">(1-$C$279)*AA87</f>
        <v>94.9302829530326</v>
      </c>
      <c r="AB289" s="1" t="n">
        <f aca="false">(1-$C$279)*AB87</f>
        <v>96.0940798708695</v>
      </c>
      <c r="AC289" s="1" t="n">
        <f aca="false">(1-$C$279)*AC87</f>
        <v>97.2308415826232</v>
      </c>
      <c r="AD289" s="1" t="n">
        <f aca="false">(1-$C$279)*AD87</f>
        <v>98.3405076131289</v>
      </c>
      <c r="AE289" s="1" t="n">
        <f aca="false">(1-$C$279)*AE87</f>
        <v>99.4230190619325</v>
      </c>
      <c r="AF289" s="1" t="n">
        <f aca="false">(1-$C$279)*AF87</f>
        <v>100.478318473404</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0.248648437067731</v>
      </c>
      <c r="E290" s="1" t="n">
        <f aca="false">MAX(D289*(1-$C$340)/$C$281+IF(AND(01_Supuestos!$C$189&gt;0,E$39=01_Supuestos!$C$189),01_Supuestos!$C$190*D289*(1-$C$340)*(1-1/$C$281),0),D289-E342-E289)</f>
        <v>0.811848183345282</v>
      </c>
      <c r="F290" s="1" t="n">
        <f aca="false">MAX(E289*(1-$C$340)/$C$281+IF(AND(01_Supuestos!$C$189&gt;0,F$39=01_Supuestos!$C$189),01_Supuestos!$C$190*E289*(1-$C$340)*(1-1/$C$281),0),E289-F342-F289)</f>
        <v>4.03197438760346</v>
      </c>
      <c r="G290" s="1" t="n">
        <f aca="false">MAX(F289*(1-$C$340)/$C$281+IF(AND(01_Supuestos!$C$189&gt;0,G$39=01_Supuestos!$C$189),01_Supuestos!$C$190*F289*(1-$C$340)*(1-1/$C$281),0),F289-G342-G289)</f>
        <v>0.645349118130055</v>
      </c>
      <c r="H290" s="1" t="n">
        <f aca="false">MAX(G289*(1-$C$340)/$C$281+IF(AND(01_Supuestos!$C$189&gt;0,H$39=01_Supuestos!$C$189),01_Supuestos!$C$190*G289*(1-$C$340)*(1-1/$C$281),0),G289-H342-H289)</f>
        <v>1.63735990949444</v>
      </c>
      <c r="I290" s="1" t="n">
        <f aca="false">MAX(H289*(1-$C$340)/$C$281+IF(AND(01_Supuestos!$C$189&gt;0,I$39=01_Supuestos!$C$189),01_Supuestos!$C$190*H289*(1-$C$340)*(1-1/$C$281),0),H289-I342-I289)</f>
        <v>2.65599343665391</v>
      </c>
      <c r="J290" s="1" t="n">
        <f aca="false">MAX(I289*(1-$C$340)/$C$281+IF(AND(01_Supuestos!$C$189&gt;0,J$39=01_Supuestos!$C$189),01_Supuestos!$C$190*I289*(1-$C$340)*(1-1/$C$281),0),I289-J342-J289)</f>
        <v>3.70187458887528</v>
      </c>
      <c r="K290" s="1" t="n">
        <f aca="false">MAX(J289*(1-$C$340)/$C$281+IF(AND(01_Supuestos!$C$189&gt;0,K$39=01_Supuestos!$C$189),01_Supuestos!$C$190*J289*(1-$C$340)*(1-1/$C$281),0),J289-K342-K289)</f>
        <v>4.77564199956128</v>
      </c>
      <c r="L290" s="1" t="n">
        <f aca="false">MAX(K289*(1-$C$340)/$C$281+IF(AND(01_Supuestos!$C$189&gt;0,L$39=01_Supuestos!$C$189),01_Supuestos!$C$190*K289*(1-$C$340)*(1-1/$C$281),0),K289-L342-L289)</f>
        <v>5.87794839378162</v>
      </c>
      <c r="M290" s="1" t="n">
        <f aca="false">MAX(L289*(1-$C$340)/$C$281+IF(AND(01_Supuestos!$C$189&gt;0,M$39=01_Supuestos!$C$189),01_Supuestos!$C$190*L289*(1-$C$340)*(1-1/$C$281),0),L289-M342-M289)</f>
        <v>7.00946094222635</v>
      </c>
      <c r="N290" s="1" t="n">
        <f aca="false">MAX(M289*(1-$C$340)/$C$281+IF(AND(01_Supuestos!$C$189&gt;0,N$39=01_Supuestos!$C$189),01_Supuestos!$C$190*M289*(1-$C$340)*(1-1/$C$281),0),M289-N342-N289)</f>
        <v>9.30452705572347</v>
      </c>
      <c r="O290" s="1" t="n">
        <f aca="false">MAX(N289*(1-$C$340)/$C$281+IF(AND(01_Supuestos!$C$189&gt;0,O$39=01_Supuestos!$C$189),01_Supuestos!$C$190*N289*(1-$C$340)*(1-1/$C$281),0),N289-O342-O289)</f>
        <v>11.3328509540089</v>
      </c>
      <c r="P290" s="1" t="n">
        <f aca="false">MAX(O289*(1-$C$340)/$C$281+IF(AND(01_Supuestos!$C$189&gt;0,P$39=01_Supuestos!$C$189),01_Supuestos!$C$190*O289*(1-$C$340)*(1-1/$C$281),0),O289-P342-P289)</f>
        <v>12.6516603476856</v>
      </c>
      <c r="Q290" s="1" t="n">
        <f aca="false">MAX(P289*(1-$C$340)/$C$281+IF(AND(01_Supuestos!$C$189&gt;0,Q$39=01_Supuestos!$C$189),01_Supuestos!$C$190*P289*(1-$C$340)*(1-1/$C$281),0),P289-Q342-Q289)</f>
        <v>14.0232876020021</v>
      </c>
      <c r="R290" s="1" t="n">
        <f aca="false">MAX(Q289*(1-$C$340)/$C$281+IF(AND(01_Supuestos!$C$189&gt;0,R$39=01_Supuestos!$C$189),01_Supuestos!$C$190*Q289*(1-$C$340)*(1-1/$C$281),0),Q289-R342-R289)</f>
        <v>15.425427040665</v>
      </c>
      <c r="S290" s="1" t="n">
        <f aca="false">MAX(R289*(1-$C$340)/$C$281+IF(AND(01_Supuestos!$C$189&gt;0,S$39=01_Supuestos!$C$189),01_Supuestos!$C$190*R289*(1-$C$340)*(1-1/$C$281),0),R289-S342-S289)</f>
        <v>15.9313810086782</v>
      </c>
      <c r="T290" s="1" t="n">
        <f aca="false">MAX(S289*(1-$C$340)/$C$281+IF(AND(01_Supuestos!$C$189&gt;0,T$39=01_Supuestos!$C$189),01_Supuestos!$C$190*S289*(1-$C$340)*(1-1/$C$281),0),S289-T342-T289)</f>
        <v>16.3161510029945</v>
      </c>
      <c r="U290" s="1" t="n">
        <f aca="false">MAX(T289*(1-$C$340)/$C$281+IF(AND(01_Supuestos!$C$189&gt;0,U$39=01_Supuestos!$C$189),01_Supuestos!$C$190*T289*(1-$C$340)*(1-1/$C$281),0),T289-U342-U289)</f>
        <v>16.711966983629</v>
      </c>
      <c r="V290" s="1" t="n">
        <f aca="false">MAX(U289*(1-$C$340)/$C$281+IF(AND(01_Supuestos!$C$189&gt;0,V$39=01_Supuestos!$C$189),01_Supuestos!$C$190*U289*(1-$C$340)*(1-1/$C$281),0),U289-V342-V289)</f>
        <v>17.1189718250717</v>
      </c>
      <c r="W290" s="1" t="n">
        <f aca="false">MAX(V289*(1-$C$340)/$C$281+IF(AND(01_Supuestos!$C$189&gt;0,W$39=01_Supuestos!$C$189),01_Supuestos!$C$190*V289*(1-$C$340)*(1-1/$C$281),0),V289-W342-W289)</f>
        <v>17.537389443628</v>
      </c>
      <c r="X290" s="1" t="n">
        <f aca="false">MAX(W289*(1-$C$340)/$C$281+IF(AND(01_Supuestos!$C$189&gt;0,X$39=01_Supuestos!$C$189),01_Supuestos!$C$190*W289*(1-$C$340)*(1-1/$C$281),0),W289-X342-X289)</f>
        <v>17.8210738237911</v>
      </c>
      <c r="Y290" s="1" t="n">
        <f aca="false">MAX(X289*(1-$C$340)/$C$281+IF(AND(01_Supuestos!$C$189&gt;0,Y$39=01_Supuestos!$C$189),01_Supuestos!$C$190*X289*(1-$C$340)*(1-1/$C$281),0),X289-Y342-Y289)</f>
        <v>18.072878503197</v>
      </c>
      <c r="Z290" s="1" t="n">
        <f aca="false">MAX(Y289*(1-$C$340)/$C$281+IF(AND(01_Supuestos!$C$189&gt;0,Z$39=01_Supuestos!$C$189),01_Supuestos!$C$190*Y289*(1-$C$340)*(1-1/$C$281),0),Y289-Z342-Z289)</f>
        <v>18.3193231494182</v>
      </c>
      <c r="AA290" s="1" t="n">
        <f aca="false">MAX(Z289*(1-$C$340)/$C$281+IF(AND(01_Supuestos!$C$189&gt;0,AA$39=01_Supuestos!$C$189),01_Supuestos!$C$190*Z289*(1-$C$340)*(1-1/$C$281),0),Z289-AA342-AA289)</f>
        <v>18.5604235767473</v>
      </c>
      <c r="AB290" s="1" t="n">
        <f aca="false">MAX(AA289*(1-$C$340)/$C$281+IF(AND(01_Supuestos!$C$189&gt;0,AB$39=01_Supuestos!$C$189),01_Supuestos!$C$190*AA289*(1-$C$340)*(1-1/$C$281),0),AA289-AB342-AB289)</f>
        <v>18.7961960247005</v>
      </c>
      <c r="AC290" s="1" t="n">
        <f aca="false">MAX(AB289*(1-$C$340)/$C$281+IF(AND(01_Supuestos!$C$189&gt;0,AC$39=01_Supuestos!$C$189),01_Supuestos!$C$190*AB289*(1-$C$340)*(1-1/$C$281),0),AB289-AC342-AC289)</f>
        <v>19.0266278144322</v>
      </c>
      <c r="AD290" s="1" t="n">
        <f aca="false">MAX(AC289*(1-$C$340)/$C$281+IF(AND(01_Supuestos!$C$189&gt;0,AD$39=01_Supuestos!$C$189),01_Supuestos!$C$190*AC289*(1-$C$340)*(1-1/$C$281),0),AC289-AD342-AD289)</f>
        <v>19.2517066333594</v>
      </c>
      <c r="AE290" s="1" t="n">
        <f aca="false">MAX(AD289*(1-$C$340)/$C$281+IF(AND(01_Supuestos!$C$189&gt;0,AE$39=01_Supuestos!$C$189),01_Supuestos!$C$190*AD289*(1-$C$340)*(1-1/$C$281),0),AD289-AE342-AE289)</f>
        <v>19.4714205073995</v>
      </c>
      <c r="AF290" s="1" t="n">
        <f aca="false">MAX(AE289*(1-$C$340)/$C$281+IF(AND(01_Supuestos!$C$189&gt;0,AF$39=01_Supuestos!$C$189),01_Supuestos!$C$190*AE289*(1-$C$340)*(1-1/$C$281),0),AE289-AF342-AF289)</f>
        <v>19.6857577742626</v>
      </c>
    </row>
    <row r="291" customFormat="false" ht="14.25" hidden="false" customHeight="true" outlineLevel="0" collapsed="false">
      <c r="B291" s="84" t="s">
        <v>1281</v>
      </c>
      <c r="C291" s="1" t="n">
        <f aca="false">C289-0+C290</f>
        <v>1.25580018721076</v>
      </c>
      <c r="D291" s="1" t="n">
        <f aca="false">D289-C289+D290+D342</f>
        <v>3.10564960195777</v>
      </c>
      <c r="E291" s="1" t="n">
        <f aca="false">E289-D289+E290+E342</f>
        <v>4.11757026465754</v>
      </c>
      <c r="F291" s="1" t="n">
        <f aca="false">F289-E289+F290+F342</f>
        <v>0</v>
      </c>
      <c r="G291" s="1" t="n">
        <f aca="false">G289-F289+G290+G342</f>
        <v>5.68809801987592</v>
      </c>
      <c r="H291" s="1" t="n">
        <f aca="false">H289-G289+H290+H342</f>
        <v>6.86466862795111</v>
      </c>
      <c r="I291" s="1" t="n">
        <f aca="false">I289-H289+I290+I342</f>
        <v>8.07236256083524</v>
      </c>
      <c r="J291" s="1" t="n">
        <f aca="false">J289-I289+J290+J342</f>
        <v>9.31190568268718</v>
      </c>
      <c r="K291" s="1" t="n">
        <f aca="false">K289-J289+K290+K342</f>
        <v>10.584040051157</v>
      </c>
      <c r="L291" s="1" t="n">
        <f aca="false">L289-K289+L290+L342</f>
        <v>11.8895243149056</v>
      </c>
      <c r="M291" s="1" t="n">
        <f aca="false">M289-L289+M290+M342</f>
        <v>18.9547171185869</v>
      </c>
      <c r="N291" s="1" t="n">
        <f aca="false">N289-M289+N290+N342</f>
        <v>20.0185127569492</v>
      </c>
      <c r="O291" s="1" t="n">
        <f aca="false">O289-N289+O290+O342</f>
        <v>18.5658706672249</v>
      </c>
      <c r="P291" s="1" t="n">
        <f aca="false">P289-O289+P290+P342</f>
        <v>20.218043467854</v>
      </c>
      <c r="Q291" s="1" t="n">
        <f aca="false">Q289-P289+Q290+Q342</f>
        <v>21.8130467670673</v>
      </c>
      <c r="R291" s="1" t="n">
        <f aca="false">R289-Q289+R290+R342</f>
        <v>18.7598120831895</v>
      </c>
      <c r="S291" s="1" t="n">
        <f aca="false">S289-R289+S290+S342</f>
        <v>18.6792790107141</v>
      </c>
      <c r="T291" s="1" t="n">
        <f aca="false">T289-S289+T290+T342</f>
        <v>19.1392696427141</v>
      </c>
      <c r="U291" s="1" t="n">
        <f aca="false">U289-T289+U290+U342</f>
        <v>19.6115857274623</v>
      </c>
      <c r="V291" s="1" t="n">
        <f aca="false">V289-U289+V290+V342</f>
        <v>20.0967866574303</v>
      </c>
      <c r="W291" s="1" t="n">
        <f aca="false">W289-V289+W290+W342</f>
        <v>19.8558655779681</v>
      </c>
      <c r="X291" s="1" t="n">
        <f aca="false">X289-W289+X290+X342</f>
        <v>19.9928688623962</v>
      </c>
      <c r="Y291" s="1" t="n">
        <f aca="false">Y289-X289+Y290+Y342</f>
        <v>20.2303200751828</v>
      </c>
      <c r="Z291" s="1" t="n">
        <f aca="false">Z289-Y289+Z290+Z342</f>
        <v>20.4622204162023</v>
      </c>
      <c r="AA291" s="1" t="n">
        <f aca="false">AA289-Z289+AA290+AA342</f>
        <v>20.6885886460435</v>
      </c>
      <c r="AB291" s="1" t="n">
        <f aca="false">AB289-AA289+AB290+AB342</f>
        <v>20.9092957720677</v>
      </c>
      <c r="AC291" s="1" t="n">
        <f aca="false">AC289-AB289+AC290+AC342</f>
        <v>21.1243303248945</v>
      </c>
      <c r="AD291" s="1" t="n">
        <f aca="false">AD289-AC289+AD290+AD342</f>
        <v>21.3336810796913</v>
      </c>
      <c r="AE291" s="1" t="n">
        <f aca="false">AE289-AD289+AE290+AE342</f>
        <v>21.5373370323345</v>
      </c>
      <c r="AF291" s="1" t="n">
        <f aca="false">AF289-AE289+AF290+AF342</f>
        <v>21.7352873763531</v>
      </c>
    </row>
    <row r="292" customFormat="false" ht="14.25" hidden="false" customHeight="true" outlineLevel="0" collapsed="false">
      <c r="B292" s="84" t="s">
        <v>1282</v>
      </c>
      <c r="C292" s="1" t="n">
        <f aca="false">C289*(1-$C$340)*$C$175</f>
        <v>0.0534594139695622</v>
      </c>
      <c r="D292" s="1" t="n">
        <f aca="false">D289*(1-$C$340)*$C$175</f>
        <v>0.174547359419236</v>
      </c>
      <c r="E292" s="1" t="n">
        <f aca="false">E289*(1-$C$340)*$C$175</f>
        <v>0.313526474826506</v>
      </c>
      <c r="F292" s="1" t="n">
        <f aca="false">F289*(1-$C$340)*$C$175</f>
        <v>0.138750060397962</v>
      </c>
      <c r="G292" s="1" t="n">
        <f aca="false">G289*(1-$C$340)*$C$175</f>
        <v>0.352032380541304</v>
      </c>
      <c r="H292" s="1" t="n">
        <f aca="false">H289*(1-$C$340)*$C$175</f>
        <v>0.571038588880591</v>
      </c>
      <c r="I292" s="1" t="n">
        <f aca="false">I289*(1-$C$340)*$C$175</f>
        <v>0.795903036608184</v>
      </c>
      <c r="J292" s="1" t="n">
        <f aca="false">J289*(1-$C$340)*$C$175</f>
        <v>1.02676302990568</v>
      </c>
      <c r="K292" s="1" t="n">
        <f aca="false">K289*(1-$C$340)*$C$175</f>
        <v>1.26375890466305</v>
      </c>
      <c r="L292" s="1" t="n">
        <f aca="false">L289*(1-$C$340)*$C$175</f>
        <v>1.50703410257866</v>
      </c>
      <c r="M292" s="1" t="n">
        <f aca="false">M289*(1-$C$340)*$C$175</f>
        <v>2.00047331698055</v>
      </c>
      <c r="N292" s="1" t="n">
        <f aca="false">N289*(1-$C$340)*$C$175</f>
        <v>2.43656295511192</v>
      </c>
      <c r="O292" s="1" t="n">
        <f aca="false">O289*(1-$C$340)*$C$175</f>
        <v>2.7201069747524</v>
      </c>
      <c r="P292" s="1" t="n">
        <f aca="false">P289*(1-$C$340)*$C$175</f>
        <v>3.01500683443045</v>
      </c>
      <c r="Q292" s="1" t="n">
        <f aca="false">Q289*(1-$C$340)*$C$175</f>
        <v>3.31646681374297</v>
      </c>
      <c r="R292" s="1" t="n">
        <f aca="false">R289*(1-$C$340)*$C$175</f>
        <v>3.42524691686581</v>
      </c>
      <c r="S292" s="1" t="n">
        <f aca="false">S289*(1-$C$340)*$C$175</f>
        <v>3.50797246564382</v>
      </c>
      <c r="T292" s="1" t="n">
        <f aca="false">T289*(1-$C$340)*$C$175</f>
        <v>3.59307290148024</v>
      </c>
      <c r="U292" s="1" t="n">
        <f aca="false">U289*(1-$C$340)*$C$175</f>
        <v>3.68057894239042</v>
      </c>
      <c r="V292" s="1" t="n">
        <f aca="false">V289*(1-$C$340)*$C$175</f>
        <v>3.77053873038002</v>
      </c>
      <c r="W292" s="1" t="n">
        <f aca="false">W289*(1-$C$340)*$C$175</f>
        <v>3.83153087211508</v>
      </c>
      <c r="X292" s="1" t="n">
        <f aca="false">X289*(1-$C$340)*$C$175</f>
        <v>3.88566887818735</v>
      </c>
      <c r="Y292" s="1" t="n">
        <f aca="false">Y289*(1-$C$340)*$C$175</f>
        <v>3.93865447712492</v>
      </c>
      <c r="Z292" s="1" t="n">
        <f aca="false">Z289*(1-$C$340)*$C$175</f>
        <v>3.99049106900066</v>
      </c>
      <c r="AA292" s="1" t="n">
        <f aca="false">AA289*(1-$C$340)*$C$175</f>
        <v>4.0411821453106</v>
      </c>
      <c r="AB292" s="1" t="n">
        <f aca="false">AB289*(1-$C$340)*$C$175</f>
        <v>4.09072498010292</v>
      </c>
      <c r="AC292" s="1" t="n">
        <f aca="false">AC289*(1-$C$340)*$C$175</f>
        <v>4.13911692617227</v>
      </c>
      <c r="AD292" s="1" t="n">
        <f aca="false">AD289*(1-$C$340)*$C$175</f>
        <v>4.1863554090909</v>
      </c>
      <c r="AE292" s="1" t="n">
        <f aca="false">AE289*(1-$C$340)*$C$175</f>
        <v>4.23243792146647</v>
      </c>
      <c r="AF292" s="1" t="n">
        <f aca="false">AF289*(1-$C$340)*$C$175</f>
        <v>4.27736201741279</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32.7283871805361</v>
      </c>
      <c r="G294" s="116" t="n">
        <f aca="false">G85</f>
        <v>34.2346905763938</v>
      </c>
      <c r="H294" s="116" t="n">
        <f aca="false">H85</f>
        <v>35.7424929420516</v>
      </c>
      <c r="I294" s="116" t="n">
        <f aca="false">I85</f>
        <v>37.2517193290193</v>
      </c>
      <c r="J294" s="116" t="n">
        <f aca="false">J85</f>
        <v>38.7622985362316</v>
      </c>
      <c r="K294" s="116" t="n">
        <f aca="false">K85</f>
        <v>40.2741629226761</v>
      </c>
      <c r="L294" s="116" t="n">
        <f aca="false">L85</f>
        <v>41.7872482293912</v>
      </c>
      <c r="M294" s="116" t="n">
        <f aca="false">M85</f>
        <v>33.429798583513</v>
      </c>
      <c r="N294" s="116" t="n">
        <f aca="false">N85</f>
        <v>27.6625094820743</v>
      </c>
      <c r="O294" s="116" t="n">
        <f aca="false">O85</f>
        <v>28.3470899227807</v>
      </c>
      <c r="P294" s="116" t="n">
        <f aca="false">P85</f>
        <v>28.8516194354516</v>
      </c>
      <c r="Q294" s="116" t="n">
        <f aca="false">Q85</f>
        <v>29.3767677777575</v>
      </c>
      <c r="R294" s="116" t="n">
        <f aca="false">R85</f>
        <v>29.9155829607449</v>
      </c>
      <c r="S294" s="116" t="n">
        <f aca="false">S85</f>
        <v>30.4438692413889</v>
      </c>
      <c r="T294" s="116" t="n">
        <f aca="false">T85</f>
        <v>30.9651814421812</v>
      </c>
      <c r="U294" s="116" t="n">
        <f aca="false">U85</f>
        <v>31.4803273166818</v>
      </c>
      <c r="V294" s="116" t="n">
        <f aca="false">V85</f>
        <v>31.9894561182184</v>
      </c>
      <c r="W294" s="116" t="n">
        <f aca="false">W85</f>
        <v>32.4826453449321</v>
      </c>
      <c r="X294" s="116" t="n">
        <f aca="false">X85</f>
        <v>32.9628888591602</v>
      </c>
      <c r="Y294" s="116" t="n">
        <f aca="false">Y85</f>
        <v>33.4338462662789</v>
      </c>
      <c r="Z294" s="116" t="n">
        <f aca="false">Z85</f>
        <v>33.8952381969415</v>
      </c>
      <c r="AA294" s="116" t="n">
        <f aca="false">AA85</f>
        <v>34.3467861012521</v>
      </c>
      <c r="AB294" s="116" t="n">
        <f aca="false">AB85</f>
        <v>34.7884674493719</v>
      </c>
      <c r="AC294" s="116" t="n">
        <f aca="false">AC85</f>
        <v>35.2202604239473</v>
      </c>
      <c r="AD294" s="116" t="n">
        <f aca="false">AD85</f>
        <v>35.6421438698713</v>
      </c>
      <c r="AE294" s="116" t="n">
        <f aca="false">AE85</f>
        <v>36.0540972460407</v>
      </c>
      <c r="AF294" s="116" t="n">
        <f aca="false">AF85</f>
        <v>36.4561005789916</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3.27283871805361</v>
      </c>
      <c r="H295" s="1" t="n">
        <f aca="false">MAX(G294/$C$282,G294-H294)</f>
        <v>3.42346905763938</v>
      </c>
      <c r="I295" s="1" t="n">
        <f aca="false">MAX(H294/$C$282,H294-I294)</f>
        <v>3.57424929420516</v>
      </c>
      <c r="J295" s="1" t="n">
        <f aca="false">MAX(I294/$C$282,I294-J294)</f>
        <v>3.72517193290193</v>
      </c>
      <c r="K295" s="1" t="n">
        <f aca="false">MAX(J294/$C$282,J294-K294)</f>
        <v>3.87622985362315</v>
      </c>
      <c r="L295" s="1" t="n">
        <f aca="false">MAX(K294/$C$282,K294-L294)</f>
        <v>4.02741629226761</v>
      </c>
      <c r="M295" s="1" t="n">
        <f aca="false">MAX(L294/$C$282,L294-M294)</f>
        <v>8.35744964587825</v>
      </c>
      <c r="N295" s="1" t="n">
        <f aca="false">MAX(M294/$C$282,M294-N294)</f>
        <v>5.76728910143867</v>
      </c>
      <c r="O295" s="1" t="n">
        <f aca="false">MAX(N294/$C$282,N294-O294)</f>
        <v>2.76625094820743</v>
      </c>
      <c r="P295" s="1" t="n">
        <f aca="false">MAX(O294/$C$282,O294-P294)</f>
        <v>2.83470899227807</v>
      </c>
      <c r="Q295" s="1" t="n">
        <f aca="false">MAX(P294/$C$282,P294-Q294)</f>
        <v>2.88516194354516</v>
      </c>
      <c r="R295" s="1" t="n">
        <f aca="false">MAX(Q294/$C$282,Q294-R294)</f>
        <v>2.93767677777575</v>
      </c>
      <c r="S295" s="1" t="n">
        <f aca="false">MAX(R294/$C$282,R294-S294)</f>
        <v>2.99155829607449</v>
      </c>
      <c r="T295" s="1" t="n">
        <f aca="false">MAX(S294/$C$282,S294-T294)</f>
        <v>3.04438692413889</v>
      </c>
      <c r="U295" s="1" t="n">
        <f aca="false">MAX(T294/$C$282,T294-U294)</f>
        <v>3.09651814421812</v>
      </c>
      <c r="V295" s="1" t="n">
        <f aca="false">MAX(U294/$C$282,U294-V294)</f>
        <v>3.14803273166818</v>
      </c>
      <c r="W295" s="1" t="n">
        <f aca="false">MAX(V294/$C$282,V294-W294)</f>
        <v>3.19894561182184</v>
      </c>
      <c r="X295" s="1" t="n">
        <f aca="false">MAX(W294/$C$282,W294-X294)</f>
        <v>3.24826453449321</v>
      </c>
      <c r="Y295" s="1" t="n">
        <f aca="false">MAX(X294/$C$282,X294-Y294)</f>
        <v>3.29628888591602</v>
      </c>
      <c r="Z295" s="1" t="n">
        <f aca="false">MAX(Y294/$C$282,Y294-Z294)</f>
        <v>3.34338462662789</v>
      </c>
      <c r="AA295" s="1" t="n">
        <f aca="false">MAX(Z294/$C$282,Z294-AA294)</f>
        <v>3.38952381969415</v>
      </c>
      <c r="AB295" s="1" t="n">
        <f aca="false">MAX(AA294/$C$282,AA294-AB294)</f>
        <v>3.43467861012521</v>
      </c>
      <c r="AC295" s="1" t="n">
        <f aca="false">MAX(AB294/$C$282,AB294-AC294)</f>
        <v>3.47884674493719</v>
      </c>
      <c r="AD295" s="1" t="n">
        <f aca="false">MAX(AC294/$C$282,AC294-AD294)</f>
        <v>3.52202604239473</v>
      </c>
      <c r="AE295" s="1" t="n">
        <f aca="false">MAX(AD294/$C$282,AD294-AE294)</f>
        <v>3.56421438698713</v>
      </c>
      <c r="AF295" s="1" t="n">
        <f aca="false">MAX(AE294/$C$282,AE294-AF294)</f>
        <v>3.60540972460407</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18.5684169133116</v>
      </c>
      <c r="G296" s="1" t="n">
        <f aca="false">G294-F294+G295</f>
        <v>4.77914211391135</v>
      </c>
      <c r="H296" s="1" t="n">
        <f aca="false">H294-G294+H295</f>
        <v>4.93127142329713</v>
      </c>
      <c r="I296" s="1" t="n">
        <f aca="false">I294-H294+I295</f>
        <v>5.0834756811729</v>
      </c>
      <c r="J296" s="1" t="n">
        <f aca="false">J294-I294+J295</f>
        <v>5.23575114011417</v>
      </c>
      <c r="K296" s="1" t="n">
        <f aca="false">K294-J294+K295</f>
        <v>5.38809424006767</v>
      </c>
      <c r="L296" s="1" t="n">
        <f aca="false">L294-K294+L295</f>
        <v>5.54050159898278</v>
      </c>
      <c r="M296" s="1" t="n">
        <f aca="false">M294-L294+M295</f>
        <v>0</v>
      </c>
      <c r="N296" s="1" t="n">
        <f aca="false">N294-M294+N295</f>
        <v>0</v>
      </c>
      <c r="O296" s="1" t="n">
        <f aca="false">O294-N294+O295</f>
        <v>3.45083138891384</v>
      </c>
      <c r="P296" s="1" t="n">
        <f aca="false">P294-O294+P295</f>
        <v>3.33923850494896</v>
      </c>
      <c r="Q296" s="1" t="n">
        <f aca="false">Q294-P294+Q295</f>
        <v>3.41031028585102</v>
      </c>
      <c r="R296" s="1" t="n">
        <f aca="false">R294-Q294+R295</f>
        <v>3.47649196076319</v>
      </c>
      <c r="S296" s="1" t="n">
        <f aca="false">S294-R294+S295</f>
        <v>3.51984457671844</v>
      </c>
      <c r="T296" s="1" t="n">
        <f aca="false">T294-S294+T295</f>
        <v>3.56569912493127</v>
      </c>
      <c r="U296" s="1" t="n">
        <f aca="false">U294-T294+U295</f>
        <v>3.61166401871867</v>
      </c>
      <c r="V296" s="1" t="n">
        <f aca="false">V294-U294+V295</f>
        <v>3.65716153320478</v>
      </c>
      <c r="W296" s="1" t="n">
        <f aca="false">W294-V294+W295</f>
        <v>3.69213483853557</v>
      </c>
      <c r="X296" s="1" t="n">
        <f aca="false">X294-W294+X295</f>
        <v>3.72850804872126</v>
      </c>
      <c r="Y296" s="1" t="n">
        <f aca="false">Y294-X294+Y295</f>
        <v>3.76724629303476</v>
      </c>
      <c r="Z296" s="1" t="n">
        <f aca="false">Z294-Y294+Z295</f>
        <v>3.8047765572905</v>
      </c>
      <c r="AA296" s="1" t="n">
        <f aca="false">AA294-Z294+AA295</f>
        <v>3.84107172400474</v>
      </c>
      <c r="AB296" s="1" t="n">
        <f aca="false">AB294-AA294+AB295</f>
        <v>3.87635995824498</v>
      </c>
      <c r="AC296" s="1" t="n">
        <f aca="false">AC294-AB294+AC295</f>
        <v>3.91063971951258</v>
      </c>
      <c r="AD296" s="1" t="n">
        <f aca="false">AD294-AC294+AD295</f>
        <v>3.94390948831872</v>
      </c>
      <c r="AE296" s="1" t="n">
        <f aca="false">AE294-AD294+AE295</f>
        <v>3.97616776315653</v>
      </c>
      <c r="AF296" s="1" t="n">
        <f aca="false">AF294-AE294+AF295</f>
        <v>4.00741305755499</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1.30913548722144</v>
      </c>
      <c r="G297" s="1" t="n">
        <f aca="false">G294*01_Supuestos!$I$126</f>
        <v>1.36938762305575</v>
      </c>
      <c r="H297" s="1" t="n">
        <f aca="false">H294*01_Supuestos!$I$126</f>
        <v>1.42969971768206</v>
      </c>
      <c r="I297" s="1" t="n">
        <f aca="false">I294*01_Supuestos!$I$126</f>
        <v>1.49006877316077</v>
      </c>
      <c r="J297" s="1" t="n">
        <f aca="false">J294*01_Supuestos!$I$126</f>
        <v>1.55049194144926</v>
      </c>
      <c r="K297" s="1" t="n">
        <f aca="false">K294*01_Supuestos!$I$126</f>
        <v>1.61096651690704</v>
      </c>
      <c r="L297" s="1" t="n">
        <f aca="false">L294*01_Supuestos!$I$126</f>
        <v>1.67148992917565</v>
      </c>
      <c r="M297" s="1" t="n">
        <f aca="false">M294*01_Supuestos!$I$126</f>
        <v>1.33719194334052</v>
      </c>
      <c r="N297" s="1" t="n">
        <f aca="false">N294*01_Supuestos!$I$126</f>
        <v>1.10650037928297</v>
      </c>
      <c r="O297" s="1" t="n">
        <f aca="false">O294*01_Supuestos!$I$126</f>
        <v>1.13388359691123</v>
      </c>
      <c r="P297" s="1" t="n">
        <f aca="false">P294*01_Supuestos!$I$126</f>
        <v>1.15406477741806</v>
      </c>
      <c r="Q297" s="1" t="n">
        <f aca="false">Q294*01_Supuestos!$I$126</f>
        <v>1.1750707111103</v>
      </c>
      <c r="R297" s="1" t="n">
        <f aca="false">R294*01_Supuestos!$I$126</f>
        <v>1.1966233184298</v>
      </c>
      <c r="S297" s="1" t="n">
        <f aca="false">S294*01_Supuestos!$I$126</f>
        <v>1.21775476965555</v>
      </c>
      <c r="T297" s="1" t="n">
        <f aca="false">T294*01_Supuestos!$I$126</f>
        <v>1.23860725768725</v>
      </c>
      <c r="U297" s="1" t="n">
        <f aca="false">U294*01_Supuestos!$I$126</f>
        <v>1.25921309266727</v>
      </c>
      <c r="V297" s="1" t="n">
        <f aca="false">V294*01_Supuestos!$I$126</f>
        <v>1.27957824472874</v>
      </c>
      <c r="W297" s="1" t="n">
        <f aca="false">W294*01_Supuestos!$I$126</f>
        <v>1.29930581379729</v>
      </c>
      <c r="X297" s="1" t="n">
        <f aca="false">X294*01_Supuestos!$I$126</f>
        <v>1.31851555436641</v>
      </c>
      <c r="Y297" s="1" t="n">
        <f aca="false">Y294*01_Supuestos!$I$126</f>
        <v>1.33735385065116</v>
      </c>
      <c r="Z297" s="1" t="n">
        <f aca="false">Z294*01_Supuestos!$I$126</f>
        <v>1.35580952787766</v>
      </c>
      <c r="AA297" s="1" t="n">
        <f aca="false">AA294*01_Supuestos!$I$126</f>
        <v>1.37387144405008</v>
      </c>
      <c r="AB297" s="1" t="n">
        <f aca="false">AB294*01_Supuestos!$I$126</f>
        <v>1.39153869797488</v>
      </c>
      <c r="AC297" s="1" t="n">
        <f aca="false">AC294*01_Supuestos!$I$126</f>
        <v>1.40881041695789</v>
      </c>
      <c r="AD297" s="1" t="n">
        <f aca="false">AD294*01_Supuestos!$I$126</f>
        <v>1.42568575479485</v>
      </c>
      <c r="AE297" s="1" t="n">
        <f aca="false">AE294*01_Supuestos!$I$126</f>
        <v>1.44216388984163</v>
      </c>
      <c r="AF297" s="1" t="n">
        <f aca="false">AF294*01_Supuestos!$I$126</f>
        <v>1.45824402315966</v>
      </c>
    </row>
    <row r="298" customFormat="false" ht="14.25" hidden="false" customHeight="true" outlineLevel="0" collapsed="false">
      <c r="B298" s="84" t="s">
        <v>1290</v>
      </c>
      <c r="C298" s="116" t="n">
        <f aca="false">C86</f>
        <v>0.4875</v>
      </c>
      <c r="D298" s="116" t="n">
        <f aca="false">D86</f>
        <v>0.9862125</v>
      </c>
      <c r="E298" s="116" t="n">
        <f aca="false">E86</f>
        <v>1.4963953875</v>
      </c>
      <c r="F298" s="116" t="n">
        <f aca="false">F86</f>
        <v>2.0183124814125</v>
      </c>
      <c r="G298" s="116" t="n">
        <f aca="false">G86</f>
        <v>2.55223366848499</v>
      </c>
      <c r="H298" s="116" t="n">
        <f aca="false">H86</f>
        <v>3.09843504286014</v>
      </c>
      <c r="I298" s="116" t="n">
        <f aca="false">I86</f>
        <v>3.65719904884592</v>
      </c>
      <c r="J298" s="116" t="n">
        <f aca="false">J86</f>
        <v>4.22881462696938</v>
      </c>
      <c r="K298" s="116" t="n">
        <f aca="false">K86</f>
        <v>4.81357736338968</v>
      </c>
      <c r="L298" s="116" t="n">
        <f aca="false">L86</f>
        <v>5.41178964274764</v>
      </c>
      <c r="M298" s="116" t="n">
        <f aca="false">M86</f>
        <v>6.02376080453083</v>
      </c>
      <c r="N298" s="116" t="n">
        <f aca="false">N86</f>
        <v>6.64980730303504</v>
      </c>
      <c r="O298" s="116" t="n">
        <f aca="false">O86</f>
        <v>7.29025287100485</v>
      </c>
      <c r="P298" s="116" t="n">
        <f aca="false">P86</f>
        <v>7.94542868703796</v>
      </c>
      <c r="Q298" s="116" t="n">
        <f aca="false">Q86</f>
        <v>8.61567354683983</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9.87707419714526</v>
      </c>
      <c r="X298" s="116" t="n">
        <f aca="false">X86</f>
        <v>10.0177531484459</v>
      </c>
      <c r="Y298" s="116" t="n">
        <f aca="false">Y86</f>
        <v>10.1554868350647</v>
      </c>
      <c r="Z298" s="116" t="n">
        <f aca="false">Z86</f>
        <v>10.2902678010981</v>
      </c>
      <c r="AA298" s="116" t="n">
        <f aca="false">AA86</f>
        <v>10.4220888286533</v>
      </c>
      <c r="AB298" s="116" t="n">
        <f aca="false">AB86</f>
        <v>10.5509429211892</v>
      </c>
      <c r="AC298" s="116" t="n">
        <f aca="false">AC86</f>
        <v>10.6768232875238</v>
      </c>
      <c r="AD298" s="116" t="n">
        <f aca="false">AD86</f>
        <v>10.7997233264659</v>
      </c>
      <c r="AE298" s="116" t="n">
        <f aca="false">AE86</f>
        <v>10.9196366120359</v>
      </c>
      <c r="AF298" s="116" t="n">
        <f aca="false">AF86</f>
        <v>11.0365568792395</v>
      </c>
    </row>
    <row r="299" customFormat="false" ht="14.25" hidden="false" customHeight="true" outlineLevel="0" collapsed="false">
      <c r="B299" s="144" t="s">
        <v>1291</v>
      </c>
      <c r="C299" s="1" t="n">
        <f aca="false">C286+C291+C296</f>
        <v>9.2625</v>
      </c>
      <c r="D299" s="1" t="n">
        <f aca="false">D286+D291+D296</f>
        <v>10.5005843319697</v>
      </c>
      <c r="E299" s="1" t="n">
        <f aca="false">E286+E291+E296</f>
        <v>11.8898546540016</v>
      </c>
      <c r="F299" s="1" t="n">
        <f aca="false">F286+F291+F296</f>
        <v>18.5684169133116</v>
      </c>
      <c r="G299" s="1" t="n">
        <f aca="false">G286+G291+G296</f>
        <v>14.2357163340233</v>
      </c>
      <c r="H299" s="1" t="n">
        <f aca="false">H286+H291+H296</f>
        <v>15.877651175815</v>
      </c>
      <c r="I299" s="1" t="n">
        <f aca="false">I286+I291+I296</f>
        <v>17.5588629713268</v>
      </c>
      <c r="J299" s="1" t="n">
        <f aca="false">J286+J291+J296</f>
        <v>19.2802600835477</v>
      </c>
      <c r="K299" s="1" t="n">
        <f aca="false">K286+K291+K296</f>
        <v>21.0427715181628</v>
      </c>
      <c r="L299" s="1" t="n">
        <f aca="false">L286+L291+L296</f>
        <v>22.8473474108179</v>
      </c>
      <c r="M299" s="1" t="n">
        <f aca="false">M286+M291+M296</f>
        <v>28.8736843479061</v>
      </c>
      <c r="N299" s="1" t="n">
        <f aca="false">N286+N291+N296</f>
        <v>29.4613564386143</v>
      </c>
      <c r="O299" s="1" t="n">
        <f aca="false">O286+O291+O296</f>
        <v>29.3060427970381</v>
      </c>
      <c r="P299" s="1" t="n">
        <f aca="false">P286+P291+P296</f>
        <v>31.3267737779369</v>
      </c>
      <c r="Q299" s="1" t="n">
        <f aca="false">Q286+Q291+Q296</f>
        <v>33.4029157555694</v>
      </c>
      <c r="R299" s="1" t="n">
        <f aca="false">R286+R291+R296</f>
        <v>27.4433929355564</v>
      </c>
      <c r="S299" s="1" t="n">
        <f aca="false">S286+S291+S296</f>
        <v>27.0731100818571</v>
      </c>
      <c r="T299" s="1" t="n">
        <f aca="false">T286+T291+T296</f>
        <v>27.7030820159155</v>
      </c>
      <c r="U299" s="1" t="n">
        <f aca="false">U286+U291+U296</f>
        <v>28.3484159628896</v>
      </c>
      <c r="V299" s="1" t="n">
        <f aca="false">V286+V291+V296</f>
        <v>29.0094210720543</v>
      </c>
      <c r="W299" s="1" t="n">
        <f aca="false">W286+W291+W296</f>
        <v>28.4017691544412</v>
      </c>
      <c r="X299" s="1" t="n">
        <f aca="false">X286+X291+X296</f>
        <v>28.5202849588972</v>
      </c>
      <c r="Y299" s="1" t="n">
        <f aca="false">Y286+Y291+Y296</f>
        <v>28.8316658562689</v>
      </c>
      <c r="Z299" s="1" t="n">
        <f aca="false">Z286+Z291+Z296</f>
        <v>29.1351793575242</v>
      </c>
      <c r="AA299" s="1" t="n">
        <f aca="false">AA286+AA291+AA296</f>
        <v>29.4308221022257</v>
      </c>
      <c r="AB299" s="1" t="n">
        <f aca="false">AB286+AB291+AB296</f>
        <v>29.7185910346019</v>
      </c>
      <c r="AC299" s="1" t="n">
        <f aca="false">AC286+AC291+AC296</f>
        <v>29.9984717252856</v>
      </c>
      <c r="AD299" s="1" t="n">
        <f aca="false">AD286+AD291+AD296</f>
        <v>30.2704499886344</v>
      </c>
      <c r="AE299" s="1" t="n">
        <f aca="false">AE286+AE291+AE296</f>
        <v>30.53451185368</v>
      </c>
      <c r="AF299" s="1" t="n">
        <f aca="false">AF286+AF291+AF296</f>
        <v>30.790643535935</v>
      </c>
    </row>
    <row r="300" customFormat="false" ht="14.25" hidden="false" customHeight="true" outlineLevel="0" collapsed="false">
      <c r="B300" s="144" t="s">
        <v>1292</v>
      </c>
      <c r="C300" s="1" t="n">
        <f aca="false">C285+C290+C295</f>
        <v>0</v>
      </c>
      <c r="D300" s="1" t="n">
        <f aca="false">D285+D290+D295</f>
        <v>1.003395104604</v>
      </c>
      <c r="E300" s="1" t="n">
        <f aca="false">E285+E290+E295</f>
        <v>2.1256859406356</v>
      </c>
      <c r="F300" s="1" t="n">
        <f aca="false">F285+F290+F295</f>
        <v>8.52501000831826</v>
      </c>
      <c r="G300" s="1" t="n">
        <f aca="false">G285+G290+G295</f>
        <v>4.03501827998307</v>
      </c>
      <c r="H300" s="1" t="n">
        <f aca="false">H285+H290+H295</f>
        <v>5.35724757143885</v>
      </c>
      <c r="I300" s="1" t="n">
        <f aca="false">I285+I290+I295</f>
        <v>6.711069128874</v>
      </c>
      <c r="J300" s="1" t="n">
        <f aca="false">J285+J290+J295</f>
        <v>8.09721347321152</v>
      </c>
      <c r="K300" s="1" t="n">
        <f aca="false">K285+K290+K295</f>
        <v>9.51642773241536</v>
      </c>
      <c r="L300" s="1" t="n">
        <f aca="false">L285+L290+L295</f>
        <v>10.9694760331993</v>
      </c>
      <c r="M300" s="1" t="n">
        <f aca="false">M285+M290+M295</f>
        <v>16.6358647241973</v>
      </c>
      <c r="N300" s="1" t="n">
        <f aca="false">N285+N290+N295</f>
        <v>16.7562564000086</v>
      </c>
      <c r="O300" s="1" t="n">
        <f aca="false">O285+O290+O295</f>
        <v>16.1507387128559</v>
      </c>
      <c r="P300" s="1" t="n">
        <f aca="false">P285+P290+P295</f>
        <v>17.7767561270447</v>
      </c>
      <c r="Q300" s="1" t="n">
        <f aca="false">Q285+Q290+Q295</f>
        <v>19.4471481631511</v>
      </c>
      <c r="R300" s="1" t="n">
        <f aca="false">R285+R290+R295</f>
        <v>21.1556380240783</v>
      </c>
      <c r="S300" s="1" t="n">
        <f aca="false">S285+S290+S295</f>
        <v>21.8070686252892</v>
      </c>
      <c r="T300" s="1" t="n">
        <f aca="false">T285+T290+T295</f>
        <v>22.3143238845721</v>
      </c>
      <c r="U300" s="1" t="n">
        <f aca="false">U285+U290+U295</f>
        <v>22.8339274266076</v>
      </c>
      <c r="V300" s="1" t="n">
        <f aca="false">V285+V290+V295</f>
        <v>23.3661287664512</v>
      </c>
      <c r="W300" s="1" t="n">
        <f aca="false">W285+W290+W295</f>
        <v>23.9112072823135</v>
      </c>
      <c r="X300" s="1" t="n">
        <f aca="false">X285+X290+X295</f>
        <v>24.2955672401775</v>
      </c>
      <c r="Y300" s="1" t="n">
        <f aca="false">Y285+Y290+Y295</f>
        <v>24.6409816008987</v>
      </c>
      <c r="Z300" s="1" t="n">
        <f aca="false">Z285+Z290+Z295</f>
        <v>24.9791369668891</v>
      </c>
      <c r="AA300" s="1" t="n">
        <f aca="false">AA285+AA290+AA295</f>
        <v>25.3100240784388</v>
      </c>
      <c r="AB300" s="1" t="n">
        <f aca="false">AB285+AB290+AB295</f>
        <v>25.633634259987</v>
      </c>
      <c r="AC300" s="1" t="n">
        <f aca="false">AC285+AC290+AC295</f>
        <v>25.9499502843959</v>
      </c>
      <c r="AD300" s="1" t="n">
        <f aca="false">AD285+AD290+AD295</f>
        <v>26.258955428345</v>
      </c>
      <c r="AE300" s="1" t="n">
        <f aca="false">AE285+AE290+AE295</f>
        <v>26.5606334345193</v>
      </c>
      <c r="AF300" s="1" t="n">
        <f aca="false">AF285+AF290+AF295</f>
        <v>26.8549684752418</v>
      </c>
    </row>
    <row r="301" customFormat="false" ht="14.25" hidden="false" customHeight="true" outlineLevel="0" collapsed="false">
      <c r="B301" s="144" t="s">
        <v>1293</v>
      </c>
      <c r="C301" s="1" t="n">
        <f aca="false">C284+C289+C294</f>
        <v>9.2625</v>
      </c>
      <c r="D301" s="1" t="n">
        <f aca="false">D284+D289+D294</f>
        <v>18.7380375</v>
      </c>
      <c r="E301" s="1" t="n">
        <f aca="false">E284+E289+E294</f>
        <v>28.4315123625</v>
      </c>
      <c r="F301" s="1" t="n">
        <f aca="false">F284+F289+F294</f>
        <v>38.3479371468375</v>
      </c>
      <c r="G301" s="1" t="n">
        <f aca="false">G284+G289+G294</f>
        <v>48.4924397012148</v>
      </c>
      <c r="H301" s="1" t="n">
        <f aca="false">H284+H289+H294</f>
        <v>58.8702658143427</v>
      </c>
      <c r="I301" s="1" t="n">
        <f aca="false">I284+I289+I294</f>
        <v>69.4867819280726</v>
      </c>
      <c r="J301" s="1" t="n">
        <f aca="false">J284+J289+J294</f>
        <v>80.3474779124182</v>
      </c>
      <c r="K301" s="1" t="n">
        <f aca="false">K284+K289+K294</f>
        <v>91.4579699044039</v>
      </c>
      <c r="L301" s="1" t="n">
        <f aca="false">L284+L289+L294</f>
        <v>102.824003212205</v>
      </c>
      <c r="M301" s="1" t="n">
        <f aca="false">M284+M289+M294</f>
        <v>114.451455286086</v>
      </c>
      <c r="N301" s="1" t="n">
        <f aca="false">N284+N289+N294</f>
        <v>126.346338757666</v>
      </c>
      <c r="O301" s="1" t="n">
        <f aca="false">O284+O289+O294</f>
        <v>138.514804549092</v>
      </c>
      <c r="P301" s="1" t="n">
        <f aca="false">P284+P289+P294</f>
        <v>150.963145053721</v>
      </c>
      <c r="Q301" s="1" t="n">
        <f aca="false">Q284+Q289+Q294</f>
        <v>163.697797389957</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187.66440974576</v>
      </c>
      <c r="X301" s="1" t="n">
        <f aca="false">X284+X289+X294</f>
        <v>190.337309820471</v>
      </c>
      <c r="Y301" s="1" t="n">
        <f aca="false">Y284+Y289+Y294</f>
        <v>192.954249866229</v>
      </c>
      <c r="Z301" s="1" t="n">
        <f aca="false">Z284+Z289+Z294</f>
        <v>195.515088220864</v>
      </c>
      <c r="AA301" s="1" t="n">
        <f aca="false">AA284+AA289+AA294</f>
        <v>198.019687744412</v>
      </c>
      <c r="AB301" s="1" t="n">
        <f aca="false">AB284+AB289+AB294</f>
        <v>200.467915502595</v>
      </c>
      <c r="AC301" s="1" t="n">
        <f aca="false">AC284+AC289+AC294</f>
        <v>202.859642462953</v>
      </c>
      <c r="AD301" s="1" t="n">
        <f aca="false">AD284+AD289+AD294</f>
        <v>205.194743202852</v>
      </c>
      <c r="AE301" s="1" t="n">
        <f aca="false">AE284+AE289+AE294</f>
        <v>207.473095628683</v>
      </c>
      <c r="AF301" s="1" t="n">
        <f aca="false">AF284+AF289+AF294</f>
        <v>209.69458070555</v>
      </c>
    </row>
    <row r="302" customFormat="false" ht="14.25" hidden="false" customHeight="true" outlineLevel="0" collapsed="false">
      <c r="B302" s="144" t="s">
        <v>1294</v>
      </c>
      <c r="C302" s="1" t="n">
        <f aca="false">C287+C292+C297</f>
        <v>0.376064493932986</v>
      </c>
      <c r="D302" s="1" t="n">
        <f aca="false">D287+D292+D297</f>
        <v>0.767689819672565</v>
      </c>
      <c r="E302" s="1" t="n">
        <f aca="false">E287+E292+E297</f>
        <v>1.16989489950855</v>
      </c>
      <c r="F302" s="1" t="n">
        <f aca="false">F287+F292+F297</f>
        <v>1.54835972928689</v>
      </c>
      <c r="G302" s="1" t="n">
        <f aca="false">G287+G292+G297</f>
        <v>1.97634000329938</v>
      </c>
      <c r="H302" s="1" t="n">
        <f aca="false">H287+H292+H297</f>
        <v>2.4142490088555</v>
      </c>
      <c r="I302" s="1" t="n">
        <f aca="false">I287+I292+I297</f>
        <v>2.86231538800247</v>
      </c>
      <c r="J302" s="1" t="n">
        <f aca="false">J287+J292+J297</f>
        <v>3.32077302749353</v>
      </c>
      <c r="K302" s="1" t="n">
        <f aca="false">K287+K292+K297</f>
        <v>3.78986118011919</v>
      </c>
      <c r="L302" s="1" t="n">
        <f aca="false">L287+L292+L297</f>
        <v>4.26982458879404</v>
      </c>
      <c r="M302" s="1" t="n">
        <f aca="false">M287+M292+M297</f>
        <v>4.78628386916905</v>
      </c>
      <c r="N302" s="1" t="n">
        <f aca="false">N287+N292+N297</f>
        <v>5.3074709915449</v>
      </c>
      <c r="O302" s="1" t="n">
        <f aca="false">O287+O292+O297</f>
        <v>5.8237232085533</v>
      </c>
      <c r="P302" s="1" t="n">
        <f aca="false">P287+P292+P297</f>
        <v>6.3523524229878</v>
      </c>
      <c r="Q302" s="1" t="n">
        <f aca="false">Q287+Q292+Q297</f>
        <v>6.89311694170162</v>
      </c>
      <c r="R302" s="1" t="n">
        <f aca="false">R287+R292+R297</f>
        <v>7.10222145095705</v>
      </c>
      <c r="S302" s="1" t="n">
        <f aca="false">S287+S292+S297</f>
        <v>7.26598315869662</v>
      </c>
      <c r="T302" s="1" t="n">
        <f aca="false">T287+T292+T297</f>
        <v>7.43356053610146</v>
      </c>
      <c r="U302" s="1" t="n">
        <f aca="false">U287+U292+U297</f>
        <v>7.60503885540938</v>
      </c>
      <c r="V302" s="1" t="n">
        <f aca="false">V287+V292+V297</f>
        <v>7.78050709021153</v>
      </c>
      <c r="W302" s="1" t="n">
        <f aca="false">W287+W292+W297</f>
        <v>7.90539352434053</v>
      </c>
      <c r="X302" s="1" t="n">
        <f aca="false">X287+X292+X297</f>
        <v>8.01794465468943</v>
      </c>
      <c r="Y302" s="1" t="n">
        <f aca="false">Y287+Y292+Y297</f>
        <v>8.12813743190101</v>
      </c>
      <c r="Z302" s="1" t="n">
        <f aca="false">Z287+Z292+Z297</f>
        <v>8.23596654339605</v>
      </c>
      <c r="AA302" s="1" t="n">
        <f aca="false">AA287+AA292+AA297</f>
        <v>8.34142686699939</v>
      </c>
      <c r="AB302" s="1" t="n">
        <f aca="false">AB287+AB292+AB297</f>
        <v>8.44451280160059</v>
      </c>
      <c r="AC302" s="1" t="n">
        <f aca="false">AC287+AC292+AC297</f>
        <v>8.54521891035835</v>
      </c>
      <c r="AD302" s="1" t="n">
        <f aca="false">AD287+AD292+AD297</f>
        <v>8.64353990839984</v>
      </c>
      <c r="AE302" s="1" t="n">
        <f aca="false">AE287+AE292+AE297</f>
        <v>8.73947065099071</v>
      </c>
      <c r="AF302" s="1" t="n">
        <f aca="false">AF287+AF292+AF297</f>
        <v>8.83300612214724</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272.736559837801</v>
      </c>
      <c r="G307" s="116" t="n">
        <f aca="false">G81</f>
        <v>285.289088136615</v>
      </c>
      <c r="H307" s="116" t="n">
        <f aca="false">H81</f>
        <v>297.85410785043</v>
      </c>
      <c r="I307" s="116" t="n">
        <f aca="false">I81</f>
        <v>310.430994408494</v>
      </c>
      <c r="J307" s="116" t="n">
        <f aca="false">J81</f>
        <v>323.019154468596</v>
      </c>
      <c r="K307" s="116" t="n">
        <f aca="false">K81</f>
        <v>335.618024355634</v>
      </c>
      <c r="L307" s="116" t="n">
        <f aca="false">L81</f>
        <v>348.22706857826</v>
      </c>
      <c r="M307" s="116" t="n">
        <f aca="false">M81</f>
        <v>359.047046157698</v>
      </c>
      <c r="N307" s="116" t="n">
        <f aca="false">N81</f>
        <v>368.833459760991</v>
      </c>
      <c r="O307" s="116" t="n">
        <f aca="false">O81</f>
        <v>377.96119897041</v>
      </c>
      <c r="P307" s="116" t="n">
        <f aca="false">P81</f>
        <v>384.688259139355</v>
      </c>
      <c r="Q307" s="116" t="n">
        <f aca="false">Q81</f>
        <v>391.690237036766</v>
      </c>
      <c r="R307" s="116" t="n">
        <f aca="false">R81</f>
        <v>398.874439476599</v>
      </c>
      <c r="S307" s="116" t="n">
        <f aca="false">S81</f>
        <v>405.918256551851</v>
      </c>
      <c r="T307" s="116" t="n">
        <f aca="false">T81</f>
        <v>412.86908589575</v>
      </c>
      <c r="U307" s="116" t="n">
        <f aca="false">U81</f>
        <v>419.737697555757</v>
      </c>
      <c r="V307" s="116" t="n">
        <f aca="false">V81</f>
        <v>426.526081576245</v>
      </c>
      <c r="W307" s="116" t="n">
        <f aca="false">W81</f>
        <v>433.101937932428</v>
      </c>
      <c r="X307" s="116" t="n">
        <f aca="false">X81</f>
        <v>439.505184788802</v>
      </c>
      <c r="Y307" s="116" t="n">
        <f aca="false">Y81</f>
        <v>445.784616883719</v>
      </c>
      <c r="Z307" s="116" t="n">
        <f aca="false">Z81</f>
        <v>451.936509292554</v>
      </c>
      <c r="AA307" s="116" t="n">
        <f aca="false">AA81</f>
        <v>457.957148016695</v>
      </c>
      <c r="AB307" s="116" t="n">
        <f aca="false">AB81</f>
        <v>463.846232658292</v>
      </c>
      <c r="AC307" s="116" t="n">
        <f aca="false">AC81</f>
        <v>469.603472319297</v>
      </c>
      <c r="AD307" s="116" t="n">
        <f aca="false">AD81</f>
        <v>475.228584931617</v>
      </c>
      <c r="AE307" s="116" t="n">
        <f aca="false">AE81</f>
        <v>480.721296613876</v>
      </c>
      <c r="AF307" s="116" t="n">
        <f aca="false">AF81</f>
        <v>486.081341053221</v>
      </c>
    </row>
    <row r="308" customFormat="false" ht="14.25" hidden="false" customHeight="true" outlineLevel="0" collapsed="false">
      <c r="B308" s="84" t="s">
        <v>1300</v>
      </c>
      <c r="C308" s="1" t="n">
        <f aca="false">C301</f>
        <v>9.2625</v>
      </c>
      <c r="D308" s="1" t="n">
        <f aca="false">D301</f>
        <v>18.7380375</v>
      </c>
      <c r="E308" s="1" t="n">
        <f aca="false">E301</f>
        <v>28.4315123625</v>
      </c>
      <c r="F308" s="1" t="n">
        <f aca="false">F301</f>
        <v>38.3479371468375</v>
      </c>
      <c r="G308" s="1" t="n">
        <f aca="false">G301</f>
        <v>48.4924397012148</v>
      </c>
      <c r="H308" s="1" t="n">
        <f aca="false">H301</f>
        <v>58.8702658143427</v>
      </c>
      <c r="I308" s="1" t="n">
        <f aca="false">I301</f>
        <v>69.4867819280726</v>
      </c>
      <c r="J308" s="1" t="n">
        <f aca="false">J301</f>
        <v>80.3474779124182</v>
      </c>
      <c r="K308" s="1" t="n">
        <f aca="false">K301</f>
        <v>91.4579699044039</v>
      </c>
      <c r="L308" s="1" t="n">
        <f aca="false">L301</f>
        <v>102.824003212205</v>
      </c>
      <c r="M308" s="1" t="n">
        <f aca="false">M301</f>
        <v>114.451455286086</v>
      </c>
      <c r="N308" s="1" t="n">
        <f aca="false">N301</f>
        <v>126.346338757666</v>
      </c>
      <c r="O308" s="1" t="n">
        <f aca="false">O301</f>
        <v>138.514804549092</v>
      </c>
      <c r="P308" s="1" t="n">
        <f aca="false">P301</f>
        <v>150.963145053721</v>
      </c>
      <c r="Q308" s="1" t="n">
        <f aca="false">Q301</f>
        <v>163.697797389957</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187.66440974576</v>
      </c>
      <c r="X308" s="1" t="n">
        <f aca="false">X301</f>
        <v>190.337309820471</v>
      </c>
      <c r="Y308" s="1" t="n">
        <f aca="false">Y301</f>
        <v>192.954249866229</v>
      </c>
      <c r="Z308" s="1" t="n">
        <f aca="false">Z301</f>
        <v>195.515088220864</v>
      </c>
      <c r="AA308" s="1" t="n">
        <f aca="false">AA301</f>
        <v>198.019687744412</v>
      </c>
      <c r="AB308" s="1" t="n">
        <f aca="false">AB301</f>
        <v>200.467915502595</v>
      </c>
      <c r="AC308" s="1" t="n">
        <f aca="false">AC301</f>
        <v>202.859642462953</v>
      </c>
      <c r="AD308" s="1" t="n">
        <f aca="false">AD301</f>
        <v>205.194743202852</v>
      </c>
      <c r="AE308" s="1" t="n">
        <f aca="false">AE301</f>
        <v>207.473095628683</v>
      </c>
      <c r="AF308" s="1" t="n">
        <f aca="false">AF301</f>
        <v>209.69458070555</v>
      </c>
    </row>
    <row r="309" customFormat="false" ht="14.25" hidden="false" customHeight="true" outlineLevel="0" collapsed="false">
      <c r="B309" s="84" t="s">
        <v>1301</v>
      </c>
      <c r="C309" s="1" t="n">
        <f aca="false">C307-C308</f>
        <v>49.8818938619143</v>
      </c>
      <c r="D309" s="1" t="n">
        <f aca="false">D307-D308</f>
        <v>78.5007326116566</v>
      </c>
      <c r="E309" s="1" t="n">
        <f aca="false">E307-E308</f>
        <v>102.679323445134</v>
      </c>
      <c r="F309" s="1" t="n">
        <f aca="false">F307-F308</f>
        <v>234.388622690963</v>
      </c>
      <c r="G309" s="1" t="n">
        <f aca="false">G307-G308</f>
        <v>236.7966484354</v>
      </c>
      <c r="H309" s="1" t="n">
        <f aca="false">H307-H308</f>
        <v>238.983842036087</v>
      </c>
      <c r="I309" s="1" t="n">
        <f aca="false">I307-I308</f>
        <v>240.944212480422</v>
      </c>
      <c r="J309" s="1" t="n">
        <f aca="false">J307-J308</f>
        <v>242.671676556178</v>
      </c>
      <c r="K309" s="1" t="n">
        <f aca="false">K307-K308</f>
        <v>244.16005445123</v>
      </c>
      <c r="L309" s="1" t="n">
        <f aca="false">L307-L308</f>
        <v>245.403065366055</v>
      </c>
      <c r="M309" s="1" t="n">
        <f aca="false">M307-M308</f>
        <v>244.595590871613</v>
      </c>
      <c r="N309" s="1" t="n">
        <f aca="false">N307-N308</f>
        <v>242.487121003325</v>
      </c>
      <c r="O309" s="1" t="n">
        <f aca="false">O307-O308</f>
        <v>239.446394421318</v>
      </c>
      <c r="P309" s="1" t="n">
        <f aca="false">P307-P308</f>
        <v>233.725114085634</v>
      </c>
      <c r="Q309" s="1" t="n">
        <f aca="false">Q307-Q308</f>
        <v>227.99243964681</v>
      </c>
      <c r="R309" s="1" t="n">
        <f aca="false">R307-R308</f>
        <v>230.232097471286</v>
      </c>
      <c r="S309" s="1" t="n">
        <f aca="false">S307-S308</f>
        <v>233.397140680416</v>
      </c>
      <c r="T309" s="1" t="n">
        <f aca="false">T307-T308</f>
        <v>236.379984359272</v>
      </c>
      <c r="U309" s="1" t="n">
        <f aca="false">U307-U308</f>
        <v>239.18934668394</v>
      </c>
      <c r="V309" s="1" t="n">
        <f aca="false">V307-V308</f>
        <v>241.825118634376</v>
      </c>
      <c r="W309" s="1" t="n">
        <f aca="false">W307-W308</f>
        <v>245.437528186668</v>
      </c>
      <c r="X309" s="1" t="n">
        <f aca="false">X307-X308</f>
        <v>249.167874968331</v>
      </c>
      <c r="Y309" s="1" t="n">
        <f aca="false">Y307-Y308</f>
        <v>252.83036701749</v>
      </c>
      <c r="Z309" s="1" t="n">
        <f aca="false">Z307-Z308</f>
        <v>256.421421071689</v>
      </c>
      <c r="AA309" s="1" t="n">
        <f aca="false">AA307-AA308</f>
        <v>259.937460272283</v>
      </c>
      <c r="AB309" s="1" t="n">
        <f aca="false">AB307-AB308</f>
        <v>263.378317155697</v>
      </c>
      <c r="AC309" s="1" t="n">
        <f aca="false">AC307-AC308</f>
        <v>266.743829856344</v>
      </c>
      <c r="AD309" s="1" t="n">
        <f aca="false">AD307-AD308</f>
        <v>270.033841728765</v>
      </c>
      <c r="AE309" s="1" t="n">
        <f aca="false">AE307-AE308</f>
        <v>273.248200985193</v>
      </c>
      <c r="AF309" s="1" t="n">
        <f aca="false">AF307-AF308</f>
        <v>276.386760347671</v>
      </c>
    </row>
    <row r="310" customFormat="false" ht="14.25" hidden="false" customHeight="true" outlineLevel="0" collapsed="false">
      <c r="B310" s="84" t="s">
        <v>1302</v>
      </c>
      <c r="C310" s="1" t="n">
        <f aca="false">IF(C307&gt;0,100*C308/C307,0)</f>
        <v>15.6608249661419</v>
      </c>
      <c r="D310" s="1" t="n">
        <f aca="false">IF(D307&gt;0,100*D308/D307,0)</f>
        <v>19.2701300916122</v>
      </c>
      <c r="E310" s="1" t="n">
        <f aca="false">IF(E307&gt;0,100*E308/E307,0)</f>
        <v>21.6850973356731</v>
      </c>
      <c r="F310" s="1" t="n">
        <f aca="false">IF(F307&gt;0,100*F308/F307,0)</f>
        <v>14.0604314909755</v>
      </c>
      <c r="G310" s="1" t="n">
        <f aca="false">IF(G307&gt;0,100*G308/G307,0)</f>
        <v>16.9976496535309</v>
      </c>
      <c r="H310" s="1" t="n">
        <f aca="false">IF(H307&gt;0,100*H308/H307,0)</f>
        <v>19.7647990283568</v>
      </c>
      <c r="I310" s="1" t="n">
        <f aca="false">IF(I307&gt;0,100*I308/I307,0)</f>
        <v>22.383970408778</v>
      </c>
      <c r="J310" s="1" t="n">
        <f aca="false">IF(J307&gt;0,100*J308/J307,0)</f>
        <v>24.8739050922844</v>
      </c>
      <c r="K310" s="1" t="n">
        <f aca="false">IF(K307&gt;0,100*K308/K307,0)</f>
        <v>27.2506132768041</v>
      </c>
      <c r="L310" s="1" t="n">
        <f aca="false">IF(L307&gt;0,100*L308/L307,0)</f>
        <v>29.5278605514541</v>
      </c>
      <c r="M310" s="1" t="n">
        <f aca="false">IF(M307&gt;0,100*M308/M307,0)</f>
        <v>31.8764508748576</v>
      </c>
      <c r="N310" s="1" t="n">
        <f aca="false">IF(N307&gt;0,100*N308/N307,0)</f>
        <v>34.255660763408</v>
      </c>
      <c r="O310" s="1" t="n">
        <f aca="false">IF(O307&gt;0,100*O308/O307,0)</f>
        <v>36.6478900285043</v>
      </c>
      <c r="P310" s="1" t="n">
        <f aca="false">IF(P307&gt;0,100*P308/P307,0)</f>
        <v>39.2429821984856</v>
      </c>
      <c r="Q310" s="1" t="n">
        <f aca="false">IF(Q307&gt;0,100*Q308/Q307,0)</f>
        <v>41.7926672434757</v>
      </c>
      <c r="R310" s="1" t="n">
        <f aca="false">IF(R307&gt;0,100*R308/R307,0)</f>
        <v>42.2795559992775</v>
      </c>
      <c r="S310" s="1" t="n">
        <f aca="false">IF(S307&gt;0,100*S308/S307,0)</f>
        <v>42.5014428611681</v>
      </c>
      <c r="T310" s="1" t="n">
        <f aca="false">IF(T307&gt;0,100*T308/T307,0)</f>
        <v>42.7469887103734</v>
      </c>
      <c r="U310" s="1" t="n">
        <f aca="false">IF(U307&gt;0,100*U308/U307,0)</f>
        <v>43.014566459767</v>
      </c>
      <c r="V310" s="1" t="n">
        <f aca="false">IF(V307&gt;0,100*V308/V307,0)</f>
        <v>43.3035565514068</v>
      </c>
      <c r="W310" s="1" t="n">
        <f aca="false">IF(W307&gt;0,100*W308/W307,0)</f>
        <v>43.3303094051357</v>
      </c>
      <c r="X310" s="1" t="n">
        <f aca="false">IF(X307&gt;0,100*X308/X307,0)</f>
        <v>43.3071818963717</v>
      </c>
      <c r="Y310" s="1" t="n">
        <f aca="false">IF(Y307&gt;0,100*Y308/Y307,0)</f>
        <v>43.2841876005246</v>
      </c>
      <c r="Z310" s="1" t="n">
        <f aca="false">IF(Z307&gt;0,100*Z308/Z307,0)</f>
        <v>43.2616272863011</v>
      </c>
      <c r="AA310" s="1" t="n">
        <f aca="false">IF(AA307&gt;0,100*AA308/AA307,0)</f>
        <v>43.2397853384293</v>
      </c>
      <c r="AB310" s="1" t="n">
        <f aca="false">IF(AB307&gt;0,100*AB308/AB307,0)</f>
        <v>43.218614572704</v>
      </c>
      <c r="AC310" s="1" t="n">
        <f aca="false">IF(AC307&gt;0,100*AC308/AC307,0)</f>
        <v>43.1980712282772</v>
      </c>
      <c r="AD310" s="1" t="n">
        <f aca="false">IF(AD307&gt;0,100*AD308/AD307,0)</f>
        <v>43.1781146397956</v>
      </c>
      <c r="AE310" s="1" t="n">
        <f aca="false">IF(AE307&gt;0,100*AE308/AE307,0)</f>
        <v>43.1587069451864</v>
      </c>
      <c r="AF310" s="1" t="n">
        <f aca="false">IF(AF307&gt;0,100*AF308/AF307,0)</f>
        <v>43.1398128245762</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12.0384856508805</v>
      </c>
      <c r="G313" s="116" t="n">
        <f aca="false">G111</f>
        <v>11.9686104803045</v>
      </c>
      <c r="H313" s="116" t="n">
        <f aca="false">H111</f>
        <v>11.9220198581063</v>
      </c>
      <c r="I313" s="116" t="n">
        <f aca="false">I111</f>
        <v>11.8972211454721</v>
      </c>
      <c r="J313" s="116" t="n">
        <f aca="false">J111</f>
        <v>11.8928175157698</v>
      </c>
      <c r="K313" s="116" t="n">
        <f aca="false">K111</f>
        <v>11.9075017979621</v>
      </c>
      <c r="L313" s="116" t="n">
        <f aca="false">L111</f>
        <v>11.9400507159457</v>
      </c>
      <c r="M313" s="116" t="n">
        <f aca="false">M111</f>
        <v>12.0815481177673</v>
      </c>
      <c r="N313" s="116" t="n">
        <f aca="false">N111</f>
        <v>12.2891228407001</v>
      </c>
      <c r="O313" s="116" t="n">
        <f aca="false">O111</f>
        <v>12.550086887955</v>
      </c>
      <c r="P313" s="116" t="n">
        <f aca="false">P111</f>
        <v>13.0189356222772</v>
      </c>
      <c r="Q313" s="116" t="n">
        <f aca="false">Q111</f>
        <v>13.47639191512</v>
      </c>
      <c r="R313" s="116" t="n">
        <f aca="false">R111</f>
        <v>13.9181912001576</v>
      </c>
      <c r="S313" s="116" t="n">
        <f aca="false">S111</f>
        <v>14.3450258769335</v>
      </c>
      <c r="T313" s="116" t="n">
        <f aca="false">T111</f>
        <v>14.7575434190715</v>
      </c>
      <c r="U313" s="116" t="n">
        <f aca="false">U111</f>
        <v>15.1563492852328</v>
      </c>
      <c r="V313" s="116" t="n">
        <f aca="false">V111</f>
        <v>15.5420096416593</v>
      </c>
      <c r="W313" s="116" t="n">
        <f aca="false">W111</f>
        <v>15.9150539084887</v>
      </c>
      <c r="X313" s="116" t="n">
        <f aca="false">X111</f>
        <v>16.2759771412383</v>
      </c>
      <c r="Y313" s="116" t="n">
        <f aca="false">Y111</f>
        <v>16.6252422581189</v>
      </c>
      <c r="Z313" s="116" t="n">
        <f aca="false">Z111</f>
        <v>16.9632821231507</v>
      </c>
      <c r="AA313" s="116" t="n">
        <f aca="false">AA111</f>
        <v>17.2905014944087</v>
      </c>
      <c r="AB313" s="116" t="n">
        <f aca="false">AB111</f>
        <v>17.6072788461221</v>
      </c>
      <c r="AC313" s="116" t="n">
        <f aca="false">AC111</f>
        <v>17.913968072787</v>
      </c>
      <c r="AD313" s="116" t="n">
        <f aca="false">AD111</f>
        <v>18.2109000829274</v>
      </c>
      <c r="AE313" s="116" t="n">
        <f aca="false">AE111</f>
        <v>18.4983842896424</v>
      </c>
      <c r="AF313" s="116" t="n">
        <f aca="false">AF111</f>
        <v>18.7767100046175</v>
      </c>
    </row>
    <row r="314" customFormat="false" ht="14.25" hidden="false" customHeight="true" outlineLevel="0" collapsed="false">
      <c r="B314" s="84" t="s">
        <v>1306</v>
      </c>
      <c r="C314" s="1" t="n">
        <f aca="false">C302</f>
        <v>0.376064493932986</v>
      </c>
      <c r="D314" s="1" t="n">
        <f aca="false">D302</f>
        <v>0.767689819672565</v>
      </c>
      <c r="E314" s="1" t="n">
        <f aca="false">E302</f>
        <v>1.16989489950855</v>
      </c>
      <c r="F314" s="1" t="n">
        <f aca="false">F302</f>
        <v>1.54835972928689</v>
      </c>
      <c r="G314" s="1" t="n">
        <f aca="false">G302</f>
        <v>1.97634000329938</v>
      </c>
      <c r="H314" s="1" t="n">
        <f aca="false">H302</f>
        <v>2.4142490088555</v>
      </c>
      <c r="I314" s="1" t="n">
        <f aca="false">I302</f>
        <v>2.86231538800247</v>
      </c>
      <c r="J314" s="1" t="n">
        <f aca="false">J302</f>
        <v>3.32077302749353</v>
      </c>
      <c r="K314" s="1" t="n">
        <f aca="false">K302</f>
        <v>3.78986118011919</v>
      </c>
      <c r="L314" s="1" t="n">
        <f aca="false">L302</f>
        <v>4.26982458879404</v>
      </c>
      <c r="M314" s="1" t="n">
        <f aca="false">M302</f>
        <v>4.78628386916905</v>
      </c>
      <c r="N314" s="1" t="n">
        <f aca="false">N302</f>
        <v>5.3074709915449</v>
      </c>
      <c r="O314" s="1" t="n">
        <f aca="false">O302</f>
        <v>5.8237232085533</v>
      </c>
      <c r="P314" s="1" t="n">
        <f aca="false">P302</f>
        <v>6.3523524229878</v>
      </c>
      <c r="Q314" s="1" t="n">
        <f aca="false">Q302</f>
        <v>6.89311694170162</v>
      </c>
      <c r="R314" s="1" t="n">
        <f aca="false">R302</f>
        <v>7.10222145095705</v>
      </c>
      <c r="S314" s="1" t="n">
        <f aca="false">S302</f>
        <v>7.26598315869662</v>
      </c>
      <c r="T314" s="1" t="n">
        <f aca="false">T302</f>
        <v>7.43356053610146</v>
      </c>
      <c r="U314" s="1" t="n">
        <f aca="false">U302</f>
        <v>7.60503885540938</v>
      </c>
      <c r="V314" s="1" t="n">
        <f aca="false">V302</f>
        <v>7.78050709021153</v>
      </c>
      <c r="W314" s="1" t="n">
        <f aca="false">W302</f>
        <v>7.90539352434053</v>
      </c>
      <c r="X314" s="1" t="n">
        <f aca="false">X302</f>
        <v>8.01794465468943</v>
      </c>
      <c r="Y314" s="1" t="n">
        <f aca="false">Y302</f>
        <v>8.12813743190101</v>
      </c>
      <c r="Z314" s="1" t="n">
        <f aca="false">Z302</f>
        <v>8.23596654339605</v>
      </c>
      <c r="AA314" s="1" t="n">
        <f aca="false">AA302</f>
        <v>8.34142686699939</v>
      </c>
      <c r="AB314" s="1" t="n">
        <f aca="false">AB302</f>
        <v>8.44451280160059</v>
      </c>
      <c r="AC314" s="1" t="n">
        <f aca="false">AC302</f>
        <v>8.54521891035835</v>
      </c>
      <c r="AD314" s="1" t="n">
        <f aca="false">AD302</f>
        <v>8.64353990839984</v>
      </c>
      <c r="AE314" s="1" t="n">
        <f aca="false">AE302</f>
        <v>8.73947065099071</v>
      </c>
      <c r="AF314" s="1" t="n">
        <f aca="false">AF302</f>
        <v>8.83300612214724</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52.2444175987078</v>
      </c>
      <c r="D316" s="1" t="n">
        <f aca="false">IF(D313&gt;0,100*(D314+D315)/D313,0)</f>
        <v>42.6300405640515</v>
      </c>
      <c r="E316" s="1" t="n">
        <f aca="false">IF(E313&gt;0,100*(E314+E315)/E313,0)</f>
        <v>40.3961029298429</v>
      </c>
      <c r="F316" s="1" t="n">
        <f aca="false">IF(F313&gt;0,100*(F314+F315)/F313,0)</f>
        <v>22.4333257218225</v>
      </c>
      <c r="G316" s="1" t="n">
        <f aca="false">IF(G313&gt;0,100*(G314+G315)/G313,0)</f>
        <v>26.3808384562599</v>
      </c>
      <c r="H316" s="1" t="n">
        <f aca="false">IF(H313&gt;0,100*(H314+H315)/H313,0)</f>
        <v>30.4047119514212</v>
      </c>
      <c r="I316" s="1" t="n">
        <f aca="false">IF(I313&gt;0,100*(I314+I315)/I313,0)</f>
        <v>34.4886196139328</v>
      </c>
      <c r="J316" s="1" t="n">
        <f aca="false">IF(J313&gt;0,100*(J314+J315)/J313,0)</f>
        <v>38.6171466755349</v>
      </c>
      <c r="K316" s="1" t="n">
        <f aca="false">IF(K313&gt;0,100*(K314+K315)/K313,0)</f>
        <v>42.7759942167427</v>
      </c>
      <c r="L316" s="1" t="n">
        <f aca="false">IF(L313&gt;0,100*(L314+L315)/L313,0)</f>
        <v>46.9521285964989</v>
      </c>
      <c r="M316" s="1" t="n">
        <f aca="false">IF(M313&gt;0,100*(M314+M315)/M313,0)</f>
        <v>50.9535224414336</v>
      </c>
      <c r="N316" s="1" t="n">
        <f aca="false">IF(N313&gt;0,100*(N314+N315)/N313,0)</f>
        <v>54.6125529249727</v>
      </c>
      <c r="O316" s="1" t="n">
        <f aca="false">IF(O313&gt;0,100*(O314+O315)/O313,0)</f>
        <v>57.8701511418802</v>
      </c>
      <c r="P316" s="1" t="n">
        <f aca="false">IF(P313&gt;0,100*(P314+P315)/P313,0)</f>
        <v>60.1228815325443</v>
      </c>
      <c r="Q316" s="1" t="n">
        <f aca="false">IF(Q313&gt;0,100*(Q314+Q315)/Q313,0)</f>
        <v>62.3683177447035</v>
      </c>
      <c r="R316" s="1" t="n">
        <f aca="false">IF(R313&gt;0,100*(R314+R315)/R313,0)</f>
        <v>62.162535093009</v>
      </c>
      <c r="S316" s="1" t="n">
        <f aca="false">IF(S313&gt;0,100*(S314+S315)/S313,0)</f>
        <v>61.7245604766815</v>
      </c>
      <c r="T316" s="1" t="n">
        <f aca="false">IF(T313&gt;0,100*(T314+T315)/T313,0)</f>
        <v>61.4037974901046</v>
      </c>
      <c r="U316" s="1" t="n">
        <f aca="false">IF(U313&gt;0,100*(U314+U315)/U313,0)</f>
        <v>61.1880440917993</v>
      </c>
      <c r="V316" s="1" t="n">
        <f aca="false">IF(V313&gt;0,100*(V314+V315)/V313,0)</f>
        <v>61.0671528823146</v>
      </c>
      <c r="W316" s="1" t="n">
        <f aca="false">IF(W313&gt;0,100*(W314+W315)/W313,0)</f>
        <v>60.6891636747742</v>
      </c>
      <c r="X316" s="1" t="n">
        <f aca="false">IF(X313&gt;0,100*(X314+X315)/X313,0)</f>
        <v>60.3041964878993</v>
      </c>
      <c r="Y316" s="1" t="n">
        <f aca="false">IF(Y313&gt;0,100*(Y314+Y315)/Y313,0)</f>
        <v>59.970367183328</v>
      </c>
      <c r="Z316" s="1" t="n">
        <f aca="false">IF(Z313&gt;0,100*(Z314+Z315)/Z313,0)</f>
        <v>59.6824358646675</v>
      </c>
      <c r="AA316" s="1" t="n">
        <f aca="false">IF(AA313&gt;0,100*(AA314+AA315)/AA313,0)</f>
        <v>59.4358910664099</v>
      </c>
      <c r="AB316" s="1" t="n">
        <f aca="false">IF(AB313&gt;0,100*(AB314+AB315)/AB313,0)</f>
        <v>59.2268293013492</v>
      </c>
      <c r="AC316" s="1" t="n">
        <f aca="false">IF(AC313&gt;0,100*(AC314+AC315)/AC313,0)</f>
        <v>59.051864205692</v>
      </c>
      <c r="AD316" s="1" t="n">
        <f aca="false">IF(AD313&gt;0,100*(AD314+AD315)/AD313,0)</f>
        <v>58.9080489109797</v>
      </c>
      <c r="AE316" s="1" t="n">
        <f aca="false">IF(AE313&gt;0,100*(AE314+AE315)/AE313,0)</f>
        <v>58.792812122248</v>
      </c>
      <c r="AF316" s="1" t="n">
        <f aca="false">IF(AF313&gt;0,100*(AF314+AF315)/AF313,0)</f>
        <v>58.7039051636766</v>
      </c>
    </row>
    <row r="317" customFormat="false" ht="14.25" hidden="false" customHeight="true" outlineLevel="0" collapsed="false">
      <c r="B317" s="1" t="s">
        <v>1309</v>
      </c>
      <c r="C317" s="1" t="n">
        <f aca="false">$C$329*C291</f>
        <v>0.837200124807176</v>
      </c>
      <c r="D317" s="1" t="n">
        <f aca="false">$C$329*D291</f>
        <v>2.07043306797185</v>
      </c>
      <c r="E317" s="1" t="n">
        <f aca="false">$C$329*E291</f>
        <v>2.74504684310502</v>
      </c>
      <c r="F317" s="1" t="n">
        <f aca="false">$C$329*F291</f>
        <v>0</v>
      </c>
      <c r="G317" s="1" t="n">
        <f aca="false">$C$329*G291</f>
        <v>3.79206534658395</v>
      </c>
      <c r="H317" s="1" t="n">
        <f aca="false">$C$329*H291</f>
        <v>4.57644575196741</v>
      </c>
      <c r="I317" s="1" t="n">
        <f aca="false">$C$329*I291</f>
        <v>5.38157504055682</v>
      </c>
      <c r="J317" s="1" t="n">
        <f aca="false">$C$329*J291</f>
        <v>6.20793712179145</v>
      </c>
      <c r="K317" s="1" t="n">
        <f aca="false">$C$329*K291</f>
        <v>7.05602670077133</v>
      </c>
      <c r="L317" s="1" t="n">
        <f aca="false">$C$329*L291</f>
        <v>7.92634954327039</v>
      </c>
      <c r="M317" s="1" t="n">
        <f aca="false">$C$329*M291</f>
        <v>12.6364780790579</v>
      </c>
      <c r="N317" s="1" t="n">
        <f aca="false">$C$329*N291</f>
        <v>13.3456751712995</v>
      </c>
      <c r="O317" s="1" t="n">
        <f aca="false">$C$329*O291</f>
        <v>12.3772471114833</v>
      </c>
      <c r="P317" s="1" t="n">
        <f aca="false">$C$329*P291</f>
        <v>13.478695645236</v>
      </c>
      <c r="Q317" s="1" t="n">
        <f aca="false">$C$329*Q291</f>
        <v>14.5420311780449</v>
      </c>
      <c r="R317" s="1" t="n">
        <f aca="false">$C$329*R291</f>
        <v>12.506541388793</v>
      </c>
      <c r="S317" s="1" t="n">
        <f aca="false">$C$329*S291</f>
        <v>12.4528526738094</v>
      </c>
      <c r="T317" s="1" t="n">
        <f aca="false">$C$329*T291</f>
        <v>12.7595130951427</v>
      </c>
      <c r="U317" s="1" t="n">
        <f aca="false">$C$329*U291</f>
        <v>13.0743904849749</v>
      </c>
      <c r="V317" s="1" t="n">
        <f aca="false">$C$329*V291</f>
        <v>13.3978577716202</v>
      </c>
      <c r="W317" s="1" t="n">
        <f aca="false">$C$329*W291</f>
        <v>13.2372437186454</v>
      </c>
      <c r="X317" s="1" t="n">
        <f aca="false">$C$329*X291</f>
        <v>13.3285792415975</v>
      </c>
      <c r="Y317" s="1" t="n">
        <f aca="false">$C$329*Y291</f>
        <v>13.4868800501219</v>
      </c>
      <c r="Z317" s="1" t="n">
        <f aca="false">$C$329*Z291</f>
        <v>13.6414802774682</v>
      </c>
      <c r="AA317" s="1" t="n">
        <f aca="false">$C$329*AA291</f>
        <v>13.7923924306957</v>
      </c>
      <c r="AB317" s="1" t="n">
        <f aca="false">$C$329*AB291</f>
        <v>13.9395305147118</v>
      </c>
      <c r="AC317" s="1" t="n">
        <f aca="false">$C$329*AC291</f>
        <v>14.082886883263</v>
      </c>
      <c r="AD317" s="1" t="n">
        <f aca="false">$C$329*AD291</f>
        <v>14.2224540531276</v>
      </c>
      <c r="AE317" s="1" t="n">
        <f aca="false">$C$329*AE291</f>
        <v>14.358224688223</v>
      </c>
      <c r="AF317" s="1" t="n">
        <f aca="false">$C$329*AF291</f>
        <v>14.4901915842354</v>
      </c>
    </row>
    <row r="318" customFormat="false" ht="14.25" hidden="false" customHeight="true" outlineLevel="0" collapsed="false">
      <c r="B318" s="146" t="s">
        <v>1310</v>
      </c>
      <c r="C318" s="1" t="n">
        <f aca="false">$C$329*(C290+(1-$C$279)*C332)</f>
        <v>0</v>
      </c>
      <c r="D318" s="1" t="n">
        <f aca="false">$C$329*(D290+(1-$C$279)*D332)</f>
        <v>0.168695825148646</v>
      </c>
      <c r="E318" s="1" t="n">
        <f aca="false">$C$329*(E290+(1-$C$279)*E332)</f>
        <v>0.550799356714055</v>
      </c>
      <c r="F318" s="1" t="n">
        <f aca="false">$C$329*(F290+(1-$C$279)*F332)</f>
        <v>2.70516783873106</v>
      </c>
      <c r="G318" s="1" t="n">
        <f aca="false">$C$329*(G290+(1-$C$279)*G332)</f>
        <v>0.437837869707764</v>
      </c>
      <c r="H318" s="1" t="n">
        <f aca="false">$C$329*(H290+(1-$C$279)*H332)</f>
        <v>1.11086876014522</v>
      </c>
      <c r="I318" s="1" t="n">
        <f aca="false">$C$329*(I290+(1-$C$279)*I332)</f>
        <v>1.80196187705644</v>
      </c>
      <c r="J318" s="1" t="n">
        <f aca="false">$C$329*(J290+(1-$C$279)*J332)</f>
        <v>2.5115411773009</v>
      </c>
      <c r="K318" s="1" t="n">
        <f aca="false">$C$329*(K290+(1-$C$279)*K332)</f>
        <v>3.24003994246329</v>
      </c>
      <c r="L318" s="1" t="n">
        <f aca="false">$C$329*(L290+(1-$C$279)*L332)</f>
        <v>3.98790101463635</v>
      </c>
      <c r="M318" s="1" t="n">
        <f aca="false">$C$329*(M290+(1-$C$279)*M332)</f>
        <v>4.75557703656097</v>
      </c>
      <c r="N318" s="1" t="n">
        <f aca="false">$C$329*(N290+(1-$C$279)*N332)</f>
        <v>6.31266734588646</v>
      </c>
      <c r="O318" s="1" t="n">
        <f aca="false">$C$329*(O290+(1-$C$279)*O332)</f>
        <v>7.68878608495892</v>
      </c>
      <c r="P318" s="1" t="n">
        <f aca="false">$C$329*(P290+(1-$C$279)*P332)</f>
        <v>8.58353387225134</v>
      </c>
      <c r="Q318" s="1" t="n">
        <f aca="false">$C$329*(Q290+(1-$C$279)*Q332)</f>
        <v>9.51411599933811</v>
      </c>
      <c r="R318" s="1" t="n">
        <f aca="false">$C$329*(R290+(1-$C$279)*R332)</f>
        <v>10.4653991538518</v>
      </c>
      <c r="S318" s="1" t="n">
        <f aca="false">$C$329*(S290+(1-$C$279)*S332)</f>
        <v>10.8086642196924</v>
      </c>
      <c r="T318" s="1" t="n">
        <f aca="false">$C$329*(T290+(1-$C$279)*T332)</f>
        <v>11.069711875769</v>
      </c>
      <c r="U318" s="1" t="n">
        <f aca="false">$C$329*(U290+(1-$C$279)*U332)</f>
        <v>11.3382536942803</v>
      </c>
      <c r="V318" s="1" t="n">
        <f aca="false">$C$329*(V290+(1-$C$279)*V332)</f>
        <v>11.6143866085924</v>
      </c>
      <c r="W318" s="1" t="n">
        <f aca="false">$C$329*(W290+(1-$C$279)*W332)</f>
        <v>11.8982625349867</v>
      </c>
      <c r="X318" s="1" t="n">
        <f aca="false">$C$329*(X290+(1-$C$279)*X332)</f>
        <v>12.0907285370165</v>
      </c>
      <c r="Y318" s="1" t="n">
        <f aca="false">$C$329*(Y290+(1-$C$279)*Y332)</f>
        <v>12.261565718499</v>
      </c>
      <c r="Z318" s="1" t="n">
        <f aca="false">$C$329*(Z290+(1-$C$279)*Z332)</f>
        <v>12.4287663791507</v>
      </c>
      <c r="AA318" s="1" t="n">
        <f aca="false">$C$329*(AA290+(1-$C$279)*AA332)</f>
        <v>12.5923412481972</v>
      </c>
      <c r="AB318" s="1" t="n">
        <f aca="false">$C$329*(AB290+(1-$C$279)*AB332)</f>
        <v>12.7523013433574</v>
      </c>
      <c r="AC318" s="1" t="n">
        <f aca="false">$C$329*(AC290+(1-$C$279)*AC332)</f>
        <v>12.9086380626535</v>
      </c>
      <c r="AD318" s="1" t="n">
        <f aca="false">$C$329*(AD290+(1-$C$279)*AD332)</f>
        <v>13.061343052599</v>
      </c>
      <c r="AE318" s="1" t="n">
        <f aca="false">$C$329*(AE290+(1-$C$279)*AE332)</f>
        <v>13.2104081893636</v>
      </c>
      <c r="AF318" s="1" t="n">
        <f aca="false">$C$329*(AF290+(1-$C$279)*AF332)</f>
        <v>13.3558255606529</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0.251160037442153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0.705938293034522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1.03324892271706</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0.278073245206539</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1.13761960397518</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1.75706994519918</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2.07806646684135</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2.40753468814584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2.74567204066887</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3.09268036776925</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4.59388263245066</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5.28377778079841</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5.06509102829762</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5.29742382596405</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5.72800122227586</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5.22507017497385</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5.00276844482755</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5.08932790439971</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5.21485582203042</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5.34379308761402</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5.32837610785875</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5.33950656117802</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5.39624909221039</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5.45866503231781</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5.51959968131623</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5.57902850764301</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5.6369405061192</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5.69333265721281</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5.74820200204871</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5.80154563618761</v>
      </c>
    </row>
    <row r="320" customFormat="false" ht="14.25" hidden="false" customHeight="true" outlineLevel="0" collapsed="false">
      <c r="B320" s="147" t="s">
        <v>1312</v>
      </c>
      <c r="C320" s="1" t="n">
        <f aca="false">01_Supuestos!$C$185*C317</f>
        <v>0.251160037442153</v>
      </c>
      <c r="D320" s="1" t="n">
        <f aca="false">01_Supuestos!$C$185*D317</f>
        <v>0.621129920391555</v>
      </c>
      <c r="E320" s="1" t="n">
        <f aca="false">01_Supuestos!$C$185*E317</f>
        <v>0.823514052931507</v>
      </c>
      <c r="F320" s="1" t="n">
        <f aca="false">01_Supuestos!$C$185*F317</f>
        <v>0</v>
      </c>
      <c r="G320" s="1" t="n">
        <f aca="false">01_Supuestos!$C$185*G317</f>
        <v>1.13761960397518</v>
      </c>
      <c r="H320" s="1" t="n">
        <f aca="false">01_Supuestos!$C$185*H317</f>
        <v>1.37293372559022</v>
      </c>
      <c r="I320" s="1" t="n">
        <f aca="false">01_Supuestos!$C$185*I317</f>
        <v>1.61447251216705</v>
      </c>
      <c r="J320" s="1" t="n">
        <f aca="false">01_Supuestos!$C$185*J317</f>
        <v>1.86238113653744</v>
      </c>
      <c r="K320" s="1" t="n">
        <f aca="false">01_Supuestos!$C$185*K317</f>
        <v>2.1168080102314</v>
      </c>
      <c r="L320" s="1" t="n">
        <f aca="false">01_Supuestos!$C$185*L317</f>
        <v>2.37790486298112</v>
      </c>
      <c r="M320" s="1" t="n">
        <f aca="false">01_Supuestos!$C$185*M317</f>
        <v>3.79094342371737</v>
      </c>
      <c r="N320" s="1" t="n">
        <f aca="false">01_Supuestos!$C$185*N317</f>
        <v>4.00370255138984</v>
      </c>
      <c r="O320" s="1" t="n">
        <f aca="false">01_Supuestos!$C$185*O317</f>
        <v>3.71317413344498</v>
      </c>
      <c r="P320" s="1" t="n">
        <f aca="false">01_Supuestos!$C$185*P317</f>
        <v>4.04360869357079</v>
      </c>
      <c r="Q320" s="1" t="n">
        <f aca="false">01_Supuestos!$C$185*Q317</f>
        <v>4.36260935341346</v>
      </c>
      <c r="R320" s="1" t="n">
        <f aca="false">01_Supuestos!$C$185*R317</f>
        <v>3.75196241663791</v>
      </c>
      <c r="S320" s="1" t="n">
        <f aca="false">01_Supuestos!$C$185*S317</f>
        <v>3.73585580214281</v>
      </c>
      <c r="T320" s="1" t="n">
        <f aca="false">01_Supuestos!$C$185*T317</f>
        <v>3.82785392854282</v>
      </c>
      <c r="U320" s="1" t="n">
        <f aca="false">01_Supuestos!$C$185*U317</f>
        <v>3.92231714549246</v>
      </c>
      <c r="V320" s="1" t="n">
        <f aca="false">01_Supuestos!$C$185*V317</f>
        <v>4.01935733148607</v>
      </c>
      <c r="W320" s="1" t="n">
        <f aca="false">01_Supuestos!$C$185*W317</f>
        <v>3.97117311559362</v>
      </c>
      <c r="X320" s="1" t="n">
        <f aca="false">01_Supuestos!$C$185*X317</f>
        <v>3.99857377247924</v>
      </c>
      <c r="Y320" s="1" t="n">
        <f aca="false">01_Supuestos!$C$185*Y317</f>
        <v>4.04606401503657</v>
      </c>
      <c r="Z320" s="1" t="n">
        <f aca="false">01_Supuestos!$C$185*Z317</f>
        <v>4.09244408324046</v>
      </c>
      <c r="AA320" s="1" t="n">
        <f aca="false">01_Supuestos!$C$185*AA317</f>
        <v>4.1377177292087</v>
      </c>
      <c r="AB320" s="1" t="n">
        <f aca="false">01_Supuestos!$C$185*AB317</f>
        <v>4.18185915441353</v>
      </c>
      <c r="AC320" s="1" t="n">
        <f aca="false">01_Supuestos!$C$185*AC317</f>
        <v>4.2248660649789</v>
      </c>
      <c r="AD320" s="1" t="n">
        <f aca="false">01_Supuestos!$C$185*AD317</f>
        <v>4.26673621593826</v>
      </c>
      <c r="AE320" s="1" t="n">
        <f aca="false">01_Supuestos!$C$185*AE317</f>
        <v>4.30746740646689</v>
      </c>
      <c r="AF320" s="1" t="n">
        <f aca="false">01_Supuestos!$C$185*AF317</f>
        <v>4.34705747527062</v>
      </c>
    </row>
    <row r="321" customFormat="false" ht="14.25" hidden="false" customHeight="true" outlineLevel="0" collapsed="false">
      <c r="B321" s="148" t="s">
        <v>1313</v>
      </c>
      <c r="C321" s="1" t="n">
        <f aca="false">C320-C323</f>
        <v>0.251160037442153</v>
      </c>
      <c r="D321" s="1" t="n">
        <f aca="false">C321+D320-D323</f>
        <v>0.705938293034522</v>
      </c>
      <c r="E321" s="1" t="n">
        <f aca="false">D321+E320-E323</f>
        <v>1.03324892271706</v>
      </c>
      <c r="F321" s="1" t="n">
        <f aca="false">E321+F320-F323</f>
        <v>0.278073245206539</v>
      </c>
      <c r="G321" s="1" t="n">
        <f aca="false">F321+G320-G323</f>
        <v>1.13761960397518</v>
      </c>
      <c r="H321" s="1" t="n">
        <f aca="false">G321+H320-H323</f>
        <v>1.75706994519918</v>
      </c>
      <c r="I321" s="1" t="n">
        <f aca="false">H321+I320-I323</f>
        <v>2.07806646684135</v>
      </c>
      <c r="J321" s="1" t="n">
        <f aca="false">I321+J320-J323</f>
        <v>2.40753468814584</v>
      </c>
      <c r="K321" s="1" t="n">
        <f aca="false">J321+K320-K323</f>
        <v>2.74567204066887</v>
      </c>
      <c r="L321" s="1" t="n">
        <f aca="false">K321+L320-L323</f>
        <v>3.09268036776925</v>
      </c>
      <c r="M321" s="1" t="n">
        <f aca="false">L321+M320-M323</f>
        <v>4.59388263245066</v>
      </c>
      <c r="N321" s="1" t="n">
        <f aca="false">M321+N320-N323</f>
        <v>5.28377778079841</v>
      </c>
      <c r="O321" s="1" t="n">
        <f aca="false">N321+O320-O323</f>
        <v>5.06509102829762</v>
      </c>
      <c r="P321" s="1" t="n">
        <f aca="false">O321+P320-P323</f>
        <v>5.29742382596405</v>
      </c>
      <c r="Q321" s="1" t="n">
        <f aca="false">P321+Q320-Q323</f>
        <v>5.72800122227586</v>
      </c>
      <c r="R321" s="1" t="n">
        <f aca="false">Q321+R320-R323</f>
        <v>5.22507017497385</v>
      </c>
      <c r="S321" s="1" t="n">
        <f aca="false">R321+S320-S323</f>
        <v>5.00276844482755</v>
      </c>
      <c r="T321" s="1" t="n">
        <f aca="false">S321+T320-T323</f>
        <v>5.08932790439971</v>
      </c>
      <c r="U321" s="1" t="n">
        <f aca="false">T321+U320-U323</f>
        <v>5.21485582203042</v>
      </c>
      <c r="V321" s="1" t="n">
        <f aca="false">U321+V320-V323</f>
        <v>5.34379308761402</v>
      </c>
      <c r="W321" s="1" t="n">
        <f aca="false">V321+W320-W323</f>
        <v>5.32837610785875</v>
      </c>
      <c r="X321" s="1" t="n">
        <f aca="false">W321+X320-X323</f>
        <v>5.33950656117802</v>
      </c>
      <c r="Y321" s="1" t="n">
        <f aca="false">X321+Y320-Y323</f>
        <v>5.39624909221039</v>
      </c>
      <c r="Z321" s="1" t="n">
        <f aca="false">Y321+Z320-Z323</f>
        <v>5.45866503231781</v>
      </c>
      <c r="AA321" s="1" t="n">
        <f aca="false">Z321+AA320-AA323</f>
        <v>5.51959968131623</v>
      </c>
      <c r="AB321" s="1" t="n">
        <f aca="false">AA321+AB320-AB323</f>
        <v>5.57902850764301</v>
      </c>
      <c r="AC321" s="1" t="n">
        <f aca="false">AB321+AC320-AC323</f>
        <v>5.6369405061192</v>
      </c>
      <c r="AD321" s="1" t="n">
        <f aca="false">AC321+AD320-AD323</f>
        <v>5.69333265721281</v>
      </c>
      <c r="AE321" s="1" t="n">
        <f aca="false">AD321+AE320-AE323</f>
        <v>5.74820200204871</v>
      </c>
      <c r="AF321" s="1" t="n">
        <f aca="false">AE321+AF320-AF323</f>
        <v>5.80154563618761</v>
      </c>
    </row>
    <row r="322" customFormat="false" ht="14.25" hidden="false" customHeight="true" outlineLevel="0" collapsed="false">
      <c r="B322" s="148" t="s">
        <v>1314</v>
      </c>
      <c r="C322" s="1" t="n">
        <f aca="false">$C$172*C83</f>
        <v>1.95</v>
      </c>
      <c r="D322" s="1" t="n">
        <f aca="false">$C$172*D83</f>
        <v>3.94485</v>
      </c>
      <c r="E322" s="1" t="n">
        <f aca="false">$C$172*E83</f>
        <v>5.98558155</v>
      </c>
      <c r="F322" s="1" t="n">
        <f aca="false">$C$172*F83</f>
        <v>8.07324992565</v>
      </c>
      <c r="G322" s="1" t="n">
        <f aca="false">$C$172*G83</f>
        <v>10.2089346739399</v>
      </c>
      <c r="H322" s="1" t="n">
        <f aca="false">$C$172*H83</f>
        <v>12.3937401714406</v>
      </c>
      <c r="I322" s="1" t="n">
        <f aca="false">$C$172*I83</f>
        <v>14.6287961953837</v>
      </c>
      <c r="J322" s="1" t="n">
        <f aca="false">$C$172*J83</f>
        <v>16.9152585078775</v>
      </c>
      <c r="K322" s="1" t="n">
        <f aca="false">$C$172*K83</f>
        <v>19.2543094535587</v>
      </c>
      <c r="L322" s="1" t="n">
        <f aca="false">$C$172*L83</f>
        <v>21.6471585709906</v>
      </c>
      <c r="M322" s="1" t="n">
        <f aca="false">$C$172*M83</f>
        <v>24.0950432181233</v>
      </c>
      <c r="N322" s="1" t="n">
        <f aca="false">$C$172*N83</f>
        <v>26.5992292121402</v>
      </c>
      <c r="O322" s="1" t="n">
        <f aca="false">$C$172*O83</f>
        <v>29.1610114840194</v>
      </c>
      <c r="P322" s="1" t="n">
        <f aca="false">$C$172*P83</f>
        <v>31.7817147481518</v>
      </c>
      <c r="Q322" s="1" t="n">
        <f aca="false">$C$172*Q83</f>
        <v>34.4626941873593</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39.5082967885811</v>
      </c>
      <c r="X322" s="1" t="n">
        <f aca="false">$C$172*X83</f>
        <v>40.0710125937835</v>
      </c>
      <c r="Y322" s="1" t="n">
        <f aca="false">$C$172*Y83</f>
        <v>40.6219473402586</v>
      </c>
      <c r="Z322" s="1" t="n">
        <f aca="false">$C$172*Z83</f>
        <v>41.1610712043925</v>
      </c>
      <c r="AA322" s="1" t="n">
        <f aca="false">$C$172*AA83</f>
        <v>41.688355314613</v>
      </c>
      <c r="AB322" s="1" t="n">
        <f aca="false">$C$172*AB83</f>
        <v>42.2037716847569</v>
      </c>
      <c r="AC322" s="1" t="n">
        <f aca="false">$C$172*AC83</f>
        <v>42.7072931500953</v>
      </c>
      <c r="AD322" s="1" t="n">
        <f aca="false">$C$172*AD83</f>
        <v>43.1988933058636</v>
      </c>
      <c r="AE322" s="1" t="n">
        <f aca="false">$C$172*AE83</f>
        <v>43.6785464481438</v>
      </c>
      <c r="AF322" s="1" t="n">
        <f aca="false">$C$172*AF83</f>
        <v>44.1462275169578</v>
      </c>
    </row>
    <row r="323" customFormat="false" ht="14.25" hidden="false" customHeight="true" outlineLevel="0" collapsed="false">
      <c r="B323" s="148" t="s">
        <v>1315</v>
      </c>
      <c r="C323" s="1" t="n">
        <f aca="false">MAX(0,MIN(C318,C320,C320-C319))</f>
        <v>0</v>
      </c>
      <c r="D323" s="1" t="n">
        <f aca="false">MAX(0,MIN(D318,C321+D320,C321+D320-D319))</f>
        <v>0.166351664799186</v>
      </c>
      <c r="E323" s="1" t="n">
        <f aca="false">MAX(0,MIN(E318,D321+E320,D321+E320-E319))</f>
        <v>0.496203423248973</v>
      </c>
      <c r="F323" s="1" t="n">
        <f aca="false">MAX(0,MIN(F318,E321+F320,E321+F320-F319))</f>
        <v>0.755175677510516</v>
      </c>
      <c r="G323" s="1" t="n">
        <f aca="false">MAX(0,MIN(G318,F321+G320,F321+G320-G319))</f>
        <v>0.278073245206539</v>
      </c>
      <c r="H323" s="1" t="n">
        <f aca="false">MAX(0,MIN(H318,G321+H320,G321+H320-H319))</f>
        <v>0.753483384366231</v>
      </c>
      <c r="I323" s="1" t="n">
        <f aca="false">MAX(0,MIN(I318,H321+I320,H321+I320-I319))</f>
        <v>1.29347599052488</v>
      </c>
      <c r="J323" s="1" t="n">
        <f aca="false">MAX(0,MIN(J318,I321+J320,I321+J320-J319))</f>
        <v>1.53291291523294</v>
      </c>
      <c r="K323" s="1" t="n">
        <f aca="false">MAX(0,MIN(K318,J321+K320,J321+K320-K319))</f>
        <v>1.77867065770837</v>
      </c>
      <c r="L323" s="1" t="n">
        <f aca="false">MAX(0,MIN(L318,K321+L320,K321+L320-L319))</f>
        <v>2.03089653588074</v>
      </c>
      <c r="M323" s="1" t="n">
        <f aca="false">MAX(0,MIN(M318,L321+M320,L321+M320-M319))</f>
        <v>2.28974115903596</v>
      </c>
      <c r="N323" s="1" t="n">
        <f aca="false">MAX(0,MIN(N318,M321+N320,M321+N320-N319))</f>
        <v>3.3138074030421</v>
      </c>
      <c r="O323" s="1" t="n">
        <f aca="false">MAX(0,MIN(O318,N321+O320,N321+O320-O319))</f>
        <v>3.93186088594577</v>
      </c>
      <c r="P323" s="1" t="n">
        <f aca="false">MAX(0,MIN(P318,O321+P320,O321+P320-P319))</f>
        <v>3.81127589590436</v>
      </c>
      <c r="Q323" s="1" t="n">
        <f aca="false">MAX(0,MIN(Q318,P321+Q320,P321+Q320-Q319))</f>
        <v>3.93203195710164</v>
      </c>
      <c r="R323" s="1" t="n">
        <f aca="false">MAX(0,MIN(R318,Q321+R320,Q321+R320-R319))</f>
        <v>4.25489346393992</v>
      </c>
      <c r="S323" s="1" t="n">
        <f aca="false">MAX(0,MIN(S318,R321+S320,R321+S320-S319))</f>
        <v>3.95815753228912</v>
      </c>
      <c r="T323" s="1" t="n">
        <f aca="false">MAX(0,MIN(T318,S321+T320,S321+T320-T319))</f>
        <v>3.74129446897066</v>
      </c>
      <c r="U323" s="1" t="n">
        <f aca="false">MAX(0,MIN(U318,T321+U320,T321+U320-U319))</f>
        <v>3.79678922786175</v>
      </c>
      <c r="V323" s="1" t="n">
        <f aca="false">MAX(0,MIN(V318,U321+V320,U321+V320-V319))</f>
        <v>3.89042006590246</v>
      </c>
      <c r="W323" s="1" t="n">
        <f aca="false">MAX(0,MIN(W318,V321+W320,V321+W320-W319))</f>
        <v>3.98659009534889</v>
      </c>
      <c r="X323" s="1" t="n">
        <f aca="false">MAX(0,MIN(X318,W321+X320,W321+X320-X319))</f>
        <v>3.98744331915997</v>
      </c>
      <c r="Y323" s="1" t="n">
        <f aca="false">MAX(0,MIN(Y318,X321+Y320,X321+Y320-Y319))</f>
        <v>3.9893214840042</v>
      </c>
      <c r="Z323" s="1" t="n">
        <f aca="false">MAX(0,MIN(Z318,Y321+Z320,Y321+Z320-Z319))</f>
        <v>4.03002814313305</v>
      </c>
      <c r="AA323" s="1" t="n">
        <f aca="false">MAX(0,MIN(AA318,Z321+AA320,Z321+AA320-AA319))</f>
        <v>4.07678308021028</v>
      </c>
      <c r="AB323" s="1" t="n">
        <f aca="false">MAX(0,MIN(AB318,AA321+AB320,AA321+AB320-AB319))</f>
        <v>4.12243032808676</v>
      </c>
      <c r="AC323" s="1" t="n">
        <f aca="false">MAX(0,MIN(AC318,AB321+AC320,AB321+AC320-AC319))</f>
        <v>4.1669540665027</v>
      </c>
      <c r="AD323" s="1" t="n">
        <f aca="false">MAX(0,MIN(AD318,AC321+AD320,AC321+AD320-AD319))</f>
        <v>4.21034406484466</v>
      </c>
      <c r="AE323" s="1" t="n">
        <f aca="false">MAX(0,MIN(AE318,AD321+AE320,AD321+AE320-AE319))</f>
        <v>4.25259806163099</v>
      </c>
      <c r="AF323" s="1" t="n">
        <f aca="false">MAX(0,MIN(AF318,AE321+AF320,AE321+AF320-AF319))</f>
        <v>4.29371384113173</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0.251160037442153</v>
      </c>
      <c r="D326" s="1" t="n">
        <f aca="false">IF(01_Supuestos!$C$184="Sí",D321,$C$172*D83)</f>
        <v>0.705938293034522</v>
      </c>
      <c r="E326" s="1" t="n">
        <f aca="false">IF(01_Supuestos!$C$184="Sí",E321,$C$172*E83)</f>
        <v>1.03324892271706</v>
      </c>
      <c r="F326" s="1" t="n">
        <f aca="false">IF(01_Supuestos!$C$184="Sí",F321,$C$172*F83)</f>
        <v>0.278073245206539</v>
      </c>
      <c r="G326" s="1" t="n">
        <f aca="false">IF(01_Supuestos!$C$184="Sí",G321,$C$172*G83)</f>
        <v>1.13761960397518</v>
      </c>
      <c r="H326" s="1" t="n">
        <f aca="false">IF(01_Supuestos!$C$184="Sí",H321,$C$172*H83)</f>
        <v>1.75706994519918</v>
      </c>
      <c r="I326" s="1" t="n">
        <f aca="false">IF(01_Supuestos!$C$184="Sí",I321,$C$172*I83)</f>
        <v>2.07806646684135</v>
      </c>
      <c r="J326" s="1" t="n">
        <f aca="false">IF(01_Supuestos!$C$184="Sí",J321,$C$172*J83)</f>
        <v>2.40753468814584</v>
      </c>
      <c r="K326" s="1" t="n">
        <f aca="false">IF(01_Supuestos!$C$184="Sí",K321,$C$172*K83)</f>
        <v>2.74567204066887</v>
      </c>
      <c r="L326" s="1" t="n">
        <f aca="false">IF(01_Supuestos!$C$184="Sí",L321,$C$172*L83)</f>
        <v>3.09268036776925</v>
      </c>
      <c r="M326" s="1" t="n">
        <f aca="false">IF(01_Supuestos!$C$184="Sí",M321,$C$172*M83)</f>
        <v>4.59388263245066</v>
      </c>
      <c r="N326" s="1" t="n">
        <f aca="false">IF(01_Supuestos!$C$184="Sí",N321,$C$172*N83)</f>
        <v>5.28377778079841</v>
      </c>
      <c r="O326" s="1" t="n">
        <f aca="false">IF(01_Supuestos!$C$184="Sí",O321,$C$172*O83)</f>
        <v>5.06509102829762</v>
      </c>
      <c r="P326" s="1" t="n">
        <f aca="false">IF(01_Supuestos!$C$184="Sí",P321,$C$172*P83)</f>
        <v>5.29742382596405</v>
      </c>
      <c r="Q326" s="1" t="n">
        <f aca="false">IF(01_Supuestos!$C$184="Sí",Q321,$C$172*Q83)</f>
        <v>5.72800122227586</v>
      </c>
      <c r="R326" s="1" t="n">
        <f aca="false">IF(01_Supuestos!$C$184="Sí",R321,$C$172*R83)</f>
        <v>5.22507017497385</v>
      </c>
      <c r="S326" s="1" t="n">
        <f aca="false">IF(01_Supuestos!$C$184="Sí",S321,$C$172*S83)</f>
        <v>5.00276844482755</v>
      </c>
      <c r="T326" s="1" t="n">
        <f aca="false">IF(01_Supuestos!$C$184="Sí",T321,$C$172*T83)</f>
        <v>5.08932790439971</v>
      </c>
      <c r="U326" s="1" t="n">
        <f aca="false">IF(01_Supuestos!$C$184="Sí",U321,$C$172*U83)</f>
        <v>5.21485582203042</v>
      </c>
      <c r="V326" s="1" t="n">
        <f aca="false">IF(01_Supuestos!$C$184="Sí",V321,$C$172*V83)</f>
        <v>5.34379308761402</v>
      </c>
      <c r="W326" s="1" t="n">
        <f aca="false">IF(01_Supuestos!$C$184="Sí",W321,$C$172*W83)</f>
        <v>5.32837610785875</v>
      </c>
      <c r="X326" s="1" t="n">
        <f aca="false">IF(01_Supuestos!$C$184="Sí",X321,$C$172*X83)</f>
        <v>5.33950656117802</v>
      </c>
      <c r="Y326" s="1" t="n">
        <f aca="false">IF(01_Supuestos!$C$184="Sí",Y321,$C$172*Y83)</f>
        <v>5.39624909221039</v>
      </c>
      <c r="Z326" s="1" t="n">
        <f aca="false">IF(01_Supuestos!$C$184="Sí",Z321,$C$172*Z83)</f>
        <v>5.45866503231781</v>
      </c>
      <c r="AA326" s="1" t="n">
        <f aca="false">IF(01_Supuestos!$C$184="Sí",AA321,$C$172*AA83)</f>
        <v>5.51959968131623</v>
      </c>
      <c r="AB326" s="1" t="n">
        <f aca="false">IF(01_Supuestos!$C$184="Sí",AB321,$C$172*AB83)</f>
        <v>5.57902850764301</v>
      </c>
      <c r="AC326" s="1" t="n">
        <f aca="false">IF(01_Supuestos!$C$184="Sí",AC321,$C$172*AC83)</f>
        <v>5.6369405061192</v>
      </c>
      <c r="AD326" s="1" t="n">
        <f aca="false">IF(01_Supuestos!$C$184="Sí",AD321,$C$172*AD83)</f>
        <v>5.69333265721281</v>
      </c>
      <c r="AE326" s="1" t="n">
        <f aca="false">IF(01_Supuestos!$C$184="Sí",AE321,$C$172*AE83)</f>
        <v>5.74820200204871</v>
      </c>
      <c r="AF326" s="1" t="n">
        <f aca="false">IF(01_Supuestos!$C$184="Sí",AF321,$C$172*AF83)</f>
        <v>5.80154563618761</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0.0271157935160219</v>
      </c>
      <c r="E327" s="1" t="n">
        <f aca="false">IF(01_Supuestos!$C$184="Sí",MAX(0.001,IF(D299&gt;0,D320/D299,$C$328*(1-$C$279))),$C$172)</f>
        <v>0.0591519386688306</v>
      </c>
      <c r="F327" s="1" t="n">
        <f aca="false">IF(01_Supuestos!$C$184="Sí",MAX(0.001,IF(E299&gt;0,E320/E299,$C$328*(1-$C$279))),$C$172)</f>
        <v>0.0692619108387795</v>
      </c>
      <c r="G327" s="1" t="n">
        <f aca="false">IF(01_Supuestos!$C$184="Sí",MAX(0.001,IF(F299&gt;0,F320/F299,$C$328*(1-$C$279))),$C$172)</f>
        <v>0.001</v>
      </c>
      <c r="H327" s="1" t="n">
        <f aca="false">IF(01_Supuestos!$C$184="Sí",MAX(0.001,IF(G299&gt;0,G320/G299,$C$328*(1-$C$279))),$C$172)</f>
        <v>0.0799130565180114</v>
      </c>
      <c r="I327" s="1" t="n">
        <f aca="false">IF(01_Supuestos!$C$184="Sí",MAX(0.001,IF(H299&gt;0,H320/H299,$C$328*(1-$C$279))),$C$172)</f>
        <v>0.0864695735148464</v>
      </c>
      <c r="J327" s="1" t="n">
        <f aca="false">IF(01_Supuestos!$C$184="Sí",MAX(0.001,IF(I299&gt;0,I320/I299,$C$328*(1-$C$279))),$C$172)</f>
        <v>0.0919463016941042</v>
      </c>
      <c r="K327" s="1" t="n">
        <f aca="false">IF(01_Supuestos!$C$184="Sí",MAX(0.001,IF(J299&gt;0,J320/J299,$C$328*(1-$C$279))),$C$172)</f>
        <v>0.0965952289267429</v>
      </c>
      <c r="L327" s="1" t="n">
        <f aca="false">IF(01_Supuestos!$C$184="Sí",MAX(0.001,IF(K299&gt;0,K320/K299,$C$328*(1-$C$279))),$C$172)</f>
        <v>0.100595494676369</v>
      </c>
      <c r="M327" s="1" t="n">
        <f aca="false">IF(01_Supuestos!$C$184="Sí",MAX(0.001,IF(L299&gt;0,L320/L299,$C$328*(1-$C$279))),$C$172)</f>
        <v>0.104077940437637</v>
      </c>
      <c r="N327" s="1" t="n">
        <f aca="false">IF(01_Supuestos!$C$184="Sí",MAX(0.001,IF(M299&gt;0,M320/M299,$C$328*(1-$C$279))),$C$172)</f>
        <v>0.131294066182873</v>
      </c>
      <c r="O327" s="1" t="n">
        <f aca="false">IF(01_Supuestos!$C$184="Sí",MAX(0.001,IF(N299&gt;0,N320/N299,$C$328*(1-$C$279))),$C$172)</f>
        <v>0.135896748669124</v>
      </c>
      <c r="P327" s="1" t="n">
        <f aca="false">IF(01_Supuestos!$C$184="Sí",MAX(0.001,IF(O299&gt;0,O320/O299,$C$328*(1-$C$279))),$C$172)</f>
        <v>0.126703361458964</v>
      </c>
      <c r="Q327" s="1" t="n">
        <f aca="false">IF(01_Supuestos!$C$184="Sí",MAX(0.001,IF(P299&gt;0,P320/P299,$C$328*(1-$C$279))),$C$172)</f>
        <v>0.129078363518514</v>
      </c>
      <c r="R327" s="1" t="n">
        <f aca="false">IF(01_Supuestos!$C$184="Sí",MAX(0.001,IF(Q299&gt;0,Q320/Q299,$C$328*(1-$C$279))),$C$172)</f>
        <v>0.130605644888533</v>
      </c>
      <c r="S327" s="1" t="n">
        <f aca="false">IF(01_Supuestos!$C$184="Sí",MAX(0.001,IF(R299&gt;0,R320/R299,$C$328*(1-$C$279))),$C$172)</f>
        <v>0.136716419338105</v>
      </c>
      <c r="T327" s="1" t="n">
        <f aca="false">IF(01_Supuestos!$C$184="Sí",MAX(0.001,IF(S299&gt;0,S320/S299,$C$328*(1-$C$279))),$C$172)</f>
        <v>0.137991379300244</v>
      </c>
      <c r="U327" s="1" t="n">
        <f aca="false">IF(01_Supuestos!$C$184="Sí",MAX(0.001,IF(T299&gt;0,T320/T299,$C$328*(1-$C$279))),$C$172)</f>
        <v>0.138174298669863</v>
      </c>
      <c r="V327" s="1" t="n">
        <f aca="false">IF(01_Supuestos!$C$184="Sí",MAX(0.001,IF(U299&gt;0,U320/U299,$C$328*(1-$C$279))),$C$172)</f>
        <v>0.138361069296679</v>
      </c>
      <c r="W327" s="1" t="n">
        <f aca="false">IF(01_Supuestos!$C$184="Sí",MAX(0.001,IF(V299&gt;0,V320/V299,$C$328*(1-$C$279))),$C$172)</f>
        <v>0.138553517545307</v>
      </c>
      <c r="X327" s="1" t="n">
        <f aca="false">IF(01_Supuestos!$C$184="Sí",MAX(0.001,IF(W299&gt;0,W320/W299,$C$328*(1-$C$279))),$C$172)</f>
        <v>0.139821329227748</v>
      </c>
      <c r="Y327" s="1" t="n">
        <f aca="false">IF(01_Supuestos!$C$184="Sí",MAX(0.001,IF(X299&gt;0,X320/X299,$C$328*(1-$C$279))),$C$172)</f>
        <v>0.140201045615144</v>
      </c>
      <c r="Z327" s="1" t="n">
        <f aca="false">IF(01_Supuestos!$C$184="Sí",MAX(0.001,IF(Y299&gt;0,Y320/Y299,$C$328*(1-$C$279))),$C$172)</f>
        <v>0.140334035334862</v>
      </c>
      <c r="AA327" s="1" t="n">
        <f aca="false">IF(01_Supuestos!$C$184="Sí",MAX(0.001,IF(Z299&gt;0,Z320/Z299,$C$328*(1-$C$279))),$C$172)</f>
        <v>0.140464008579497</v>
      </c>
      <c r="AB327" s="1" t="n">
        <f aca="false">IF(01_Supuestos!$C$184="Sí",MAX(0.001,IF(AA299&gt;0,AA320/AA299,$C$328*(1-$C$279))),$C$172)</f>
        <v>0.140591306448616</v>
      </c>
      <c r="AC327" s="1" t="n">
        <f aca="false">IF(01_Supuestos!$C$184="Sí",MAX(0.001,IF(AB299&gt;0,AB320/AB299,$C$328*(1-$C$279))),$C$172)</f>
        <v>0.140715256303521</v>
      </c>
      <c r="AD327" s="1" t="n">
        <f aca="false">IF(01_Supuestos!$C$184="Sí",MAX(0.001,IF(AC299&gt;0,AC320/AC299,$C$328*(1-$C$279))),$C$172)</f>
        <v>0.140836043371429</v>
      </c>
      <c r="AE327" s="1" t="n">
        <f aca="false">IF(01_Supuestos!$C$184="Sí",MAX(0.001,IF(AD299&gt;0,AD320/AD299,$C$328*(1-$C$279))),$C$172)</f>
        <v>0.140953841701735</v>
      </c>
      <c r="AF327" s="1" t="n">
        <f aca="false">IF(01_Supuestos!$C$184="Sí",MAX(0.001,IF(AE299&gt;0,AE320/AE299,$C$328*(1-$C$279))),$C$172)</f>
        <v>0.141068815087272</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0.0216517273657028</v>
      </c>
      <c r="E330" s="1" t="n">
        <f aca="false">E343</f>
        <v>0.070693850866012</v>
      </c>
      <c r="F330" s="1" t="n">
        <f aca="false">F343</f>
        <v>0.126982120655839</v>
      </c>
      <c r="G330" s="1" t="n">
        <f aca="false">G343</f>
        <v>0.0561954996630142</v>
      </c>
      <c r="H330" s="1" t="n">
        <f aca="false">H343</f>
        <v>0.142577491248209</v>
      </c>
      <c r="I330" s="1" t="n">
        <f aca="false">I343</f>
        <v>0.231277728722911</v>
      </c>
      <c r="J330" s="1" t="n">
        <f aca="false">J343</f>
        <v>0.322350625990533</v>
      </c>
      <c r="K330" s="1" t="n">
        <f aca="false">K343</f>
        <v>0.415851793761867</v>
      </c>
      <c r="L330" s="1" t="n">
        <f aca="false">L343</f>
        <v>0.511838069817278</v>
      </c>
      <c r="M330" s="1" t="n">
        <f aca="false">M343</f>
        <v>0.610367549828139</v>
      </c>
      <c r="N330" s="1" t="n">
        <f aca="false">N343</f>
        <v>0.810216567025728</v>
      </c>
      <c r="O330" s="1" t="n">
        <f aca="false">O343</f>
        <v>0.986838292755915</v>
      </c>
      <c r="P330" s="1" t="n">
        <f aca="false">P343</f>
        <v>1.10167714626311</v>
      </c>
      <c r="Q330" s="1" t="n">
        <f aca="false">Q343</f>
        <v>1.2211152561827</v>
      </c>
      <c r="R330" s="1" t="n">
        <f aca="false">R343</f>
        <v>1.34321029612199</v>
      </c>
      <c r="S330" s="1" t="n">
        <f aca="false">S343</f>
        <v>1.38726759044568</v>
      </c>
      <c r="T330" s="1" t="n">
        <f aca="false">T343</f>
        <v>1.42077246630046</v>
      </c>
      <c r="U330" s="1" t="n">
        <f aca="false">U343</f>
        <v>1.45523920094297</v>
      </c>
      <c r="V330" s="1" t="n">
        <f aca="false">V343</f>
        <v>1.49068023555135</v>
      </c>
      <c r="W330" s="1" t="n">
        <f aca="false">W343</f>
        <v>1.5271150682365</v>
      </c>
      <c r="X330" s="1" t="n">
        <f aca="false">X343</f>
        <v>1.55181764400828</v>
      </c>
      <c r="Y330" s="1" t="n">
        <f aca="false">Y343</f>
        <v>1.57374420961311</v>
      </c>
      <c r="Z330" s="1" t="n">
        <f aca="false">Z343</f>
        <v>1.5952040359995</v>
      </c>
      <c r="AA330" s="1" t="n">
        <f aca="false">AA343</f>
        <v>1.61619850023923</v>
      </c>
      <c r="AB330" s="1" t="n">
        <f aca="false">AB343</f>
        <v>1.6367290164316</v>
      </c>
      <c r="AC330" s="1" t="n">
        <f aca="false">AC343</f>
        <v>1.65679448053223</v>
      </c>
      <c r="AD330" s="1" t="n">
        <f aca="false">AD343</f>
        <v>1.67639382039005</v>
      </c>
      <c r="AE330" s="1" t="n">
        <f aca="false">AE343</f>
        <v>1.69552599332981</v>
      </c>
      <c r="AF330" s="1" t="n">
        <f aca="false">AF343</f>
        <v>1.71418998382642</v>
      </c>
    </row>
    <row r="331" customFormat="false" ht="14.25" hidden="false" customHeight="true" outlineLevel="0" collapsed="false">
      <c r="B331" s="1" t="s">
        <v>1324</v>
      </c>
      <c r="C331" s="1" t="n">
        <f aca="false">C330*$C$338</f>
        <v>0</v>
      </c>
      <c r="D331" s="1" t="n">
        <f aca="false">D330*$C$338</f>
        <v>0.00757810457799599</v>
      </c>
      <c r="E331" s="1" t="n">
        <f aca="false">E330*$C$338</f>
        <v>0.0247428478031042</v>
      </c>
      <c r="F331" s="1" t="n">
        <f aca="false">F330*$C$338</f>
        <v>0.0444437422295437</v>
      </c>
      <c r="G331" s="1" t="n">
        <f aca="false">G330*$C$338</f>
        <v>0.019668424882055</v>
      </c>
      <c r="H331" s="1" t="n">
        <f aca="false">H330*$C$338</f>
        <v>0.0499021219368733</v>
      </c>
      <c r="I331" s="1" t="n">
        <f aca="false">I330*$C$338</f>
        <v>0.0809472050530189</v>
      </c>
      <c r="J331" s="1" t="n">
        <f aca="false">J330*$C$338</f>
        <v>0.112822719096686</v>
      </c>
      <c r="K331" s="1" t="n">
        <f aca="false">K330*$C$338</f>
        <v>0.145548127816653</v>
      </c>
      <c r="L331" s="1" t="n">
        <f aca="false">L330*$C$338</f>
        <v>0.179143324436047</v>
      </c>
      <c r="M331" s="1" t="n">
        <f aca="false">M330*$C$338</f>
        <v>0.213628642439849</v>
      </c>
      <c r="N331" s="1" t="n">
        <f aca="false">N330*$C$338</f>
        <v>0.283575798459005</v>
      </c>
      <c r="O331" s="1" t="n">
        <f aca="false">O330*$C$338</f>
        <v>0.34539340246457</v>
      </c>
      <c r="P331" s="1" t="n">
        <f aca="false">P330*$C$338</f>
        <v>0.38558700119209</v>
      </c>
      <c r="Q331" s="1" t="n">
        <f aca="false">Q330*$C$338</f>
        <v>0.427390339663943</v>
      </c>
      <c r="R331" s="1" t="n">
        <f aca="false">R330*$C$338</f>
        <v>0.470123603642698</v>
      </c>
      <c r="S331" s="1" t="n">
        <f aca="false">S330*$C$338</f>
        <v>0.485543656655988</v>
      </c>
      <c r="T331" s="1" t="n">
        <f aca="false">T330*$C$338</f>
        <v>0.497270363205162</v>
      </c>
      <c r="U331" s="1" t="n">
        <f aca="false">U330*$C$338</f>
        <v>0.509333720330039</v>
      </c>
      <c r="V331" s="1" t="n">
        <f aca="false">V330*$C$338</f>
        <v>0.521738082442973</v>
      </c>
      <c r="W331" s="1" t="n">
        <f aca="false">W330*$C$338</f>
        <v>0.534490273882777</v>
      </c>
      <c r="X331" s="1" t="n">
        <f aca="false">X330*$C$338</f>
        <v>0.543136175402898</v>
      </c>
      <c r="Y331" s="1" t="n">
        <f aca="false">Y330*$C$338</f>
        <v>0.550810473364589</v>
      </c>
      <c r="Z331" s="1" t="n">
        <f aca="false">Z330*$C$338</f>
        <v>0.558321412599824</v>
      </c>
      <c r="AA331" s="1" t="n">
        <f aca="false">AA330*$C$338</f>
        <v>0.565669475083729</v>
      </c>
      <c r="AB331" s="1" t="n">
        <f aca="false">AB330*$C$338</f>
        <v>0.572855155751059</v>
      </c>
      <c r="AC331" s="1" t="n">
        <f aca="false">AC330*$C$338</f>
        <v>0.579878068186281</v>
      </c>
      <c r="AD331" s="1" t="n">
        <f aca="false">AD330*$C$338</f>
        <v>0.586737837136519</v>
      </c>
      <c r="AE331" s="1" t="n">
        <f aca="false">AE330*$C$338</f>
        <v>0.593434097665433</v>
      </c>
      <c r="AF331" s="1" t="n">
        <f aca="false">AF330*$C$338</f>
        <v>0.599966494339248</v>
      </c>
    </row>
    <row r="332" customFormat="false" ht="14.25" hidden="false" customHeight="true" outlineLevel="0" collapsed="false">
      <c r="B332" s="1" t="s">
        <v>1325</v>
      </c>
      <c r="C332" s="1" t="n">
        <f aca="false">IF($C$339&lt;=0,C331,IF($C$339=1,0,0))</f>
        <v>0</v>
      </c>
      <c r="D332" s="1" t="n">
        <f aca="false">IF($C$339&lt;=0,D331,IF($C$339=1,C331,0))</f>
        <v>0.00757810457799599</v>
      </c>
      <c r="E332" s="1" t="n">
        <f aca="false">IF($C$339&lt;=0,E331,IF($C$339=1,D331,C331))</f>
        <v>0.0247428478031042</v>
      </c>
      <c r="F332" s="1" t="n">
        <f aca="false">IF($C$339&lt;=0,F331,IF($C$339=1,E331,D331))</f>
        <v>0.0444437422295437</v>
      </c>
      <c r="G332" s="1" t="n">
        <f aca="false">IF($C$339&lt;=0,G331,IF($C$339=1,F331,E331))</f>
        <v>0.019668424882055</v>
      </c>
      <c r="H332" s="1" t="n">
        <f aca="false">IF($C$339&lt;=0,H331,IF($C$339=1,G331,F331))</f>
        <v>0.0499021219368733</v>
      </c>
      <c r="I332" s="1" t="n">
        <f aca="false">IF($C$339&lt;=0,I331,IF($C$339=1,H331,G331))</f>
        <v>0.0809472050530189</v>
      </c>
      <c r="J332" s="1" t="n">
        <f aca="false">IF($C$339&lt;=0,J331,IF($C$339=1,I331,H331))</f>
        <v>0.112822719096686</v>
      </c>
      <c r="K332" s="1" t="n">
        <f aca="false">IF($C$339&lt;=0,K331,IF($C$339=1,J331,I331))</f>
        <v>0.145548127816653</v>
      </c>
      <c r="L332" s="1" t="n">
        <f aca="false">IF($C$339&lt;=0,L331,IF($C$339=1,K331,J331))</f>
        <v>0.179143324436047</v>
      </c>
      <c r="M332" s="1" t="n">
        <f aca="false">IF($C$339&lt;=0,M331,IF($C$339=1,L331,K331))</f>
        <v>0.213628642439849</v>
      </c>
      <c r="N332" s="1" t="n">
        <f aca="false">IF($C$339&lt;=0,N331,IF($C$339=1,M331,L331))</f>
        <v>0.283575798459005</v>
      </c>
      <c r="O332" s="1" t="n">
        <f aca="false">IF($C$339&lt;=0,O331,IF($C$339=1,N331,M331))</f>
        <v>0.34539340246457</v>
      </c>
      <c r="P332" s="1" t="n">
        <f aca="false">IF($C$339&lt;=0,P331,IF($C$339=1,O331,N331))</f>
        <v>0.38558700119209</v>
      </c>
      <c r="Q332" s="1" t="n">
        <f aca="false">IF($C$339&lt;=0,Q331,IF($C$339=1,P331,O331))</f>
        <v>0.427390339663943</v>
      </c>
      <c r="R332" s="1" t="n">
        <f aca="false">IF($C$339&lt;=0,R331,IF($C$339=1,Q331,P331))</f>
        <v>0.470123603642698</v>
      </c>
      <c r="S332" s="1" t="n">
        <f aca="false">IF($C$339&lt;=0,S331,IF($C$339=1,R331,Q331))</f>
        <v>0.485543656655988</v>
      </c>
      <c r="T332" s="1" t="n">
        <f aca="false">IF($C$339&lt;=0,T331,IF($C$339=1,S331,R331))</f>
        <v>0.497270363205162</v>
      </c>
      <c r="U332" s="1" t="n">
        <f aca="false">IF($C$339&lt;=0,U331,IF($C$339=1,T331,S331))</f>
        <v>0.509333720330039</v>
      </c>
      <c r="V332" s="1" t="n">
        <f aca="false">IF($C$339&lt;=0,V331,IF($C$339=1,U331,T331))</f>
        <v>0.521738082442973</v>
      </c>
      <c r="W332" s="1" t="n">
        <f aca="false">IF($C$339&lt;=0,W331,IF($C$339=1,V331,U331))</f>
        <v>0.534490273882777</v>
      </c>
      <c r="X332" s="1" t="n">
        <f aca="false">IF($C$339&lt;=0,X331,IF($C$339=1,W331,V331))</f>
        <v>0.543136175402898</v>
      </c>
      <c r="Y332" s="1" t="n">
        <f aca="false">IF($C$339&lt;=0,Y331,IF($C$339=1,X331,W331))</f>
        <v>0.550810473364589</v>
      </c>
      <c r="Z332" s="1" t="n">
        <f aca="false">IF($C$339&lt;=0,Z331,IF($C$339=1,Y331,X331))</f>
        <v>0.558321412599824</v>
      </c>
      <c r="AA332" s="1" t="n">
        <f aca="false">IF($C$339&lt;=0,AA331,IF($C$339=1,Z331,Y331))</f>
        <v>0.565669475083729</v>
      </c>
      <c r="AB332" s="1" t="n">
        <f aca="false">IF($C$339&lt;=0,AB331,IF($C$339=1,AA331,Z331))</f>
        <v>0.572855155751059</v>
      </c>
      <c r="AC332" s="1" t="n">
        <f aca="false">IF($C$339&lt;=0,AC331,IF($C$339=1,AB331,AA331))</f>
        <v>0.579878068186281</v>
      </c>
      <c r="AD332" s="1" t="n">
        <f aca="false">IF($C$339&lt;=0,AD331,IF($C$339=1,AC331,AB331))</f>
        <v>0.586737837136519</v>
      </c>
      <c r="AE332" s="1" t="n">
        <f aca="false">IF($C$339&lt;=0,AE331,IF($C$339=1,AD331,AC331))</f>
        <v>0.593434097665433</v>
      </c>
      <c r="AF332" s="1" t="n">
        <f aca="false">IF($C$339&lt;=0,AF331,IF($C$339=1,AE331,AD331))</f>
        <v>0.599966494339248</v>
      </c>
    </row>
    <row r="333" customFormat="false" ht="14.25" hidden="false" customHeight="true" outlineLevel="0" collapsed="false">
      <c r="B333" s="1" t="s">
        <v>1326</v>
      </c>
      <c r="C333" s="1" t="n">
        <f aca="false">C330-C331</f>
        <v>0</v>
      </c>
      <c r="D333" s="1" t="n">
        <f aca="false">D330-D331</f>
        <v>0.0140736227877068</v>
      </c>
      <c r="E333" s="1" t="n">
        <f aca="false">E330-E331</f>
        <v>0.0459510030629078</v>
      </c>
      <c r="F333" s="1" t="n">
        <f aca="false">F330-F331</f>
        <v>0.0825383784262954</v>
      </c>
      <c r="G333" s="1" t="n">
        <f aca="false">G330-G331</f>
        <v>0.0365270747809592</v>
      </c>
      <c r="H333" s="1" t="n">
        <f aca="false">H330-H331</f>
        <v>0.0926753693113361</v>
      </c>
      <c r="I333" s="1" t="n">
        <f aca="false">I330-I331</f>
        <v>0.150330523669892</v>
      </c>
      <c r="J333" s="1" t="n">
        <f aca="false">J330-J331</f>
        <v>0.209527906893846</v>
      </c>
      <c r="K333" s="1" t="n">
        <f aca="false">K330-K331</f>
        <v>0.270303665945214</v>
      </c>
      <c r="L333" s="1" t="n">
        <f aca="false">L330-L331</f>
        <v>0.332694745381231</v>
      </c>
      <c r="M333" s="1" t="n">
        <f aca="false">M330-M331</f>
        <v>0.39673890738829</v>
      </c>
      <c r="N333" s="1" t="n">
        <f aca="false">N330-N331</f>
        <v>0.526640768566724</v>
      </c>
      <c r="O333" s="1" t="n">
        <f aca="false">O330-O331</f>
        <v>0.641444890291345</v>
      </c>
      <c r="P333" s="1" t="n">
        <f aca="false">P330-P331</f>
        <v>0.716090145071024</v>
      </c>
      <c r="Q333" s="1" t="n">
        <f aca="false">Q330-Q331</f>
        <v>0.793724916518752</v>
      </c>
      <c r="R333" s="1" t="n">
        <f aca="false">R330-R331</f>
        <v>0.873086692479296</v>
      </c>
      <c r="S333" s="1" t="n">
        <f aca="false">S330-S331</f>
        <v>0.901723933789692</v>
      </c>
      <c r="T333" s="1" t="n">
        <f aca="false">T330-T331</f>
        <v>0.923502103095301</v>
      </c>
      <c r="U333" s="1" t="n">
        <f aca="false">U330-U331</f>
        <v>0.945905480612929</v>
      </c>
      <c r="V333" s="1" t="n">
        <f aca="false">V330-V331</f>
        <v>0.968942153108379</v>
      </c>
      <c r="W333" s="1" t="n">
        <f aca="false">W330-W331</f>
        <v>0.992624794353728</v>
      </c>
      <c r="X333" s="1" t="n">
        <f aca="false">X330-X331</f>
        <v>1.00868146860538</v>
      </c>
      <c r="Y333" s="1" t="n">
        <f aca="false">Y330-Y331</f>
        <v>1.02293373624852</v>
      </c>
      <c r="Z333" s="1" t="n">
        <f aca="false">Z330-Z331</f>
        <v>1.03688262339967</v>
      </c>
      <c r="AA333" s="1" t="n">
        <f aca="false">AA330-AA331</f>
        <v>1.0505290251555</v>
      </c>
      <c r="AB333" s="1" t="n">
        <f aca="false">AB330-AB331</f>
        <v>1.06387386068054</v>
      </c>
      <c r="AC333" s="1" t="n">
        <f aca="false">AC330-AC331</f>
        <v>1.07691641234595</v>
      </c>
      <c r="AD333" s="1" t="n">
        <f aca="false">AD330-AD331</f>
        <v>1.08965598325354</v>
      </c>
      <c r="AE333" s="1" t="n">
        <f aca="false">AE330-AE331</f>
        <v>1.10209189566438</v>
      </c>
      <c r="AF333" s="1" t="n">
        <f aca="false">AF330-AF331</f>
        <v>1.11422348948717</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01_Supuestos!$C$191</f>
        <v>0.35</v>
      </c>
      <c r="D338" s="1" t="s">
        <v>1347</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0.00909372549359519</v>
      </c>
      <c r="E341" s="1" t="n">
        <f aca="false">D284*$C$340</f>
        <v>0.029691417363725</v>
      </c>
      <c r="F341" s="1" t="n">
        <f aca="false">E284*$C$340</f>
        <v>0.0533324906754524</v>
      </c>
      <c r="G341" s="1" t="n">
        <f aca="false">F284*$C$340</f>
        <v>0.0236021098584659</v>
      </c>
      <c r="H341" s="1" t="n">
        <f aca="false">G284*$C$340</f>
        <v>0.0598825463242479</v>
      </c>
      <c r="I341" s="1" t="n">
        <f aca="false">H284*$C$340</f>
        <v>0.0971366460636227</v>
      </c>
      <c r="J341" s="1" t="n">
        <f aca="false">I284*$C$340</f>
        <v>0.135387262916024</v>
      </c>
      <c r="K341" s="1" t="n">
        <f aca="false">J284*$C$340</f>
        <v>0.174657753379984</v>
      </c>
      <c r="L341" s="1" t="n">
        <f aca="false">K284*$C$340</f>
        <v>0.214971989323257</v>
      </c>
      <c r="M341" s="1" t="n">
        <f aca="false">L284*$C$340</f>
        <v>0.256354370927818</v>
      </c>
      <c r="N341" s="1" t="n">
        <f aca="false">M284*$C$340</f>
        <v>0.340290958150806</v>
      </c>
      <c r="O341" s="1" t="n">
        <f aca="false">N284*$C$340</f>
        <v>0.414472082957484</v>
      </c>
      <c r="P341" s="1" t="n">
        <f aca="false">O284*$C$340</f>
        <v>0.462704401430508</v>
      </c>
      <c r="Q341" s="1" t="n">
        <f aca="false">P284*$C$340</f>
        <v>0.512868407596732</v>
      </c>
      <c r="R341" s="1" t="n">
        <f aca="false">Q284*$C$340</f>
        <v>0.564148324371237</v>
      </c>
      <c r="S341" s="1" t="n">
        <f aca="false">R284*$C$340</f>
        <v>0.582652387987185</v>
      </c>
      <c r="T341" s="1" t="n">
        <f aca="false">S284*$C$340</f>
        <v>0.596724435846194</v>
      </c>
      <c r="U341" s="1" t="n">
        <f aca="false">T284*$C$340</f>
        <v>0.611200464396047</v>
      </c>
      <c r="V341" s="1" t="n">
        <f aca="false">U284*$C$340</f>
        <v>0.626085698931568</v>
      </c>
      <c r="W341" s="1" t="n">
        <f aca="false">V284*$C$340</f>
        <v>0.641388328659332</v>
      </c>
      <c r="X341" s="1" t="n">
        <f aca="false">W284*$C$340</f>
        <v>0.651763410483477</v>
      </c>
      <c r="Y341" s="1" t="n">
        <f aca="false">X284*$C$340</f>
        <v>0.660972568037507</v>
      </c>
      <c r="Z341" s="1" t="n">
        <f aca="false">Y284*$C$340</f>
        <v>0.669985695119788</v>
      </c>
      <c r="AA341" s="1" t="n">
        <f aca="false">Z284*$C$340</f>
        <v>0.678803370100475</v>
      </c>
      <c r="AB341" s="1" t="n">
        <f aca="false">AA284*$C$340</f>
        <v>0.687426186901271</v>
      </c>
      <c r="AC341" s="1" t="n">
        <f aca="false">AB284*$C$340</f>
        <v>0.695853681823538</v>
      </c>
      <c r="AD341" s="1" t="n">
        <f aca="false">AC284*$C$340</f>
        <v>0.704085404563823</v>
      </c>
      <c r="AE341" s="1" t="n">
        <f aca="false">AD284*$C$340</f>
        <v>0.712120917198519</v>
      </c>
      <c r="AF341" s="1" t="n">
        <f aca="false">AE284*$C$340</f>
        <v>0.719959793207098</v>
      </c>
    </row>
    <row r="342" customFormat="false" ht="14.25" hidden="false" customHeight="true" outlineLevel="0" collapsed="false">
      <c r="B342" s="1" t="s">
        <v>1336</v>
      </c>
      <c r="C342" s="1" t="n">
        <f aca="false">0*$C$340</f>
        <v>0</v>
      </c>
      <c r="D342" s="1" t="n">
        <f aca="false">C289*$C$340</f>
        <v>0.0125580018721076</v>
      </c>
      <c r="E342" s="1" t="n">
        <f aca="false">D289*$C$340</f>
        <v>0.041002433502287</v>
      </c>
      <c r="F342" s="1" t="n">
        <f aca="false">E289*$C$340</f>
        <v>0.0736496299803866</v>
      </c>
      <c r="G342" s="1" t="n">
        <f aca="false">F289*$C$340</f>
        <v>0.0325933898045482</v>
      </c>
      <c r="H342" s="1" t="n">
        <f aca="false">G289*$C$340</f>
        <v>0.0826949449239614</v>
      </c>
      <c r="I342" s="1" t="n">
        <f aca="false">H289*$C$340</f>
        <v>0.134141082659289</v>
      </c>
      <c r="J342" s="1" t="n">
        <f aca="false">I289*$C$340</f>
        <v>0.186963363074509</v>
      </c>
      <c r="K342" s="1" t="n">
        <f aca="false">J289*$C$340</f>
        <v>0.241194040381883</v>
      </c>
      <c r="L342" s="1" t="n">
        <f aca="false">K289*$C$340</f>
        <v>0.296866080494021</v>
      </c>
      <c r="M342" s="1" t="n">
        <f aca="false">L289*$C$340</f>
        <v>0.354013178900321</v>
      </c>
      <c r="N342" s="1" t="n">
        <f aca="false">M289*$C$340</f>
        <v>0.469925608874923</v>
      </c>
      <c r="O342" s="1" t="n">
        <f aca="false">N289*$C$340</f>
        <v>0.572366209798431</v>
      </c>
      <c r="P342" s="1" t="n">
        <f aca="false">O289*$C$340</f>
        <v>0.638972744832606</v>
      </c>
      <c r="Q342" s="1" t="n">
        <f aca="false">P289*$C$340</f>
        <v>0.708246848585964</v>
      </c>
      <c r="R342" s="1" t="n">
        <f aca="false">Q289*$C$340</f>
        <v>0.779061971750756</v>
      </c>
      <c r="S342" s="1" t="n">
        <f aca="false">R289*$C$340</f>
        <v>0.804615202458494</v>
      </c>
      <c r="T342" s="1" t="n">
        <f aca="false">S289*$C$340</f>
        <v>0.824048030454268</v>
      </c>
      <c r="U342" s="1" t="n">
        <f aca="false">T289*$C$340</f>
        <v>0.844038736546922</v>
      </c>
      <c r="V342" s="1" t="n">
        <f aca="false">U289*$C$340</f>
        <v>0.864594536619785</v>
      </c>
      <c r="W342" s="1" t="n">
        <f aca="false">V289*$C$340</f>
        <v>0.885726739577173</v>
      </c>
      <c r="X342" s="1" t="n">
        <f aca="false">W289*$C$340</f>
        <v>0.900054233524802</v>
      </c>
      <c r="Y342" s="1" t="n">
        <f aca="false">X289*$C$340</f>
        <v>0.912771641575605</v>
      </c>
      <c r="Z342" s="1" t="n">
        <f aca="false">Y289*$C$340</f>
        <v>0.925218340879708</v>
      </c>
      <c r="AA342" s="1" t="n">
        <f aca="false">Z289*$C$340</f>
        <v>0.937395130138751</v>
      </c>
      <c r="AB342" s="1" t="n">
        <f aca="false">AA289*$C$340</f>
        <v>0.949302829530326</v>
      </c>
      <c r="AC342" s="1" t="n">
        <f aca="false">AB289*$C$340</f>
        <v>0.960940798708695</v>
      </c>
      <c r="AD342" s="1" t="n">
        <f aca="false">AC289*$C$340</f>
        <v>0.972308415826232</v>
      </c>
      <c r="AE342" s="1" t="n">
        <f aca="false">AD289*$C$340</f>
        <v>0.983405076131289</v>
      </c>
      <c r="AF342" s="1" t="n">
        <f aca="false">AE289*$C$340</f>
        <v>0.994230190619325</v>
      </c>
    </row>
    <row r="343" customFormat="false" ht="14.25" hidden="false" customHeight="true" outlineLevel="0" collapsed="false">
      <c r="B343" s="1" t="s">
        <v>1337</v>
      </c>
      <c r="C343" s="1" t="n">
        <f aca="false">C341+C342</f>
        <v>0</v>
      </c>
      <c r="D343" s="1" t="n">
        <f aca="false">D341+D342</f>
        <v>0.0216517273657028</v>
      </c>
      <c r="E343" s="1" t="n">
        <f aca="false">E341+E342</f>
        <v>0.070693850866012</v>
      </c>
      <c r="F343" s="1" t="n">
        <f aca="false">F341+F342</f>
        <v>0.126982120655839</v>
      </c>
      <c r="G343" s="1" t="n">
        <f aca="false">G341+G342</f>
        <v>0.0561954996630142</v>
      </c>
      <c r="H343" s="1" t="n">
        <f aca="false">H341+H342</f>
        <v>0.142577491248209</v>
      </c>
      <c r="I343" s="1" t="n">
        <f aca="false">I341+I342</f>
        <v>0.231277728722911</v>
      </c>
      <c r="J343" s="1" t="n">
        <f aca="false">J341+J342</f>
        <v>0.322350625990533</v>
      </c>
      <c r="K343" s="1" t="n">
        <f aca="false">K341+K342</f>
        <v>0.415851793761867</v>
      </c>
      <c r="L343" s="1" t="n">
        <f aca="false">L341+L342</f>
        <v>0.511838069817278</v>
      </c>
      <c r="M343" s="1" t="n">
        <f aca="false">M341+M342</f>
        <v>0.610367549828139</v>
      </c>
      <c r="N343" s="1" t="n">
        <f aca="false">N341+N342</f>
        <v>0.810216567025728</v>
      </c>
      <c r="O343" s="1" t="n">
        <f aca="false">O341+O342</f>
        <v>0.986838292755915</v>
      </c>
      <c r="P343" s="1" t="n">
        <f aca="false">P341+P342</f>
        <v>1.10167714626311</v>
      </c>
      <c r="Q343" s="1" t="n">
        <f aca="false">Q341+Q342</f>
        <v>1.2211152561827</v>
      </c>
      <c r="R343" s="1" t="n">
        <f aca="false">R341+R342</f>
        <v>1.34321029612199</v>
      </c>
      <c r="S343" s="1" t="n">
        <f aca="false">S341+S342</f>
        <v>1.38726759044568</v>
      </c>
      <c r="T343" s="1" t="n">
        <f aca="false">T341+T342</f>
        <v>1.42077246630046</v>
      </c>
      <c r="U343" s="1" t="n">
        <f aca="false">U341+U342</f>
        <v>1.45523920094297</v>
      </c>
      <c r="V343" s="1" t="n">
        <f aca="false">V341+V342</f>
        <v>1.49068023555135</v>
      </c>
      <c r="W343" s="1" t="n">
        <f aca="false">W341+W342</f>
        <v>1.5271150682365</v>
      </c>
      <c r="X343" s="1" t="n">
        <f aca="false">X341+X342</f>
        <v>1.55181764400828</v>
      </c>
      <c r="Y343" s="1" t="n">
        <f aca="false">Y341+Y342</f>
        <v>1.57374420961311</v>
      </c>
      <c r="Z343" s="1" t="n">
        <f aca="false">Z341+Z342</f>
        <v>1.5952040359995</v>
      </c>
      <c r="AA343" s="1" t="n">
        <f aca="false">AA341+AA342</f>
        <v>1.61619850023923</v>
      </c>
      <c r="AB343" s="1" t="n">
        <f aca="false">AB341+AB342</f>
        <v>1.6367290164316</v>
      </c>
      <c r="AC343" s="1" t="n">
        <f aca="false">AC341+AC342</f>
        <v>1.65679448053223</v>
      </c>
      <c r="AD343" s="1" t="n">
        <f aca="false">AD341+AD342</f>
        <v>1.67639382039005</v>
      </c>
      <c r="AE343" s="1" t="n">
        <f aca="false">AE341+AE342</f>
        <v>1.69552599332981</v>
      </c>
      <c r="AF343" s="1" t="n">
        <f aca="false">AF341+AF342</f>
        <v>1.71418998382642</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1349</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0.0065</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0.0022</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1344</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5</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11.440447555496</v>
      </c>
      <c r="D48" s="116" t="n">
        <f aca="false">SUMPRODUCT(($C$39:$BT$39&gt;=D$39-$C$29+1)*($C$39:$BT$39&lt;=D$39)*($C$45:$BT$45))/$C$29+D47</f>
        <v>18.433684727896</v>
      </c>
      <c r="E48" s="116" t="n">
        <f aca="false">SUMPRODUCT(($C$39:$BT$39&gt;=E$39-$C$29+1)*($C$39:$BT$39&lt;=E$39)*($C$45:$BT$45))/$C$29+E47</f>
        <v>24.380839607896</v>
      </c>
      <c r="F48" s="116" t="n">
        <f aca="false">SUMPRODUCT(($C$39:$BT$39&gt;=F$39-$C$29+1)*($C$39:$BT$39&lt;=F$39)*($C$45:$BT$45))/$C$29+F47</f>
        <v>40.7905342941664</v>
      </c>
      <c r="G48" s="116" t="n">
        <f aca="false">SUMPRODUCT(($C$39:$BT$39&gt;=G$39-$C$29+1)*($C$39:$BT$39&lt;=G$39)*($C$45:$BT$45))/$C$29+G47</f>
        <v>40.7905342941664</v>
      </c>
      <c r="H48" s="116" t="n">
        <f aca="false">SUMPRODUCT(($C$39:$BT$39&gt;=H$39-$C$29+1)*($C$39:$BT$39&lt;=H$39)*($C$45:$BT$45))/$C$29+H47</f>
        <v>29.3500867386704</v>
      </c>
      <c r="I48" s="116" t="n">
        <f aca="false">SUMPRODUCT(($C$39:$BT$39&gt;=I$39-$C$29+1)*($C$39:$BT$39&lt;=I$39)*($C$45:$BT$45))/$C$29+I47</f>
        <v>22.3568495662704</v>
      </c>
      <c r="J48" s="116" t="n">
        <f aca="false">SUMPRODUCT(($C$39:$BT$39&gt;=J$39-$C$29+1)*($C$39:$BT$39&lt;=J$39)*($C$45:$BT$45))/$C$29+J47</f>
        <v>16.4096946862704</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9.1280816</v>
      </c>
      <c r="G49" s="116" t="n">
        <f aca="false">SUMPRODUCT(($C$39:$BT$39&gt;=G$39-$C$29+1)*($C$39:$BT$39&lt;=G$39)*($C$46:$BT$46))/$C$29</f>
        <v>9.1280816</v>
      </c>
      <c r="H49" s="116" t="n">
        <f aca="false">SUMPRODUCT(($C$39:$BT$39&gt;=H$39-$C$29+1)*($C$39:$BT$39&lt;=H$39)*($C$46:$BT$46))/$C$29</f>
        <v>9.1280816</v>
      </c>
      <c r="I49" s="116" t="n">
        <f aca="false">SUMPRODUCT(($C$39:$BT$39&gt;=I$39-$C$29+1)*($C$39:$BT$39&lt;=I$39)*($C$46:$BT$46))/$C$29</f>
        <v>9.1280816</v>
      </c>
      <c r="J49" s="116" t="n">
        <f aca="false">SUMPRODUCT(($C$39:$BT$39&gt;=J$39-$C$29+1)*($C$39:$BT$39&lt;=J$39)*($C$46:$BT$46))/$C$29</f>
        <v>9.1280816</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3.230422220638</v>
      </c>
      <c r="AC50" s="116" t="n">
        <f aca="false">IF($C$6="Sí",23_v67_Intermedio!AC24,22_v67_Prudente!AC24)-AC194+AC345</f>
        <v>3.130322136886</v>
      </c>
      <c r="AD50" s="116" t="n">
        <f aca="false">IF($C$6="Sí",23_v67_Intermedio!AD24,22_v67_Prudente!AD24)-AD194+AD345</f>
        <v>3.030222053134</v>
      </c>
      <c r="AE50" s="116" t="n">
        <f aca="false">IF($C$6="Sí",23_v67_Intermedio!AE24,22_v67_Prudente!AE24)-AE194+AE345</f>
        <v>2.930121969382</v>
      </c>
      <c r="AF50" s="116" t="n">
        <f aca="false">IF($C$6="Sí",23_v67_Intermedio!AF24,22_v67_Prudente!AF24)-AF194+AF345</f>
        <v>2.83002188563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10.9916285</v>
      </c>
      <c r="E54" s="116" t="n">
        <f aca="false">01_Supuestos!$I$132*(1+01_Supuestos!$I$133)^(E$39-1)*(1+$C$14)^(E$39-1)</f>
        <v>11.2912053347675</v>
      </c>
      <c r="F54" s="116" t="n">
        <f aca="false">01_Supuestos!$I$132*(1+01_Supuestos!$I$133)^(F$39-1)*(1+$C$14)^(F$39-1)</f>
        <v>11.5989471361666</v>
      </c>
      <c r="G54" s="116" t="n">
        <f aca="false">01_Supuestos!$I$132*(1+01_Supuestos!$I$133)^(G$39-1)*(1+$C$14)^(G$39-1)</f>
        <v>11.9150764403628</v>
      </c>
      <c r="H54" s="116" t="n">
        <f aca="false">01_Supuestos!$I$132*(1+01_Supuestos!$I$133)^(H$39-1)*(1+$C$14)^(H$39-1)</f>
        <v>12.2398218487449</v>
      </c>
      <c r="I54" s="116" t="n">
        <f aca="false">01_Supuestos!$I$132*(1+01_Supuestos!$I$133)^(I$39-1)*(1+$C$14)^(I$39-1)</f>
        <v>12.5734181932324</v>
      </c>
      <c r="J54" s="116" t="n">
        <f aca="false">01_Supuestos!$I$132*(1+01_Supuestos!$I$133)^(J$39-1)*(1+$C$14)^(J$39-1)</f>
        <v>12.916106706089</v>
      </c>
      <c r="K54" s="116" t="n">
        <f aca="false">01_Supuestos!$I$132*(1+01_Supuestos!$I$133)^(K$39-1)*(1+$C$14)^(K$39-1)</f>
        <v>13.2681351943634</v>
      </c>
      <c r="L54" s="116" t="n">
        <f aca="false">01_Supuestos!$I$132*(1+01_Supuestos!$I$133)^(L$39-1)*(1+$C$14)^(L$39-1)</f>
        <v>13.6297582190858</v>
      </c>
      <c r="M54" s="116" t="n">
        <f aca="false">01_Supuestos!$I$132*(1+01_Supuestos!$I$133)^(M$39-1)*(1+$C$14)^(M$39-1)</f>
        <v>14.001237279347</v>
      </c>
      <c r="N54" s="116" t="n">
        <f aca="false">01_Supuestos!$I$132*(1+01_Supuestos!$I$133)^(N$39-1)*(1+$C$14)^(N$39-1)</f>
        <v>14.3828410013956</v>
      </c>
      <c r="O54" s="116" t="n">
        <f aca="false">01_Supuestos!$I$132*(1+01_Supuestos!$I$133)^(O$39-1)*(1+$C$14)^(O$39-1)</f>
        <v>14.7748453328886</v>
      </c>
      <c r="P54" s="116" t="n">
        <f aca="false">01_Supuestos!$I$132*(1+01_Supuestos!$I$133)^(P$39-1)*(1+$C$14)^(P$39-1)</f>
        <v>15.1775337424365</v>
      </c>
      <c r="Q54" s="116" t="n">
        <f aca="false">01_Supuestos!$I$132*(1+01_Supuestos!$I$133)^(Q$39-1)*(1+$C$14)^(Q$39-1)</f>
        <v>15.5911974245866</v>
      </c>
      <c r="R54" s="116" t="n">
        <f aca="false">01_Supuestos!$I$132*(1+01_Supuestos!$I$133)^(R$39-1)*(1+$C$14)^(R$39-1)</f>
        <v>16.0161355103937</v>
      </c>
      <c r="S54" s="116" t="n">
        <f aca="false">01_Supuestos!$I$132*(1+01_Supuestos!$I$133)^(S$39-1)*(1+$C$14)^(S$39-1)</f>
        <v>16.4526552837295</v>
      </c>
      <c r="T54" s="116" t="n">
        <f aca="false">01_Supuestos!$I$132*(1+01_Supuestos!$I$133)^(T$39-1)*(1+$C$14)^(T$39-1)</f>
        <v>16.9010724034875</v>
      </c>
      <c r="U54" s="116" t="n">
        <f aca="false">01_Supuestos!$I$132*(1+01_Supuestos!$I$133)^(U$39-1)*(1+$C$14)^(U$39-1)</f>
        <v>17.3617111318446</v>
      </c>
      <c r="V54" s="116" t="n">
        <f aca="false">01_Supuestos!$I$132*(1+01_Supuestos!$I$133)^(V$39-1)*(1+$C$14)^(V$39-1)</f>
        <v>17.834904568743</v>
      </c>
      <c r="W54" s="116" t="n">
        <f aca="false">01_Supuestos!$I$132*(1+01_Supuestos!$I$133)^(W$39-1)*(1+$C$14)^(W$39-1)</f>
        <v>18.3209948927641</v>
      </c>
      <c r="X54" s="116" t="n">
        <f aca="false">01_Supuestos!$I$132*(1+01_Supuestos!$I$133)^(X$39-1)*(1+$C$14)^(X$39-1)</f>
        <v>18.8203336085664</v>
      </c>
      <c r="Y54" s="116" t="n">
        <f aca="false">01_Supuestos!$I$132*(1+01_Supuestos!$I$133)^(Y$39-1)*(1+$C$14)^(Y$39-1)</f>
        <v>19.3332818010679</v>
      </c>
      <c r="Z54" s="116" t="n">
        <f aca="false">01_Supuestos!$I$132*(1+01_Supuestos!$I$133)^(Z$39-1)*(1+$C$14)^(Z$39-1)</f>
        <v>19.860210396556</v>
      </c>
      <c r="AA54" s="116" t="n">
        <f aca="false">01_Supuestos!$I$132*(1+01_Supuestos!$I$133)^(AA$39-1)*(1+$C$14)^(AA$39-1)</f>
        <v>20.4015004309141</v>
      </c>
      <c r="AB54" s="116" t="n">
        <f aca="false">01_Supuestos!$I$132*(1+01_Supuestos!$I$133)^(AB$39-1)*(1+$C$14)^(AB$39-1)</f>
        <v>20.9575433251587</v>
      </c>
      <c r="AC54" s="116" t="n">
        <f aca="false">01_Supuestos!$I$132*(1+01_Supuestos!$I$133)^(AC$39-1)*(1+$C$14)^(AC$39-1)</f>
        <v>21.5287411684858</v>
      </c>
      <c r="AD54" s="116" t="n">
        <f aca="false">01_Supuestos!$I$132*(1+01_Supuestos!$I$133)^(AD$39-1)*(1+$C$14)^(AD$39-1)</f>
        <v>22.1155070090329</v>
      </c>
      <c r="AE54" s="116" t="n">
        <f aca="false">01_Supuestos!$I$132*(1+01_Supuestos!$I$133)^(AE$39-1)*(1+$C$14)^(AE$39-1)</f>
        <v>22.7182651525641</v>
      </c>
      <c r="AF54" s="116" t="n">
        <f aca="false">01_Supuestos!$I$132*(1+01_Supuestos!$I$133)^(AF$39-1)*(1+$C$14)^(AF$39-1)</f>
        <v>23.3374514692973</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1.09916285</v>
      </c>
      <c r="E56" s="116" t="n">
        <f aca="false">IF($C$11="Libro",E55*E54,IF(E$39&lt;=20,01_Supuestos!$I$26+(01_Supuestos!$I$27-01_Supuestos!$I$26)*(E$39-1)/19,01_Supuestos!$I$27*IF($C$6="Sí",(1+01_Supuestos!$I$9)^(E$39-20),1))*E55/0.1)</f>
        <v>1.12912053347675</v>
      </c>
      <c r="F56" s="116" t="n">
        <f aca="false">IF($C$11="Libro",F55*F54,IF(F$39&lt;=20,01_Supuestos!$I$26+(01_Supuestos!$I$27-01_Supuestos!$I$26)*(F$39-1)/19,01_Supuestos!$I$27*IF($C$6="Sí",(1+01_Supuestos!$I$9)^(F$39-20),1))*F55/0.1)</f>
        <v>1.15989471361666</v>
      </c>
      <c r="G56" s="116" t="n">
        <f aca="false">IF($C$11="Libro",G55*G54,IF(G$39&lt;=20,01_Supuestos!$I$26+(01_Supuestos!$I$27-01_Supuestos!$I$26)*(G$39-1)/19,01_Supuestos!$I$27*IF($C$6="Sí",(1+01_Supuestos!$I$9)^(G$39-20),1))*G55/0.1)</f>
        <v>1.19150764403628</v>
      </c>
      <c r="H56" s="116" t="n">
        <f aca="false">IF($C$11="Libro",H55*H54,IF(H$39&lt;=20,01_Supuestos!$I$26+(01_Supuestos!$I$27-01_Supuestos!$I$26)*(H$39-1)/19,01_Supuestos!$I$27*IF($C$6="Sí",(1+01_Supuestos!$I$9)^(H$39-20),1))*H55/0.1)</f>
        <v>1.22398218487449</v>
      </c>
      <c r="I56" s="116" t="n">
        <f aca="false">IF($C$11="Libro",I55*I54,IF(I$39&lt;=20,01_Supuestos!$I$26+(01_Supuestos!$I$27-01_Supuestos!$I$26)*(I$39-1)/19,01_Supuestos!$I$27*IF($C$6="Sí",(1+01_Supuestos!$I$9)^(I$39-20),1))*I55/0.1)</f>
        <v>1.25734181932324</v>
      </c>
      <c r="J56" s="116" t="n">
        <f aca="false">IF($C$11="Libro",J55*J54,IF(J$39&lt;=20,01_Supuestos!$I$26+(01_Supuestos!$I$27-01_Supuestos!$I$26)*(J$39-1)/19,01_Supuestos!$I$27*IF($C$6="Sí",(1+01_Supuestos!$I$9)^(J$39-20),1))*J55/0.1)</f>
        <v>1.2916106706089</v>
      </c>
      <c r="K56" s="116" t="n">
        <f aca="false">IF($C$11="Libro",K55*K54,IF(K$39&lt;=20,01_Supuestos!$I$26+(01_Supuestos!$I$27-01_Supuestos!$I$26)*(K$39-1)/19,01_Supuestos!$I$27*IF($C$6="Sí",(1+01_Supuestos!$I$9)^(K$39-20),1))*K55/0.1)</f>
        <v>1.32681351943634</v>
      </c>
      <c r="L56" s="116" t="n">
        <f aca="false">IF($C$11="Libro",L55*L54,IF(L$39&lt;=20,01_Supuestos!$I$26+(01_Supuestos!$I$27-01_Supuestos!$I$26)*(L$39-1)/19,01_Supuestos!$I$27*IF($C$6="Sí",(1+01_Supuestos!$I$9)^(L$39-20),1))*L55/0.1)</f>
        <v>1.36297582190858</v>
      </c>
      <c r="M56" s="116" t="n">
        <f aca="false">IF($C$11="Libro",M55*M54,IF(M$39&lt;=20,01_Supuestos!$I$26+(01_Supuestos!$I$27-01_Supuestos!$I$26)*(M$39-1)/19,01_Supuestos!$I$27*IF($C$6="Sí",(1+01_Supuestos!$I$9)^(M$39-20),1))*M55/0.1)</f>
        <v>1.4001237279347</v>
      </c>
      <c r="N56" s="116" t="n">
        <f aca="false">IF($C$11="Libro",N55*N54,IF(N$39&lt;=20,01_Supuestos!$I$26+(01_Supuestos!$I$27-01_Supuestos!$I$26)*(N$39-1)/19,01_Supuestos!$I$27*IF($C$6="Sí",(1+01_Supuestos!$I$9)^(N$39-20),1))*N55/0.1)</f>
        <v>1.43828410013956</v>
      </c>
      <c r="O56" s="116" t="n">
        <f aca="false">IF($C$11="Libro",O55*O54,IF(O$39&lt;=20,01_Supuestos!$I$26+(01_Supuestos!$I$27-01_Supuestos!$I$26)*(O$39-1)/19,01_Supuestos!$I$27*IF($C$6="Sí",(1+01_Supuestos!$I$9)^(O$39-20),1))*O55/0.1)</f>
        <v>1.47748453328886</v>
      </c>
      <c r="P56" s="116" t="n">
        <f aca="false">IF($C$11="Libro",P55*P54,IF(P$39&lt;=20,01_Supuestos!$I$26+(01_Supuestos!$I$27-01_Supuestos!$I$26)*(P$39-1)/19,01_Supuestos!$I$27*IF($C$6="Sí",(1+01_Supuestos!$I$9)^(P$39-20),1))*P55/0.1)</f>
        <v>1.51775337424365</v>
      </c>
      <c r="Q56" s="116" t="n">
        <f aca="false">IF($C$11="Libro",Q55*Q54,IF(Q$39&lt;=20,01_Supuestos!$I$26+(01_Supuestos!$I$27-01_Supuestos!$I$26)*(Q$39-1)/19,01_Supuestos!$I$27*IF($C$6="Sí",(1+01_Supuestos!$I$9)^(Q$39-20),1))*Q55/0.1)</f>
        <v>1.55911974245866</v>
      </c>
      <c r="R56" s="116" t="n">
        <f aca="false">IF($C$11="Libro",R55*R54,IF(R$39&lt;=20,01_Supuestos!$I$26+(01_Supuestos!$I$27-01_Supuestos!$I$26)*(R$39-1)/19,01_Supuestos!$I$27*IF($C$6="Sí",(1+01_Supuestos!$I$9)^(R$39-20),1))*R55/0.1)</f>
        <v>1.60161355103937</v>
      </c>
      <c r="S56" s="116" t="n">
        <f aca="false">IF($C$11="Libro",S55*S54,IF(S$39&lt;=20,01_Supuestos!$I$26+(01_Supuestos!$I$27-01_Supuestos!$I$26)*(S$39-1)/19,01_Supuestos!$I$27*IF($C$6="Sí",(1+01_Supuestos!$I$9)^(S$39-20),1))*S55/0.1)</f>
        <v>1.64526552837295</v>
      </c>
      <c r="T56" s="116" t="n">
        <f aca="false">IF($C$11="Libro",T55*T54,IF(T$39&lt;=20,01_Supuestos!$I$26+(01_Supuestos!$I$27-01_Supuestos!$I$26)*(T$39-1)/19,01_Supuestos!$I$27*IF($C$6="Sí",(1+01_Supuestos!$I$9)^(T$39-20),1))*T55/0.1)</f>
        <v>1.69010724034875</v>
      </c>
      <c r="U56" s="116" t="n">
        <f aca="false">IF($C$11="Libro",U55*U54,IF(U$39&lt;=20,01_Supuestos!$I$26+(01_Supuestos!$I$27-01_Supuestos!$I$26)*(U$39-1)/19,01_Supuestos!$I$27*IF($C$6="Sí",(1+01_Supuestos!$I$9)^(U$39-20),1))*U55/0.1)</f>
        <v>1.73617111318446</v>
      </c>
      <c r="V56" s="116" t="n">
        <f aca="false">IF($C$11="Libro",V55*V54,IF(V$39&lt;=20,01_Supuestos!$I$26+(01_Supuestos!$I$27-01_Supuestos!$I$26)*(V$39-1)/19,01_Supuestos!$I$27*IF($C$6="Sí",(1+01_Supuestos!$I$9)^(V$39-20),1))*V55/0.1)</f>
        <v>1.7834904568743</v>
      </c>
      <c r="W56" s="116" t="n">
        <f aca="false">IF($C$11="Libro",W55*W54,IF(W$39&lt;=20,01_Supuestos!$I$26+(01_Supuestos!$I$27-01_Supuestos!$I$26)*(W$39-1)/19,01_Supuestos!$I$27*IF($C$6="Sí",(1+01_Supuestos!$I$9)^(W$39-20),1))*W55/0.1)</f>
        <v>1.83209948927641</v>
      </c>
      <c r="X56" s="116" t="n">
        <f aca="false">IF($C$11="Libro",X55*X54,IF(X$39&lt;=20,01_Supuestos!$I$26+(01_Supuestos!$I$27-01_Supuestos!$I$26)*(X$39-1)/19,01_Supuestos!$I$27*IF($C$6="Sí",(1+01_Supuestos!$I$9)^(X$39-20),1))*X55/0.1)</f>
        <v>1.88203336085664</v>
      </c>
      <c r="Y56" s="116" t="n">
        <f aca="false">IF($C$11="Libro",Y55*Y54,IF(Y$39&lt;=20,01_Supuestos!$I$26+(01_Supuestos!$I$27-01_Supuestos!$I$26)*(Y$39-1)/19,01_Supuestos!$I$27*IF($C$6="Sí",(1+01_Supuestos!$I$9)^(Y$39-20),1))*Y55/0.1)</f>
        <v>1.93332818010679</v>
      </c>
      <c r="Z56" s="116" t="n">
        <f aca="false">IF($C$11="Libro",Z55*Z54,IF(Z$39&lt;=20,01_Supuestos!$I$26+(01_Supuestos!$I$27-01_Supuestos!$I$26)*(Z$39-1)/19,01_Supuestos!$I$27*IF($C$6="Sí",(1+01_Supuestos!$I$9)^(Z$39-20),1))*Z55/0.1)</f>
        <v>1.9860210396556</v>
      </c>
      <c r="AA56" s="116" t="n">
        <f aca="false">IF($C$11="Libro",AA55*AA54,IF(AA$39&lt;=20,01_Supuestos!$I$26+(01_Supuestos!$I$27-01_Supuestos!$I$26)*(AA$39-1)/19,01_Supuestos!$I$27*IF($C$6="Sí",(1+01_Supuestos!$I$9)^(AA$39-20),1))*AA55/0.1)</f>
        <v>2.04015004309141</v>
      </c>
      <c r="AB56" s="116" t="n">
        <f aca="false">IF($C$11="Libro",AB55*AB54,IF(AB$39&lt;=20,01_Supuestos!$I$26+(01_Supuestos!$I$27-01_Supuestos!$I$26)*(AB$39-1)/19,01_Supuestos!$I$27*IF($C$6="Sí",(1+01_Supuestos!$I$9)^(AB$39-20),1))*AB55/0.1)</f>
        <v>2.09575433251587</v>
      </c>
      <c r="AC56" s="116" t="n">
        <f aca="false">IF($C$11="Libro",AC55*AC54,IF(AC$39&lt;=20,01_Supuestos!$I$26+(01_Supuestos!$I$27-01_Supuestos!$I$26)*(AC$39-1)/19,01_Supuestos!$I$27*IF($C$6="Sí",(1+01_Supuestos!$I$9)^(AC$39-20),1))*AC55/0.1)</f>
        <v>2.15287411684858</v>
      </c>
      <c r="AD56" s="116" t="n">
        <f aca="false">IF($C$11="Libro",AD55*AD54,IF(AD$39&lt;=20,01_Supuestos!$I$26+(01_Supuestos!$I$27-01_Supuestos!$I$26)*(AD$39-1)/19,01_Supuestos!$I$27*IF($C$6="Sí",(1+01_Supuestos!$I$9)^(AD$39-20),1))*AD55/0.1)</f>
        <v>2.21155070090329</v>
      </c>
      <c r="AE56" s="116" t="n">
        <f aca="false">IF($C$11="Libro",AE55*AE54,IF(AE$39&lt;=20,01_Supuestos!$I$26+(01_Supuestos!$I$27-01_Supuestos!$I$26)*(AE$39-1)/19,01_Supuestos!$I$27*IF($C$6="Sí",(1+01_Supuestos!$I$9)^(AE$39-20),1))*AE55/0.1)</f>
        <v>2.27182651525641</v>
      </c>
      <c r="AF56" s="116" t="n">
        <f aca="false">IF($C$11="Libro",AF55*AF54,IF(AF$39&lt;=20,01_Supuestos!$I$26+(01_Supuestos!$I$27-01_Supuestos!$I$26)*(AF$39-1)/19,01_Supuestos!$I$27*IF($C$6="Sí",(1+01_Supuestos!$I$9)^(AF$39-20),1))*AF55/0.1)</f>
        <v>2.33374514692973</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11.440447555496</v>
      </c>
      <c r="D64" s="116" t="n">
        <f aca="false">D48+D50-D57</f>
        <v>18.433684727896</v>
      </c>
      <c r="E64" s="116" t="n">
        <f aca="false">E48+E50-E57</f>
        <v>24.380839607896</v>
      </c>
      <c r="F64" s="116" t="n">
        <f aca="false">F48+F50-F57</f>
        <v>40.7905342941664</v>
      </c>
      <c r="G64" s="116" t="n">
        <f aca="false">G48+G50-G57</f>
        <v>40.7905342941664</v>
      </c>
      <c r="H64" s="116" t="n">
        <f aca="false">H48+H50-H57</f>
        <v>29.3500867386704</v>
      </c>
      <c r="I64" s="116" t="n">
        <f aca="false">I48+I50-I57</f>
        <v>22.3568495662704</v>
      </c>
      <c r="J64" s="116" t="n">
        <f aca="false">J48+J50-J57</f>
        <v>16.4096946862704</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3.230422220638</v>
      </c>
      <c r="AC64" s="116" t="n">
        <f aca="false">AC48+AC50-AC57</f>
        <v>3.130322136886</v>
      </c>
      <c r="AD64" s="116" t="n">
        <f aca="false">AD48+AD50-AD57</f>
        <v>3.030222053134</v>
      </c>
      <c r="AE64" s="116" t="n">
        <f aca="false">AE48+AE50-AE57</f>
        <v>2.930121969382</v>
      </c>
      <c r="AF64" s="116" t="n">
        <f aca="false">AF48+AF50-AF57</f>
        <v>2.83002188563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0.091908323251863</v>
      </c>
      <c r="H65" s="116" t="n">
        <f aca="false">MIN(H58,H64)</f>
        <v>0.0951526870626538</v>
      </c>
      <c r="I65" s="116" t="n">
        <f aca="false">MIN(I58,I64)</f>
        <v>0.0985115769159654</v>
      </c>
      <c r="J65" s="116" t="n">
        <f aca="false">MIN(J58,J64)</f>
        <v>0.101989035581099</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11.360447555496</v>
      </c>
      <c r="D66" s="116" t="n">
        <f aca="false">D64-D65</f>
        <v>18.350860727896</v>
      </c>
      <c r="E66" s="116" t="n">
        <f aca="false">E64-E65</f>
        <v>24.295091920696</v>
      </c>
      <c r="F66" s="116" t="n">
        <f aca="false">F64-F65</f>
        <v>40.7017597136082</v>
      </c>
      <c r="G66" s="116" t="n">
        <f aca="false">G64-G65</f>
        <v>40.6986259709145</v>
      </c>
      <c r="H66" s="116" t="n">
        <f aca="false">H64-H65</f>
        <v>29.2549340516077</v>
      </c>
      <c r="I66" s="116" t="n">
        <f aca="false">I64-I65</f>
        <v>22.2583379893544</v>
      </c>
      <c r="J66" s="116" t="n">
        <f aca="false">J64-J65</f>
        <v>16.3077056506893</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3.03998784899078</v>
      </c>
      <c r="AC66" s="116" t="n">
        <f aca="false">AC64-AC65</f>
        <v>2.93316543191963</v>
      </c>
      <c r="AD66" s="116" t="n">
        <f aca="false">AD64-AD65</f>
        <v>2.82610571648232</v>
      </c>
      <c r="AE66" s="116" t="n">
        <f aca="false">AE64-AE65</f>
        <v>2.71880032604652</v>
      </c>
      <c r="AF66" s="116" t="n">
        <f aca="false">AF64-AF65</f>
        <v>2.61124058828477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11.360447555496</v>
      </c>
      <c r="D67" s="116" t="n">
        <f aca="false">C67+D66-D63</f>
        <v>29.711308283392</v>
      </c>
      <c r="E67" s="116" t="n">
        <f aca="false">D67+E66-E63</f>
        <v>54.006400204088</v>
      </c>
      <c r="F67" s="116" t="n">
        <f aca="false">E67+F66-F63</f>
        <v>94.7081599176962</v>
      </c>
      <c r="G67" s="116" t="n">
        <f aca="false">F67+G66-G63</f>
        <v>134.022471588611</v>
      </c>
      <c r="H67" s="116" t="n">
        <f aca="false">G67+H66-H63</f>
        <v>161.905582755219</v>
      </c>
      <c r="I67" s="116" t="n">
        <f aca="false">H67+I66-I63</f>
        <v>182.803964703823</v>
      </c>
      <c r="J67" s="116" t="n">
        <f aca="false">I67+J66-J63</f>
        <v>197.7629878158</v>
      </c>
      <c r="K67" s="116" t="n">
        <f aca="false">J67+K66-K63</f>
        <v>196.425015104023</v>
      </c>
      <c r="L67" s="116" t="n">
        <f aca="false">K67+L66-L63</f>
        <v>195.097216727835</v>
      </c>
      <c r="M67" s="116" t="n">
        <f aca="false">L67+M66-M63</f>
        <v>197.997431689176</v>
      </c>
      <c r="N67" s="116" t="n">
        <f aca="false">M67+N66-N63</f>
        <v>200.902833895947</v>
      </c>
      <c r="O67" s="116" t="n">
        <f aca="false">N67+O66-O63</f>
        <v>203.812823204492</v>
      </c>
      <c r="P67" s="116" t="n">
        <f aca="false">O67+P66-P63</f>
        <v>206.726817448754</v>
      </c>
      <c r="Q67" s="116" t="n">
        <f aca="false">P67+Q66-Q63</f>
        <v>209.644251116752</v>
      </c>
      <c r="R67" s="116" t="n">
        <f aca="false">Q67+R66-R63</f>
        <v>212.464473994491</v>
      </c>
      <c r="S67" s="116" t="n">
        <f aca="false">R67+S66-S63</f>
        <v>215.186950109226</v>
      </c>
      <c r="T67" s="116" t="n">
        <f aca="false">S67+T66-T63</f>
        <v>217.811156466612</v>
      </c>
      <c r="U67" s="116" t="n">
        <f aca="false">T67+U66-U63</f>
        <v>220.336581913935</v>
      </c>
      <c r="V67" s="116" t="n">
        <f aca="false">U67+V66-V63</f>
        <v>222.762726042949</v>
      </c>
      <c r="W67" s="116" t="n">
        <f aca="false">V67+W66-W63</f>
        <v>225.089098129754</v>
      </c>
      <c r="X67" s="116" t="n">
        <f aca="false">W67+X66-X63</f>
        <v>227.315216109209</v>
      </c>
      <c r="Y67" s="116" t="n">
        <f aca="false">X67+Y66-Y63</f>
        <v>229.440605581527</v>
      </c>
      <c r="Z67" s="116" t="n">
        <f aca="false">Y67+Z66-Z63</f>
        <v>231.464798848744</v>
      </c>
      <c r="AA67" s="116" t="n">
        <f aca="false">Z67+AA66-AA63</f>
        <v>233.38733397889</v>
      </c>
      <c r="AB67" s="116" t="n">
        <f aca="false">AA67+AB66-AB63</f>
        <v>235.20775389574</v>
      </c>
      <c r="AC67" s="116" t="n">
        <f aca="false">AB67+AC66-AC63</f>
        <v>236.925605492126</v>
      </c>
      <c r="AD67" s="116" t="n">
        <f aca="false">AC67+AD66-AD63</f>
        <v>238.540438764851</v>
      </c>
      <c r="AE67" s="116" t="n">
        <f aca="false">AD67+AE66-AE63</f>
        <v>240.051805969328</v>
      </c>
      <c r="AF67" s="116" t="n">
        <f aca="false">AE67+AF66-AF63</f>
        <v>241.459260792122</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3.86255216886864</v>
      </c>
      <c r="D68" s="116" t="n">
        <f aca="false">C68+(01_Supuestos!$I$125-1)*D66</f>
        <v>10.1018448163533</v>
      </c>
      <c r="E68" s="116" t="n">
        <f aca="false">D68+(01_Supuestos!$I$125-1)*E66</f>
        <v>18.3621760693899</v>
      </c>
      <c r="F68" s="116" t="n">
        <f aca="false">E68+(01_Supuestos!$I$125-1)*F66</f>
        <v>32.2007743720167</v>
      </c>
      <c r="G68" s="116" t="n">
        <f aca="false">F68+(01_Supuestos!$I$125-1)*G66</f>
        <v>46.0383072021277</v>
      </c>
      <c r="H68" s="116" t="n">
        <f aca="false">G68+(01_Supuestos!$I$125-1)*H66</f>
        <v>55.9849847796743</v>
      </c>
      <c r="I68" s="116" t="n">
        <f aca="false">H68+(01_Supuestos!$I$125-1)*I66</f>
        <v>63.5528196960548</v>
      </c>
      <c r="J68" s="116" t="n">
        <f aca="false">I68+(01_Supuestos!$I$125-1)*J66</f>
        <v>69.0974396172892</v>
      </c>
      <c r="K68" s="116" t="n">
        <f aca="false">J68+(01_Supuestos!$I$125-1)*K66</f>
        <v>69.0974396172892</v>
      </c>
      <c r="L68" s="116" t="n">
        <f aca="false">K68+(01_Supuestos!$I$125-1)*L66</f>
        <v>69.0974396172892</v>
      </c>
      <c r="M68" s="116" t="n">
        <f aca="false">L68+(01_Supuestos!$I$125-1)*M66</f>
        <v>70.5316778416538</v>
      </c>
      <c r="N68" s="116" t="n">
        <f aca="false">M68+(01_Supuestos!$I$125-1)*N66</f>
        <v>71.9645577345893</v>
      </c>
      <c r="O68" s="116" t="n">
        <f aca="false">N68+(01_Supuestos!$I$125-1)*O66</f>
        <v>73.3960313469962</v>
      </c>
      <c r="P68" s="116" t="n">
        <f aca="false">O68+(01_Supuestos!$I$125-1)*P66</f>
        <v>74.8260490371719</v>
      </c>
      <c r="Q68" s="116" t="n">
        <f aca="false">P68+(01_Supuestos!$I$125-1)*Q66</f>
        <v>76.2545594110615</v>
      </c>
      <c r="R68" s="116" t="n">
        <f aca="false">Q68+(01_Supuestos!$I$125-1)*R66</f>
        <v>77.6474752319246</v>
      </c>
      <c r="S68" s="116" t="n">
        <f aca="false">R68+(01_Supuestos!$I$125-1)*S66</f>
        <v>79.0047414132445</v>
      </c>
      <c r="T68" s="116" t="n">
        <f aca="false">S68+(01_Supuestos!$I$125-1)*T66</f>
        <v>80.3263009239504</v>
      </c>
      <c r="U68" s="116" t="n">
        <f aca="false">T68+(01_Supuestos!$I$125-1)*U66</f>
        <v>81.612094719775</v>
      </c>
      <c r="V68" s="116" t="n">
        <f aca="false">U68+(01_Supuestos!$I$125-1)*V66</f>
        <v>82.862061672188</v>
      </c>
      <c r="W68" s="116" t="n">
        <f aca="false">V68+(01_Supuestos!$I$125-1)*W66</f>
        <v>84.0761384948223</v>
      </c>
      <c r="X68" s="116" t="n">
        <f aca="false">W68+(01_Supuestos!$I$125-1)*X66</f>
        <v>85.2542596673019</v>
      </c>
      <c r="Y68" s="116" t="n">
        <f aca="false">X68+(01_Supuestos!$I$125-1)*Y66</f>
        <v>86.3963573563814</v>
      </c>
      <c r="Z68" s="116" t="n">
        <f aca="false">Y68+(01_Supuestos!$I$125-1)*Z66</f>
        <v>87.5023613343021</v>
      </c>
      <c r="AA68" s="116" t="n">
        <f aca="false">Z68+(01_Supuestos!$I$125-1)*AA66</f>
        <v>88.5721988942652</v>
      </c>
      <c r="AB68" s="116" t="n">
        <f aca="false">AA68+(01_Supuestos!$I$125-1)*AB66</f>
        <v>89.6057947629221</v>
      </c>
      <c r="AC68" s="116" t="n">
        <f aca="false">AB68+(01_Supuestos!$I$125-1)*AC66</f>
        <v>90.6030710097748</v>
      </c>
      <c r="AD68" s="116" t="n">
        <f aca="false">AC68+(01_Supuestos!$I$125-1)*AD66</f>
        <v>91.5639469533788</v>
      </c>
      <c r="AE68" s="116" t="n">
        <f aca="false">AD68+(01_Supuestos!$I$125-1)*AE66</f>
        <v>92.4883390642346</v>
      </c>
      <c r="AF68" s="116" t="n">
        <f aca="false">AE68+(01_Supuestos!$I$125-1)*AF66</f>
        <v>93.3761608642514</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11.440447555496</v>
      </c>
      <c r="D69" s="116" t="n">
        <f aca="false">C69+D48+D49+D50+D51-D63+D245</f>
        <v>29.874132283392</v>
      </c>
      <c r="E69" s="116" t="n">
        <f aca="false">D69+E48+E49+E50+E51-E63+E245</f>
        <v>54.254971891288</v>
      </c>
      <c r="F69" s="116" t="n">
        <f aca="false">E69+F48+F49+F50+F51-F63+F245</f>
        <v>111.187509327364</v>
      </c>
      <c r="G69" s="116" t="n">
        <f aca="false">F69+G48+G49+G50+G51-G63+G245</f>
        <v>166.735732463441</v>
      </c>
      <c r="H69" s="116" t="n">
        <f aca="false">G69+H48+H49+H50+H51-H63+H245</f>
        <v>210.855999459021</v>
      </c>
      <c r="I69" s="116" t="n">
        <f aca="false">H69+I48+I49+I50+I51-I63+I245</f>
        <v>247.994896126452</v>
      </c>
      <c r="J69" s="116" t="n">
        <f aca="false">I69+J48+J49+J50+J51-J63+J245</f>
        <v>279.197911415919</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319.126273175617</v>
      </c>
      <c r="R69" s="116" t="n">
        <f aca="false">Q69+R48+R49+R50+R51-R63+R245</f>
        <v>324.763506273682</v>
      </c>
      <c r="S69" s="116" t="n">
        <f aca="false">R69+S48+S49+S50+S51-S63+S245</f>
        <v>330.307744406</v>
      </c>
      <c r="T69" s="116" t="n">
        <f aca="false">S69+T48+T49+T50+T51-T63+T245</f>
        <v>335.758632316669</v>
      </c>
      <c r="U69" s="116" t="n">
        <f aca="false">T69+U48+U49+U50+U51-U63+U245</f>
        <v>341.115832512586</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380.565374819157</v>
      </c>
      <c r="AD69" s="116" t="n">
        <f aca="false">AC69+AD48+AD49+AD50+AD51-AD63+AD245</f>
        <v>385.066722828534</v>
      </c>
      <c r="AE69" s="116" t="n">
        <f aca="false">AD69+AE48+AE49+AE50+AE51-AE63+AE245</f>
        <v>389.471810076347</v>
      </c>
      <c r="AF69" s="116" t="n">
        <f aca="false">AE69+AF48+AF49+AF50+AF51-AF63+AF245</f>
        <v>393.780444596486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16.4793494096682</v>
      </c>
      <c r="G70" s="116" t="n">
        <f aca="false">F70+G49+G51+G57+G65+G245</f>
        <v>32.71326087483</v>
      </c>
      <c r="H70" s="116" t="n">
        <f aca="false">G70+H49+H51+H57+H65+H245</f>
        <v>48.9504167038027</v>
      </c>
      <c r="I70" s="116" t="n">
        <f aca="false">H70+I49+I51+I57+I65+I245</f>
        <v>65.1909314226286</v>
      </c>
      <c r="J70" s="116" t="n">
        <f aca="false">I70+J49+J51+J57+J65+J245</f>
        <v>81.4349236001197</v>
      </c>
      <c r="K70" s="116" t="n">
        <f aca="false">J70+K49+K51+K57+K65+K245</f>
        <v>88.4488451420297</v>
      </c>
      <c r="L70" s="116" t="n">
        <f aca="false">K70+L49+L51+L57+L65+L245</f>
        <v>95.4627666839397</v>
      </c>
      <c r="M70" s="116" t="n">
        <f aca="false">L70+M49+M51+M57+M65+M245</f>
        <v>98.2583405071303</v>
      </c>
      <c r="N70" s="116" t="n">
        <f aca="false">M70+N49+N51+N57+N65+N245</f>
        <v>101.057909422759</v>
      </c>
      <c r="O70" s="116" t="n">
        <f aca="false">N70+O49+O51+O57+O65+O245</f>
        <v>103.86161445759</v>
      </c>
      <c r="P70" s="116" t="n">
        <f aca="false">O70+P49+P51+P57+P65+P245</f>
        <v>106.669601616631</v>
      </c>
      <c r="Q70" s="116" t="n">
        <f aca="false">P70+Q49+Q51+Q57+Q65+Q245</f>
        <v>109.482022058865</v>
      </c>
      <c r="R70" s="116" t="n">
        <f aca="false">Q70+R49+R51+R57+R65+R245</f>
        <v>112.299032279191</v>
      </c>
      <c r="S70" s="116" t="n">
        <f aca="false">R70+S49+S51+S57+S65+S245</f>
        <v>115.120794296774</v>
      </c>
      <c r="T70" s="116" t="n">
        <f aca="false">S70+T49+T51+T57+T65+T245</f>
        <v>117.947475850057</v>
      </c>
      <c r="U70" s="116" t="n">
        <f aca="false">T70+U49+U51+U57+U65+U245</f>
        <v>120.779250598652</v>
      </c>
      <c r="V70" s="116" t="n">
        <f aca="false">U70+V49+V51+V57+V65+V245</f>
        <v>123.616298332351</v>
      </c>
      <c r="W70" s="116" t="n">
        <f aca="false">V70+W49+W51+W57+W65+W245</f>
        <v>126.458805187531</v>
      </c>
      <c r="X70" s="116" t="n">
        <f aca="false">W70+X49+X51+X57+X65+X245</f>
        <v>129.306963871178</v>
      </c>
      <c r="Y70" s="116" t="n">
        <f aca="false">X70+Y49+Y51+Y57+Y65+Y245</f>
        <v>132.160973892838</v>
      </c>
      <c r="Z70" s="116" t="n">
        <f aca="false">Y70+Z49+Z51+Z57+Z65+Z245</f>
        <v>135.021041804743</v>
      </c>
      <c r="AA70" s="116" t="n">
        <f aca="false">Z70+AA49+AA51+AA57+AA65+AA245</f>
        <v>137.887381450418</v>
      </c>
      <c r="AB70" s="116" t="n">
        <f aca="false">AA70+AB49+AB51+AB57+AB65+AB245</f>
        <v>140.760214222065</v>
      </c>
      <c r="AC70" s="116" t="n">
        <f aca="false">AB70+AC49+AC51+AC57+AC65+AC245</f>
        <v>143.639769327032</v>
      </c>
      <c r="AD70" s="116" t="n">
        <f aca="false">AC70+AD49+AD51+AD57+AD65+AD245</f>
        <v>146.526284063683</v>
      </c>
      <c r="AE70" s="116" t="n">
        <f aca="false">AD70+AE49+AE51+AE57+AE65+AE245</f>
        <v>149.420004107019</v>
      </c>
      <c r="AF70" s="116" t="n">
        <f aca="false">AE70+AF49+AF51+AF57+AF65+AF245</f>
        <v>152.321183804364</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11.1524547186432</v>
      </c>
      <c r="D72" s="116" t="n">
        <f aca="false">IF($C$173="Sí",(D83-D326)+D181,$C$15*C83)</f>
        <v>29.9549829366536</v>
      </c>
      <c r="E72" s="116" t="n">
        <f aca="false">IF($C$173="Sí",(E83-E326)+E181,$C$15*D83)</f>
        <v>50.1787978508259</v>
      </c>
      <c r="F72" s="116" t="n">
        <f aca="false">IF($C$173="Sí",(F83-F326)+F181,$C$15*E83)</f>
        <v>69.7877721103865</v>
      </c>
      <c r="G72" s="116" t="n">
        <f aca="false">IF($C$173="Sí",(G83-G326)+G181,$C$15*F83)</f>
        <v>89.7803974700442</v>
      </c>
      <c r="H72" s="116" t="n">
        <f aca="false">IF($C$173="Sí",(H83-H326)+H181,$C$15*G83)</f>
        <v>101.411874001743</v>
      </c>
      <c r="I72" s="116" t="n">
        <f aca="false">IF($C$173="Sí",(I83-I326)+I181,$C$15*H83)</f>
        <v>113.289368119464</v>
      </c>
      <c r="J72" s="116" t="n">
        <f aca="false">IF($C$173="Sí",(J83-J326)+J181,$C$15*I83)</f>
        <v>125.44179828428</v>
      </c>
      <c r="K72" s="116" t="n">
        <f aca="false">IF($C$173="Sí",(K83-K326)+K181,$C$15*J83)</f>
        <v>137.573984801876</v>
      </c>
      <c r="L72" s="116" t="n">
        <f aca="false">IF($C$173="Sí",(L83-L326)+L181,$C$15*K83)</f>
        <v>150.172066170966</v>
      </c>
      <c r="M72" s="116" t="n">
        <f aca="false">IF($C$173="Sí",(M83-M326)+M181,$C$15*L83)</f>
        <v>162.048509214741</v>
      </c>
      <c r="N72" s="116" t="n">
        <f aca="false">IF($C$173="Sí",(N83-N326)+N181,$C$15*M83)</f>
        <v>175.05542529705</v>
      </c>
      <c r="O72" s="116" t="n">
        <f aca="false">IF($C$173="Sí",(O83-O326)+O181,$C$15*N83)</f>
        <v>189.218374939235</v>
      </c>
      <c r="P72" s="116" t="n">
        <f aca="false">IF($C$173="Sí",(P83-P326)+P181,$C$15*O83)</f>
        <v>203.276487450001</v>
      </c>
      <c r="Q72" s="116" t="n">
        <f aca="false">IF($C$173="Sí",(Q83-Q326)+Q181,$C$15*P83)</f>
        <v>217.460390261605</v>
      </c>
      <c r="R72" s="116" t="n">
        <f aca="false">IF($C$173="Sí",(R83-R326)+R181,$C$15*Q83)</f>
        <v>226.947146772878</v>
      </c>
      <c r="S72" s="116" t="n">
        <f aca="false">IF($C$173="Sí",(S83-S326)+S181,$C$15*R83)</f>
        <v>232.656264082441</v>
      </c>
      <c r="T72" s="116" t="n">
        <f aca="false">IF($C$173="Sí",(T83-T326)+T181,$C$15*S83)</f>
        <v>238.119891228617</v>
      </c>
      <c r="U72" s="116" t="n">
        <f aca="false">IF($C$173="Sí",(U83-U326)+U181,$C$15*T83)</f>
        <v>243.589395292888</v>
      </c>
      <c r="V72" s="116" t="n">
        <f aca="false">IF($C$173="Sí",(V83-V326)+V181,$C$15*U83)</f>
        <v>249.18543622972</v>
      </c>
      <c r="W72" s="116" t="n">
        <f aca="false">IF($C$173="Sí",(W83-W326)+W181,$C$15*V83)</f>
        <v>254.908430002582</v>
      </c>
      <c r="X72" s="116" t="n">
        <f aca="false">IF($C$173="Sí",(X83-X326)+X181,$C$15*W83)</f>
        <v>260.761975154697</v>
      </c>
      <c r="Y72" s="116" t="n">
        <f aca="false">IF($C$173="Sí",(Y83-Y326)+Y181,$C$15*X83)</f>
        <v>266.749468273167</v>
      </c>
      <c r="Z72" s="116" t="n">
        <f aca="false">IF($C$173="Sí",(Z83-Z326)+Z181,$C$15*Y83)</f>
        <v>271.843614143946</v>
      </c>
      <c r="AA72" s="116" t="n">
        <f aca="false">IF($C$173="Sí",(AA83-AA326)+AA181,$C$15*Z83)</f>
        <v>276.480073040901</v>
      </c>
      <c r="AB72" s="116" t="n">
        <f aca="false">IF($C$173="Sí",(AB83-AB326)+AB181,$C$15*AA83)</f>
        <v>281.020094103049</v>
      </c>
      <c r="AC72" s="116" t="n">
        <f aca="false">IF($C$173="Sí",(AC83-AC326)+AC181,$C$15*AB83)</f>
        <v>285.506782951004</v>
      </c>
      <c r="AD72" s="116" t="n">
        <f aca="false">IF($C$173="Sí",(AD83-AD326)+AD181,$C$15*AC83)</f>
        <v>289.956910044547</v>
      </c>
      <c r="AE72" s="116" t="n">
        <f aca="false">IF($C$173="Sí",(AE83-AE326)+AE181,$C$15*AD83)</f>
        <v>294.37572111376</v>
      </c>
      <c r="AF72" s="116" t="n">
        <f aca="false">IF($C$173="Sí",(AF83-AF326)+AF181,$C$15*AE83)</f>
        <v>298.768675242499</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11.1524547186432</v>
      </c>
      <c r="D73" s="116" t="n">
        <f aca="false">D72-C72</f>
        <v>18.8025282180104</v>
      </c>
      <c r="E73" s="116" t="n">
        <f aca="false">E72-D72</f>
        <v>20.2238149141723</v>
      </c>
      <c r="F73" s="116" t="n">
        <f aca="false">F72-E72</f>
        <v>19.6089742595606</v>
      </c>
      <c r="G73" s="116" t="n">
        <f aca="false">G72-F72</f>
        <v>19.9926253596577</v>
      </c>
      <c r="H73" s="116" t="n">
        <f aca="false">H72-G72</f>
        <v>11.6314765316985</v>
      </c>
      <c r="I73" s="116" t="n">
        <f aca="false">I72-H72</f>
        <v>11.877494117721</v>
      </c>
      <c r="J73" s="116" t="n">
        <f aca="false">J72-I72</f>
        <v>12.1524301648163</v>
      </c>
      <c r="K73" s="116" t="n">
        <f aca="false">K72-J72</f>
        <v>12.1321865175957</v>
      </c>
      <c r="L73" s="116" t="n">
        <f aca="false">L72-K72</f>
        <v>12.5980813690906</v>
      </c>
      <c r="M73" s="116" t="n">
        <f aca="false">M72-L72</f>
        <v>11.8764430437748</v>
      </c>
      <c r="N73" s="116" t="n">
        <f aca="false">N72-M72</f>
        <v>13.0069160823086</v>
      </c>
      <c r="O73" s="116" t="n">
        <f aca="false">O72-N72</f>
        <v>14.1629496421854</v>
      </c>
      <c r="P73" s="116" t="n">
        <f aca="false">P72-O72</f>
        <v>14.0581125107661</v>
      </c>
      <c r="Q73" s="116" t="n">
        <f aca="false">Q72-P72</f>
        <v>14.1839028116041</v>
      </c>
      <c r="R73" s="116" t="n">
        <f aca="false">R72-Q72</f>
        <v>9.48675651127326</v>
      </c>
      <c r="S73" s="116" t="n">
        <f aca="false">S72-R72</f>
        <v>5.70911730956277</v>
      </c>
      <c r="T73" s="116" t="n">
        <f aca="false">T72-S72</f>
        <v>5.46362714617584</v>
      </c>
      <c r="U73" s="116" t="n">
        <f aca="false">U72-T72</f>
        <v>5.46950406427143</v>
      </c>
      <c r="V73" s="116" t="n">
        <f aca="false">V72-U72</f>
        <v>5.59604093683112</v>
      </c>
      <c r="W73" s="116" t="n">
        <f aca="false">W72-V72</f>
        <v>5.72299377286245</v>
      </c>
      <c r="X73" s="116" t="n">
        <f aca="false">X72-W72</f>
        <v>5.8535451521152</v>
      </c>
      <c r="Y73" s="116" t="n">
        <f aca="false">Y72-X72</f>
        <v>5.98749311847024</v>
      </c>
      <c r="Z73" s="116" t="n">
        <f aca="false">Z72-Y72</f>
        <v>5.09414587077839</v>
      </c>
      <c r="AA73" s="116" t="n">
        <f aca="false">AA72-Z72</f>
        <v>4.63645889695562</v>
      </c>
      <c r="AB73" s="116" t="n">
        <f aca="false">AB72-AA72</f>
        <v>4.54002106214767</v>
      </c>
      <c r="AC73" s="116" t="n">
        <f aca="false">AC72-AB72</f>
        <v>4.48668884795529</v>
      </c>
      <c r="AD73" s="116" t="n">
        <f aca="false">AD72-AC72</f>
        <v>4.45012709354222</v>
      </c>
      <c r="AE73" s="116" t="n">
        <f aca="false">AE72-AD72</f>
        <v>4.41881106921335</v>
      </c>
      <c r="AF73" s="116" t="n">
        <f aca="false">AF72-AE72</f>
        <v>4.39295412873929</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0.591335138619143</v>
      </c>
      <c r="E75" s="116" t="n">
        <f aca="false">$C$19*D81</f>
        <v>1.56352859909571</v>
      </c>
      <c r="F75" s="116" t="n">
        <f aca="false">$C$19*E81</f>
        <v>2.88404571559686</v>
      </c>
      <c r="G75" s="116" t="n">
        <f aca="false">$C$19*F81</f>
        <v>5.90706772922083</v>
      </c>
      <c r="H75" s="116" t="n">
        <f aca="false">$C$19*G81</f>
        <v>8.91467042203529</v>
      </c>
      <c r="I75" s="116" t="n">
        <f aca="false">$C$19*H81</f>
        <v>11.4006086957127</v>
      </c>
      <c r="J75" s="116" t="n">
        <f aca="false">$C$19*I81</f>
        <v>13.5753176275645</v>
      </c>
      <c r="K75" s="116" t="n">
        <f aca="false">$C$19*J81</f>
        <v>15.4809555901243</v>
      </c>
      <c r="L75" s="116" t="n">
        <f aca="false">$C$19*K81</f>
        <v>16.1102402297174</v>
      </c>
      <c r="M75" s="116" t="n">
        <f aca="false">$C$19*L81</f>
        <v>16.74003358609</v>
      </c>
      <c r="N75" s="116" t="n">
        <f aca="false">$C$19*M81</f>
        <v>17.3581686536805</v>
      </c>
      <c r="O75" s="116" t="n">
        <f aca="false">$C$19*N81</f>
        <v>17.966221722373</v>
      </c>
      <c r="P75" s="116" t="n">
        <f aca="false">$C$19*O81</f>
        <v>18.5591964834572</v>
      </c>
      <c r="Q75" s="116" t="n">
        <f aca="false">$C$19*P81</f>
        <v>19.1091596012702</v>
      </c>
      <c r="R75" s="116" t="n">
        <f aca="false">$C$19*Q81</f>
        <v>19.6161671572672</v>
      </c>
      <c r="S75" s="116" t="n">
        <f aca="false">$C$19*R81</f>
        <v>20.0906614650804</v>
      </c>
      <c r="T75" s="116" t="n">
        <f aca="false">$C$19*S81</f>
        <v>20.5308962896063</v>
      </c>
      <c r="U75" s="116" t="n">
        <f aca="false">$C$19*T81</f>
        <v>20.9396863126975</v>
      </c>
      <c r="V75" s="116" t="n">
        <f aca="false">$C$19*U81</f>
        <v>21.3449551136203</v>
      </c>
      <c r="W75" s="116" t="n">
        <f aca="false">$C$19*V81</f>
        <v>21.7467993497397</v>
      </c>
      <c r="X75" s="116" t="n">
        <f aca="false">$C$19*W81</f>
        <v>22.1385464962762</v>
      </c>
      <c r="Y75" s="116" t="n">
        <f aca="false">$C$19*X81</f>
        <v>22.5209162242664</v>
      </c>
      <c r="Z75" s="116" t="n">
        <f aca="false">$C$19*Y81</f>
        <v>22.8946257764972</v>
      </c>
      <c r="AA75" s="116" t="n">
        <f aca="false">$C$19*Z81</f>
        <v>23.260394299099</v>
      </c>
      <c r="AB75" s="116" t="n">
        <f aca="false">$C$19*AA81</f>
        <v>23.6166121258333</v>
      </c>
      <c r="AC75" s="116" t="n">
        <f aca="false">$C$19*AB81</f>
        <v>23.9634875956298</v>
      </c>
      <c r="AD75" s="116" t="n">
        <f aca="false">$C$19*AC81</f>
        <v>24.3016672093699</v>
      </c>
      <c r="AE75" s="116" t="n">
        <f aca="false">$C$19*AD81</f>
        <v>24.6315887419724</v>
      </c>
      <c r="AF75" s="116" t="n">
        <f aca="false">$C$19*AE81</f>
        <v>24.9537543779563</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444.460211300098</v>
      </c>
      <c r="E76" s="116" t="n">
        <f aca="false">(IF($C$173="Sí",(MAX(0,E74-D96)+MAX(0,D276+E53-E75))/E327,E73+MAX(0,E74-D96)+MAX(0,D276+E53-E75)))+IF($C$173="Sí",MAX(0,$C$226*(E70+D121)*0.3/0.55-D227)/E327,0)</f>
        <v>640.645733208699</v>
      </c>
      <c r="F76" s="116" t="n">
        <f aca="false">(IF($C$173="Sí",(MAX(0,F74-E96)+MAX(0,E276+F53-F75))/F327,F73+MAX(0,F74-E96)+MAX(0,E276+F53-F75)))+IF($C$173="Sí",MAX(0,$C$226*(F70+E121)*0.3/0.55-E227)/F327,0)</f>
        <v>872.71706379851</v>
      </c>
      <c r="G76" s="116" t="n">
        <f aca="false">(IF($C$173="Sí",(MAX(0,G74-F96)+MAX(0,F276+G53-G75))/G327,G73+MAX(0,G74-F96)+MAX(0,F276+G53-G75)))+IF($C$173="Sí",MAX(0,$C$226*(G70+F121)*0.3/0.55-F227)/G327,0)</f>
        <v>1614.8008761916</v>
      </c>
      <c r="H76" s="116" t="n">
        <f aca="false">(IF($C$173="Sí",(MAX(0,H74-G96)+MAX(0,G276+H53-H75))/H327,H73+MAX(0,H74-G96)+MAX(0,G276+H53-H75)))+IF($C$173="Sí",MAX(0,$C$226*(H70+G121)*0.3/0.55-G227)/H327,0)</f>
        <v>1770.05228733</v>
      </c>
      <c r="I76" s="116" t="n">
        <f aca="false">(IF($C$173="Sí",(MAX(0,I74-H96)+MAX(0,H276+I53-I75))/I327,I73+MAX(0,I74-H96)+MAX(0,H276+I53-I75)))+IF($C$173="Sí",MAX(0,$C$226*(I70+H121)*0.3/0.55-H227)/I327,0)</f>
        <v>1667.98056807552</v>
      </c>
      <c r="J76" s="116" t="n">
        <f aca="false">(IF($C$173="Sí",(MAX(0,J74-I96)+MAX(0,I276+J53-J75))/J327,J73+MAX(0,J74-I96)+MAX(0,I276+J53-J75)))+IF($C$173="Sí",MAX(0,$C$226*(J70+I121)*0.3/0.55-I227)/J327,0)</f>
        <v>1663.20753342856</v>
      </c>
      <c r="K76" s="116" t="n">
        <f aca="false">(IF($C$173="Sí",(MAX(0,K74-J96)+MAX(0,J276+K53-K75))/K327,K73+MAX(0,K74-J96)+MAX(0,J276+K53-K75)))+IF($C$173="Sí",MAX(0,$C$226*(K70+J121)*0.3/0.55-J227)/K327,0)</f>
        <v>1678.74326247001</v>
      </c>
      <c r="L76" s="116" t="n">
        <f aca="false">(IF($C$173="Sí",(MAX(0,L74-K96)+MAX(0,K276+L53-L75))/L327,L73+MAX(0,L74-K96)+MAX(0,K276+L53-L75)))+IF($C$173="Sí",MAX(0,$C$226*(L70+K121)*0.3/0.55-K227)/L327,0)</f>
        <v>1495.59385782031</v>
      </c>
      <c r="M76" s="116" t="n">
        <f aca="false">(IF($C$173="Sí",(MAX(0,M74-L96)+MAX(0,L276+M53-M75))/M327,M73+MAX(0,M74-L96)+MAX(0,L276+M53-M75)))+IF($C$173="Sí",MAX(0,$C$226*(M70+L121)*0.3/0.55-L227)/M327,0)</f>
        <v>1397.12048966725</v>
      </c>
      <c r="N76" s="116" t="n">
        <f aca="false">(IF($C$173="Sí",(MAX(0,N74-M96)+MAX(0,M276+N53-N75))/N327,N73+MAX(0,N74-M96)+MAX(0,M276+N53-N75)))+IF($C$173="Sí",MAX(0,$C$226*(N70+M121)*0.3/0.55-M227)/N327,0)</f>
        <v>1103.44152463802</v>
      </c>
      <c r="O76" s="116" t="n">
        <f aca="false">(IF($C$173="Sí",(MAX(0,O74-N96)+MAX(0,N276+O53-O75))/O327,O73+MAX(0,O74-N96)+MAX(0,N276+O53-O75)))+IF($C$173="Sí",MAX(0,$C$226*(O70+N121)*0.3/0.55-N227)/O327,0)</f>
        <v>1063.62025565638</v>
      </c>
      <c r="P76" s="116" t="n">
        <f aca="false">(IF($C$173="Sí",(MAX(0,P74-O96)+MAX(0,O276+P53-P75))/P327,P73+MAX(0,P74-O96)+MAX(0,O276+P53-P75)))+IF($C$173="Sí",MAX(0,$C$226*(P70+O121)*0.3/0.55-O227)/P327,0)</f>
        <v>1156.8076385438</v>
      </c>
      <c r="Q76" s="116" t="n">
        <f aca="false">(IF($C$173="Sí",(MAX(0,Q74-P96)+MAX(0,P276+Q53-Q75))/Q327,Q73+MAX(0,Q74-P96)+MAX(0,P276+Q53-Q75)))+IF($C$173="Sí",MAX(0,$C$226*(Q70+P121)*0.3/0.55-P227)/Q327,0)</f>
        <v>1143.19808276128</v>
      </c>
      <c r="R76" s="116" t="n">
        <f aca="false">(IF($C$173="Sí",(MAX(0,R74-Q96)+MAX(0,Q276+R53-R75))/R327,R73+MAX(0,R74-Q96)+MAX(0,Q276+R53-R75)))+IF($C$173="Sí",MAX(0,$C$226*(R70+Q121)*0.3/0.55-Q227)/R327,0)</f>
        <v>1130.59627102092</v>
      </c>
      <c r="S76" s="116" t="n">
        <f aca="false">(IF($C$173="Sí",(MAX(0,S74-R96)+MAX(0,R276+S53-S75))/S327,S73+MAX(0,S74-R96)+MAX(0,R276+S53-S75)))+IF($C$173="Sí",MAX(0,$C$226*(S70+R121)*0.3/0.55-R227)/S327,0)</f>
        <v>1102.50297217667</v>
      </c>
      <c r="T76" s="116" t="n">
        <f aca="false">(IF($C$173="Sí",(MAX(0,T74-S96)+MAX(0,S276+T53-T75))/T327,T73+MAX(0,T74-S96)+MAX(0,S276+T53-T75)))+IF($C$173="Sí",MAX(0,$C$226*(T70+S121)*0.3/0.55-S227)/T327,0)</f>
        <v>1083.86283728147</v>
      </c>
      <c r="U76" s="116" t="n">
        <f aca="false">(IF($C$173="Sí",(MAX(0,U74-T96)+MAX(0,T276+U53-U75))/U327,U73+MAX(0,U74-T96)+MAX(0,T276+U53-U75)))+IF($C$173="Sí",MAX(0,$C$226*(U70+T121)*0.3/0.55-T227)/U327,0)</f>
        <v>1089.4385630534</v>
      </c>
      <c r="V76" s="116" t="n">
        <f aca="false">(IF($C$173="Sí",(MAX(0,V74-U96)+MAX(0,U276+V53-V75))/V327,V73+MAX(0,V74-U96)+MAX(0,U276+V53-V75)))+IF($C$173="Sí",MAX(0,$C$226*(V70+U121)*0.3/0.55-U227)/V327,0)</f>
        <v>1095.63146317356</v>
      </c>
      <c r="W76" s="116" t="n">
        <f aca="false">(IF($C$173="Sí",(MAX(0,W74-V96)+MAX(0,V276+W53-W75))/W327,W73+MAX(0,W74-V96)+MAX(0,V276+W53-W75)))+IF($C$173="Sí",MAX(0,$C$226*(W70+V121)*0.3/0.55-V227)/W327,0)</f>
        <v>1102.11562654816</v>
      </c>
      <c r="X76" s="116" t="n">
        <f aca="false">(IF($C$173="Sí",(MAX(0,X74-W96)+MAX(0,W276+X53-X75))/X327,X73+MAX(0,X74-W96)+MAX(0,W276+X53-X75)))+IF($C$173="Sí",MAX(0,$C$226*(X70+W121)*0.3/0.55-W227)/X327,0)</f>
        <v>1108.63810910596</v>
      </c>
      <c r="Y76" s="116" t="n">
        <f aca="false">(IF($C$173="Sí",(MAX(0,Y74-X96)+MAX(0,X276+Y53-Y75))/Y327,Y73+MAX(0,Y74-X96)+MAX(0,X276+Y53-Y75)))+IF($C$173="Sí",MAX(0,$C$226*(Y70+X121)*0.3/0.55-X227)/Y327,0)</f>
        <v>1115.51814118607</v>
      </c>
      <c r="Z76" s="116" t="n">
        <f aca="false">(IF($C$173="Sí",(MAX(0,Z74-Y96)+MAX(0,Y276+Z53-Z75))/Z327,Z73+MAX(0,Z74-Y96)+MAX(0,Y276+Z53-Z75)))+IF($C$173="Sí",MAX(0,$C$226*(Z70+Y121)*0.3/0.55-Y227)/Z327,0)</f>
        <v>1122.7667625135</v>
      </c>
      <c r="AA76" s="116" t="n">
        <f aca="false">(IF($C$173="Sí",(MAX(0,AA74-Z96)+MAX(0,Z276+AA53-AA75))/AA327,AA73+MAX(0,AA74-Z96)+MAX(0,Z276+AA53-AA75)))+IF($C$173="Sí",MAX(0,$C$226*(AA70+Z121)*0.3/0.55-Z227)/AA327,0)</f>
        <v>1124.72077969653</v>
      </c>
      <c r="AB76" s="116" t="n">
        <f aca="false">(IF($C$173="Sí",(MAX(0,AB74-AA96)+MAX(0,AA276+AB53-AB75))/AB327,AB73+MAX(0,AB74-AA96)+MAX(0,AA276+AB53-AB75)))+IF($C$173="Sí",MAX(0,$C$226*(AB70+AA121)*0.3/0.55-AA227)/AB327,0)</f>
        <v>1131.179229498</v>
      </c>
      <c r="AC76" s="116" t="n">
        <f aca="false">(IF($C$173="Sí",(MAX(0,AC74-AB96)+MAX(0,AB276+AC53-AC75))/AC327,AC73+MAX(0,AC74-AB96)+MAX(0,AB276+AC53-AC75)))+IF($C$173="Sí",MAX(0,$C$226*(AC70+AB121)*0.3/0.55-AB227)/AC327,0)</f>
        <v>1140.65971049884</v>
      </c>
      <c r="AD76" s="116" t="n">
        <f aca="false">(IF($C$173="Sí",(MAX(0,AD74-AC96)+MAX(0,AC276+AD53-AD75))/AD327,AD73+MAX(0,AD74-AC96)+MAX(0,AC276+AD53-AD75)))+IF($C$173="Sí",MAX(0,$C$226*(AD70+AC121)*0.3/0.55-AC227)/AD327,0)</f>
        <v>1150.64820375507</v>
      </c>
      <c r="AE76" s="116" t="n">
        <f aca="false">(IF($C$173="Sí",(MAX(0,AE74-AD96)+MAX(0,AD276+AE53-AE75))/AE327,AE73+MAX(0,AE74-AD96)+MAX(0,AD276+AE53-AE75)))+IF($C$173="Sí",MAX(0,$C$226*(AE70+AD121)*0.3/0.55-AD227)/AE327,0)</f>
        <v>1161.21210541759</v>
      </c>
      <c r="AF76" s="116" t="n">
        <f aca="false">(IF($C$173="Sí",(MAX(0,AF74-AE96)+MAX(0,AE276+AF53-AF75))/AF327,AF73+MAX(0,AF74-AE96)+MAX(0,AE276+AF53-AF75)))+IF($C$173="Sí",MAX(0,$C$226*(AF70+AE121)*0.3/0.55-AE227)/AF327,0)</f>
        <v>1172.35986417244</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9.75</v>
      </c>
      <c r="D78" s="116" t="n">
        <f aca="false">MIN(MIN(C83+IF(D$39&lt;=01_Supuestos!$C$182,01_Supuestos!$C$181,$C$174)*D41,C83+D76),IF(01_Supuestos!$C$179&gt;0,01_Supuestos!$C$179/(1-01_Supuestos!$C$179)*64_Inflacion!$C$5*D41/$C$41,1E+099))</f>
        <v>16.8605998759641</v>
      </c>
      <c r="E78" s="116" t="n">
        <f aca="false">MIN(MIN(D83+IF(E$39&lt;=01_Supuestos!$C$182,01_Supuestos!$C$181,$C$174)*E41,D83+E76),IF(01_Supuestos!$C$179&gt;0,01_Supuestos!$C$179/(1-01_Supuestos!$C$179)*64_Inflacion!$C$5*E41/$C$41,1E+099))</f>
        <v>27.0642576259641</v>
      </c>
      <c r="F78" s="116" t="n">
        <f aca="false">MIN(MIN(E83+IF(F$39&lt;=01_Supuestos!$C$182,01_Supuestos!$C$181,$C$174)*F41,E83+F76),IF(01_Supuestos!$C$179&gt;0,01_Supuestos!$C$179/(1-01_Supuestos!$C$179)*64_Inflacion!$C$5*F41/$C$41,1E+099))</f>
        <v>37.5025995042141</v>
      </c>
      <c r="G78" s="116" t="n">
        <f aca="false">MIN(MIN(F83+IF(G$39&lt;=01_Supuestos!$C$182,01_Supuestos!$C$181,$C$174)*G41,F83+G76),IF(01_Supuestos!$C$179&gt;0,01_Supuestos!$C$179/(1-01_Supuestos!$C$179)*64_Inflacion!$C$5*G41/$C$41,1E+099))</f>
        <v>48.1810232456638</v>
      </c>
      <c r="H78" s="116" t="n">
        <f aca="false">MIN(MIN(G83+IF(H$39&lt;=01_Supuestos!$C$182,01_Supuestos!$C$181,$C$174)*H41,G83+H76),IF(01_Supuestos!$C$179&gt;0,01_Supuestos!$C$179/(1-01_Supuestos!$C$179)*64_Inflacion!$C$5*H41/$C$41,1E+099))</f>
        <v>59.1050507331669</v>
      </c>
      <c r="I78" s="116" t="n">
        <f aca="false">MIN(MIN(H83+IF(I$39&lt;=01_Supuestos!$C$182,01_Supuestos!$C$181,$C$174)*I41,H83+I76),IF(01_Supuestos!$C$179&gt;0,01_Supuestos!$C$179/(1-01_Supuestos!$C$179)*64_Inflacion!$C$5*I41/$C$41,1E+099))</f>
        <v>70.2803308528826</v>
      </c>
      <c r="J78" s="116" t="n">
        <f aca="false">MIN(MIN(I83+IF(J$39&lt;=01_Supuestos!$C$182,01_Supuestos!$C$181,$C$174)*J41,I83+J76),IF(01_Supuestos!$C$179&gt;0,01_Supuestos!$C$179/(1-01_Supuestos!$C$179)*64_Inflacion!$C$5*J41/$C$41,1E+099))</f>
        <v>81.7126424153517</v>
      </c>
      <c r="K78" s="116" t="n">
        <f aca="false">MIN(MIN(J83+IF(K$39&lt;=01_Supuestos!$C$182,01_Supuestos!$C$181,$C$174)*K41,J83+K76),IF(01_Supuestos!$C$179&gt;0,01_Supuestos!$C$179/(1-01_Supuestos!$C$179)*64_Inflacion!$C$5*K41/$C$41,1E+099))</f>
        <v>93.4078971437576</v>
      </c>
      <c r="L78" s="116" t="n">
        <f aca="false">MIN(MIN(K83+IF(L$39&lt;=01_Supuestos!$C$182,01_Supuestos!$C$181,$C$174)*L41,K83+L76),IF(01_Supuestos!$C$179&gt;0,01_Supuestos!$C$179/(1-01_Supuestos!$C$179)*64_Inflacion!$C$5*L41/$C$41,1E+099))</f>
        <v>105.372142730917</v>
      </c>
      <c r="M78" s="116" t="n">
        <f aca="false">MIN(MIN(L83+IF(M$39&lt;=01_Supuestos!$C$182,01_Supuestos!$C$181,$C$174)*M41,L83+M76),IF(01_Supuestos!$C$179&gt;0,01_Supuestos!$C$179/(1-01_Supuestos!$C$179)*64_Inflacion!$C$5*M41/$C$41,1E+099))</f>
        <v>117.611565966581</v>
      </c>
      <c r="N78" s="116" t="n">
        <f aca="false">MIN(MIN(M83+IF(N$39&lt;=01_Supuestos!$C$182,01_Supuestos!$C$181,$C$174)*N41,M83+N76),IF(01_Supuestos!$C$179&gt;0,01_Supuestos!$C$179/(1-01_Supuestos!$C$179)*64_Inflacion!$C$5*N41/$C$41,1E+099))</f>
        <v>130.132495936665</v>
      </c>
      <c r="O78" s="116" t="n">
        <f aca="false">MIN(MIN(N83+IF(O$39&lt;=01_Supuestos!$C$182,01_Supuestos!$C$181,$C$174)*O41,N83+O76),IF(01_Supuestos!$C$179&gt;0,01_Supuestos!$C$179/(1-01_Supuestos!$C$179)*64_Inflacion!$C$5*O41/$C$41,1E+099))</f>
        <v>142.941407296061</v>
      </c>
      <c r="P78" s="116" t="n">
        <f aca="false">MIN(MIN(O83+IF(P$39&lt;=01_Supuestos!$C$182,01_Supuestos!$C$181,$C$174)*P41,O83+P76),IF(01_Supuestos!$C$179&gt;0,01_Supuestos!$C$179/(1-01_Supuestos!$C$179)*64_Inflacion!$C$5*P41/$C$41,1E+099))</f>
        <v>156.044923616723</v>
      </c>
      <c r="Q78" s="116" t="n">
        <f aca="false">MIN(MIN(P83+IF(Q$39&lt;=01_Supuestos!$C$182,01_Supuestos!$C$181,$C$174)*Q41,P83+Q76),IF(01_Supuestos!$C$179&gt;0,01_Supuestos!$C$179/(1-01_Supuestos!$C$179)*64_Inflacion!$C$5*Q41/$C$41,1E+099))</f>
        <v>169.449820812761</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6.88634987596409</v>
      </c>
      <c r="D79" s="116" t="n">
        <f aca="false">MAX(0,MIN(D67,$C$9*(D69+D68+C121),D78))</f>
        <v>16.8605998759641</v>
      </c>
      <c r="E79" s="116" t="n">
        <f aca="false">MAX(0,MIN(E67,$C$9*(E69+E68+D121),E78))</f>
        <v>27.0642576259641</v>
      </c>
      <c r="F79" s="116" t="n">
        <f aca="false">MAX(0,MIN(F67,$C$9*(F69+F68+E121),F78))</f>
        <v>37.5025995042141</v>
      </c>
      <c r="G79" s="116" t="n">
        <f aca="false">MAX(0,MIN(G67,$C$9*(G69+G68+F121),G78))</f>
        <v>48.1810232456638</v>
      </c>
      <c r="H79" s="116" t="n">
        <f aca="false">MAX(0,MIN(H67,$C$9*(H69+H68+G121),H78))</f>
        <v>59.1050507331669</v>
      </c>
      <c r="I79" s="116" t="n">
        <f aca="false">MAX(0,MIN(I67,$C$9*(I69+I68+H121),I78))</f>
        <v>70.2803308528826</v>
      </c>
      <c r="J79" s="116" t="n">
        <f aca="false">MAX(0,MIN(J67,$C$9*(J69+J68+I121),J78))</f>
        <v>81.7126424153517</v>
      </c>
      <c r="K79" s="116" t="n">
        <f aca="false">MAX(0,MIN(K67,$C$9*(K69+K68+J121),K78))</f>
        <v>93.4078971437576</v>
      </c>
      <c r="L79" s="116" t="n">
        <f aca="false">MAX(0,MIN(L67,$C$9*(L69+L68+K121),L78))</f>
        <v>105.372142730917</v>
      </c>
      <c r="M79" s="116" t="n">
        <f aca="false">MAX(0,MIN(M67,$C$9*(M69+M68+L121),M78))</f>
        <v>117.611565966581</v>
      </c>
      <c r="N79" s="116" t="n">
        <f aca="false">MAX(0,MIN(N67,$C$9*(N69+N68+M121),N78))</f>
        <v>130.132495936665</v>
      </c>
      <c r="O79" s="116" t="n">
        <f aca="false">MAX(0,MIN(O67,$C$9*(O69+O68+N121),O78))</f>
        <v>142.941407296061</v>
      </c>
      <c r="P79" s="116" t="n">
        <f aca="false">MAX(0,MIN(P67,$C$9*(P69+P68+O121),P78))</f>
        <v>156.044923616723</v>
      </c>
      <c r="Q79" s="116" t="n">
        <f aca="false">MAX(0,MIN(Q67,$C$9*(Q69+Q68+P121),Q78))</f>
        <v>169.449820812761</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211.777475532204</v>
      </c>
      <c r="AA79" s="116" t="n">
        <f aca="false">MAX(0,MIN(AA67,$C$9*(AA69+AA68+Z121),AA78))</f>
        <v>214.910569098052</v>
      </c>
      <c r="AB79" s="116" t="n">
        <f aca="false">MAX(0,MIN(AB67,$C$9*(AB69+AB68+AA121),AB78))</f>
        <v>217.959442088221</v>
      </c>
      <c r="AC79" s="116" t="n">
        <f aca="false">MAX(0,MIN(AC67,$C$9*(AC69+AC68+AB121),AC78))</f>
        <v>220.929908091122</v>
      </c>
      <c r="AD79" s="116" t="n">
        <f aca="false">MAX(0,MIN(AD67,$C$9*(AD69+AD68+AC121),AD78))</f>
        <v>223.825901987842</v>
      </c>
      <c r="AE79" s="116" t="n">
        <f aca="false">MAX(0,MIN(AE67,$C$9*(AE69+AE68+AD121),AE78))</f>
        <v>226.651938166081</v>
      </c>
      <c r="AF79" s="116" t="n">
        <f aca="false">MAX(0,MIN(AF67,$C$9*(AF69+AF68+AE121),AF78))</f>
        <v>229.412768396675</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0.386255216886864</v>
      </c>
      <c r="D80" s="116" t="n">
        <f aca="false">IF($C$177&lt;=1,D68,SUMPRODUCT($C$189:D189,((D$39-$C$39:D$39+1)&gt;=$C$177)+((D$39-$C$39:D$39+1)&lt;$C$177)*(D$39-$C$39:D$39+1)/$C$177))</f>
        <v>1.39643969852219</v>
      </c>
      <c r="E80" s="116" t="n">
        <f aca="false">IF($C$177&lt;=1,E68,SUMPRODUCT($C$189:E189,((E$39-$C$39:E$39+1)&gt;=$C$177)+((E$39-$C$39:E$39+1)&lt;$C$177)*(E$39-$C$39:E$39+1)/$C$177))</f>
        <v>3.23265730546119</v>
      </c>
      <c r="F80" s="116" t="n">
        <f aca="false">IF($C$177&lt;=1,F68,SUMPRODUCT($C$189:F189,((F$39-$C$39:F$39+1)&gt;=$C$177)+((F$39-$C$39:F$39+1)&lt;$C$177)*(F$39-$C$39:F$39+1)/$C$177))</f>
        <v>6.45273474266286</v>
      </c>
      <c r="G80" s="116" t="n">
        <f aca="false">IF($C$177&lt;=1,G68,SUMPRODUCT($C$189:G189,((G$39-$C$39:G$39+1)&gt;=$C$177)+((G$39-$C$39:G$39+1)&lt;$C$177)*(G$39-$C$39:G$39+1)/$C$177))</f>
        <v>11.0565654628756</v>
      </c>
      <c r="H80" s="116" t="n">
        <f aca="false">IF($C$177&lt;=1,H68,SUMPRODUCT($C$189:H189,((H$39-$C$39:H$39+1)&gt;=$C$177)+((H$39-$C$39:H$39+1)&lt;$C$177)*(H$39-$C$39:H$39+1)/$C$177))</f>
        <v>16.6550639408431</v>
      </c>
      <c r="I80" s="116" t="n">
        <f aca="false">IF($C$177&lt;=1,I68,SUMPRODUCT($C$189:I189,((I$39-$C$39:I$39+1)&gt;=$C$177)+((I$39-$C$39:I$39+1)&lt;$C$177)*(I$39-$C$39:I$39+1)/$C$177))</f>
        <v>23.0103459104485</v>
      </c>
      <c r="J80" s="116" t="n">
        <f aca="false">IF($C$177&lt;=1,J68,SUMPRODUCT($C$189:J189,((J$39-$C$39:J$39+1)&gt;=$C$177)+((J$39-$C$39:J$39+1)&lt;$C$177)*(J$39-$C$39:J$39+1)/$C$177))</f>
        <v>29.9200898721775</v>
      </c>
      <c r="K80" s="116" t="n">
        <f aca="false">IF($C$177&lt;=1,K68,SUMPRODUCT($C$189:K189,((K$39-$C$39:K$39+1)&gt;=$C$177)+((K$39-$C$39:K$39+1)&lt;$C$177)*(K$39-$C$39:K$39+1)/$C$177))</f>
        <v>36.8298338339064</v>
      </c>
      <c r="L80" s="116" t="n">
        <f aca="false">IF($C$177&lt;=1,L68,SUMPRODUCT($C$189:L189,((L$39-$C$39:L$39+1)&gt;=$C$177)+((L$39-$C$39:L$39+1)&lt;$C$177)*(L$39-$C$39:L$39+1)/$C$177))</f>
        <v>43.7395777956353</v>
      </c>
      <c r="M80" s="116" t="n">
        <f aca="false">IF($C$177&lt;=1,M68,SUMPRODUCT($C$189:M189,((M$39-$C$39:M$39+1)&gt;=$C$177)+((M$39-$C$39:M$39+1)&lt;$C$177)*(M$39-$C$39:M$39+1)/$C$177))</f>
        <v>50.4064903629138</v>
      </c>
      <c r="N80" s="116" t="n">
        <f aca="false">IF($C$177&lt;=1,N68,SUMPRODUCT($C$189:N189,((N$39-$C$39:N$39+1)&gt;=$C$177)+((N$39-$C$39:N$39+1)&lt;$C$177)*(N$39-$C$39:N$39+1)/$C$177))</f>
        <v>56.5927616547374</v>
      </c>
      <c r="O80" s="116" t="n">
        <f aca="false">IF($C$177&lt;=1,O68,SUMPRODUCT($C$189:O189,((O$39-$C$39:O$39+1)&gt;=$C$177)+((O$39-$C$39:O$39+1)&lt;$C$177)*(O$39-$C$39:O$39+1)/$C$177))</f>
        <v>62.096147182498</v>
      </c>
      <c r="P80" s="116" t="n">
        <f aca="false">IF($C$177&lt;=1,P68,SUMPRODUCT($C$189:P189,((P$39-$C$39:P$39+1)&gt;=$C$177)+((P$39-$C$39:P$39+1)&lt;$C$177)*(P$39-$C$39:P$39+1)/$C$177))</f>
        <v>66.3586746490136</v>
      </c>
      <c r="Q80" s="116" t="n">
        <f aca="false">IF($C$177&lt;=1,Q68,SUMPRODUCT($C$189:Q189,((Q$39-$C$39:Q$39+1)&gt;=$C$177)+((Q$39-$C$39:Q$39+1)&lt;$C$177)*(Q$39-$C$39:Q$39+1)/$C$177))</f>
        <v>69.3802998699069</v>
      </c>
      <c r="R80" s="116" t="n">
        <f aca="false">IF($C$177&lt;=1,R68,SUMPRODUCT($C$189:R189,((R$39-$C$39:R$39+1)&gt;=$C$177)+((R$39-$C$39:R$39+1)&lt;$C$177)*(R$39-$C$39:R$39+1)/$C$177))</f>
        <v>71.546548915132</v>
      </c>
      <c r="S80" s="116" t="n">
        <f aca="false">IF($C$177&lt;=1,S68,SUMPRODUCT($C$189:S189,((S$39-$C$39:S$39+1)&gt;=$C$177)+((S$39-$C$39:S$39+1)&lt;$C$177)*(S$39-$C$39:S$39+1)/$C$177))</f>
        <v>73.0917410868509</v>
      </c>
      <c r="T80" s="116" t="n">
        <f aca="false">IF($C$177&lt;=1,T68,SUMPRODUCT($C$189:T189,((T$39-$C$39:T$39+1)&gt;=$C$177)+((T$39-$C$39:T$39+1)&lt;$C$177)*(T$39-$C$39:T$39+1)/$C$177))</f>
        <v>74.2146272175171</v>
      </c>
      <c r="U80" s="116" t="n">
        <f aca="false">IF($C$177&lt;=1,U68,SUMPRODUCT($C$189:U189,((U$39-$C$39:U$39+1)&gt;=$C$177)+((U$39-$C$39:U$39+1)&lt;$C$177)*(U$39-$C$39:U$39+1)/$C$177))</f>
        <v>75.4660927277656</v>
      </c>
      <c r="V80" s="116" t="n">
        <f aca="false">IF($C$177&lt;=1,V68,SUMPRODUCT($C$189:V189,((V$39-$C$39:V$39+1)&gt;=$C$177)+((V$39-$C$39:V$39+1)&lt;$C$177)*(V$39-$C$39:V$39+1)/$C$177))</f>
        <v>76.8425549332555</v>
      </c>
      <c r="W80" s="116" t="n">
        <f aca="false">IF($C$177&lt;=1,W68,SUMPRODUCT($C$189:W189,((W$39-$C$39:W$39+1)&gt;=$C$177)+((W$39-$C$39:W$39+1)&lt;$C$177)*(W$39-$C$39:W$39+1)/$C$177))</f>
        <v>78.1970009985724</v>
      </c>
      <c r="X80" s="116" t="n">
        <f aca="false">IF($C$177&lt;=1,X68,SUMPRODUCT($C$189:X189,((X$39-$C$39:X$39+1)&gt;=$C$177)+((X$39-$C$39:X$39+1)&lt;$C$177)*(X$39-$C$39:X$39+1)/$C$177))</f>
        <v>79.5259711918436</v>
      </c>
      <c r="Y80" s="116" t="n">
        <f aca="false">IF($C$177&lt;=1,Y68,SUMPRODUCT($C$189:Y189,((Y$39-$C$39:Y$39+1)&gt;=$C$177)+((Y$39-$C$39:Y$39+1)&lt;$C$177)*(Y$39-$C$39:Y$39+1)/$C$177))</f>
        <v>80.8260037927821</v>
      </c>
      <c r="Z80" s="116" t="n">
        <f aca="false">IF($C$177&lt;=1,Z68,SUMPRODUCT($C$189:Z189,((Z$39-$C$39:Z$39+1)&gt;=$C$177)+((Z$39-$C$39:Z$39+1)&lt;$C$177)*(Z$39-$C$39:Z$39+1)/$C$177))</f>
        <v>82.0936350224952</v>
      </c>
      <c r="AA80" s="116" t="n">
        <f aca="false">IF($C$177&lt;=1,AA68,SUMPRODUCT($C$189:AA189,((AA$39-$C$39:AA$39+1)&gt;=$C$177)+((AA$39-$C$39:AA$39+1)&lt;$C$177)*(AA$39-$C$39:AA$39+1)/$C$177))</f>
        <v>83.3253989708155</v>
      </c>
      <c r="AB80" s="116" t="n">
        <f aca="false">IF($C$177&lt;=1,AB68,SUMPRODUCT($C$189:AB189,((AB$39-$C$39:AB$39+1)&gt;=$C$177)+((AB$39-$C$39:AB$39+1)&lt;$C$177)*(AB$39-$C$39:AB$39+1)/$C$177))</f>
        <v>84.5212309239153</v>
      </c>
      <c r="AC80" s="116" t="n">
        <f aca="false">IF($C$177&lt;=1,AC68,SUMPRODUCT($C$189:AC189,((AC$39-$C$39:AC$39+1)&gt;=$C$177)+((AC$39-$C$39:AC$39+1)&lt;$C$177)*(AC$39-$C$39:AC$39+1)/$C$177))</f>
        <v>85.6810638835683</v>
      </c>
      <c r="AD80" s="116" t="n">
        <f aca="false">IF($C$177&lt;=1,AD68,SUMPRODUCT($C$189:AD189,((AD$39-$C$39:AD$39+1)&gt;=$C$177)+((AD$39-$C$39:AD$39+1)&lt;$C$177)*(AD$39-$C$39:AD$39+1)/$C$177))</f>
        <v>86.8048284865111</v>
      </c>
      <c r="AE80" s="116" t="n">
        <f aca="false">IF($C$177&lt;=1,AE68,SUMPRODUCT($C$189:AE189,((AE$39-$C$39:AE$39+1)&gt;=$C$177)+((AE$39-$C$39:AE$39+1)&lt;$C$177)*(AE$39-$C$39:AE$39+1)/$C$177))</f>
        <v>87.8924529209571</v>
      </c>
      <c r="AF80" s="116" t="n">
        <f aca="false">IF($C$177&lt;=1,AF68,SUMPRODUCT($C$189:AF189,((AF$39-$C$39:AF$39+1)&gt;=$C$177)+((AF$39-$C$39:AF$39+1)&lt;$C$177)*(AF$39-$C$39:AF$39+1)/$C$177))</f>
        <v>88.9438628401634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11.8267027723829</v>
      </c>
      <c r="D81" s="116" t="n">
        <f aca="false">D69+D80+C121</f>
        <v>31.2705719819142</v>
      </c>
      <c r="E81" s="116" t="n">
        <f aca="false">E69+E80+D121</f>
        <v>57.6809143119371</v>
      </c>
      <c r="F81" s="116" t="n">
        <f aca="false">F69+F80+E121</f>
        <v>118.141354584417</v>
      </c>
      <c r="G81" s="116" t="n">
        <f aca="false">G69+G80+F121</f>
        <v>178.293408440706</v>
      </c>
      <c r="H81" s="116" t="n">
        <f aca="false">H69+H80+G121</f>
        <v>228.012173914254</v>
      </c>
      <c r="I81" s="116" t="n">
        <f aca="false">I69+I80+H121</f>
        <v>271.50635255129</v>
      </c>
      <c r="J81" s="116" t="n">
        <f aca="false">J69+J80+I121</f>
        <v>309.619111802486</v>
      </c>
      <c r="K81" s="116" t="n">
        <f aca="false">K69+K80+J121</f>
        <v>322.204804594348</v>
      </c>
      <c r="L81" s="116" t="n">
        <f aca="false">L69+L80+K121</f>
        <v>334.800671721799</v>
      </c>
      <c r="M81" s="116" t="n">
        <f aca="false">M69+M80+L121</f>
        <v>347.163373073609</v>
      </c>
      <c r="N81" s="116" t="n">
        <f aca="false">N69+N80+M121</f>
        <v>359.324434447461</v>
      </c>
      <c r="O81" s="116" t="n">
        <f aca="false">O69+O80+N121</f>
        <v>371.183929669145</v>
      </c>
      <c r="P81" s="116" t="n">
        <f aca="false">P69+P80+O121</f>
        <v>382.183192025404</v>
      </c>
      <c r="Q81" s="116" t="n">
        <f aca="false">Q69+Q80+P121</f>
        <v>392.323343145344</v>
      </c>
      <c r="R81" s="116" t="n">
        <f aca="false">R69+R80+Q121</f>
        <v>401.813229301608</v>
      </c>
      <c r="S81" s="116" t="n">
        <f aca="false">S69+S80+R121</f>
        <v>410.617925792126</v>
      </c>
      <c r="T81" s="116" t="n">
        <f aca="false">T69+T80+S121</f>
        <v>418.79372625395</v>
      </c>
      <c r="U81" s="116" t="n">
        <f aca="false">U69+U80+T121</f>
        <v>426.899102272405</v>
      </c>
      <c r="V81" s="116" t="n">
        <f aca="false">V69+V80+U121</f>
        <v>434.935986994794</v>
      </c>
      <c r="W81" s="116" t="n">
        <f aca="false">W69+W80+V121</f>
        <v>442.770929925524</v>
      </c>
      <c r="X81" s="116" t="n">
        <f aca="false">X69+X80+W121</f>
        <v>450.418324485327</v>
      </c>
      <c r="Y81" s="116" t="n">
        <f aca="false">Y69+Y80+X121</f>
        <v>457.892515529943</v>
      </c>
      <c r="Z81" s="116" t="n">
        <f aca="false">Z69+Z80+Y121</f>
        <v>465.207885981979</v>
      </c>
      <c r="AA81" s="116" t="n">
        <f aca="false">AA69+AA80+Z121</f>
        <v>472.332242516666</v>
      </c>
      <c r="AB81" s="116" t="n">
        <f aca="false">AB69+AB80+AA121</f>
        <v>479.269751912595</v>
      </c>
      <c r="AC81" s="116" t="n">
        <f aca="false">AC69+AC80+AB121</f>
        <v>486.033344187398</v>
      </c>
      <c r="AD81" s="116" t="n">
        <f aca="false">AD69+AD80+AC121</f>
        <v>492.631774839447</v>
      </c>
      <c r="AE81" s="116" t="n">
        <f aca="false">AE69+AE80+AD121</f>
        <v>499.075087559126</v>
      </c>
      <c r="AF81" s="116" t="n">
        <f aca="false">AF69+AF80+AE121</f>
        <v>505.373853968524</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6.88634987596409</v>
      </c>
      <c r="D83" s="136" t="n">
        <f aca="false">D79+D82</f>
        <v>16.8605998759641</v>
      </c>
      <c r="E83" s="136" t="n">
        <f aca="false">E79+E82</f>
        <v>27.0642576259641</v>
      </c>
      <c r="F83" s="136" t="n">
        <f aca="false">F79+F82</f>
        <v>37.5025995042141</v>
      </c>
      <c r="G83" s="136" t="n">
        <f aca="false">G79+G82</f>
        <v>48.1810232456638</v>
      </c>
      <c r="H83" s="136" t="n">
        <f aca="false">H79+H82</f>
        <v>59.1050507331669</v>
      </c>
      <c r="I83" s="136" t="n">
        <f aca="false">I79+I82</f>
        <v>70.2803308528826</v>
      </c>
      <c r="J83" s="136" t="n">
        <f aca="false">J79+J82</f>
        <v>81.7126424153517</v>
      </c>
      <c r="K83" s="136" t="n">
        <f aca="false">K79+K82</f>
        <v>93.4078971437576</v>
      </c>
      <c r="L83" s="136" t="n">
        <f aca="false">L79+L82</f>
        <v>105.372142730917</v>
      </c>
      <c r="M83" s="136" t="n">
        <f aca="false">M79+M82</f>
        <v>117.611565966581</v>
      </c>
      <c r="N83" s="136" t="n">
        <f aca="false">N79+N82</f>
        <v>130.132495936665</v>
      </c>
      <c r="O83" s="136" t="n">
        <f aca="false">O79+O82</f>
        <v>142.941407296061</v>
      </c>
      <c r="P83" s="136" t="n">
        <f aca="false">P79+P82</f>
        <v>156.044923616723</v>
      </c>
      <c r="Q83" s="136" t="n">
        <f aca="false">Q79+Q82</f>
        <v>169.449820812761</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211.777475532204</v>
      </c>
      <c r="AA83" s="136" t="n">
        <f aca="false">AA79+AA82</f>
        <v>214.910569098052</v>
      </c>
      <c r="AB83" s="136" t="n">
        <f aca="false">AB79+AB82</f>
        <v>217.959442088221</v>
      </c>
      <c r="AC83" s="136" t="n">
        <f aca="false">AC79+AC82</f>
        <v>220.929908091122</v>
      </c>
      <c r="AD83" s="136" t="n">
        <f aca="false">AD79+AD82</f>
        <v>223.825901987842</v>
      </c>
      <c r="AE83" s="136" t="n">
        <f aca="false">AE79+AE82</f>
        <v>226.651938166081</v>
      </c>
      <c r="AF83" s="136" t="n">
        <f aca="false">AF79+AF82</f>
        <v>229.412768396675</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4.86035289641877</v>
      </c>
      <c r="D84" s="116" t="n">
        <f aca="false">D67-D79+D80-D82</f>
        <v>14.2471481059501</v>
      </c>
      <c r="E84" s="116" t="n">
        <f aca="false">E67-E79+E80-E82</f>
        <v>30.1747998835851</v>
      </c>
      <c r="F84" s="116" t="n">
        <f aca="false">F67-F79+F80-F82</f>
        <v>63.658295156145</v>
      </c>
      <c r="G84" s="116" t="n">
        <f aca="false">G67-G79+G80-G82</f>
        <v>96.8980138058226</v>
      </c>
      <c r="H84" s="116" t="n">
        <f aca="false">H67-H79+H80-H82</f>
        <v>119.455595962895</v>
      </c>
      <c r="I84" s="116" t="n">
        <f aca="false">I67-I79+I80-I82</f>
        <v>135.533979761389</v>
      </c>
      <c r="J84" s="116" t="n">
        <f aca="false">J67-J79+J80-J82</f>
        <v>145.970435272625</v>
      </c>
      <c r="K84" s="116" t="n">
        <f aca="false">K67-K79+K80-K82</f>
        <v>139.846951794172</v>
      </c>
      <c r="L84" s="116" t="n">
        <f aca="false">L67-L79+L80-L82</f>
        <v>133.464651792553</v>
      </c>
      <c r="M84" s="116" t="n">
        <f aca="false">M67-M79+M80-M82</f>
        <v>130.792356085509</v>
      </c>
      <c r="N84" s="116" t="n">
        <f aca="false">N67-N79+N80-N82</f>
        <v>127.363099614019</v>
      </c>
      <c r="O84" s="116" t="n">
        <f aca="false">O67-O79+O80-O82</f>
        <v>122.967563090929</v>
      </c>
      <c r="P84" s="116" t="n">
        <f aca="false">P67-P79+P80-P82</f>
        <v>117.040568481044</v>
      </c>
      <c r="Q84" s="116" t="n">
        <f aca="false">Q67-Q79+Q80-Q82</f>
        <v>109.574730173898</v>
      </c>
      <c r="R84" s="116" t="n">
        <f aca="false">R67-R79+R80-R82</f>
        <v>106.492768167189</v>
      </c>
      <c r="S84" s="116" t="n">
        <f aca="false">S67-S79+S80-S82</f>
        <v>106.677516594566</v>
      </c>
      <c r="T84" s="116" t="n">
        <f aca="false">T67-T79+T80-T82</f>
        <v>106.247782066784</v>
      </c>
      <c r="U84" s="116" t="n">
        <f aca="false">U67-U79+U80-U82</f>
        <v>105.751778987156</v>
      </c>
      <c r="V84" s="116" t="n">
        <f aca="false">V67-V79+V80-V82</f>
        <v>105.183214721606</v>
      </c>
      <c r="W84" s="116" t="n">
        <f aca="false">W67-W79+W80-W82</f>
        <v>104.392325349872</v>
      </c>
      <c r="X84" s="116" t="n">
        <f aca="false">X67-X79+X80-X82</f>
        <v>103.372856725694</v>
      </c>
      <c r="Y84" s="116" t="n">
        <f aca="false">Y67-Y79+Y80-Y82</f>
        <v>102.118507195717</v>
      </c>
      <c r="Z84" s="116" t="n">
        <f aca="false">Z67-Z79+Z80-Z82</f>
        <v>101.780958339036</v>
      </c>
      <c r="AA84" s="116" t="n">
        <f aca="false">AA67-AA79+AA80-AA82</f>
        <v>101.802163851654</v>
      </c>
      <c r="AB84" s="116" t="n">
        <f aca="false">AB67-AB79+AB80-AB82</f>
        <v>101.769542731434</v>
      </c>
      <c r="AC84" s="116" t="n">
        <f aca="false">AC67-AC79+AC80-AC82</f>
        <v>101.676761284572</v>
      </c>
      <c r="AD84" s="116" t="n">
        <f aca="false">AD67-AD79+AD80-AD82</f>
        <v>101.51936526352</v>
      </c>
      <c r="AE84" s="116" t="n">
        <f aca="false">AE67-AE79+AE80-AE82</f>
        <v>101.292320724204</v>
      </c>
      <c r="AF84" s="116" t="n">
        <f aca="false">AF67-AF79+AF80-AF82</f>
        <v>100.990355235611</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1.41920433268594</v>
      </c>
      <c r="D85" s="116" t="n">
        <f aca="false">IF(AND($C$31&gt;0,D$39&gt;10),MIN(D83,MAX(01_Supuestos!$I$137*D81,C85*(1-1/MAX(1,$C$31)))),MIN(IF(D$39&lt;=10,01_Supuestos!$I$136,01_Supuestos!$I$137)*D81,D83))</f>
        <v>3.7524686378297</v>
      </c>
      <c r="E85" s="116" t="n">
        <f aca="false">IF(AND($C$31&gt;0,E$39&gt;10),MIN(E83,MAX(01_Supuestos!$I$137*E81,D85*(1-1/MAX(1,$C$31)))),MIN(IF(E$39&lt;=10,01_Supuestos!$I$136,01_Supuestos!$I$137)*E81,E83))</f>
        <v>6.92170971743245</v>
      </c>
      <c r="F85" s="116" t="n">
        <f aca="false">IF(AND($C$31&gt;0,F$39&gt;10),MIN(F83,MAX(01_Supuestos!$I$137*F81,E85*(1-1/MAX(1,$C$31)))),MIN(IF(F$39&lt;=10,01_Supuestos!$I$136,01_Supuestos!$I$137)*F81,F83))</f>
        <v>14.17696255013</v>
      </c>
      <c r="G85" s="116" t="n">
        <f aca="false">IF(AND($C$31&gt;0,G$39&gt;10),MIN(G83,MAX(01_Supuestos!$I$137*G81,F85*(1-1/MAX(1,$C$31)))),MIN(IF(G$39&lt;=10,01_Supuestos!$I$136,01_Supuestos!$I$137)*G81,G83))</f>
        <v>21.3952090128847</v>
      </c>
      <c r="H85" s="116" t="n">
        <f aca="false">IF(AND($C$31&gt;0,H$39&gt;10),MIN(H83,MAX(01_Supuestos!$I$137*H81,G85*(1-1/MAX(1,$C$31)))),MIN(IF(H$39&lt;=10,01_Supuestos!$I$136,01_Supuestos!$I$137)*H81,H83))</f>
        <v>27.3614608697104</v>
      </c>
      <c r="I85" s="116" t="n">
        <f aca="false">IF(AND($C$31&gt;0,I$39&gt;10),MIN(I83,MAX(01_Supuestos!$I$137*I81,H85*(1-1/MAX(1,$C$31)))),MIN(IF(I$39&lt;=10,01_Supuestos!$I$136,01_Supuestos!$I$137)*I81,I83))</f>
        <v>32.5807623061547</v>
      </c>
      <c r="J85" s="116" t="n">
        <f aca="false">IF(AND($C$31&gt;0,J$39&gt;10),MIN(J83,MAX(01_Supuestos!$I$137*J81,I85*(1-1/MAX(1,$C$31)))),MIN(IF(J$39&lt;=10,01_Supuestos!$I$136,01_Supuestos!$I$137)*J81,J83))</f>
        <v>37.1542934162984</v>
      </c>
      <c r="K85" s="116" t="n">
        <f aca="false">IF(AND($C$31&gt;0,K$39&gt;10),MIN(K83,MAX(01_Supuestos!$I$137*K81,J85*(1-1/MAX(1,$C$31)))),MIN(IF(K$39&lt;=10,01_Supuestos!$I$136,01_Supuestos!$I$137)*K81,K83))</f>
        <v>38.6645765513218</v>
      </c>
      <c r="L85" s="116" t="n">
        <f aca="false">IF(AND($C$31&gt;0,L$39&gt;10),MIN(L83,MAX(01_Supuestos!$I$137*L81,K85*(1-1/MAX(1,$C$31)))),MIN(IF(L$39&lt;=10,01_Supuestos!$I$136,01_Supuestos!$I$137)*L81,L83))</f>
        <v>40.1760806066159</v>
      </c>
      <c r="M85" s="116" t="n">
        <f aca="false">IF(AND($C$31&gt;0,M$39&gt;10),MIN(M83,MAX(01_Supuestos!$I$137*M81,L85*(1-1/MAX(1,$C$31)))),MIN(IF(M$39&lt;=10,01_Supuestos!$I$136,01_Supuestos!$I$137)*M81,M83))</f>
        <v>32.1408644852927</v>
      </c>
      <c r="N85" s="116" t="n">
        <f aca="false">IF(AND($C$31&gt;0,N$39&gt;10),MIN(N83,MAX(01_Supuestos!$I$137*N81,M85*(1-1/MAX(1,$C$31)))),MIN(IF(N$39&lt;=10,01_Supuestos!$I$136,01_Supuestos!$I$137)*N81,N83))</f>
        <v>26.9493325835595</v>
      </c>
      <c r="O85" s="116" t="n">
        <f aca="false">IF(AND($C$31&gt;0,O$39&gt;10),MIN(O83,MAX(01_Supuestos!$I$137*O81,N85*(1-1/MAX(1,$C$31)))),MIN(IF(O$39&lt;=10,01_Supuestos!$I$136,01_Supuestos!$I$137)*O81,O83))</f>
        <v>27.8387947251858</v>
      </c>
      <c r="P85" s="116" t="n">
        <f aca="false">IF(AND($C$31&gt;0,P$39&gt;10),MIN(P83,MAX(01_Supuestos!$I$137*P81,O85*(1-1/MAX(1,$C$31)))),MIN(IF(P$39&lt;=10,01_Supuestos!$I$136,01_Supuestos!$I$137)*P81,P83))</f>
        <v>28.6637394019053</v>
      </c>
      <c r="Q85" s="116" t="n">
        <f aca="false">IF(AND($C$31&gt;0,Q$39&gt;10),MIN(Q83,MAX(01_Supuestos!$I$137*Q81,P85*(1-1/MAX(1,$C$31)))),MIN(IF(Q$39&lt;=10,01_Supuestos!$I$136,01_Supuestos!$I$137)*Q81,Q83))</f>
        <v>29.4242507359008</v>
      </c>
      <c r="R85" s="116" t="n">
        <f aca="false">IF(AND($C$31&gt;0,R$39&gt;10),MIN(R83,MAX(01_Supuestos!$I$137*R81,Q85*(1-1/MAX(1,$C$31)))),MIN(IF(R$39&lt;=10,01_Supuestos!$I$136,01_Supuestos!$I$137)*R81,R83))</f>
        <v>30.1359921976206</v>
      </c>
      <c r="S85" s="116" t="n">
        <f aca="false">IF(AND($C$31&gt;0,S$39&gt;10),MIN(S83,MAX(01_Supuestos!$I$137*S81,R85*(1-1/MAX(1,$C$31)))),MIN(IF(S$39&lt;=10,01_Supuestos!$I$136,01_Supuestos!$I$137)*S81,S83))</f>
        <v>30.7963444344095</v>
      </c>
      <c r="T85" s="116" t="n">
        <f aca="false">IF(AND($C$31&gt;0,T$39&gt;10),MIN(T83,MAX(01_Supuestos!$I$137*T81,S85*(1-1/MAX(1,$C$31)))),MIN(IF(T$39&lt;=10,01_Supuestos!$I$136,01_Supuestos!$I$137)*T81,T83))</f>
        <v>31.4095294690462</v>
      </c>
      <c r="U85" s="116" t="n">
        <f aca="false">IF(AND($C$31&gt;0,U$39&gt;10),MIN(U83,MAX(01_Supuestos!$I$137*U81,T85*(1-1/MAX(1,$C$31)))),MIN(IF(U$39&lt;=10,01_Supuestos!$I$136,01_Supuestos!$I$137)*U81,U83))</f>
        <v>32.0174326704304</v>
      </c>
      <c r="V85" s="116" t="n">
        <f aca="false">IF(AND($C$31&gt;0,V$39&gt;10),MIN(V83,MAX(01_Supuestos!$I$137*V81,U85*(1-1/MAX(1,$C$31)))),MIN(IF(V$39&lt;=10,01_Supuestos!$I$136,01_Supuestos!$I$137)*V81,V83))</f>
        <v>32.6201990246095</v>
      </c>
      <c r="W85" s="116" t="n">
        <f aca="false">IF(AND($C$31&gt;0,W$39&gt;10),MIN(W83,MAX(01_Supuestos!$I$137*W81,V85*(1-1/MAX(1,$C$31)))),MIN(IF(W$39&lt;=10,01_Supuestos!$I$136,01_Supuestos!$I$137)*W81,W83))</f>
        <v>33.2078197444143</v>
      </c>
      <c r="X85" s="116" t="n">
        <f aca="false">IF(AND($C$31&gt;0,X$39&gt;10),MIN(X83,MAX(01_Supuestos!$I$137*X81,W85*(1-1/MAX(1,$C$31)))),MIN(IF(X$39&lt;=10,01_Supuestos!$I$136,01_Supuestos!$I$137)*X81,X83))</f>
        <v>33.7813743363995</v>
      </c>
      <c r="Y85" s="116" t="n">
        <f aca="false">IF(AND($C$31&gt;0,Y$39&gt;10),MIN(Y83,MAX(01_Supuestos!$I$137*Y81,X85*(1-1/MAX(1,$C$31)))),MIN(IF(Y$39&lt;=10,01_Supuestos!$I$136,01_Supuestos!$I$137)*Y81,Y83))</f>
        <v>34.3419386647458</v>
      </c>
      <c r="Z85" s="116" t="n">
        <f aca="false">IF(AND($C$31&gt;0,Z$39&gt;10),MIN(Z83,MAX(01_Supuestos!$I$137*Z81,Y85*(1-1/MAX(1,$C$31)))),MIN(IF(Z$39&lt;=10,01_Supuestos!$I$136,01_Supuestos!$I$137)*Z81,Z83))</f>
        <v>34.8905914486484</v>
      </c>
      <c r="AA85" s="116" t="n">
        <f aca="false">IF(AND($C$31&gt;0,AA$39&gt;10),MIN(AA83,MAX(01_Supuestos!$I$137*AA81,Z85*(1-1/MAX(1,$C$31)))),MIN(IF(AA$39&lt;=10,01_Supuestos!$I$136,01_Supuestos!$I$137)*AA81,AA83))</f>
        <v>35.4249181887499</v>
      </c>
      <c r="AB85" s="116" t="n">
        <f aca="false">IF(AND($C$31&gt;0,AB$39&gt;10),MIN(AB83,MAX(01_Supuestos!$I$137*AB81,AA85*(1-1/MAX(1,$C$31)))),MIN(IF(AB$39&lt;=10,01_Supuestos!$I$136,01_Supuestos!$I$137)*AB81,AB83))</f>
        <v>35.9452313934446</v>
      </c>
      <c r="AC85" s="116" t="n">
        <f aca="false">IF(AND($C$31&gt;0,AC$39&gt;10),MIN(AC83,MAX(01_Supuestos!$I$137*AC81,AB85*(1-1/MAX(1,$C$31)))),MIN(IF(AC$39&lt;=10,01_Supuestos!$I$136,01_Supuestos!$I$137)*AC81,AC83))</f>
        <v>36.4525008140548</v>
      </c>
      <c r="AD85" s="116" t="n">
        <f aca="false">IF(AND($C$31&gt;0,AD$39&gt;10),MIN(AD83,MAX(01_Supuestos!$I$137*AD81,AC85*(1-1/MAX(1,$C$31)))),MIN(IF(AD$39&lt;=10,01_Supuestos!$I$136,01_Supuestos!$I$137)*AD81,AD83))</f>
        <v>36.9473831129586</v>
      </c>
      <c r="AE85" s="116" t="n">
        <f aca="false">IF(AND($C$31&gt;0,AE$39&gt;10),MIN(AE83,MAX(01_Supuestos!$I$137*AE81,AD85*(1-1/MAX(1,$C$31)))),MIN(IF(AE$39&lt;=10,01_Supuestos!$I$136,01_Supuestos!$I$137)*AE81,AE83))</f>
        <v>37.4306315669344</v>
      </c>
      <c r="AF85" s="116" t="n">
        <f aca="false">IF(AND($C$31&gt;0,AF$39&gt;10),MIN(AF83,MAX(01_Supuestos!$I$137*AF81,AE85*(1-1/MAX(1,$C$31)))),MIN(IF(AF$39&lt;=10,01_Supuestos!$I$136,01_Supuestos!$I$137)*AF81,AF83))</f>
        <v>37.9030390476393</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0.344317493798204</v>
      </c>
      <c r="D86" s="116" t="n">
        <f aca="false">01_Supuestos!$I$127*D83</f>
        <v>0.843029993798204</v>
      </c>
      <c r="E86" s="116" t="n">
        <f aca="false">01_Supuestos!$I$127*E83</f>
        <v>1.3532128812982</v>
      </c>
      <c r="F86" s="116" t="n">
        <f aca="false">01_Supuestos!$I$127*F83</f>
        <v>1.8751299752107</v>
      </c>
      <c r="G86" s="116" t="n">
        <f aca="false">01_Supuestos!$I$127*G83</f>
        <v>2.40905116228319</v>
      </c>
      <c r="H86" s="116" t="n">
        <f aca="false">01_Supuestos!$I$127*H83</f>
        <v>2.95525253665835</v>
      </c>
      <c r="I86" s="116" t="n">
        <f aca="false">01_Supuestos!$I$127*I83</f>
        <v>3.51401654264413</v>
      </c>
      <c r="J86" s="116" t="n">
        <f aca="false">01_Supuestos!$I$127*J83</f>
        <v>4.08563212076759</v>
      </c>
      <c r="K86" s="116" t="n">
        <f aca="false">01_Supuestos!$I$127*K83</f>
        <v>4.67039485718788</v>
      </c>
      <c r="L86" s="116" t="n">
        <f aca="false">01_Supuestos!$I$127*L83</f>
        <v>5.26860713654584</v>
      </c>
      <c r="M86" s="116" t="n">
        <f aca="false">01_Supuestos!$I$127*M83</f>
        <v>5.88057829832904</v>
      </c>
      <c r="N86" s="116" t="n">
        <f aca="false">01_Supuestos!$I$127*N83</f>
        <v>6.50662479683325</v>
      </c>
      <c r="O86" s="116" t="n">
        <f aca="false">01_Supuestos!$I$127*O83</f>
        <v>7.14707036480305</v>
      </c>
      <c r="P86" s="116" t="n">
        <f aca="false">01_Supuestos!$I$127*P83</f>
        <v>7.80224618083616</v>
      </c>
      <c r="Q86" s="116" t="n">
        <f aca="false">01_Supuestos!$I$127*Q83</f>
        <v>8.47249104063803</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10.5888737766102</v>
      </c>
      <c r="AA86" s="116" t="n">
        <f aca="false">01_Supuestos!$I$127*AA83</f>
        <v>10.7455284549026</v>
      </c>
      <c r="AB86" s="116" t="n">
        <f aca="false">01_Supuestos!$I$127*AB83</f>
        <v>10.897972104411</v>
      </c>
      <c r="AC86" s="116" t="n">
        <f aca="false">01_Supuestos!$I$127*AC83</f>
        <v>11.0464954045561</v>
      </c>
      <c r="AD86" s="116" t="n">
        <f aca="false">01_Supuestos!$I$127*AD83</f>
        <v>11.1912950993921</v>
      </c>
      <c r="AE86" s="116" t="n">
        <f aca="false">01_Supuestos!$I$127*AE83</f>
        <v>11.3325969083041</v>
      </c>
      <c r="AF86" s="116" t="n">
        <f aca="false">01_Supuestos!$I$127*AF83</f>
        <v>11.4706384198338</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5.12282804947994</v>
      </c>
      <c r="D87" s="116" t="n">
        <f aca="false">D83-D85-D86</f>
        <v>12.2651012443362</v>
      </c>
      <c r="E87" s="116" t="n">
        <f aca="false">E83-E85-E86</f>
        <v>18.7893350272334</v>
      </c>
      <c r="F87" s="116" t="n">
        <f aca="false">F83-F85-F86</f>
        <v>21.4505069788734</v>
      </c>
      <c r="G87" s="116" t="n">
        <f aca="false">G83-G85-G86</f>
        <v>24.3767630704959</v>
      </c>
      <c r="H87" s="116" t="n">
        <f aca="false">H83-H85-H86</f>
        <v>28.7883373267981</v>
      </c>
      <c r="I87" s="116" t="n">
        <f aca="false">I83-I85-I86</f>
        <v>34.1855520040837</v>
      </c>
      <c r="J87" s="116" t="n">
        <f aca="false">J83-J85-J86</f>
        <v>40.4727168782857</v>
      </c>
      <c r="K87" s="116" t="n">
        <f aca="false">K83-K85-K86</f>
        <v>50.0729257352479</v>
      </c>
      <c r="L87" s="116" t="n">
        <f aca="false">L83-L85-L86</f>
        <v>59.9274549877551</v>
      </c>
      <c r="M87" s="116" t="n">
        <f aca="false">M83-M85-M86</f>
        <v>79.590123182959</v>
      </c>
      <c r="N87" s="116" t="n">
        <f aca="false">N83-N85-N86</f>
        <v>96.6765385562721</v>
      </c>
      <c r="O87" s="116" t="n">
        <f aca="false">O83-O85-O86</f>
        <v>107.955542206072</v>
      </c>
      <c r="P87" s="116" t="n">
        <f aca="false">P83-P85-P86</f>
        <v>119.578938033982</v>
      </c>
      <c r="Q87" s="116" t="n">
        <f aca="false">Q83-Q85-Q86</f>
        <v>131.553079036222</v>
      </c>
      <c r="R87" s="116" t="n">
        <f aca="false">R83-R85-R86</f>
        <v>138.506349807692</v>
      </c>
      <c r="S87" s="116" t="n">
        <f aca="false">S83-S85-S86</f>
        <v>141.724771437026</v>
      </c>
      <c r="T87" s="116" t="n">
        <f aca="false">T83-T85-T86</f>
        <v>145.079572067432</v>
      </c>
      <c r="U87" s="116" t="n">
        <f aca="false">U83-U85-U86</f>
        <v>148.530918201387</v>
      </c>
      <c r="V87" s="116" t="n">
        <f aca="false">V83-V85-V86</f>
        <v>152.080763917259</v>
      </c>
      <c r="W87" s="116" t="n">
        <f aca="false">W83-W85-W86</f>
        <v>155.741265345118</v>
      </c>
      <c r="X87" s="116" t="n">
        <f aca="false">X83-X85-X86</f>
        <v>159.513539710191</v>
      </c>
      <c r="Y87" s="116" t="n">
        <f aca="false">Y83-Y85-Y86</f>
        <v>163.398758404917</v>
      </c>
      <c r="Z87" s="116" t="n">
        <f aca="false">Z83-Z85-Z86</f>
        <v>166.298010306945</v>
      </c>
      <c r="AA87" s="116" t="n">
        <f aca="false">AA83-AA85-AA86</f>
        <v>168.740122454399</v>
      </c>
      <c r="AB87" s="116" t="n">
        <f aca="false">AB83-AB85-AB86</f>
        <v>171.116238590365</v>
      </c>
      <c r="AC87" s="116" t="n">
        <f aca="false">AC83-AC85-AC86</f>
        <v>173.430911872511</v>
      </c>
      <c r="AD87" s="116" t="n">
        <f aca="false">AD83-AD85-AD86</f>
        <v>175.687223775491</v>
      </c>
      <c r="AE87" s="116" t="n">
        <f aca="false">AE83-AE85-AE86</f>
        <v>177.888709690843</v>
      </c>
      <c r="AF87" s="116" t="n">
        <f aca="false">AF83-AF85-AF86</f>
        <v>180.039090929202</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0.019367859026149</v>
      </c>
      <c r="D88" s="116" t="n">
        <f aca="false">D86/01_Supuestos!$I$131*01_Supuestos!$I$129*01_Supuestos!$I$130*01_Supuestos!$I$128</f>
        <v>0.047420437151149</v>
      </c>
      <c r="E88" s="116" t="n">
        <f aca="false">E86/01_Supuestos!$I$131*01_Supuestos!$I$129*01_Supuestos!$I$130*01_Supuestos!$I$128</f>
        <v>0.076118224573024</v>
      </c>
      <c r="F88" s="116" t="n">
        <f aca="false">F86/01_Supuestos!$I$131*01_Supuestos!$I$129*01_Supuestos!$I$130*01_Supuestos!$I$128</f>
        <v>0.105476061105602</v>
      </c>
      <c r="G88" s="116" t="n">
        <f aca="false">G86/01_Supuestos!$I$131*01_Supuestos!$I$129*01_Supuestos!$I$130*01_Supuestos!$I$128</f>
        <v>0.13550912787843</v>
      </c>
      <c r="H88" s="116" t="n">
        <f aca="false">H86/01_Supuestos!$I$131*01_Supuestos!$I$129*01_Supuestos!$I$130*01_Supuestos!$I$128</f>
        <v>0.166232955187032</v>
      </c>
      <c r="I88" s="116" t="n">
        <f aca="false">I86/01_Supuestos!$I$131*01_Supuestos!$I$129*01_Supuestos!$I$130*01_Supuestos!$I$128</f>
        <v>0.197663430523732</v>
      </c>
      <c r="J88" s="116" t="n">
        <f aca="false">J86/01_Supuestos!$I$131*01_Supuestos!$I$129*01_Supuestos!$I$130*01_Supuestos!$I$128</f>
        <v>0.229816806793177</v>
      </c>
      <c r="K88" s="116" t="n">
        <f aca="false">K86/01_Supuestos!$I$131*01_Supuestos!$I$129*01_Supuestos!$I$130*01_Supuestos!$I$128</f>
        <v>0.262709710716818</v>
      </c>
      <c r="L88" s="116" t="n">
        <f aca="false">L86/01_Supuestos!$I$131*01_Supuestos!$I$129*01_Supuestos!$I$130*01_Supuestos!$I$128</f>
        <v>0.296359151430704</v>
      </c>
      <c r="M88" s="116" t="n">
        <f aca="false">M86/01_Supuestos!$I$131*01_Supuestos!$I$129*01_Supuestos!$I$130*01_Supuestos!$I$128</f>
        <v>0.330782529281008</v>
      </c>
      <c r="N88" s="116" t="n">
        <f aca="false">N86/01_Supuestos!$I$131*01_Supuestos!$I$129*01_Supuestos!$I$130*01_Supuestos!$I$128</f>
        <v>0.36599764482187</v>
      </c>
      <c r="O88" s="116" t="n">
        <f aca="false">O86/01_Supuestos!$I$131*01_Supuestos!$I$129*01_Supuestos!$I$130*01_Supuestos!$I$128</f>
        <v>0.402022708020172</v>
      </c>
      <c r="P88" s="116" t="n">
        <f aca="false">P86/01_Supuestos!$I$131*01_Supuestos!$I$129*01_Supuestos!$I$130*01_Supuestos!$I$128</f>
        <v>0.438876347672034</v>
      </c>
      <c r="Q88" s="116" t="n">
        <f aca="false">Q86/01_Supuestos!$I$131*01_Supuestos!$I$129*01_Supuestos!$I$130*01_Supuestos!$I$128</f>
        <v>0.476577621035889</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0.595624149934323</v>
      </c>
      <c r="AA88" s="116" t="n">
        <f aca="false">AA86/01_Supuestos!$I$131*01_Supuestos!$I$129*01_Supuestos!$I$130*01_Supuestos!$I$128</f>
        <v>0.604435975588271</v>
      </c>
      <c r="AB88" s="116" t="n">
        <f aca="false">AB86/01_Supuestos!$I$131*01_Supuestos!$I$129*01_Supuestos!$I$130*01_Supuestos!$I$128</f>
        <v>0.613010930873122</v>
      </c>
      <c r="AC88" s="116" t="n">
        <f aca="false">AC86/01_Supuestos!$I$131*01_Supuestos!$I$129*01_Supuestos!$I$130*01_Supuestos!$I$128</f>
        <v>0.621365366506281</v>
      </c>
      <c r="AD88" s="116" t="n">
        <f aca="false">AD86/01_Supuestos!$I$131*01_Supuestos!$I$129*01_Supuestos!$I$130*01_Supuestos!$I$128</f>
        <v>0.629510349340805</v>
      </c>
      <c r="AE88" s="116" t="n">
        <f aca="false">AE86/01_Supuestos!$I$131*01_Supuestos!$I$129*01_Supuestos!$I$130*01_Supuestos!$I$128</f>
        <v>0.637458576092104</v>
      </c>
      <c r="AF88" s="116" t="n">
        <f aca="false">AF86/01_Supuestos!$I$131*01_Supuestos!$I$129*01_Supuestos!$I$130*01_Supuestos!$I$128</f>
        <v>0.645223411115649</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0.594248053739674</v>
      </c>
      <c r="D90" s="116" t="n">
        <f aca="false">D83-C83-D73+D185-D228</f>
        <v>0.558516991520932</v>
      </c>
      <c r="E90" s="116" t="n">
        <f aca="false">E83-D83-E73+E185-E228</f>
        <v>0.221473329877595</v>
      </c>
      <c r="F90" s="116" t="n">
        <f aca="false">F83-E83-F73+F185-F228</f>
        <v>-0.256716970910635</v>
      </c>
      <c r="G90" s="116" t="n">
        <f aca="false">G83-F83-G73+G185-G228</f>
        <v>-0.00320066280895759</v>
      </c>
      <c r="H90" s="116" t="n">
        <f aca="false">H83-G83-H73+H185-H228</f>
        <v>0.274965940017935</v>
      </c>
      <c r="I90" s="116" t="n">
        <f aca="false">I83-H83-I73+I185-I228</f>
        <v>0.302796530844979</v>
      </c>
      <c r="J90" s="116" t="n">
        <f aca="false">J83-I83-J73+J185-J228</f>
        <v>0.308007168666677</v>
      </c>
      <c r="K90" s="116" t="n">
        <f aca="false">K83-J83-K73+K185-K228</f>
        <v>0.61484087455738</v>
      </c>
      <c r="L90" s="116" t="n">
        <f aca="false">L83-K83-L73+L185-L228</f>
        <v>0.442127653082004</v>
      </c>
      <c r="M90" s="116" t="n">
        <f aca="false">M83-L83-M73+M185-M228</f>
        <v>1.46369078590779</v>
      </c>
      <c r="N90" s="116" t="n">
        <f aca="false">N83-M83-N73+N185-N228</f>
        <v>0.640040825456673</v>
      </c>
      <c r="O90" s="116" t="n">
        <f aca="false">O83-N83-O73+O185-O228</f>
        <v>-0.202112725541596</v>
      </c>
      <c r="P90" s="116" t="n">
        <f aca="false">P83-O83-P73+P185-P228</f>
        <v>0.223823654960576</v>
      </c>
      <c r="Q90" s="116" t="n">
        <f aca="false">Q83-P83-Q73+Q185-Q228</f>
        <v>0.426517885934281</v>
      </c>
      <c r="R90" s="116" t="n">
        <f aca="false">R83-Q83-R73+R185-R228</f>
        <v>-0.185072039563906</v>
      </c>
      <c r="S90" s="116" t="n">
        <f aca="false">S83-R83-S73+S185-S228</f>
        <v>-0.3645821459845</v>
      </c>
      <c r="T90" s="116" t="n">
        <f aca="false">T83-S83-T73+T185-T228</f>
        <v>0.00383232616469797</v>
      </c>
      <c r="U90" s="116" t="n">
        <f aca="false">U83-T83-U73+U185-U228</f>
        <v>0.123706975932926</v>
      </c>
      <c r="V90" s="116" t="n">
        <f aca="false">V83-U83-V73+V185-V228</f>
        <v>0.125813957297993</v>
      </c>
      <c r="W90" s="116" t="n">
        <f aca="false">W83-V83-W73+W185-W228</f>
        <v>0.130463783831537</v>
      </c>
      <c r="X90" s="116" t="n">
        <f aca="false">X83-W83-X73+X185-X228</f>
        <v>0.134541928382788</v>
      </c>
      <c r="Y90" s="116" t="n">
        <f aca="false">Y83-X83-Y73+Y185-Y228</f>
        <v>0.138319964879244</v>
      </c>
      <c r="Z90" s="116" t="n">
        <f aca="false">Z83-Y83-Z73+Z185-Z228</f>
        <v>0.0145279169919945</v>
      </c>
      <c r="AA90" s="116" t="n">
        <f aca="false">AA83-Z83-AA73+AA185-AA228</f>
        <v>0.00995901303716096</v>
      </c>
      <c r="AB90" s="116" t="n">
        <f aca="false">AB83-AA83-AB73+AB185-AB228</f>
        <v>0.0569827320812095</v>
      </c>
      <c r="AC90" s="116" t="n">
        <f aca="false">AC83-AB83-AC73+AC185-AC228</f>
        <v>0.067514967498937</v>
      </c>
      <c r="AD90" s="116" t="n">
        <f aca="false">AD83-AC83-AD73+AD185-AD228</f>
        <v>0.0660305854195684</v>
      </c>
      <c r="AE90" s="116" t="n">
        <f aca="false">AE83-AD83-AE73+AE185-AE228</f>
        <v>0.0646526582598739</v>
      </c>
      <c r="AF90" s="116" t="n">
        <f aca="false">AF83-AE83-AF73+AF185-AF228</f>
        <v>0.0634244847203291</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0.594248053739674</v>
      </c>
      <c r="D92" s="116" t="n">
        <f aca="false">IF(D90&gt;0,IF($C$20="BC",MIN(D90-D91,MAX(0,C276+D53-D75)),MIN(D90,MAX(0,C276+D53-D75))),0)</f>
        <v>0.558516991520932</v>
      </c>
      <c r="E92" s="116" t="n">
        <f aca="false">IF(E90&gt;0,IF($C$20="BC",MIN(E90-E91,MAX(0,D276+E53-E75)),MIN(E90,MAX(0,D276+E53-E75))),0)</f>
        <v>0.221473329877595</v>
      </c>
      <c r="F92" s="116" t="n">
        <f aca="false">IF(F90&gt;0,IF($C$20="BC",MIN(F90-F91,MAX(0,E276+F53-F75)),MIN(F90,MAX(0,E276+F53-F75))),0)</f>
        <v>0</v>
      </c>
      <c r="G92" s="116" t="n">
        <f aca="false">IF(G90&gt;0,IF($C$20="BC",MIN(G90-G91,MAX(0,F276+G53-G75)),MIN(G90,MAX(0,F276+G53-G75))),0)</f>
        <v>0</v>
      </c>
      <c r="H92" s="116" t="n">
        <f aca="false">IF(H90&gt;0,IF($C$20="BC",MIN(H90-H91,MAX(0,G276+H53-H75)),MIN(H90,MAX(0,G276+H53-H75))),0)</f>
        <v>0.274965940017935</v>
      </c>
      <c r="I92" s="116" t="n">
        <f aca="false">IF(I90&gt;0,IF($C$20="BC",MIN(I90-I91,MAX(0,H276+I53-I75)),MIN(I90,MAX(0,H276+I53-I75))),0)</f>
        <v>0.302796530844979</v>
      </c>
      <c r="J92" s="116" t="n">
        <f aca="false">IF(J90&gt;0,IF($C$20="BC",MIN(J90-J91,MAX(0,I276+J53-J75)),MIN(J90,MAX(0,I276+J53-J75))),0)</f>
        <v>0.308007168666677</v>
      </c>
      <c r="K92" s="116" t="n">
        <f aca="false">IF(K90&gt;0,IF($C$20="BC",MIN(K90-K91,MAX(0,J276+K53-K75)),MIN(K90,MAX(0,J276+K53-K75))),0)</f>
        <v>0.61484087455738</v>
      </c>
      <c r="L92" s="116" t="n">
        <f aca="false">IF(L90&gt;0,IF($C$20="BC",MIN(L90-L91,MAX(0,K276+L53-L75)),MIN(L90,MAX(0,K276+L53-L75))),0)</f>
        <v>0.442127653082004</v>
      </c>
      <c r="M92" s="116" t="n">
        <f aca="false">IF(M90&gt;0,IF($C$20="BC",MIN(M90-M91,MAX(0,L276+M53-M75)),MIN(M90,MAX(0,L276+M53-M75))),0)</f>
        <v>1.46369078590779</v>
      </c>
      <c r="N92" s="116" t="n">
        <f aca="false">IF(N90&gt;0,IF($C$20="BC",MIN(N90-N91,MAX(0,M276+N53-N75)),MIN(N90,MAX(0,M276+N53-N75))),0)</f>
        <v>0.640040825456673</v>
      </c>
      <c r="O92" s="116" t="n">
        <f aca="false">IF(O90&gt;0,IF($C$20="BC",MIN(O90-O91,MAX(0,N276+O53-O75)),MIN(O90,MAX(0,N276+O53-O75))),0)</f>
        <v>0</v>
      </c>
      <c r="P92" s="116" t="n">
        <f aca="false">IF(P90&gt;0,IF($C$20="BC",MIN(P90-P91,MAX(0,O276+P53-P75)),MIN(P90,MAX(0,O276+P53-P75))),0)</f>
        <v>0.223823654960576</v>
      </c>
      <c r="Q92" s="116" t="n">
        <f aca="false">IF(Q90&gt;0,IF($C$20="BC",MIN(Q90-Q91,MAX(0,P276+Q53-Q75)),MIN(Q90,MAX(0,P276+Q53-Q75))),0)</f>
        <v>0.426517885934281</v>
      </c>
      <c r="R92" s="116" t="n">
        <f aca="false">IF(R90&gt;0,IF($C$20="BC",MIN(R90-R91,MAX(0,Q276+R53-R75)),MIN(R90,MAX(0,Q276+R53-R75))),0)</f>
        <v>0</v>
      </c>
      <c r="S92" s="116" t="n">
        <f aca="false">IF(S90&gt;0,IF($C$20="BC",MIN(S90-S91,MAX(0,R276+S53-S75)),MIN(S90,MAX(0,R276+S53-S75))),0)</f>
        <v>0</v>
      </c>
      <c r="T92" s="116" t="n">
        <f aca="false">IF(T90&gt;0,IF($C$20="BC",MIN(T90-T91,MAX(0,S276+T53-T75)),MIN(T90,MAX(0,S276+T53-T75))),0)</f>
        <v>0.00383232616469797</v>
      </c>
      <c r="U92" s="116" t="n">
        <f aca="false">IF(U90&gt;0,IF($C$20="BC",MIN(U90-U91,MAX(0,T276+U53-U75)),MIN(U90,MAX(0,T276+U53-U75))),0)</f>
        <v>0.123706975932926</v>
      </c>
      <c r="V92" s="116" t="n">
        <f aca="false">IF(V90&gt;0,IF($C$20="BC",MIN(V90-V91,MAX(0,U276+V53-V75)),MIN(V90,MAX(0,U276+V53-V75))),0)</f>
        <v>0.125813957297993</v>
      </c>
      <c r="W92" s="116" t="n">
        <f aca="false">IF(W90&gt;0,IF($C$20="BC",MIN(W90-W91,MAX(0,V276+W53-W75)),MIN(W90,MAX(0,V276+W53-W75))),0)</f>
        <v>0.130463783831537</v>
      </c>
      <c r="X92" s="116" t="n">
        <f aca="false">IF(X90&gt;0,IF($C$20="BC",MIN(X90-X91,MAX(0,W276+X53-X75)),MIN(X90,MAX(0,W276+X53-X75))),0)</f>
        <v>0.134541928382788</v>
      </c>
      <c r="Y92" s="116" t="n">
        <f aca="false">IF(Y90&gt;0,IF($C$20="BC",MIN(Y90-Y91,MAX(0,X276+Y53-Y75)),MIN(Y90,MAX(0,X276+Y53-Y75))),0)</f>
        <v>0.138319964879244</v>
      </c>
      <c r="Z92" s="116" t="n">
        <f aca="false">IF(Z90&gt;0,IF($C$20="BC",MIN(Z90-Z91,MAX(0,Y276+Z53-Z75)),MIN(Z90,MAX(0,Y276+Z53-Z75))),0)</f>
        <v>0.0145279169919945</v>
      </c>
      <c r="AA92" s="116" t="n">
        <f aca="false">IF(AA90&gt;0,IF($C$20="BC",MIN(AA90-AA91,MAX(0,Z276+AA53-AA75)),MIN(AA90,MAX(0,Z276+AA53-AA75))),0)</f>
        <v>0.00995901303716096</v>
      </c>
      <c r="AB92" s="116" t="n">
        <f aca="false">IF(AB90&gt;0,IF($C$20="BC",MIN(AB90-AB91,MAX(0,AA276+AB53-AB75)),MIN(AB90,MAX(0,AA276+AB53-AB75))),0)</f>
        <v>0.0569827320812095</v>
      </c>
      <c r="AC92" s="116" t="n">
        <f aca="false">IF(AC90&gt;0,IF($C$20="BC",MIN(AC90-AC91,MAX(0,AB276+AC53-AC75)),MIN(AC90,MAX(0,AB276+AC53-AC75))),0)</f>
        <v>0.067514967498937</v>
      </c>
      <c r="AD92" s="116" t="n">
        <f aca="false">IF(AD90&gt;0,IF($C$20="BC",MIN(AD90-AD91,MAX(0,AC276+AD53-AD75)),MIN(AD90,MAX(0,AC276+AD53-AD75))),0)</f>
        <v>0.0660305854195684</v>
      </c>
      <c r="AE92" s="116" t="n">
        <f aca="false">IF(AE90&gt;0,IF($C$20="BC",MIN(AE90-AE91,MAX(0,AD276+AE53-AE75)),MIN(AE90,MAX(0,AD276+AE53-AE75))),0)</f>
        <v>0.0646526582598739</v>
      </c>
      <c r="AF92" s="116" t="n">
        <f aca="false">IF(AF90&gt;0,IF($C$20="BC",MIN(AF90-AF91,MAX(0,AE276+AF53-AF75)),MIN(AF90,MAX(0,AE276+AF53-AF75))),0)</f>
        <v>0.0634244847203291</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0.256716970910635</v>
      </c>
      <c r="G94" s="116" t="n">
        <f aca="false">IF(G90&lt;0,-G90-G93,0)</f>
        <v>0.00320066280895759</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0.202112725541596</v>
      </c>
      <c r="P94" s="116" t="n">
        <f aca="false">IF(P90&lt;0,-P90-P93,0)</f>
        <v>0</v>
      </c>
      <c r="Q94" s="116" t="n">
        <f aca="false">IF(Q90&lt;0,-Q90-Q93,0)</f>
        <v>0</v>
      </c>
      <c r="R94" s="116" t="n">
        <f aca="false">IF(R90&lt;0,-R90-R93,0)</f>
        <v>0.185072039563906</v>
      </c>
      <c r="S94" s="116" t="n">
        <f aca="false">IF(S90&lt;0,-S90-S93,0)</f>
        <v>0.3645821459845</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0.295667569309572</v>
      </c>
      <c r="D100" s="116" t="n">
        <f aca="false">$C$21*$C$22*D81</f>
        <v>0.781764299547855</v>
      </c>
      <c r="E100" s="116" t="n">
        <f aca="false">$C$21*$C$22*E81</f>
        <v>1.44202285779843</v>
      </c>
      <c r="F100" s="116" t="n">
        <f aca="false">$C$21*$C$22*F81</f>
        <v>2.95353386461042</v>
      </c>
      <c r="G100" s="116" t="n">
        <f aca="false">$C$21*$C$22*G81</f>
        <v>4.45733521101765</v>
      </c>
      <c r="H100" s="116" t="n">
        <f aca="false">$C$21*$C$22*H81</f>
        <v>5.70030434785634</v>
      </c>
      <c r="I100" s="116" t="n">
        <f aca="false">$C$21*$C$22*I81</f>
        <v>6.78765881378224</v>
      </c>
      <c r="J100" s="116" t="n">
        <f aca="false">$C$21*$C$22*J81</f>
        <v>7.74047779506216</v>
      </c>
      <c r="K100" s="116" t="n">
        <f aca="false">$C$21*$C$22*K81</f>
        <v>8.05512011485871</v>
      </c>
      <c r="L100" s="116" t="n">
        <f aca="false">$C$21*$C$22*L81</f>
        <v>8.37001679304498</v>
      </c>
      <c r="M100" s="116" t="n">
        <f aca="false">$C$21*$C$22*M81</f>
        <v>8.67908432684023</v>
      </c>
      <c r="N100" s="116" t="n">
        <f aca="false">$C$21*$C$22*N81</f>
        <v>8.98311086118651</v>
      </c>
      <c r="O100" s="116" t="n">
        <f aca="false">$C$21*$C$22*O81</f>
        <v>9.27959824172861</v>
      </c>
      <c r="P100" s="116" t="n">
        <f aca="false">$C$21*$C$22*P81</f>
        <v>9.5545798006351</v>
      </c>
      <c r="Q100" s="116" t="n">
        <f aca="false">$C$21*$C$22*Q81</f>
        <v>9.80808357863359</v>
      </c>
      <c r="R100" s="116" t="n">
        <f aca="false">$C$21*$C$22*R81</f>
        <v>10.0453307325402</v>
      </c>
      <c r="S100" s="116" t="n">
        <f aca="false">$C$21*$C$22*S81</f>
        <v>10.2654481448032</v>
      </c>
      <c r="T100" s="116" t="n">
        <f aca="false">$C$21*$C$22*T81</f>
        <v>10.4698431563487</v>
      </c>
      <c r="U100" s="116" t="n">
        <f aca="false">$C$21*$C$22*U81</f>
        <v>10.6724775568101</v>
      </c>
      <c r="V100" s="116" t="n">
        <f aca="false">$C$21*$C$22*V81</f>
        <v>10.8733996748698</v>
      </c>
      <c r="W100" s="116" t="n">
        <f aca="false">$C$21*$C$22*W81</f>
        <v>11.0692732481381</v>
      </c>
      <c r="X100" s="116" t="n">
        <f aca="false">$C$21*$C$22*X81</f>
        <v>11.2604581121332</v>
      </c>
      <c r="Y100" s="116" t="n">
        <f aca="false">$C$21*$C$22*Y81</f>
        <v>11.4473128882486</v>
      </c>
      <c r="Z100" s="116" t="n">
        <f aca="false">$C$21*$C$22*Z81</f>
        <v>11.6301971495495</v>
      </c>
      <c r="AA100" s="116" t="n">
        <f aca="false">$C$21*$C$22*AA81</f>
        <v>11.8083060629166</v>
      </c>
      <c r="AB100" s="116" t="n">
        <f aca="false">$C$21*$C$22*AB81</f>
        <v>11.9817437978149</v>
      </c>
      <c r="AC100" s="116" t="n">
        <f aca="false">$C$21*$C$22*AC81</f>
        <v>12.1508336046849</v>
      </c>
      <c r="AD100" s="116" t="n">
        <f aca="false">$C$21*$C$22*AD81</f>
        <v>12.3157943709862</v>
      </c>
      <c r="AE100" s="116" t="n">
        <f aca="false">$C$21*$C$22*AE81</f>
        <v>12.4768771889781</v>
      </c>
      <c r="AF100" s="116" t="n">
        <f aca="false">$C$21*$C$22*AF81</f>
        <v>12.6343463492131</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0.000781764299547855</v>
      </c>
      <c r="F102" s="116" t="n">
        <f aca="false">E104*$C$24</f>
        <v>0.00144202285779843</v>
      </c>
      <c r="G102" s="116" t="n">
        <f aca="false">F104*$C$24</f>
        <v>0.00295353386461042</v>
      </c>
      <c r="H102" s="116" t="n">
        <f aca="false">G104*$C$24</f>
        <v>0.00445733521101765</v>
      </c>
      <c r="I102" s="116" t="n">
        <f aca="false">H104*$C$24</f>
        <v>0.00570030434785634</v>
      </c>
      <c r="J102" s="116" t="n">
        <f aca="false">I104*$C$24</f>
        <v>0.00678765881378224</v>
      </c>
      <c r="K102" s="116" t="n">
        <f aca="false">J104*$C$24</f>
        <v>0.00774047779506216</v>
      </c>
      <c r="L102" s="116" t="n">
        <f aca="false">K104*$C$24</f>
        <v>0.00805512011485871</v>
      </c>
      <c r="M102" s="116" t="n">
        <f aca="false">L104*$C$24</f>
        <v>0.00837001679304498</v>
      </c>
      <c r="N102" s="116" t="n">
        <f aca="false">M104*$C$24</f>
        <v>0.00867908432684023</v>
      </c>
      <c r="O102" s="116" t="n">
        <f aca="false">N104*$C$24</f>
        <v>0.00898311086118651</v>
      </c>
      <c r="P102" s="116" t="n">
        <f aca="false">O104*$C$24</f>
        <v>0.00927959824172862</v>
      </c>
      <c r="Q102" s="116" t="n">
        <f aca="false">P104*$C$24</f>
        <v>0.0095545798006351</v>
      </c>
      <c r="R102" s="116" t="n">
        <f aca="false">Q104*$C$24</f>
        <v>0.00980808357863359</v>
      </c>
      <c r="S102" s="116" t="n">
        <f aca="false">R104*$C$24</f>
        <v>0.0100453307325402</v>
      </c>
      <c r="T102" s="116" t="n">
        <f aca="false">S104*$C$24</f>
        <v>0.0102654481448032</v>
      </c>
      <c r="U102" s="116" t="n">
        <f aca="false">T104*$C$24</f>
        <v>0.0104698431563487</v>
      </c>
      <c r="V102" s="116" t="n">
        <f aca="false">U104*$C$24</f>
        <v>0.0106724775568101</v>
      </c>
      <c r="W102" s="116" t="n">
        <f aca="false">V104*$C$24</f>
        <v>0.0108733996748698</v>
      </c>
      <c r="X102" s="116" t="n">
        <f aca="false">W104*$C$24</f>
        <v>0.0110692732481381</v>
      </c>
      <c r="Y102" s="116" t="n">
        <f aca="false">X104*$C$24</f>
        <v>0.0112604581121332</v>
      </c>
      <c r="Z102" s="116" t="n">
        <f aca="false">Y104*$C$24</f>
        <v>0.0114473128882486</v>
      </c>
      <c r="AA102" s="116" t="n">
        <f aca="false">Z104*$C$24</f>
        <v>0.0116301971495495</v>
      </c>
      <c r="AB102" s="116" t="n">
        <f aca="false">AA104*$C$24</f>
        <v>0.0118083060629166</v>
      </c>
      <c r="AC102" s="116" t="n">
        <f aca="false">AB104*$C$24</f>
        <v>0.0119817437978149</v>
      </c>
      <c r="AD102" s="116" t="n">
        <f aca="false">AC104*$C$24</f>
        <v>0.0121508336046849</v>
      </c>
      <c r="AE102" s="116" t="n">
        <f aca="false">AD104*$C$24</f>
        <v>0.0123157943709862</v>
      </c>
      <c r="AF102" s="116" t="n">
        <f aca="false">AE104*$C$24</f>
        <v>0.0124768771889781</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0.781764299547855</v>
      </c>
      <c r="E103" s="116" t="n">
        <f aca="false">MIN(MAX(0,E100-D104-E101),MAX(0,D276))</f>
        <v>0.660258558250573</v>
      </c>
      <c r="F103" s="116" t="n">
        <f aca="false">MIN(MAX(0,F100-E104-F101),MAX(0,E276))</f>
        <v>1.51151100681199</v>
      </c>
      <c r="G103" s="116" t="n">
        <f aca="false">MIN(MAX(0,G100-F104-G101),MAX(0,F276))</f>
        <v>1.50380134640723</v>
      </c>
      <c r="H103" s="116" t="n">
        <f aca="false">MIN(MAX(0,H100-G104-H101),MAX(0,G276))</f>
        <v>1.2429691368387</v>
      </c>
      <c r="I103" s="116" t="n">
        <f aca="false">MIN(MAX(0,I100-H104-I101),MAX(0,H276))</f>
        <v>1.0873544659259</v>
      </c>
      <c r="J103" s="116" t="n">
        <f aca="false">MIN(MAX(0,J100-I104-J101),MAX(0,I276))</f>
        <v>0.952818981279919</v>
      </c>
      <c r="K103" s="116" t="n">
        <f aca="false">MIN(MAX(0,K100-J104-K101),MAX(0,J276))</f>
        <v>0.31464231979655</v>
      </c>
      <c r="L103" s="116" t="n">
        <f aca="false">MIN(MAX(0,L100-K104-L101),MAX(0,K276))</f>
        <v>0.314896678186273</v>
      </c>
      <c r="M103" s="116" t="n">
        <f aca="false">MIN(MAX(0,M100-L104-M101),MAX(0,L276))</f>
        <v>0.309067533795249</v>
      </c>
      <c r="N103" s="116" t="n">
        <f aca="false">MIN(MAX(0,N100-M104-N101),MAX(0,M276))</f>
        <v>0.304026534346281</v>
      </c>
      <c r="O103" s="116" t="n">
        <f aca="false">MIN(MAX(0,O100-N104-O101),MAX(0,N276))</f>
        <v>0.296487380542102</v>
      </c>
      <c r="P103" s="116" t="n">
        <f aca="false">MIN(MAX(0,P100-O104-P101),MAX(0,O276))</f>
        <v>0.274981558906488</v>
      </c>
      <c r="Q103" s="116" t="n">
        <f aca="false">MIN(MAX(0,Q100-P104-Q101),MAX(0,P276))</f>
        <v>0.253503777998491</v>
      </c>
      <c r="R103" s="116" t="n">
        <f aca="false">MIN(MAX(0,R100-Q104-R101),MAX(0,Q276))</f>
        <v>0.237247153906607</v>
      </c>
      <c r="S103" s="116" t="n">
        <f aca="false">MIN(MAX(0,S100-R104-S101),MAX(0,R276))</f>
        <v>0.220117412262958</v>
      </c>
      <c r="T103" s="116" t="n">
        <f aca="false">MIN(MAX(0,T100-S104-T101),MAX(0,S276))</f>
        <v>0.204395011545584</v>
      </c>
      <c r="U103" s="116" t="n">
        <f aca="false">MIN(MAX(0,U100-T104-U101),MAX(0,T276))</f>
        <v>0.202634400461395</v>
      </c>
      <c r="V103" s="116" t="n">
        <f aca="false">MIN(MAX(0,V100-U104-V101),MAX(0,U276))</f>
        <v>0.200922118059701</v>
      </c>
      <c r="W103" s="116" t="n">
        <f aca="false">MIN(MAX(0,W100-V104-W101),MAX(0,V276))</f>
        <v>0.195873573268251</v>
      </c>
      <c r="X103" s="116" t="n">
        <f aca="false">MIN(MAX(0,X100-W104-X101),MAX(0,W276))</f>
        <v>0.191184863995094</v>
      </c>
      <c r="Y103" s="116" t="n">
        <f aca="false">MIN(MAX(0,Y100-X104-Y101),MAX(0,X276))</f>
        <v>0.186854776115402</v>
      </c>
      <c r="Z103" s="116" t="n">
        <f aca="false">MIN(MAX(0,Z100-Y104-Z101),MAX(0,Y276))</f>
        <v>0.182884261300893</v>
      </c>
      <c r="AA103" s="116" t="n">
        <f aca="false">MIN(MAX(0,AA100-Z104-AA101),MAX(0,Z276))</f>
        <v>0.178108913367165</v>
      </c>
      <c r="AB103" s="116" t="n">
        <f aca="false">MIN(MAX(0,AB100-AA104-AB101),MAX(0,AA276))</f>
        <v>0.17343773489824</v>
      </c>
      <c r="AC103" s="116" t="n">
        <f aca="false">MIN(MAX(0,AC100-AB104-AC101),MAX(0,AB276))</f>
        <v>0.169089806870065</v>
      </c>
      <c r="AD103" s="116" t="n">
        <f aca="false">MIN(MAX(0,AD100-AC104-AD101),MAX(0,AC276))</f>
        <v>0.164960766301238</v>
      </c>
      <c r="AE103" s="116" t="n">
        <f aca="false">MIN(MAX(0,AE100-AD104-AE101),MAX(0,AD276))</f>
        <v>0.161082817991959</v>
      </c>
      <c r="AF103" s="116" t="n">
        <f aca="false">MIN(MAX(0,AF100-AE104-AF101),MAX(0,AE276))</f>
        <v>0.157469160234944</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0.781764299547855</v>
      </c>
      <c r="E104" s="136" t="n">
        <f aca="false">D104+E101+E103</f>
        <v>1.44202285779843</v>
      </c>
      <c r="F104" s="136" t="n">
        <f aca="false">E104+F101+F103</f>
        <v>2.95353386461042</v>
      </c>
      <c r="G104" s="136" t="n">
        <f aca="false">F104+G101+G103</f>
        <v>4.45733521101765</v>
      </c>
      <c r="H104" s="136" t="n">
        <f aca="false">G104+H101+H103</f>
        <v>5.70030434785634</v>
      </c>
      <c r="I104" s="136" t="n">
        <f aca="false">H104+I101+I103</f>
        <v>6.78765881378224</v>
      </c>
      <c r="J104" s="136" t="n">
        <f aca="false">I104+J101+J103</f>
        <v>7.74047779506216</v>
      </c>
      <c r="K104" s="136" t="n">
        <f aca="false">J104+K101+K103</f>
        <v>8.05512011485871</v>
      </c>
      <c r="L104" s="136" t="n">
        <f aca="false">K104+L101+L103</f>
        <v>8.37001679304498</v>
      </c>
      <c r="M104" s="136" t="n">
        <f aca="false">L104+M101+M103</f>
        <v>8.67908432684023</v>
      </c>
      <c r="N104" s="136" t="n">
        <f aca="false">M104+N101+N103</f>
        <v>8.98311086118651</v>
      </c>
      <c r="O104" s="136" t="n">
        <f aca="false">N104+O101+O103</f>
        <v>9.27959824172861</v>
      </c>
      <c r="P104" s="136" t="n">
        <f aca="false">O104+P101+P103</f>
        <v>9.5545798006351</v>
      </c>
      <c r="Q104" s="136" t="n">
        <f aca="false">P104+Q101+Q103</f>
        <v>9.80808357863359</v>
      </c>
      <c r="R104" s="136" t="n">
        <f aca="false">Q104+R101+R103</f>
        <v>10.0453307325402</v>
      </c>
      <c r="S104" s="136" t="n">
        <f aca="false">R104+S101+S103</f>
        <v>10.2654481448032</v>
      </c>
      <c r="T104" s="136" t="n">
        <f aca="false">S104+T101+T103</f>
        <v>10.4698431563487</v>
      </c>
      <c r="U104" s="136" t="n">
        <f aca="false">T104+U101+U103</f>
        <v>10.6724775568101</v>
      </c>
      <c r="V104" s="136" t="n">
        <f aca="false">U104+V101+V103</f>
        <v>10.8733996748698</v>
      </c>
      <c r="W104" s="136" t="n">
        <f aca="false">V104+W101+W103</f>
        <v>11.0692732481381</v>
      </c>
      <c r="X104" s="136" t="n">
        <f aca="false">W104+X101+X103</f>
        <v>11.2604581121332</v>
      </c>
      <c r="Y104" s="136" t="n">
        <f aca="false">X104+Y101+Y103</f>
        <v>11.4473128882486</v>
      </c>
      <c r="Z104" s="136" t="n">
        <f aca="false">Y104+Z101+Z103</f>
        <v>11.6301971495495</v>
      </c>
      <c r="AA104" s="136" t="n">
        <f aca="false">Z104+AA101+AA103</f>
        <v>11.8083060629166</v>
      </c>
      <c r="AB104" s="136" t="n">
        <f aca="false">AA104+AB101+AB103</f>
        <v>11.9817437978149</v>
      </c>
      <c r="AC104" s="136" t="n">
        <f aca="false">AB104+AC101+AC103</f>
        <v>12.1508336046849</v>
      </c>
      <c r="AD104" s="136" t="n">
        <f aca="false">AC104+AD101+AD103</f>
        <v>12.3157943709862</v>
      </c>
      <c r="AE104" s="136" t="n">
        <f aca="false">AD104+AE101+AE103</f>
        <v>12.4768771889781</v>
      </c>
      <c r="AF104" s="136" t="n">
        <f aca="false">AE104+AF101+AF103</f>
        <v>12.6343463492131</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6.08767078810544</v>
      </c>
      <c r="E105" s="139" t="n">
        <f aca="false">E104/($C$36*(1+$C$23)^(E$39-1))</f>
        <v>11.2291651489804</v>
      </c>
      <c r="F105" s="139" t="n">
        <f aca="false">F104/($C$36*(1+$C$23)^(F$39-1))</f>
        <v>22.9994409308126</v>
      </c>
      <c r="G105" s="139" t="n">
        <f aca="false">G104/($C$36*(1+$C$23)^(G$39-1))</f>
        <v>34.7096808751688</v>
      </c>
      <c r="H105" s="139" t="n">
        <f aca="false">H104/($C$36*(1+$C$23)^(H$39-1))</f>
        <v>44.3887963185651</v>
      </c>
      <c r="I105" s="139" t="n">
        <f aca="false">I104/($C$36*(1+$C$23)^(I$39-1))</f>
        <v>52.8561259502221</v>
      </c>
      <c r="J105" s="139" t="n">
        <f aca="false">J104/($C$36*(1+$C$23)^(J$39-1))</f>
        <v>60.2758153400355</v>
      </c>
      <c r="K105" s="139" t="n">
        <f aca="false">K104/($C$36*(1+$C$23)^(K$39-1))</f>
        <v>62.7259641381259</v>
      </c>
      <c r="L105" s="139" t="n">
        <f aca="false">L104/($C$36*(1+$C$23)^(L$39-1))</f>
        <v>65.1780936484844</v>
      </c>
      <c r="M105" s="139" t="n">
        <f aca="false">M104/($C$36*(1+$C$23)^(M$39-1))</f>
        <v>67.5848310732112</v>
      </c>
      <c r="N105" s="139" t="n">
        <f aca="false">N104/($C$36*(1+$C$23)^(N$39-1))</f>
        <v>69.9523137697467</v>
      </c>
      <c r="O105" s="139" t="n">
        <f aca="false">O104/($C$36*(1+$C$23)^(O$39-1))</f>
        <v>72.2610883794494</v>
      </c>
      <c r="P105" s="139" t="n">
        <f aca="false">P104/($C$36*(1+$C$23)^(P$39-1))</f>
        <v>74.4023951702441</v>
      </c>
      <c r="Q105" s="139" t="n">
        <f aca="false">Q104/($C$36*(1+$C$23)^(Q$39-1))</f>
        <v>76.3764524978662</v>
      </c>
      <c r="R105" s="139" t="n">
        <f aca="false">R104/($C$36*(1+$C$23)^(R$39-1))</f>
        <v>78.2239179925603</v>
      </c>
      <c r="S105" s="139" t="n">
        <f aca="false">S104/($C$36*(1+$C$23)^(S$39-1))</f>
        <v>79.9379926073279</v>
      </c>
      <c r="T105" s="139" t="n">
        <f aca="false">T104/($C$36*(1+$C$23)^(T$39-1))</f>
        <v>81.5296354359147</v>
      </c>
      <c r="U105" s="139" t="n">
        <f aca="false">U104/($C$36*(1+$C$23)^(U$39-1))</f>
        <v>83.1075682234155</v>
      </c>
      <c r="V105" s="139" t="n">
        <f aca="false">V104/($C$36*(1+$C$23)^(V$39-1))</f>
        <v>84.6721673097433</v>
      </c>
      <c r="W105" s="139" t="n">
        <f aca="false">W104/($C$36*(1+$C$23)^(W$39-1))</f>
        <v>86.1974529116014</v>
      </c>
      <c r="X105" s="139" t="n">
        <f aca="false">X104/($C$36*(1+$C$23)^(X$39-1))</f>
        <v>87.6862271013974</v>
      </c>
      <c r="Y105" s="139" t="n">
        <f aca="false">Y104/($C$36*(1+$C$23)^(Y$39-1))</f>
        <v>89.1412824970373</v>
      </c>
      <c r="Z105" s="139" t="n">
        <f aca="false">Z104/($C$36*(1+$C$23)^(Z$39-1))</f>
        <v>90.5654191271822</v>
      </c>
      <c r="AA105" s="139" t="n">
        <f aca="false">AA104/($C$36*(1+$C$23)^(AA$39-1))</f>
        <v>91.9523696820151</v>
      </c>
      <c r="AB105" s="139" t="n">
        <f aca="false">AB104/($C$36*(1+$C$23)^(AB$39-1))</f>
        <v>93.3029453387775</v>
      </c>
      <c r="AC105" s="139" t="n">
        <f aca="false">AC104/($C$36*(1+$C$23)^(AC$39-1))</f>
        <v>94.6196632785</v>
      </c>
      <c r="AD105" s="139" t="n">
        <f aca="false">AD104/($C$36*(1+$C$23)^(AD$39-1))</f>
        <v>95.9042279980406</v>
      </c>
      <c r="AE105" s="139" t="n">
        <f aca="false">AE104/($C$36*(1+$C$23)^(AE$39-1))</f>
        <v>97.15859477601</v>
      </c>
      <c r="AF105" s="139" t="n">
        <f aca="false">AF104/($C$36*(1+$C$23)^(AF$39-1))</f>
        <v>98.3848216673431</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0.276783749276414</v>
      </c>
      <c r="D107" s="116" t="n">
        <f aca="false">D87*(1-$C$340)*$C$175+D85*01_Supuestos!$I$126+D55*D88</f>
        <v>0.676966149199694</v>
      </c>
      <c r="E107" s="116" t="n">
        <f aca="false">E87*(1-$C$340)*$C$175+E85*01_Supuestos!$I$126+E55*E88</f>
        <v>1.08434220326393</v>
      </c>
      <c r="F107" s="116" t="n">
        <f aca="false">F87*(1-$C$340)*$C$175+F85*01_Supuestos!$I$126+F55*F88</f>
        <v>1.4907741902064</v>
      </c>
      <c r="G107" s="116" t="n">
        <f aca="false">G87*(1-$C$340)*$C$175+G85*01_Supuestos!$I$126+G55*G88</f>
        <v>1.90707807721424</v>
      </c>
      <c r="H107" s="116" t="n">
        <f aca="false">H87*(1-$C$340)*$C$175+H85*01_Supuestos!$I$126+H55*H88</f>
        <v>2.33660125030892</v>
      </c>
      <c r="I107" s="116" t="n">
        <f aca="false">I87*(1-$C$340)*$C$175+I85*01_Supuestos!$I$126+I55*I88</f>
        <v>2.77827578411241</v>
      </c>
      <c r="J107" s="116" t="n">
        <f aca="false">J87*(1-$C$340)*$C$175+J85*01_Supuestos!$I$126+J55*J88</f>
        <v>3.23207697483988</v>
      </c>
      <c r="K107" s="116" t="n">
        <f aca="false">K87*(1-$C$340)*$C$175+K85*01_Supuestos!$I$126+K55*K88</f>
        <v>3.70445848167406</v>
      </c>
      <c r="L107" s="116" t="n">
        <f aca="false">L87*(1-$C$340)*$C$175+L85*01_Supuestos!$I$126+L55*L88</f>
        <v>4.18779089823644</v>
      </c>
      <c r="M107" s="116" t="n">
        <f aca="false">M87*(1-$C$340)*$C$175+M85*01_Supuestos!$I$126+M55*M88</f>
        <v>4.70686437623837</v>
      </c>
      <c r="N107" s="116" t="n">
        <f aca="false">N87*(1-$C$340)*$C$175+N85*01_Supuestos!$I$126+N55*N88</f>
        <v>5.23009331416507</v>
      </c>
      <c r="O107" s="116" t="n">
        <f aca="false">O87*(1-$C$340)*$C$175+O85*01_Supuestos!$I$126+O55*O88</f>
        <v>5.74942149152194</v>
      </c>
      <c r="P107" s="116" t="n">
        <f aca="false">P87*(1-$C$340)*$C$175+P85*01_Supuestos!$I$126+P55*P88</f>
        <v>6.28091260295002</v>
      </c>
      <c r="Q107" s="116" t="n">
        <f aca="false">Q87*(1-$C$340)*$C$175+Q85*01_Supuestos!$I$126+Q55*Q88</f>
        <v>6.82484236611158</v>
      </c>
      <c r="R107" s="116" t="n">
        <f aca="false">R87*(1-$C$340)*$C$175+R85*01_Supuestos!$I$126+R55*R88</f>
        <v>7.15158200836459</v>
      </c>
      <c r="S107" s="116" t="n">
        <f aca="false">S87*(1-$C$340)*$C$175+S85*01_Supuestos!$I$126+S55*S88</f>
        <v>7.31615262780723</v>
      </c>
      <c r="T107" s="116" t="n">
        <f aca="false">T87*(1-$C$340)*$C$175+T85*01_Supuestos!$I$126+T55*T88</f>
        <v>7.4846686246273</v>
      </c>
      <c r="U107" s="116" t="n">
        <f aca="false">U87*(1-$C$340)*$C$175+U85*01_Supuestos!$I$126+U55*U88</f>
        <v>7.65711030905309</v>
      </c>
      <c r="V107" s="116" t="n">
        <f aca="false">V87*(1-$C$340)*$C$175+V85*01_Supuestos!$I$126+V55*V88</f>
        <v>7.83356728707621</v>
      </c>
      <c r="W107" s="116" t="n">
        <f aca="false">W87*(1-$C$340)*$C$175+W85*01_Supuestos!$I$126+W55*W88</f>
        <v>8.01415732939341</v>
      </c>
      <c r="X107" s="116" t="n">
        <f aca="false">X87*(1-$C$340)*$C$175+X85*01_Supuestos!$I$126+X55*X88</f>
        <v>8.19897182689315</v>
      </c>
      <c r="Y107" s="116" t="n">
        <f aca="false">Y87*(1-$C$340)*$C$175+Y85*01_Supuestos!$I$126+Y55*Y88</f>
        <v>8.38810434562487</v>
      </c>
      <c r="Z107" s="116" t="n">
        <f aca="false">Z87*(1-$C$340)*$C$175+Z85*01_Supuestos!$I$126+Z55*Z88</f>
        <v>8.53449237170602</v>
      </c>
      <c r="AA107" s="116" t="n">
        <f aca="false">AA87*(1-$C$340)*$C$175+AA85*01_Supuestos!$I$126+AA55*AA88</f>
        <v>8.66070733799261</v>
      </c>
      <c r="AB107" s="116" t="n">
        <f aca="false">AB87*(1-$C$340)*$C$175+AB85*01_Supuestos!$I$126+AB55*AB88</f>
        <v>8.78352862561695</v>
      </c>
      <c r="AC107" s="116" t="n">
        <f aca="false">AC87*(1-$C$340)*$C$175+AC85*01_Supuestos!$I$126+AC55*AC88</f>
        <v>8.90319048762561</v>
      </c>
      <c r="AD107" s="116" t="n">
        <f aca="false">AD87*(1-$C$340)*$C$175+AD85*01_Supuestos!$I$126+AD55*AD88</f>
        <v>9.01985147557508</v>
      </c>
      <c r="AE107" s="116" t="n">
        <f aca="false">AE87*(1-$C$340)*$C$175+AE85*01_Supuestos!$I$126+AE55*AE88</f>
        <v>9.13369349182577</v>
      </c>
      <c r="AF107" s="116" t="n">
        <f aca="false">AF87*(1-$C$340)*$C$175+AF85*01_Supuestos!$I$126+AF55*AF88</f>
        <v>9.24490800387327</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0.0332983823216196</v>
      </c>
      <c r="E108" s="116" t="n">
        <f aca="false">E330-E332</f>
        <v>0.0797231580881851</v>
      </c>
      <c r="F108" s="116" t="n">
        <f aca="false">F330-F332</f>
        <v>0.122130677677017</v>
      </c>
      <c r="G108" s="116" t="n">
        <f aca="false">G330-G332</f>
        <v>0.139428295362677</v>
      </c>
      <c r="H108" s="116" t="n">
        <f aca="false">H330-H332</f>
        <v>0.158448959958224</v>
      </c>
      <c r="I108" s="116" t="n">
        <f aca="false">I330-I332</f>
        <v>0.187124192624188</v>
      </c>
      <c r="J108" s="116" t="n">
        <f aca="false">J330-J332</f>
        <v>0.222206088026544</v>
      </c>
      <c r="K108" s="116" t="n">
        <f aca="false">K330-K332</f>
        <v>0.263072659708857</v>
      </c>
      <c r="L108" s="116" t="n">
        <f aca="false">L330-L332</f>
        <v>0.325474017279111</v>
      </c>
      <c r="M108" s="116" t="n">
        <f aca="false">M330-M332</f>
        <v>0.389528457420408</v>
      </c>
      <c r="N108" s="116" t="n">
        <f aca="false">N330-N332</f>
        <v>0.517335800689234</v>
      </c>
      <c r="O108" s="116" t="n">
        <f aca="false">O330-O332</f>
        <v>0.628397500615769</v>
      </c>
      <c r="P108" s="116" t="n">
        <f aca="false">P330-P332</f>
        <v>0.701711024339469</v>
      </c>
      <c r="Q108" s="116" t="n">
        <f aca="false">Q330-Q332</f>
        <v>0.777263097220882</v>
      </c>
      <c r="R108" s="116" t="n">
        <f aca="false">R330-R332</f>
        <v>0.855095013735442</v>
      </c>
      <c r="S108" s="116" t="n">
        <f aca="false">S330-S332</f>
        <v>0.90029127375</v>
      </c>
      <c r="T108" s="116" t="n">
        <f aca="false">T330-T332</f>
        <v>0.921211014340666</v>
      </c>
      <c r="U108" s="116" t="n">
        <f aca="false">U330-U332</f>
        <v>0.943017218438307</v>
      </c>
      <c r="V108" s="116" t="n">
        <f aca="false">V330-V332</f>
        <v>0.965450968309013</v>
      </c>
      <c r="W108" s="116" t="n">
        <f aca="false">W330-W332</f>
        <v>0.988524965462186</v>
      </c>
      <c r="X108" s="116" t="n">
        <f aca="false">X330-X332</f>
        <v>1.01231822474326</v>
      </c>
      <c r="Y108" s="116" t="n">
        <f aca="false">Y330-Y332</f>
        <v>1.03683800811624</v>
      </c>
      <c r="Z108" s="116" t="n">
        <f aca="false">Z330-Z332</f>
        <v>1.06209192963196</v>
      </c>
      <c r="AA108" s="116" t="n">
        <f aca="false">AA330-AA332</f>
        <v>1.08093706699514</v>
      </c>
      <c r="AB108" s="116" t="n">
        <f aca="false">AB330-AB332</f>
        <v>1.0968107959536</v>
      </c>
      <c r="AC108" s="116" t="n">
        <f aca="false">AC330-AC332</f>
        <v>1.11225555083737</v>
      </c>
      <c r="AD108" s="116" t="n">
        <f aca="false">AD330-AD332</f>
        <v>1.12730092717132</v>
      </c>
      <c r="AE108" s="116" t="n">
        <f aca="false">AE330-AE332</f>
        <v>1.14196695454069</v>
      </c>
      <c r="AF108" s="116" t="n">
        <f aca="false">AF330-AF332</f>
        <v>1.15627661299048</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0.0104438880564419</v>
      </c>
      <c r="F109" s="116" t="n">
        <f aca="false">(F70+E121)*(0.3*$C$5+0.25*01_Supuestos!$I$134)/0.55-E227*$C$5</f>
        <v>0.401356325477725</v>
      </c>
      <c r="G109" s="116" t="n">
        <f aca="false">(G70+F121)*(0.3*$C$5+0.25*01_Supuestos!$I$134)/0.55-F227*$C$5</f>
        <v>0.785066960108823</v>
      </c>
      <c r="H109" s="116" t="n">
        <f aca="false">(H70+G121)*(0.3*$C$5+0.25*01_Supuestos!$I$134)/0.55-G227*$C$5</f>
        <v>1.16885427970272</v>
      </c>
      <c r="I109" s="116" t="n">
        <f aca="false">(I70+H121)*(0.3*$C$5+0.25*01_Supuestos!$I$134)/0.55-H227*$C$5</f>
        <v>1.55272099123861</v>
      </c>
      <c r="J109" s="116" t="n">
        <f aca="false">(J70+I121)*(0.3*$C$5+0.25*01_Supuestos!$I$134)/0.55-I227*$C$5</f>
        <v>1.93666989725203</v>
      </c>
      <c r="K109" s="116" t="n">
        <f aca="false">(K70+J121)*(0.3*$C$5+0.25*01_Supuestos!$I$134)/0.55-J227*$C$5</f>
        <v>2.10245349733354</v>
      </c>
      <c r="L109" s="116" t="n">
        <f aca="false">(L70+K121)*(0.3*$C$5+0.25*01_Supuestos!$I$134)/0.55-K227*$C$5</f>
        <v>2.26823709741505</v>
      </c>
      <c r="M109" s="116" t="n">
        <f aca="false">(M70+L121)*(0.3*$C$5+0.25*01_Supuestos!$I$134)/0.55-L227*$C$5</f>
        <v>2.33431429687228</v>
      </c>
      <c r="N109" s="116" t="n">
        <f aca="false">(N70+M121)*(0.3*$C$5+0.25*01_Supuestos!$I$134)/0.55-M227*$C$5</f>
        <v>2.40686346483289</v>
      </c>
      <c r="O109" s="116" t="n">
        <f aca="false">(O70+N121)*(0.3*$C$5+0.25*01_Supuestos!$I$134)/0.55-N227*$C$5</f>
        <v>2.48831721939639</v>
      </c>
      <c r="P109" s="116" t="n">
        <f aca="false">(P70+O121)*(0.3*$C$5+0.25*01_Supuestos!$I$134)/0.55-O227*$C$5</f>
        <v>2.5786729073805</v>
      </c>
      <c r="Q109" s="116" t="n">
        <f aca="false">(Q70+P121)*(0.3*$C$5+0.25*01_Supuestos!$I$134)/0.55-P227*$C$5</f>
        <v>2.67797145102345</v>
      </c>
      <c r="R109" s="116" t="n">
        <f aca="false">(R70+Q121)*(0.3*$C$5+0.25*01_Supuestos!$I$134)/0.55-Q227*$C$5</f>
        <v>2.78441578744691</v>
      </c>
      <c r="S109" s="116" t="n">
        <f aca="false">(S70+R121)*(0.3*$C$5+0.25*01_Supuestos!$I$134)/0.55-R227*$C$5</f>
        <v>2.89165463590662</v>
      </c>
      <c r="T109" s="116" t="n">
        <f aca="false">(T70+S121)*(0.3*$C$5+0.25*01_Supuestos!$I$134)/0.55-S227*$C$5</f>
        <v>2.99633318801394</v>
      </c>
      <c r="U109" s="116" t="n">
        <f aca="false">(U70+T121)*(0.3*$C$5+0.25*01_Supuestos!$I$134)/0.55-T227*$C$5</f>
        <v>3.09864283490757</v>
      </c>
      <c r="V109" s="116" t="n">
        <f aca="false">(V70+U121)*(0.3*$C$5+0.25*01_Supuestos!$I$134)/0.55-U227*$C$5</f>
        <v>3.19872577862119</v>
      </c>
      <c r="W109" s="116" t="n">
        <f aca="false">(W70+V121)*(0.3*$C$5+0.25*01_Supuestos!$I$134)/0.55-V227*$C$5</f>
        <v>3.29691418247921</v>
      </c>
      <c r="X109" s="116" t="n">
        <f aca="false">(X70+W121)*(0.3*$C$5+0.25*01_Supuestos!$I$134)/0.55-W227*$C$5</f>
        <v>3.39364142435558</v>
      </c>
      <c r="Y109" s="116" t="n">
        <f aca="false">(Y70+X121)*(0.3*$C$5+0.25*01_Supuestos!$I$134)/0.55-X227*$C$5</f>
        <v>3.48933960004226</v>
      </c>
      <c r="Z109" s="116" t="n">
        <f aca="false">(Z70+Y121)*(0.3*$C$5+0.25*01_Supuestos!$I$134)/0.55-Y227*$C$5</f>
        <v>3.58444159534476</v>
      </c>
      <c r="AA109" s="116" t="n">
        <f aca="false">(AA70+Z121)*(0.3*$C$5+0.25*01_Supuestos!$I$134)/0.55-Z227*$C$5</f>
        <v>3.67827931703724</v>
      </c>
      <c r="AB109" s="116" t="n">
        <f aca="false">(AB70+AA121)*(0.3*$C$5+0.25*01_Supuestos!$I$134)/0.55-AA227*$C$5</f>
        <v>3.77096358583313</v>
      </c>
      <c r="AC109" s="116" t="n">
        <f aca="false">(AC70+AB121)*(0.3*$C$5+0.25*01_Supuestos!$I$134)/0.55-AB227*$C$5</f>
        <v>3.86281231373118</v>
      </c>
      <c r="AD109" s="116" t="n">
        <f aca="false">(AD70+AC121)*(0.3*$C$5+0.25*01_Supuestos!$I$134)/0.55-AC227*$C$5</f>
        <v>3.95404472480928</v>
      </c>
      <c r="AE109" s="116" t="n">
        <f aca="false">(AE70+AD121)*(0.3*$C$5+0.25*01_Supuestos!$I$134)/0.55-AD227*$C$5</f>
        <v>4.04491049580895</v>
      </c>
      <c r="AF109" s="116" t="n">
        <f aca="false">(AF70+AE121)*(0.3*$C$5+0.25*01_Supuestos!$I$134)/0.55-AE227*$C$5</f>
        <v>4.13567180794743</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0.730985858881311</v>
      </c>
      <c r="E110" s="116" t="n">
        <f aca="false">D120*$C$10</f>
        <v>1.4435467134439</v>
      </c>
      <c r="F110" s="116" t="n">
        <f aca="false">E120*$C$10</f>
        <v>2.1732053160311</v>
      </c>
      <c r="G110" s="116" t="n">
        <f aca="false">F120*$C$10</f>
        <v>2.71314713477015</v>
      </c>
      <c r="H110" s="116" t="n">
        <f aca="false">G120*$C$10</f>
        <v>3.20621208597458</v>
      </c>
      <c r="I110" s="116" t="n">
        <f aca="false">H120*$C$10</f>
        <v>3.67443481609536</v>
      </c>
      <c r="J110" s="116" t="n">
        <f aca="false">I120*$C$10</f>
        <v>4.13597772998126</v>
      </c>
      <c r="K110" s="116" t="n">
        <f aca="false">J120*$C$10</f>
        <v>4.6024250668143</v>
      </c>
      <c r="L110" s="116" t="n">
        <f aca="false">K120*$C$10</f>
        <v>5.12329925392947</v>
      </c>
      <c r="M110" s="116" t="n">
        <f aca="false">L120*$C$10</f>
        <v>5.69036190948939</v>
      </c>
      <c r="N110" s="116" t="n">
        <f aca="false">M120*$C$10</f>
        <v>5.6773196987775</v>
      </c>
      <c r="O110" s="116" t="n">
        <f aca="false">N120*$C$10</f>
        <v>5.69461728468928</v>
      </c>
      <c r="P110" s="116" t="n">
        <f aca="false">O120*$C$10</f>
        <v>5.74302613042937</v>
      </c>
      <c r="Q110" s="116" t="n">
        <f aca="false">P120*$C$10</f>
        <v>5.77868931604256</v>
      </c>
      <c r="R110" s="116" t="n">
        <f aca="false">Q120*$C$10</f>
        <v>5.80945774879096</v>
      </c>
      <c r="S110" s="116" t="n">
        <f aca="false">R120*$C$10</f>
        <v>5.86368809407534</v>
      </c>
      <c r="T110" s="116" t="n">
        <f aca="false">S120*$C$10</f>
        <v>5.92632865324865</v>
      </c>
      <c r="U110" s="116" t="n">
        <f aca="false">T120*$C$10</f>
        <v>5.978194449841</v>
      </c>
      <c r="V110" s="116" t="n">
        <f aca="false">U120*$C$10</f>
        <v>6.02753849062865</v>
      </c>
      <c r="W110" s="116" t="n">
        <f aca="false">V120*$C$10</f>
        <v>6.07852489398173</v>
      </c>
      <c r="X110" s="116" t="n">
        <f aca="false">W120*$C$10</f>
        <v>6.13122656860791</v>
      </c>
      <c r="Y110" s="116" t="n">
        <f aca="false">X120*$C$10</f>
        <v>6.18569729850467</v>
      </c>
      <c r="Z110" s="116" t="n">
        <f aca="false">Y120*$C$10</f>
        <v>6.2419826688736</v>
      </c>
      <c r="AA110" s="116" t="n">
        <f aca="false">Z120*$C$10</f>
        <v>6.30458397902129</v>
      </c>
      <c r="AB110" s="116" t="n">
        <f aca="false">AA120*$C$10</f>
        <v>6.36940685310534</v>
      </c>
      <c r="AC110" s="116" t="n">
        <f aca="false">AB120*$C$10</f>
        <v>6.43469353839911</v>
      </c>
      <c r="AD110" s="116" t="n">
        <f aca="false">AC120*$C$10</f>
        <v>6.5017629653859</v>
      </c>
      <c r="AE110" s="116" t="n">
        <f aca="false">AD120*$C$10</f>
        <v>6.57108254260729</v>
      </c>
      <c r="AF110" s="116" t="n">
        <f aca="false">AE120*$C$10</f>
        <v>6.64269572897245</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0.55357665388876</v>
      </c>
      <c r="D111" s="136" t="n">
        <f aca="false">D69*01_Supuestos!$I$107-D218</f>
        <v>1.42828368911724</v>
      </c>
      <c r="E111" s="136" t="n">
        <f aca="false">E69*01_Supuestos!$I$107-E218</f>
        <v>2.56406832333937</v>
      </c>
      <c r="F111" s="136" t="n">
        <f aca="false">F69*01_Supuestos!$I$107-F218</f>
        <v>5.25232231519187</v>
      </c>
      <c r="G111" s="136" t="n">
        <f aca="false">G69*01_Supuestos!$I$107-G218</f>
        <v>7.80108948551008</v>
      </c>
      <c r="H111" s="136" t="n">
        <f aca="false">H69*01_Supuestos!$I$107-H218</f>
        <v>9.73116546168079</v>
      </c>
      <c r="I111" s="136" t="n">
        <f aca="false">I69*01_Supuestos!$I$107-I218</f>
        <v>11.2792050011858</v>
      </c>
      <c r="J111" s="136" t="n">
        <f aca="false">J69*01_Supuestos!$I$107-J218</f>
        <v>12.5091975008267</v>
      </c>
      <c r="K111" s="136" t="n">
        <f aca="false">K69*01_Supuestos!$I$107-K218</f>
        <v>12.4841295794165</v>
      </c>
      <c r="L111" s="136" t="n">
        <f aca="false">L69*01_Supuestos!$I$107-L218</f>
        <v>12.4794900332596</v>
      </c>
      <c r="M111" s="136" t="n">
        <f aca="false">M69*01_Supuestos!$I$107-M218</f>
        <v>12.512414471571</v>
      </c>
      <c r="N111" s="136" t="n">
        <f aca="false">N69*01_Supuestos!$I$107-N218</f>
        <v>12.5917626576767</v>
      </c>
      <c r="O111" s="136" t="n">
        <f aca="false">O69*01_Supuestos!$I$107-O218</f>
        <v>12.7241359868209</v>
      </c>
      <c r="P111" s="136" t="n">
        <f aca="false">P69*01_Supuestos!$I$107-P218</f>
        <v>12.9472962336558</v>
      </c>
      <c r="Q111" s="136" t="n">
        <f aca="false">Q69*01_Supuestos!$I$107-Q218</f>
        <v>13.2553942813638</v>
      </c>
      <c r="R111" s="136" t="n">
        <f aca="false">R69*01_Supuestos!$I$107-R218</f>
        <v>13.6195072119713</v>
      </c>
      <c r="S111" s="136" t="n">
        <f aca="false">S69*01_Supuestos!$I$107-S218</f>
        <v>14.024429714961</v>
      </c>
      <c r="T111" s="136" t="n">
        <f aca="false">T69*01_Supuestos!$I$107-T218</f>
        <v>14.4576234701719</v>
      </c>
      <c r="U111" s="136" t="n">
        <f aca="false">U69*01_Supuestos!$I$107-U218</f>
        <v>14.8757720780868</v>
      </c>
      <c r="V111" s="136" t="n">
        <f aca="false">V69*01_Supuestos!$I$107-V218</f>
        <v>15.2795277045336</v>
      </c>
      <c r="W111" s="136" t="n">
        <f aca="false">W69*01_Supuestos!$I$107-W218</f>
        <v>15.669500222863</v>
      </c>
      <c r="X111" s="136" t="n">
        <f aca="false">X69*01_Supuestos!$I$107-X218</f>
        <v>16.0462599531352</v>
      </c>
      <c r="Y111" s="136" t="n">
        <f aca="false">Y69*01_Supuestos!$I$107-Y218</f>
        <v>16.4103402240666</v>
      </c>
      <c r="Z111" s="136" t="n">
        <f aca="false">Z69*01_Supuestos!$I$107-Z218</f>
        <v>16.7622397691973</v>
      </c>
      <c r="AA111" s="136" t="n">
        <f aca="false">AA69*01_Supuestos!$I$107-AA218</f>
        <v>17.1024249679981</v>
      </c>
      <c r="AB111" s="136" t="n">
        <f aca="false">AB69*01_Supuestos!$I$107-AB218</f>
        <v>17.4313319419445</v>
      </c>
      <c r="AC111" s="136" t="n">
        <f aca="false">AC69*01_Supuestos!$I$107-AC218</f>
        <v>17.7493685149341</v>
      </c>
      <c r="AD111" s="136" t="n">
        <f aca="false">AD69*01_Supuestos!$I$107-AD218</f>
        <v>18.056916046823</v>
      </c>
      <c r="AE111" s="136" t="n">
        <f aca="false">AE69*01_Supuestos!$I$107-AE218</f>
        <v>18.3543311482834</v>
      </c>
      <c r="AF111" s="136" t="n">
        <f aca="false">AF69*01_Supuestos!$I$107-AF218</f>
        <v>18.6419472846603</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0.0236534055447657</v>
      </c>
      <c r="D112" s="116" t="n">
        <f aca="false">D81*$C$7</f>
        <v>0.0625411439638284</v>
      </c>
      <c r="E112" s="116" t="n">
        <f aca="false">E81*$C$7</f>
        <v>0.115361828623874</v>
      </c>
      <c r="F112" s="116" t="n">
        <f aca="false">F81*$C$7</f>
        <v>0.236282709168833</v>
      </c>
      <c r="G112" s="116" t="n">
        <f aca="false">G81*$C$7</f>
        <v>0.356586816881412</v>
      </c>
      <c r="H112" s="116" t="n">
        <f aca="false">H81*$C$7</f>
        <v>0.456024347828507</v>
      </c>
      <c r="I112" s="116" t="n">
        <f aca="false">I81*$C$7</f>
        <v>0.543012705102579</v>
      </c>
      <c r="J112" s="116" t="n">
        <f aca="false">J81*$C$7</f>
        <v>0.619238223604973</v>
      </c>
      <c r="K112" s="116" t="n">
        <f aca="false">K81*$C$7</f>
        <v>0.644409609188697</v>
      </c>
      <c r="L112" s="116" t="n">
        <f aca="false">L81*$C$7</f>
        <v>0.669601343443599</v>
      </c>
      <c r="M112" s="116" t="n">
        <f aca="false">M81*$C$7</f>
        <v>0.694326746147219</v>
      </c>
      <c r="N112" s="116" t="n">
        <f aca="false">N81*$C$7</f>
        <v>0.718648868894921</v>
      </c>
      <c r="O112" s="116" t="n">
        <f aca="false">O81*$C$7</f>
        <v>0.742367859338289</v>
      </c>
      <c r="P112" s="116" t="n">
        <f aca="false">P81*$C$7</f>
        <v>0.764366384050808</v>
      </c>
      <c r="Q112" s="116" t="n">
        <f aca="false">Q81*$C$7</f>
        <v>0.784646686290687</v>
      </c>
      <c r="R112" s="116" t="n">
        <f aca="false">R81*$C$7</f>
        <v>0.803626458603216</v>
      </c>
      <c r="S112" s="116" t="n">
        <f aca="false">S81*$C$7</f>
        <v>0.821235851584253</v>
      </c>
      <c r="T112" s="116" t="n">
        <f aca="false">T81*$C$7</f>
        <v>0.837587452507899</v>
      </c>
      <c r="U112" s="116" t="n">
        <f aca="false">U81*$C$7</f>
        <v>0.853798204544811</v>
      </c>
      <c r="V112" s="116" t="n">
        <f aca="false">V81*$C$7</f>
        <v>0.869871973989587</v>
      </c>
      <c r="W112" s="116" t="n">
        <f aca="false">W81*$C$7</f>
        <v>0.885541859851047</v>
      </c>
      <c r="X112" s="116" t="n">
        <f aca="false">X81*$C$7</f>
        <v>0.900836648970655</v>
      </c>
      <c r="Y112" s="116" t="n">
        <f aca="false">Y81*$C$7</f>
        <v>0.915785031059887</v>
      </c>
      <c r="Z112" s="116" t="n">
        <f aca="false">Z81*$C$7</f>
        <v>0.930415771963958</v>
      </c>
      <c r="AA112" s="116" t="n">
        <f aca="false">AA81*$C$7</f>
        <v>0.944664485033331</v>
      </c>
      <c r="AB112" s="116" t="n">
        <f aca="false">AB81*$C$7</f>
        <v>0.958539503825191</v>
      </c>
      <c r="AC112" s="116" t="n">
        <f aca="false">AC81*$C$7</f>
        <v>0.972066688374796</v>
      </c>
      <c r="AD112" s="116" t="n">
        <f aca="false">AD81*$C$7</f>
        <v>0.985263549678895</v>
      </c>
      <c r="AE112" s="116" t="n">
        <f aca="false">AE81*$C$7</f>
        <v>0.998150175118252</v>
      </c>
      <c r="AF112" s="116" t="n">
        <f aca="false">AF81*$C$7</f>
        <v>1.01074770793705</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-0.190441692508583</v>
      </c>
      <c r="D113" s="136" t="n">
        <f aca="false">D107+D109+D110-D111-D112-D108-D97-D98-D102+D184-D190-D229-D265-D268-D274</f>
        <v>0.193285115187927</v>
      </c>
      <c r="E113" s="136" t="n">
        <f aca="false">E107+E109+E110-E111-E112-E108-E97-E98-E102+E184-E190-E229-E265-E268-E274</f>
        <v>0.307825399201489</v>
      </c>
      <c r="F113" s="136" t="n">
        <f aca="false">F107+F109+F110-F111-F112-F108-F97-F98-F102+F184-F190-F229-F265-F268-F274</f>
        <v>-0.746668428975485</v>
      </c>
      <c r="G113" s="136" t="n">
        <f aca="false">G107+G109+G110-G111-G112-G108-G97-G98-G102+G184-G190-G229-G265-G268-G274</f>
        <v>-1.87181378411561</v>
      </c>
      <c r="H113" s="136" t="n">
        <f aca="false">H107+H109+H110-H111-H112-H108-H97-H98-H102+H184-H190-H229-H265-H268-H274</f>
        <v>-2.59673167694287</v>
      </c>
      <c r="I113" s="136" t="n">
        <f aca="false">I107+I109+I110-I111-I112-I108-I97-I98-I102+I184-I190-I229-I265-I268-I274</f>
        <v>-2.94872728390225</v>
      </c>
      <c r="J113" s="136" t="n">
        <f aca="false">J107+J109+J110-J111-J112-J108-J97-J98-J102+J184-J190-J229-J265-J268-J274</f>
        <v>-2.97219461209401</v>
      </c>
      <c r="K113" s="136" t="n">
        <f aca="false">K107+K109+K110-K111-K112-K108-K97-K98-K102+K184-K190-K229-K265-K268-K274</f>
        <v>-1.88927679984758</v>
      </c>
      <c r="L113" s="136" t="n">
        <f aca="false">L107+L109+L110-L111-L112-L108-L97-L98-L102+L184-L190-L229-L265-L268-L274</f>
        <v>-0.781954738885801</v>
      </c>
      <c r="M113" s="136" t="n">
        <f aca="false">M107+M109+M110-M111-M112-M108-M97-M98-M102+M184-M190-M229-M265-M268-M274</f>
        <v>0.269818959627445</v>
      </c>
      <c r="N113" s="136" t="n">
        <f aca="false">N107+N109+N110-N111-N112-N108-N97-N98-N102+N184-N190-N229-N265-N268-N274</f>
        <v>0.642415350547645</v>
      </c>
      <c r="O113" s="136" t="n">
        <f aca="false">O107+O109+O110-O111-O112-O108-O97-O98-O102+O184-O190-O229-O265-O268-O274</f>
        <v>1.01475348644143</v>
      </c>
      <c r="P113" s="136" t="n">
        <f aca="false">P107+P109+P110-P111-P112-P108-P97-P98-P102+P184-P190-P229-P265-P268-P274</f>
        <v>1.38867178881336</v>
      </c>
      <c r="Q113" s="136" t="n">
        <f aca="false">Q107+Q109+Q110-Q111-Q112-Q108-Q97-Q98-Q102+Q184-Q190-Q229-Q265-Q268-Q274</f>
        <v>1.68640401297451</v>
      </c>
      <c r="R113" s="136" t="n">
        <f aca="false">R107+R109+R110-R111-R112-R108-R97-R98-R102+R184-R190-R229-R265-R268-R274</f>
        <v>1.71526618648201</v>
      </c>
      <c r="S113" s="136" t="n">
        <f aca="false">S107+S109+S110-S111-S112-S108-S97-S98-S102+S184-S190-S229-S265-S268-S274</f>
        <v>1.60202642048741</v>
      </c>
      <c r="T113" s="136" t="n">
        <f aca="false">T107+T109+T110-T111-T112-T108-T97-T98-T102+T184-T190-T229-T265-T268-T274</f>
        <v>1.49671031229016</v>
      </c>
      <c r="U113" s="136" t="n">
        <f aca="false">U107+U109+U110-U111-U112-U108-U97-U98-U102+U184-U190-U229-U265-U268-U274</f>
        <v>1.39723065418388</v>
      </c>
      <c r="V113" s="136" t="n">
        <f aca="false">V107+V109+V110-V111-V112-V108-V97-V98-V102+V184-V190-V229-V265-V268-V274</f>
        <v>1.31161792342904</v>
      </c>
      <c r="W113" s="136" t="n">
        <f aca="false">W107+W109+W110-W111-W112-W108-W97-W98-W102+W184-W190-W229-W265-W268-W274</f>
        <v>1.24414770342977</v>
      </c>
      <c r="X113" s="136" t="n">
        <f aca="false">X107+X109+X110-X111-X112-X108-X97-X98-X102+X184-X190-X229-X265-X268-X274</f>
        <v>1.19475894969967</v>
      </c>
      <c r="Y113" s="136" t="n">
        <f aca="false">Y107+Y109+Y110-Y111-Y112-Y108-Y97-Y98-Y102+Y184-Y190-Y229-Y265-Y268-Y274</f>
        <v>1.16347804320088</v>
      </c>
      <c r="Z113" s="136" t="n">
        <f aca="false">Z107+Z109+Z110-Z111-Z112-Z108-Z97-Z98-Z102+Z184-Z190-Z229-Z265-Z268-Z274</f>
        <v>1.10371781054547</v>
      </c>
      <c r="AA113" s="136" t="n">
        <f aca="false">AA107+AA109+AA110-AA111-AA112-AA108-AA97-AA98-AA102+AA184-AA190-AA229-AA265-AA268-AA274</f>
        <v>1.04842475433265</v>
      </c>
      <c r="AB113" s="136" t="n">
        <f aca="false">AB107+AB109+AB110-AB111-AB112-AB108-AB97-AB98-AB102+AB184-AB190-AB229-AB265-AB268-AB274</f>
        <v>1.00635261379733</v>
      </c>
      <c r="AC113" s="136" t="n">
        <f aca="false">AC107+AC109+AC110-AC111-AC112-AC108-AC97-AC98-AC102+AC184-AC190-AC229-AC265-AC268-AC274</f>
        <v>0.973318039729763</v>
      </c>
      <c r="AD113" s="136" t="n">
        <f aca="false">AD107+AD109+AD110-AD111-AD112-AD108-AD97-AD98-AD102+AD184-AD190-AD229-AD265-AD268-AD274</f>
        <v>0.950601037419612</v>
      </c>
      <c r="AE113" s="136" t="n">
        <f aca="false">AE107+AE109+AE110-AE111-AE112-AE108-AE97-AE98-AE102+AE184-AE190-AE229-AE265-AE268-AE274</f>
        <v>0.938721970052169</v>
      </c>
      <c r="AF113" s="136" t="n">
        <f aca="false">AF107+AF109+AF110-AF111-AF112-AF108-AF97-AF98-AF102+AF184-AF190-AF229-AF265-AF268-AF274</f>
        <v>0.937818802647099</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20.8853102537517</v>
      </c>
      <c r="D114" s="116" t="n">
        <f aca="false">C120+D53+D56-D57+(D58-D65)+D113-D92+D94-D95-D103+D60-D245</f>
        <v>41.4374769278709</v>
      </c>
      <c r="E114" s="116" t="n">
        <f aca="false">D120+E53+E56-E57+(E58-E65)+E113-E92+E94-E95-E103+E60-E245</f>
        <v>62.399405857233</v>
      </c>
      <c r="F114" s="116" t="n">
        <f aca="false">E120+F53+F56-F57+(F58-F65)+F113-F92+F94-F95-F103+F60-F245</f>
        <v>77.5184895648614</v>
      </c>
      <c r="G114" s="116" t="n">
        <f aca="false">F120+G53+G56-G57+(G58-G65)+G113-G92+G94-G95-G103+G60-G245</f>
        <v>91.6060595992738</v>
      </c>
      <c r="H114" s="116" t="n">
        <f aca="false">G120+H53+H56-H57+(H58-H65)+H113-H92+H94-H95-H103+H60-H245</f>
        <v>104.983851888439</v>
      </c>
      <c r="I114" s="116" t="n">
        <f aca="false">H120+I53+I56-I57+(I58-I65)+I113-I92+I94-I95-I103+I60-I245</f>
        <v>118.170792285179</v>
      </c>
      <c r="J114" s="116" t="n">
        <f aca="false">I120+J53+J56-J57+(J58-J65)+J113-J92+J94-J95-J103+J60-J245</f>
        <v>131.497859051837</v>
      </c>
      <c r="K114" s="116" t="n">
        <f aca="false">J120+K53+K56-K57+(K58-K65)+K113-K92+K94-K95-K103+K60-K245</f>
        <v>146.379978683699</v>
      </c>
      <c r="L114" s="116" t="n">
        <f aca="false">K120+L53+L56-L57+(L58-L65)+L113-L92+L94-L95-L103+L60-L245</f>
        <v>162.581768842554</v>
      </c>
      <c r="M114" s="116" t="n">
        <f aca="false">L120+M53+M56-M57+(M58-M65)+M113-M92+M94-M95-M103+M60-M245</f>
        <v>162.478953210413</v>
      </c>
      <c r="N114" s="116" t="n">
        <f aca="false">M120+N53+N56-N57+(N58-N65)+N113-N92+N94-N95-N103+N60-N245</f>
        <v>163.34576634167</v>
      </c>
      <c r="O114" s="116" t="n">
        <f aca="false">N120+O53+O56-O57+(O58-O65)+O113-O92+O94-O95-O103+O60-O245</f>
        <v>165.101214355852</v>
      </c>
      <c r="P114" s="116" t="n">
        <f aca="false">O120+P53+P56-P57+(P58-P65)+P113-P92+P94-P95-P103+P60-P245</f>
        <v>166.494080818601</v>
      </c>
      <c r="Q114" s="116" t="n">
        <f aca="false">P120+Q53+Q56-Q57+(Q58-Q65)+Q113-Q92+Q94-Q95-Q103+Q60-Q245</f>
        <v>167.670911121288</v>
      </c>
      <c r="R114" s="116" t="n">
        <f aca="false">Q120+R53+R56-R57+(R58-R65)+R113-R92+R94-R95-R103+R60-R245</f>
        <v>169.249211731492</v>
      </c>
      <c r="S114" s="116" t="n">
        <f aca="false">R120+S53+S56-S57+(S58-S65)+S113-S92+S94-S95-S103+S60-S245</f>
        <v>170.925702227592</v>
      </c>
      <c r="T114" s="116" t="n">
        <f aca="false">S120+T53+T56-T57+(T58-T65)+T113-T92+T94-T95-T103+T60-T245</f>
        <v>172.302266022033</v>
      </c>
      <c r="U114" s="116" t="n">
        <f aca="false">T120+U53+U56-U57+(U58-U65)+U113-U92+U94-U95-U103+U60-U245</f>
        <v>173.612616100717</v>
      </c>
      <c r="V114" s="116" t="n">
        <f aca="false">U120+V53+V56-V57+(V58-V65)+V113-V92+V94-V95-V103+V60-V245</f>
        <v>174.983757751479</v>
      </c>
      <c r="W114" s="116" t="n">
        <f aca="false">V120+W53+W56-W57+(W58-W65)+W113-W92+W94-W95-W103+W60-W245</f>
        <v>176.422049663656</v>
      </c>
      <c r="X114" s="116" t="n">
        <f aca="false">W120+X53+X56-X57+(X58-X65)+X113-X92+X94-X95-X103+X60-X245</f>
        <v>177.928967478405</v>
      </c>
      <c r="Y114" s="116" t="n">
        <f aca="false">X120+Y53+Y56-Y57+(Y58-Y65)+Y113-Y92+Y94-Y95-Y103+Y60-Y245</f>
        <v>179.505840011018</v>
      </c>
      <c r="Z114" s="116" t="n">
        <f aca="false">Y120+Z53+Z56-Z57+(Z58-Z65)+Z113-Z92+Z94-Z95-Z103+Z60-Z245</f>
        <v>181.234688639725</v>
      </c>
      <c r="AA114" s="116" t="n">
        <f aca="false">Z120+AA53+AA56-AA57+(AA58-AA65)+AA113-AA92+AA94-AA95-AA103+AA60-AA245</f>
        <v>183.031477700199</v>
      </c>
      <c r="AB114" s="116" t="n">
        <f aca="false">AA120+AB53+AB56-AB57+(AB58-AB65)+AB113-AB92+AB94-AB95-AB103+AB60-AB245</f>
        <v>184.854739425201</v>
      </c>
      <c r="AC114" s="116" t="n">
        <f aca="false">AB120+AC53+AC56-AC57+(AC58-AC65)+AC113-AC92+AC94-AC95-AC103+AC60-AC245</f>
        <v>186.737974193613</v>
      </c>
      <c r="AD114" s="116" t="n">
        <f aca="false">AC120+AD53+AD56-AD57+(AD58-AD65)+AD113-AD92+AD94-AD95-AD103+AD60-AD245</f>
        <v>188.695816540485</v>
      </c>
      <c r="AE114" s="116" t="n">
        <f aca="false">AD120+AE53+AE56-AE57+(AE58-AE65)+AE113-AE92+AE94-AE95-AE103+AE60-AE245</f>
        <v>190.730028512122</v>
      </c>
      <c r="AF114" s="116" t="n">
        <f aca="false">AE120+AF53+AF56-AF57+(AF58-AF65)+AF113-AF92+AF94-AF95-AF103+AF60-AF245</f>
        <v>192.841976846691</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0.193285115187927</v>
      </c>
      <c r="E115" s="116" t="n">
        <f aca="false">IF(E113&gt;0,MIN(E113,01_Supuestos!$I$106*E81),0)</f>
        <v>0.307825399201489</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0.269818959627445</v>
      </c>
      <c r="N115" s="116" t="n">
        <f aca="false">IF(N113&gt;0,MIN(N113,01_Supuestos!$I$106*N81),0)</f>
        <v>0.642415350547645</v>
      </c>
      <c r="O115" s="116" t="n">
        <f aca="false">IF(O113&gt;0,MIN(O113,01_Supuestos!$I$106*O81),0)</f>
        <v>1.01475348644143</v>
      </c>
      <c r="P115" s="116" t="n">
        <f aca="false">IF(P113&gt;0,MIN(P113,01_Supuestos!$I$106*P81),0)</f>
        <v>1.38867178881336</v>
      </c>
      <c r="Q115" s="116" t="n">
        <f aca="false">IF(Q113&gt;0,MIN(Q113,01_Supuestos!$I$106*Q81),0)</f>
        <v>1.68640401297451</v>
      </c>
      <c r="R115" s="116" t="n">
        <f aca="false">IF(R113&gt;0,MIN(R113,01_Supuestos!$I$106*R81),0)</f>
        <v>1.71526618648201</v>
      </c>
      <c r="S115" s="116" t="n">
        <f aca="false">IF(S113&gt;0,MIN(S113,01_Supuestos!$I$106*S81),0)</f>
        <v>1.60202642048741</v>
      </c>
      <c r="T115" s="116" t="n">
        <f aca="false">IF(T113&gt;0,MIN(T113,01_Supuestos!$I$106*T81),0)</f>
        <v>1.49671031229016</v>
      </c>
      <c r="U115" s="116" t="n">
        <f aca="false">IF(U113&gt;0,MIN(U113,01_Supuestos!$I$106*U81),0)</f>
        <v>1.39723065418388</v>
      </c>
      <c r="V115" s="116" t="n">
        <f aca="false">IF(V113&gt;0,MIN(V113,01_Supuestos!$I$106*V81),0)</f>
        <v>1.31161792342904</v>
      </c>
      <c r="W115" s="116" t="n">
        <f aca="false">IF(W113&gt;0,MIN(W113,01_Supuestos!$I$106*W81),0)</f>
        <v>1.24414770342977</v>
      </c>
      <c r="X115" s="116" t="n">
        <f aca="false">IF(X113&gt;0,MIN(X113,01_Supuestos!$I$106*X81),0)</f>
        <v>1.19475894969967</v>
      </c>
      <c r="Y115" s="116" t="n">
        <f aca="false">IF(Y113&gt;0,MIN(Y113,01_Supuestos!$I$106*Y81),0)</f>
        <v>1.16347804320088</v>
      </c>
      <c r="Z115" s="116" t="n">
        <f aca="false">IF(Z113&gt;0,MIN(Z113,01_Supuestos!$I$106*Z81),0)</f>
        <v>1.10371781054547</v>
      </c>
      <c r="AA115" s="116" t="n">
        <f aca="false">IF(AA113&gt;0,MIN(AA113,01_Supuestos!$I$106*AA81),0)</f>
        <v>1.04842475433265</v>
      </c>
      <c r="AB115" s="116" t="n">
        <f aca="false">IF(AB113&gt;0,MIN(AB113,01_Supuestos!$I$106*AB81),0)</f>
        <v>1.00635261379733</v>
      </c>
      <c r="AC115" s="116" t="n">
        <f aca="false">IF(AC113&gt;0,MIN(AC113,01_Supuestos!$I$106*AC81),0)</f>
        <v>0.973318039729763</v>
      </c>
      <c r="AD115" s="116" t="n">
        <f aca="false">IF(AD113&gt;0,MIN(AD113,01_Supuestos!$I$106*AD81),0)</f>
        <v>0.950601037419612</v>
      </c>
      <c r="AE115" s="116" t="n">
        <f aca="false">IF(AE113&gt;0,MIN(AE113,01_Supuestos!$I$106*AE81),0)</f>
        <v>0.938721970052169</v>
      </c>
      <c r="AF115" s="116" t="n">
        <f aca="false">IF(AF113&gt;0,MIN(AF113,01_Supuestos!$I$106*AF81),0)</f>
        <v>0.937818802647099</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20.8853102537517</v>
      </c>
      <c r="D120" s="136" t="n">
        <f aca="false">D114-D115+D118+D119</f>
        <v>41.244191812683</v>
      </c>
      <c r="E120" s="136" t="n">
        <f aca="false">E114-E115+E118+E119</f>
        <v>62.0915804580315</v>
      </c>
      <c r="F120" s="136" t="n">
        <f aca="false">F114-F115+F118+F119</f>
        <v>77.5184895648614</v>
      </c>
      <c r="G120" s="136" t="n">
        <f aca="false">G114-G115+G118+G119</f>
        <v>91.6060595992738</v>
      </c>
      <c r="H120" s="136" t="n">
        <f aca="false">H114-H115+H118+H119</f>
        <v>104.983851888439</v>
      </c>
      <c r="I120" s="136" t="n">
        <f aca="false">I114-I115+I118+I119</f>
        <v>118.170792285179</v>
      </c>
      <c r="J120" s="136" t="n">
        <f aca="false">J114-J115+J118+J119</f>
        <v>131.497859051837</v>
      </c>
      <c r="K120" s="136" t="n">
        <f aca="false">K114-K115+K118+K119</f>
        <v>146.379978683699</v>
      </c>
      <c r="L120" s="136" t="n">
        <f aca="false">L114-L115+L118+L119</f>
        <v>162.581768842554</v>
      </c>
      <c r="M120" s="136" t="n">
        <f aca="false">M114-M115+M118+M119</f>
        <v>162.209134250786</v>
      </c>
      <c r="N120" s="136" t="n">
        <f aca="false">N114-N115+N118+N119</f>
        <v>162.703350991122</v>
      </c>
      <c r="O120" s="136" t="n">
        <f aca="false">O114-O115+O118+O119</f>
        <v>164.086460869411</v>
      </c>
      <c r="P120" s="136" t="n">
        <f aca="false">P114-P115+P118+P119</f>
        <v>165.105409029787</v>
      </c>
      <c r="Q120" s="136" t="n">
        <f aca="false">Q114-Q115+Q118+Q119</f>
        <v>165.984507108313</v>
      </c>
      <c r="R120" s="136" t="n">
        <f aca="false">R114-R115+R118+R119</f>
        <v>167.53394554501</v>
      </c>
      <c r="S120" s="136" t="n">
        <f aca="false">S114-S115+S118+S119</f>
        <v>169.323675807104</v>
      </c>
      <c r="T120" s="136" t="n">
        <f aca="false">T114-T115+T118+T119</f>
        <v>170.805555709743</v>
      </c>
      <c r="U120" s="136" t="n">
        <f aca="false">U114-U115+U118+U119</f>
        <v>172.215385446533</v>
      </c>
      <c r="V120" s="136" t="n">
        <f aca="false">V114-V115+V118+V119</f>
        <v>173.67213982805</v>
      </c>
      <c r="W120" s="136" t="n">
        <f aca="false">W114-W115+W118+W119</f>
        <v>175.177901960226</v>
      </c>
      <c r="X120" s="136" t="n">
        <f aca="false">X114-X115+X118+X119</f>
        <v>176.734208528705</v>
      </c>
      <c r="Y120" s="136" t="n">
        <f aca="false">Y114-Y115+Y118+Y119</f>
        <v>178.342361967817</v>
      </c>
      <c r="Z120" s="136" t="n">
        <f aca="false">Z114-Z115+Z118+Z119</f>
        <v>180.13097082918</v>
      </c>
      <c r="AA120" s="136" t="n">
        <f aca="false">AA114-AA115+AA118+AA119</f>
        <v>181.983052945867</v>
      </c>
      <c r="AB120" s="136" t="n">
        <f aca="false">AB114-AB115+AB118+AB119</f>
        <v>183.848386811403</v>
      </c>
      <c r="AC120" s="136" t="n">
        <f aca="false">AC114-AC115+AC118+AC119</f>
        <v>185.764656153883</v>
      </c>
      <c r="AD120" s="136" t="n">
        <f aca="false">AD114-AD115+AD118+AD119</f>
        <v>187.745215503065</v>
      </c>
      <c r="AE120" s="136" t="n">
        <f aca="false">AE114-AE115+AE118+AE119</f>
        <v>189.79130654207</v>
      </c>
      <c r="AF120" s="136" t="n">
        <f aca="false">AF114-AF115+AF118+AF119</f>
        <v>191.904158044044</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0.193285115187927</v>
      </c>
      <c r="E121" s="116" t="n">
        <f aca="false">D121+E115</f>
        <v>0.501110514389416</v>
      </c>
      <c r="F121" s="116" t="n">
        <f aca="false">E121+F115</f>
        <v>0.501110514389416</v>
      </c>
      <c r="G121" s="116" t="n">
        <f aca="false">F121+G115</f>
        <v>0.501110514389416</v>
      </c>
      <c r="H121" s="116" t="n">
        <f aca="false">G121+H115</f>
        <v>0.501110514389416</v>
      </c>
      <c r="I121" s="116" t="n">
        <f aca="false">H121+I115</f>
        <v>0.501110514389416</v>
      </c>
      <c r="J121" s="116" t="n">
        <f aca="false">I121+J115</f>
        <v>0.501110514389416</v>
      </c>
      <c r="K121" s="116" t="n">
        <f aca="false">J121+K115</f>
        <v>0.501110514389416</v>
      </c>
      <c r="L121" s="116" t="n">
        <f aca="false">K121+L115</f>
        <v>0.501110514389416</v>
      </c>
      <c r="M121" s="116" t="n">
        <f aca="false">L121+M115</f>
        <v>0.770929474016861</v>
      </c>
      <c r="N121" s="116" t="n">
        <f aca="false">M121+N115</f>
        <v>1.41334482456451</v>
      </c>
      <c r="O121" s="116" t="n">
        <f aca="false">N121+O115</f>
        <v>2.42809831100593</v>
      </c>
      <c r="P121" s="116" t="n">
        <f aca="false">O121+P115</f>
        <v>3.81677009981929</v>
      </c>
      <c r="Q121" s="116" t="n">
        <f aca="false">P121+Q115</f>
        <v>5.50317411279381</v>
      </c>
      <c r="R121" s="116" t="n">
        <f aca="false">Q121+R115</f>
        <v>7.21844029927582</v>
      </c>
      <c r="S121" s="116" t="n">
        <f aca="false">R121+S115</f>
        <v>8.82046671976323</v>
      </c>
      <c r="T121" s="116" t="n">
        <f aca="false">S121+T115</f>
        <v>10.3171770320534</v>
      </c>
      <c r="U121" s="116" t="n">
        <f aca="false">T121+U115</f>
        <v>11.7144076862373</v>
      </c>
      <c r="V121" s="116" t="n">
        <f aca="false">U121+V115</f>
        <v>13.0260256096663</v>
      </c>
      <c r="W121" s="116" t="n">
        <f aca="false">V121+W115</f>
        <v>14.2701733130961</v>
      </c>
      <c r="X121" s="116" t="n">
        <f aca="false">W121+X115</f>
        <v>15.4649322627957</v>
      </c>
      <c r="Y121" s="116" t="n">
        <f aca="false">X121+Y115</f>
        <v>16.6284103059966</v>
      </c>
      <c r="Z121" s="116" t="n">
        <f aca="false">Y121+Z115</f>
        <v>17.7321281165421</v>
      </c>
      <c r="AA121" s="116" t="n">
        <f aca="false">Z121+AA115</f>
        <v>18.7805528708747</v>
      </c>
      <c r="AB121" s="116" t="n">
        <f aca="false">AA121+AB115</f>
        <v>19.7869054846721</v>
      </c>
      <c r="AC121" s="116" t="n">
        <f aca="false">AB121+AC115</f>
        <v>20.7602235244018</v>
      </c>
      <c r="AD121" s="116" t="n">
        <f aca="false">AC121+AD115</f>
        <v>21.7108245618215</v>
      </c>
      <c r="AE121" s="116" t="n">
        <f aca="false">AD121+AE115</f>
        <v>22.6495465318736</v>
      </c>
      <c r="AF121" s="116" t="n">
        <f aca="false">AE121+AF115</f>
        <v>23.5873653345207</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1.72187054550287</v>
      </c>
      <c r="D122" s="87" t="n">
        <f aca="false">D276/(D81+D115)</f>
        <v>1.26559351741426</v>
      </c>
      <c r="E122" s="87" t="n">
        <f aca="false">E276/(E81+E115)</f>
        <v>1.03094988551876</v>
      </c>
      <c r="F122" s="87" t="n">
        <f aca="false">F276/(F81+F115)</f>
        <v>0.656150336497719</v>
      </c>
      <c r="G122" s="87" t="n">
        <f aca="false">G276/(G81+G115)</f>
        <v>0.513793865967506</v>
      </c>
      <c r="H122" s="87" t="n">
        <f aca="false">H276/(H81+H115)</f>
        <v>0.460430906324848</v>
      </c>
      <c r="I122" s="87" t="n">
        <f aca="false">I276/(I81+I115)</f>
        <v>0.435241353193957</v>
      </c>
      <c r="J122" s="87" t="n">
        <f aca="false">J276/(J81+J115)</f>
        <v>0.424708469339331</v>
      </c>
      <c r="K122" s="87" t="n">
        <f aca="false">K276/(K81+K115)</f>
        <v>0.454307249912023</v>
      </c>
      <c r="L122" s="87" t="n">
        <f aca="false">L276/(L81+L115)</f>
        <v>0.485607654269136</v>
      </c>
      <c r="M122" s="87" t="n">
        <f aca="false">M276/(M81+M115)</f>
        <v>0.466878634426121</v>
      </c>
      <c r="N122" s="87" t="n">
        <f aca="false">N276/(N81+N115)</f>
        <v>0.451995374247439</v>
      </c>
      <c r="O122" s="87" t="n">
        <f aca="false">O276/(O81+O115)</f>
        <v>0.44085717735014</v>
      </c>
      <c r="P122" s="87" t="n">
        <f aca="false">P276/(P81+P115)</f>
        <v>0.43044191872675</v>
      </c>
      <c r="Q122" s="87" t="n">
        <f aca="false">Q276/(Q81+Q115)</f>
        <v>0.421270053102566</v>
      </c>
      <c r="R122" s="87" t="n">
        <f aca="false">R276/(R81+R115)</f>
        <v>0.415172527883981</v>
      </c>
      <c r="S122" s="87" t="n">
        <f aca="false">S276/(S81+S115)</f>
        <v>0.410760505158108</v>
      </c>
      <c r="T122" s="87" t="n">
        <f aca="false">T276/(T81+T115)</f>
        <v>0.406398863379379</v>
      </c>
      <c r="U122" s="87" t="n">
        <f aca="false">U276/(U81+U115)</f>
        <v>0.40209399942738</v>
      </c>
      <c r="V122" s="87" t="n">
        <f aca="false">V276/(V81+V115)</f>
        <v>0.398104511910399</v>
      </c>
      <c r="W122" s="87" t="n">
        <f aca="false">W276/(W81+W115)</f>
        <v>0.394531426490466</v>
      </c>
      <c r="X122" s="87" t="n">
        <f aca="false">X276/(X81+X115)</f>
        <v>0.391339877012512</v>
      </c>
      <c r="Y122" s="87" t="n">
        <f aca="false">Y276/(Y81+Y115)</f>
        <v>0.388498057894109</v>
      </c>
      <c r="Z122" s="87" t="n">
        <f aca="false">Z276/(Z81+Z115)</f>
        <v>0.3862888449787</v>
      </c>
      <c r="AA122" s="87" t="n">
        <f aca="false">AA276/(AA81+AA115)</f>
        <v>0.384432794847716</v>
      </c>
      <c r="AB122" s="87" t="n">
        <f aca="false">AB276/(AB81+AB115)</f>
        <v>0.382797280728132</v>
      </c>
      <c r="AC122" s="87" t="n">
        <f aca="false">AC276/(AC81+AC115)</f>
        <v>0.381441714378944</v>
      </c>
      <c r="AD122" s="87" t="n">
        <f aca="false">AD276/(AD81+AD115)</f>
        <v>0.380372607854016</v>
      </c>
      <c r="AE122" s="87" t="n">
        <f aca="false">AE276/(AE81+AE115)</f>
        <v>0.37957212965934</v>
      </c>
      <c r="AF122" s="87" t="n">
        <f aca="false">AF276/(AF81+AF115)</f>
        <v>0.379023768094669</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0.190441692508583</v>
      </c>
      <c r="D127" s="116" t="n">
        <f aca="false">MAX(0,-D113)</f>
        <v>0</v>
      </c>
      <c r="E127" s="116" t="n">
        <f aca="false">MAX(0,-E113)</f>
        <v>0</v>
      </c>
      <c r="F127" s="116" t="n">
        <f aca="false">MAX(0,-F113)</f>
        <v>0.746668428975485</v>
      </c>
      <c r="G127" s="116" t="n">
        <f aca="false">MAX(0,-G113)</f>
        <v>1.87181378411561</v>
      </c>
      <c r="H127" s="116" t="n">
        <f aca="false">MAX(0,-H113)</f>
        <v>2.59673167694287</v>
      </c>
      <c r="I127" s="116" t="n">
        <f aca="false">MAX(0,-I113)</f>
        <v>2.94872728390225</v>
      </c>
      <c r="J127" s="116" t="n">
        <f aca="false">MAX(0,-J113)</f>
        <v>2.97219461209401</v>
      </c>
      <c r="K127" s="116" t="n">
        <f aca="false">MAX(0,-K113)</f>
        <v>1.88927679984758</v>
      </c>
      <c r="L127" s="116" t="n">
        <f aca="false">MAX(0,-L113)</f>
        <v>0.781954738885801</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20.0234455327543</v>
      </c>
      <c r="D128" s="116" t="n">
        <f aca="false">IF(AVERAGE(E127:I127)&gt;0,D120/AVERAGE(E127:I127),99)</f>
        <v>25.2599761156763</v>
      </c>
      <c r="E128" s="116" t="n">
        <f aca="false">IF(AVERAGE(F127:J127)&gt;0,E120/AVERAGE(F127:J127),99)</f>
        <v>27.8784228439108</v>
      </c>
      <c r="F128" s="116" t="n">
        <f aca="false">IF(AVERAGE(G127:K127)&gt;0,F120/AVERAGE(G127:K127),99)</f>
        <v>31.5661311019684</v>
      </c>
      <c r="G128" s="116" t="n">
        <f aca="false">IF(AVERAGE(H127:L127)&gt;0,G120/AVERAGE(H127:L127),99)</f>
        <v>40.936187423941</v>
      </c>
      <c r="H128" s="116" t="n">
        <f aca="false">IF(AVERAGE(I127:M127)&gt;0,H120/AVERAGE(I127:M127),99)</f>
        <v>61.0928637890079</v>
      </c>
      <c r="I128" s="116" t="n">
        <f aca="false">IF(AVERAGE(J127:N127)&gt;0,I120/AVERAGE(J127:N127),99)</f>
        <v>104.697739570716</v>
      </c>
      <c r="J128" s="116" t="n">
        <f aca="false">IF(AVERAGE(K127:O127)&gt;0,J120/AVERAGE(K127:O127),99)</f>
        <v>246.137141511495</v>
      </c>
      <c r="K128" s="116" t="n">
        <f aca="false">IF(AVERAGE(L127:P127)&gt;0,K120/AVERAGE(L127:P127),99)</f>
        <v>935.987541249986</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0.0211887688491203</v>
      </c>
      <c r="D129" s="87" t="n">
        <f aca="false">D83/D41</f>
        <v>0.0507123840167354</v>
      </c>
      <c r="E129" s="87" t="n">
        <f aca="false">E83/E41</f>
        <v>0.0795722228902594</v>
      </c>
      <c r="F129" s="87" t="n">
        <f aca="false">F83/F41</f>
        <v>0.107783209081387</v>
      </c>
      <c r="G129" s="87" t="n">
        <f aca="false">G83/G41</f>
        <v>0.135359930675843</v>
      </c>
      <c r="H129" s="87" t="n">
        <f aca="false">H83/H41</f>
        <v>0.162316647776973</v>
      </c>
      <c r="I129" s="87" t="n">
        <f aca="false">I83/I41</f>
        <v>0.188667299879739</v>
      </c>
      <c r="J129" s="87" t="n">
        <f aca="false">J83/J41</f>
        <v>0.214425513078924</v>
      </c>
      <c r="K129" s="87" t="n">
        <f aca="false">K83/K41</f>
        <v>0.239604607115272</v>
      </c>
      <c r="L129" s="87" t="n">
        <f aca="false">L83/L41</f>
        <v>0.264217602263218</v>
      </c>
      <c r="M129" s="87" t="n">
        <f aca="false">M83/M41</f>
        <v>0.288277226063752</v>
      </c>
      <c r="N129" s="87" t="n">
        <f aca="false">N83/N41</f>
        <v>0.311795919905916</v>
      </c>
      <c r="O129" s="87" t="n">
        <f aca="false">O83/O41</f>
        <v>0.334785845460328</v>
      </c>
      <c r="P129" s="87" t="n">
        <f aca="false">P83/P41</f>
        <v>0.357258890968063</v>
      </c>
      <c r="Q129" s="87" t="n">
        <f aca="false">Q83/Q41</f>
        <v>0.379226677388136</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0.386239628491071</v>
      </c>
      <c r="AA129" s="87" t="n">
        <f aca="false">AA83/AA41</f>
        <v>0.383141507910778</v>
      </c>
      <c r="AB129" s="87" t="n">
        <f aca="false">AB83/AB41</f>
        <v>0.379840687893701</v>
      </c>
      <c r="AC129" s="87" t="n">
        <f aca="false">AC83/AC41</f>
        <v>0.376361052515139</v>
      </c>
      <c r="AD129" s="87" t="n">
        <f aca="false">AD83/AD41</f>
        <v>0.372721866347715</v>
      </c>
      <c r="AE129" s="87" t="n">
        <f aca="false">AE83/AE41</f>
        <v>0.368942199267137</v>
      </c>
      <c r="AF129" s="87" t="n">
        <f aca="false">AF83/AF41</f>
        <v>0.365040328913031</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-1.09916285</v>
      </c>
      <c r="E134" s="116" t="n">
        <f aca="false">-E56</f>
        <v>-1.12912053347675</v>
      </c>
      <c r="F134" s="116" t="n">
        <f aca="false">-F56</f>
        <v>-1.15989471361666</v>
      </c>
      <c r="G134" s="116" t="n">
        <f aca="false">-G56</f>
        <v>-1.19150764403628</v>
      </c>
      <c r="H134" s="116" t="n">
        <f aca="false">-H56</f>
        <v>-1.22398218487449</v>
      </c>
      <c r="I134" s="116" t="n">
        <f aca="false">-I56</f>
        <v>-1.25734181932324</v>
      </c>
      <c r="J134" s="116" t="n">
        <f aca="false">-J56</f>
        <v>-1.2916106706089</v>
      </c>
      <c r="K134" s="116" t="n">
        <f aca="false">-K56</f>
        <v>-1.32681351943634</v>
      </c>
      <c r="L134" s="116" t="n">
        <f aca="false">-L56</f>
        <v>-1.36297582190858</v>
      </c>
      <c r="M134" s="116" t="n">
        <f aca="false">-M56</f>
        <v>-1.4001237279347</v>
      </c>
      <c r="N134" s="116" t="n">
        <f aca="false">-N56</f>
        <v>-1.43828410013956</v>
      </c>
      <c r="O134" s="116" t="n">
        <f aca="false">-O56</f>
        <v>-1.47748453328886</v>
      </c>
      <c r="P134" s="116" t="n">
        <f aca="false">-P56</f>
        <v>-1.51775337424365</v>
      </c>
      <c r="Q134" s="116" t="n">
        <f aca="false">-Q56</f>
        <v>-1.55911974245866</v>
      </c>
      <c r="R134" s="116" t="n">
        <f aca="false">-R56</f>
        <v>-1.60161355103937</v>
      </c>
      <c r="S134" s="116" t="n">
        <f aca="false">-S56</f>
        <v>-1.64526552837295</v>
      </c>
      <c r="T134" s="116" t="n">
        <f aca="false">-T56</f>
        <v>-1.69010724034875</v>
      </c>
      <c r="U134" s="116" t="n">
        <f aca="false">-U56</f>
        <v>-1.73617111318446</v>
      </c>
      <c r="V134" s="116" t="n">
        <f aca="false">-V56</f>
        <v>-1.7834904568743</v>
      </c>
      <c r="W134" s="116" t="n">
        <f aca="false">-W56</f>
        <v>-1.83209948927641</v>
      </c>
      <c r="X134" s="116" t="n">
        <f aca="false">-X56</f>
        <v>-1.88203336085664</v>
      </c>
      <c r="Y134" s="116" t="n">
        <f aca="false">-Y56</f>
        <v>-1.93332818010679</v>
      </c>
      <c r="Z134" s="116" t="n">
        <f aca="false">-Z56</f>
        <v>-1.9860210396556</v>
      </c>
      <c r="AA134" s="116" t="n">
        <f aca="false">-AA56</f>
        <v>-2.04015004309141</v>
      </c>
      <c r="AB134" s="116" t="n">
        <f aca="false">-AB56</f>
        <v>-2.09575433251587</v>
      </c>
      <c r="AC134" s="116" t="n">
        <f aca="false">-AC56</f>
        <v>-2.15287411684858</v>
      </c>
      <c r="AD134" s="116" t="n">
        <f aca="false">-AD56</f>
        <v>-2.21155070090329</v>
      </c>
      <c r="AE134" s="116" t="n">
        <f aca="false">-AE56</f>
        <v>-2.27182651525641</v>
      </c>
      <c r="AF134" s="116" t="n">
        <f aca="false">-AF56</f>
        <v>-2.33374514692973</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v>
      </c>
      <c r="F136" s="116" t="n">
        <f aca="false">01_Supuestos!$C$152*MAX(0,F111-01_Supuestos!$C$153-01_Supuestos!$C$154-F59-0.05*SUM($C$51:F51))</f>
        <v>0</v>
      </c>
      <c r="G136" s="116" t="n">
        <f aca="false">01_Supuestos!$C$152*MAX(0,G111-01_Supuestos!$C$153-01_Supuestos!$C$154-G59-0.05*SUM($C$51:G51))</f>
        <v>0.237284964551008</v>
      </c>
      <c r="H136" s="116" t="n">
        <f aca="false">01_Supuestos!$C$152*MAX(0,H111-01_Supuestos!$C$153-01_Supuestos!$C$154-H59-0.05*SUM($C$51:H51))</f>
        <v>0.416880570168078</v>
      </c>
      <c r="I136" s="116" t="n">
        <f aca="false">01_Supuestos!$C$152*MAX(0,I111-01_Supuestos!$C$153-01_Supuestos!$C$154-I59-0.05*SUM($C$51:I51))</f>
        <v>0.558272532118583</v>
      </c>
      <c r="J136" s="116" t="n">
        <f aca="false">01_Supuestos!$C$152*MAX(0,J111-01_Supuestos!$C$153-01_Supuestos!$C$154-J59-0.05*SUM($C$51:J51))</f>
        <v>0.667859790082665</v>
      </c>
      <c r="K136" s="116" t="n">
        <f aca="false">01_Supuestos!$C$152*MAX(0,K111-01_Supuestos!$C$153-01_Supuestos!$C$154-K59-0.05*SUM($C$51:K51))</f>
        <v>0.651941005941652</v>
      </c>
      <c r="L136" s="116" t="n">
        <f aca="false">01_Supuestos!$C$152*MAX(0,L111-01_Supuestos!$C$153-01_Supuestos!$C$154-L59-0.05*SUM($C$51:L51))</f>
        <v>0.638065059325964</v>
      </c>
      <c r="M136" s="116" t="n">
        <f aca="false">01_Supuestos!$C$152*MAX(0,M111-01_Supuestos!$C$153-01_Supuestos!$C$154-M59-0.05*SUM($C$51:M51))</f>
        <v>0.627945511157095</v>
      </c>
      <c r="N136" s="116" t="n">
        <f aca="false">01_Supuestos!$C$152*MAX(0,N111-01_Supuestos!$C$153-01_Supuestos!$C$154-N59-0.05*SUM($C$51:N51))</f>
        <v>0.622468337767672</v>
      </c>
      <c r="O136" s="116" t="n">
        <f aca="false">01_Supuestos!$C$152*MAX(0,O111-01_Supuestos!$C$153-01_Supuestos!$C$154-O59-0.05*SUM($C$51:O51))</f>
        <v>0.622293678682093</v>
      </c>
      <c r="P136" s="116" t="n">
        <f aca="false">01_Supuestos!$C$152*MAX(0,P111-01_Supuestos!$C$153-01_Supuestos!$C$154-P59-0.05*SUM($C$51:P51))</f>
        <v>0.631197711365576</v>
      </c>
      <c r="Q136" s="116" t="n">
        <f aca="false">01_Supuestos!$C$152*MAX(0,Q111-01_Supuestos!$C$153-01_Supuestos!$C$154-Q59-0.05*SUM($C$51:Q51))</f>
        <v>0.648595524136382</v>
      </c>
      <c r="R136" s="116" t="n">
        <f aca="false">01_Supuestos!$C$152*MAX(0,R111-01_Supuestos!$C$153-01_Supuestos!$C$154-R59-0.05*SUM($C$51:R51))</f>
        <v>0.671594825197134</v>
      </c>
      <c r="S136" s="116" t="n">
        <f aca="false">01_Supuestos!$C$152*MAX(0,S111-01_Supuestos!$C$153-01_Supuestos!$C$154-S59-0.05*SUM($C$51:S51))</f>
        <v>0.698675083496096</v>
      </c>
      <c r="T136" s="116" t="n">
        <f aca="false">01_Supuestos!$C$152*MAX(0,T111-01_Supuestos!$C$153-01_Supuestos!$C$154-T59-0.05*SUM($C$51:T51))</f>
        <v>0.728582467017188</v>
      </c>
      <c r="U136" s="116" t="n">
        <f aca="false">01_Supuestos!$C$152*MAX(0,U111-01_Supuestos!$C$153-01_Supuestos!$C$154-U59-0.05*SUM($C$51:U51))</f>
        <v>0.756985335808683</v>
      </c>
      <c r="V136" s="116" t="n">
        <f aca="false">01_Supuestos!$C$152*MAX(0,V111-01_Supuestos!$C$153-01_Supuestos!$C$154-V59-0.05*SUM($C$51:V51))</f>
        <v>0.783948906453357</v>
      </c>
      <c r="W136" s="116" t="n">
        <f aca="false">01_Supuestos!$C$152*MAX(0,W111-01_Supuestos!$C$153-01_Supuestos!$C$154-W59-0.05*SUM($C$51:W51))</f>
        <v>0.809534166286298</v>
      </c>
      <c r="X136" s="116" t="n">
        <f aca="false">01_Supuestos!$C$152*MAX(0,X111-01_Supuestos!$C$153-01_Supuestos!$C$154-X59-0.05*SUM($C$51:X51))</f>
        <v>0.83379814731352</v>
      </c>
      <c r="Y136" s="116" t="n">
        <f aca="false">01_Supuestos!$C$152*MAX(0,Y111-01_Supuestos!$C$153-01_Supuestos!$C$154-Y59-0.05*SUM($C$51:Y51))</f>
        <v>0.856794182406661</v>
      </c>
      <c r="Z136" s="116" t="n">
        <f aca="false">01_Supuestos!$C$152*MAX(0,Z111-01_Supuestos!$C$153-01_Supuestos!$C$154-Z59-0.05*SUM($C$51:Z51))</f>
        <v>0.878572144919727</v>
      </c>
      <c r="AA136" s="116" t="n">
        <f aca="false">01_Supuestos!$C$152*MAX(0,AA111-01_Supuestos!$C$153-01_Supuestos!$C$154-AA59-0.05*SUM($C$51:AA51))</f>
        <v>0.899178672799813</v>
      </c>
      <c r="AB136" s="116" t="n">
        <f aca="false">01_Supuestos!$C$152*MAX(0,AB111-01_Supuestos!$C$153-01_Supuestos!$C$154-AB59-0.05*SUM($C$51:AB51))</f>
        <v>0.918657378194447</v>
      </c>
      <c r="AC136" s="116" t="n">
        <f aca="false">01_Supuestos!$C$152*MAX(0,AC111-01_Supuestos!$C$153-01_Supuestos!$C$154-AC59-0.05*SUM($C$51:AC51))</f>
        <v>0.93704904349341</v>
      </c>
      <c r="AD136" s="116" t="n">
        <f aca="false">01_Supuestos!$C$152*MAX(0,AD111-01_Supuestos!$C$153-01_Supuestos!$C$154-AD59-0.05*SUM($C$51:AD51))</f>
        <v>0.954391804682297</v>
      </c>
      <c r="AE136" s="116" t="n">
        <f aca="false">01_Supuestos!$C$152*MAX(0,AE111-01_Supuestos!$C$153-01_Supuestos!$C$154-AE59-0.05*SUM($C$51:AE51))</f>
        <v>0.970721322828337</v>
      </c>
      <c r="AF136" s="116" t="n">
        <f aca="false">01_Supuestos!$C$152*MAX(0,AF111-01_Supuestos!$C$153-01_Supuestos!$C$154-AF59-0.05*SUM($C$51:AF51))</f>
        <v>0.986070944466028</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0.0174310731235341</v>
      </c>
      <c r="D139" s="116" t="n">
        <f aca="false">(1-D55)*D88</f>
        <v>0.0426783934360341</v>
      </c>
      <c r="E139" s="116" t="n">
        <f aca="false">(1-E55)*E88</f>
        <v>0.0685064021157216</v>
      </c>
      <c r="F139" s="116" t="n">
        <f aca="false">(1-F55)*F88</f>
        <v>0.0949284549950419</v>
      </c>
      <c r="G139" s="116" t="n">
        <f aca="false">(1-G55)*G88</f>
        <v>0.121958215090587</v>
      </c>
      <c r="H139" s="116" t="n">
        <f aca="false">(1-H55)*H88</f>
        <v>0.149609659668329</v>
      </c>
      <c r="I139" s="116" t="n">
        <f aca="false">(1-I55)*I88</f>
        <v>0.177897087471359</v>
      </c>
      <c r="J139" s="116" t="n">
        <f aca="false">(1-J55)*J88</f>
        <v>0.206835126113859</v>
      </c>
      <c r="K139" s="116" t="n">
        <f aca="false">(1-K55)*K88</f>
        <v>0.236438739645136</v>
      </c>
      <c r="L139" s="116" t="n">
        <f aca="false">(1-L55)*L88</f>
        <v>0.266723236287633</v>
      </c>
      <c r="M139" s="116" t="n">
        <f aca="false">(1-M55)*M88</f>
        <v>0.297704276352908</v>
      </c>
      <c r="N139" s="116" t="n">
        <f aca="false">(1-N55)*N88</f>
        <v>0.329397880339683</v>
      </c>
      <c r="O139" s="116" t="n">
        <f aca="false">(1-O55)*O88</f>
        <v>0.361820437218155</v>
      </c>
      <c r="P139" s="116" t="n">
        <f aca="false">(1-P55)*P88</f>
        <v>0.394988712904831</v>
      </c>
      <c r="Q139" s="116" t="n">
        <f aca="false">(1-Q55)*Q88</f>
        <v>0.428919858932301</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0.536061734940891</v>
      </c>
      <c r="AA139" s="116" t="n">
        <f aca="false">(1-AA55)*AA88</f>
        <v>0.543992378029444</v>
      </c>
      <c r="AB139" s="116" t="n">
        <f aca="false">(1-AB55)*AB88</f>
        <v>0.551709837785809</v>
      </c>
      <c r="AC139" s="116" t="n">
        <f aca="false">(1-AC55)*AC88</f>
        <v>0.559228829855653</v>
      </c>
      <c r="AD139" s="116" t="n">
        <f aca="false">(1-AD55)*AD88</f>
        <v>0.566559314406725</v>
      </c>
      <c r="AE139" s="116" t="n">
        <f aca="false">(1-AE55)*AE88</f>
        <v>0.573712718482894</v>
      </c>
      <c r="AF139" s="116" t="n">
        <f aca="false">(1-AF55)*AF88</f>
        <v>0.580701070004084</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-18.8138689268765</v>
      </c>
      <c r="D140" s="116" t="n">
        <f aca="false">SUM(D133:D139)</f>
        <v>-18.749747563464</v>
      </c>
      <c r="E140" s="116" t="n">
        <f aca="false">SUM(E133:E139)</f>
        <v>-18.755918345054</v>
      </c>
      <c r="F140" s="116" t="n">
        <f aca="false">SUM(F133:F139)</f>
        <v>-18.6208442228962</v>
      </c>
      <c r="G140" s="116" t="n">
        <f aca="false">SUM(G133:G139)</f>
        <v>-18.3854275947411</v>
      </c>
      <c r="H140" s="116" t="n">
        <f aca="false">SUM(H133:H139)</f>
        <v>-18.2080216964741</v>
      </c>
      <c r="I140" s="116" t="n">
        <f aca="false">SUM(I133:I139)</f>
        <v>-18.0691475539262</v>
      </c>
      <c r="J140" s="116" t="n">
        <f aca="false">SUM(J133:J139)</f>
        <v>-17.9624133529795</v>
      </c>
      <c r="K140" s="116" t="n">
        <f aca="false">SUM(K133:K139)</f>
        <v>-17.9815279494597</v>
      </c>
      <c r="L140" s="116" t="n">
        <f aca="false">SUM(L133:L139)</f>
        <v>-17.9989503816368</v>
      </c>
      <c r="M140" s="116" t="n">
        <f aca="false">SUM(M133:M139)</f>
        <v>2.58702458489376</v>
      </c>
      <c r="N140" s="116" t="n">
        <f aca="false">SUM(N133:N139)</f>
        <v>2.5772741825267</v>
      </c>
      <c r="O140" s="116" t="n">
        <f aca="false">SUM(O133:O139)</f>
        <v>2.57244938023352</v>
      </c>
      <c r="P140" s="116" t="n">
        <f aca="false">SUM(P133:P139)</f>
        <v>2.57631674872023</v>
      </c>
      <c r="Q140" s="116" t="n">
        <f aca="false">SUM(Q133:Q139)</f>
        <v>2.58828132334269</v>
      </c>
      <c r="R140" s="116" t="n">
        <f aca="false">SUM(R133:R139)</f>
        <v>2.59115196372524</v>
      </c>
      <c r="S140" s="116" t="n">
        <f aca="false">SUM(S133:S139)</f>
        <v>2.58679880236639</v>
      </c>
      <c r="T140" s="116" t="n">
        <f aca="false">SUM(T133:T139)</f>
        <v>2.58426422407451</v>
      </c>
      <c r="U140" s="116" t="n">
        <f aca="false">SUM(U133:U139)</f>
        <v>2.5791913251376</v>
      </c>
      <c r="V140" s="116" t="n">
        <f aca="false">SUM(V133:V139)</f>
        <v>2.57161924948718</v>
      </c>
      <c r="W140" s="116" t="n">
        <f aca="false">SUM(W133:W139)</f>
        <v>2.56158208324674</v>
      </c>
      <c r="X140" s="116" t="n">
        <f aca="false">SUM(X133:X139)</f>
        <v>2.54910910834509</v>
      </c>
      <c r="Y140" s="116" t="n">
        <f aca="false">SUM(Y133:Y139)</f>
        <v>2.53422503775519</v>
      </c>
      <c r="Z140" s="116" t="n">
        <f aca="false">SUM(Z133:Z139)</f>
        <v>2.5140189624663</v>
      </c>
      <c r="AA140" s="116" t="n">
        <f aca="false">SUM(AA133:AA139)</f>
        <v>2.48990344133129</v>
      </c>
      <c r="AB140" s="116" t="n">
        <f aca="false">SUM(AB133:AB139)</f>
        <v>2.46292733905003</v>
      </c>
      <c r="AC140" s="116" t="n">
        <f aca="false">SUM(AC133:AC139)</f>
        <v>2.43310727341855</v>
      </c>
      <c r="AD140" s="116" t="n">
        <f aca="false">SUM(AD133:AD139)</f>
        <v>2.40045132459626</v>
      </c>
      <c r="AE140" s="116" t="n">
        <f aca="false">SUM(AE133:AE139)</f>
        <v>2.36496540027303</v>
      </c>
      <c r="AF140" s="116" t="n">
        <f aca="false">SUM(AF133:AF139)</f>
        <v>2.32665250053205</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-0.0567681733074377</v>
      </c>
      <c r="D141" s="116" t="n">
        <f aca="false">-D85*01_Supuestos!$I$126</f>
        <v>-0.150098745513188</v>
      </c>
      <c r="E141" s="116" t="n">
        <f aca="false">-E85*01_Supuestos!$I$126</f>
        <v>-0.276868388697298</v>
      </c>
      <c r="F141" s="116" t="n">
        <f aca="false">-F85*01_Supuestos!$I$126</f>
        <v>-0.5670785020052</v>
      </c>
      <c r="G141" s="116" t="n">
        <f aca="false">-G85*01_Supuestos!$I$126</f>
        <v>-0.855808360515388</v>
      </c>
      <c r="H141" s="116" t="n">
        <f aca="false">-H85*01_Supuestos!$I$126</f>
        <v>-1.09445843478842</v>
      </c>
      <c r="I141" s="116" t="n">
        <f aca="false">-I85*01_Supuestos!$I$126</f>
        <v>-1.30323049224619</v>
      </c>
      <c r="J141" s="116" t="n">
        <f aca="false">-J85*01_Supuestos!$I$126</f>
        <v>-1.48617173665193</v>
      </c>
      <c r="K141" s="116" t="n">
        <f aca="false">-K85*01_Supuestos!$I$126</f>
        <v>-1.54658306205287</v>
      </c>
      <c r="L141" s="116" t="n">
        <f aca="false">-L85*01_Supuestos!$I$126</f>
        <v>-1.60704322426464</v>
      </c>
      <c r="M141" s="116" t="n">
        <f aca="false">-M85*01_Supuestos!$I$126</f>
        <v>-1.28563457941171</v>
      </c>
      <c r="N141" s="116" t="n">
        <f aca="false">-N85*01_Supuestos!$I$126</f>
        <v>-1.07797330334238</v>
      </c>
      <c r="O141" s="116" t="n">
        <f aca="false">-O85*01_Supuestos!$I$126</f>
        <v>-1.11355178900743</v>
      </c>
      <c r="P141" s="116" t="n">
        <f aca="false">-P85*01_Supuestos!$I$126</f>
        <v>-1.14654957607621</v>
      </c>
      <c r="Q141" s="116" t="n">
        <f aca="false">-Q85*01_Supuestos!$I$126</f>
        <v>-1.17697002943603</v>
      </c>
      <c r="R141" s="116" t="n">
        <f aca="false">-R85*01_Supuestos!$I$126</f>
        <v>-1.20543968790482</v>
      </c>
      <c r="S141" s="116" t="n">
        <f aca="false">-S85*01_Supuestos!$I$126</f>
        <v>-1.23185377737638</v>
      </c>
      <c r="T141" s="116" t="n">
        <f aca="false">-T85*01_Supuestos!$I$126</f>
        <v>-1.25638117876185</v>
      </c>
      <c r="U141" s="116" t="n">
        <f aca="false">-U85*01_Supuestos!$I$126</f>
        <v>-1.28069730681722</v>
      </c>
      <c r="V141" s="116" t="n">
        <f aca="false">-V85*01_Supuestos!$I$126</f>
        <v>-1.30480796098438</v>
      </c>
      <c r="W141" s="116" t="n">
        <f aca="false">-W85*01_Supuestos!$I$126</f>
        <v>-1.32831278977657</v>
      </c>
      <c r="X141" s="116" t="n">
        <f aca="false">-X85*01_Supuestos!$I$126</f>
        <v>-1.35125497345598</v>
      </c>
      <c r="Y141" s="116" t="n">
        <f aca="false">-Y85*01_Supuestos!$I$126</f>
        <v>-1.37367754658983</v>
      </c>
      <c r="Z141" s="116" t="n">
        <f aca="false">-Z85*01_Supuestos!$I$126</f>
        <v>-1.39562365794594</v>
      </c>
      <c r="AA141" s="116" t="n">
        <f aca="false">-AA85*01_Supuestos!$I$126</f>
        <v>-1.41699672755</v>
      </c>
      <c r="AB141" s="116" t="n">
        <f aca="false">-AB85*01_Supuestos!$I$126</f>
        <v>-1.43780925573779</v>
      </c>
      <c r="AC141" s="116" t="n">
        <f aca="false">-AC85*01_Supuestos!$I$126</f>
        <v>-1.45810003256219</v>
      </c>
      <c r="AD141" s="116" t="n">
        <f aca="false">-AD85*01_Supuestos!$I$126</f>
        <v>-1.47789532451834</v>
      </c>
      <c r="AE141" s="116" t="n">
        <f aca="false">-AE85*01_Supuestos!$I$126</f>
        <v>-1.49722526267738</v>
      </c>
      <c r="AF141" s="116" t="n">
        <f aca="false">-AF85*01_Supuestos!$I$126</f>
        <v>-1.51612156190557</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0.0383185169825205</v>
      </c>
      <c r="D142" s="116" t="n">
        <f aca="false">D85*01_Supuestos!$I$101</f>
        <v>0.101316653221402</v>
      </c>
      <c r="E142" s="116" t="n">
        <f aca="false">E85*01_Supuestos!$I$101</f>
        <v>0.186886162370676</v>
      </c>
      <c r="F142" s="116" t="n">
        <f aca="false">F85*01_Supuestos!$I$101</f>
        <v>0.38277798885351</v>
      </c>
      <c r="G142" s="116" t="n">
        <f aca="false">G85*01_Supuestos!$I$101</f>
        <v>0.577670643347887</v>
      </c>
      <c r="H142" s="116" t="n">
        <f aca="false">H85*01_Supuestos!$I$101</f>
        <v>0.738759443482182</v>
      </c>
      <c r="I142" s="116" t="n">
        <f aca="false">I85*01_Supuestos!$I$101</f>
        <v>0.879680582266178</v>
      </c>
      <c r="J142" s="116" t="n">
        <f aca="false">J85*01_Supuestos!$I$101</f>
        <v>1.00316592224006</v>
      </c>
      <c r="K142" s="116" t="n">
        <f aca="false">K85*01_Supuestos!$I$101</f>
        <v>1.04394356688569</v>
      </c>
      <c r="L142" s="116" t="n">
        <f aca="false">L85*01_Supuestos!$I$101</f>
        <v>1.08475417637863</v>
      </c>
      <c r="M142" s="116" t="n">
        <f aca="false">M85*01_Supuestos!$I$101</f>
        <v>0.867803341102904</v>
      </c>
      <c r="N142" s="116" t="n">
        <f aca="false">N85*01_Supuestos!$I$101</f>
        <v>0.727631979756107</v>
      </c>
      <c r="O142" s="116" t="n">
        <f aca="false">O85*01_Supuestos!$I$101</f>
        <v>0.751647457580018</v>
      </c>
      <c r="P142" s="116" t="n">
        <f aca="false">P85*01_Supuestos!$I$101</f>
        <v>0.773920963851443</v>
      </c>
      <c r="Q142" s="116" t="n">
        <f aca="false">Q85*01_Supuestos!$I$101</f>
        <v>0.794454769869321</v>
      </c>
      <c r="R142" s="116" t="n">
        <f aca="false">R85*01_Supuestos!$I$101</f>
        <v>0.813671789335756</v>
      </c>
      <c r="S142" s="116" t="n">
        <f aca="false">S85*01_Supuestos!$I$101</f>
        <v>0.831501299729056</v>
      </c>
      <c r="T142" s="116" t="n">
        <f aca="false">T85*01_Supuestos!$I$101</f>
        <v>0.848057295664248</v>
      </c>
      <c r="U142" s="116" t="n">
        <f aca="false">U85*01_Supuestos!$I$101</f>
        <v>0.864470682101621</v>
      </c>
      <c r="V142" s="116" t="n">
        <f aca="false">V85*01_Supuestos!$I$101</f>
        <v>0.880745373664457</v>
      </c>
      <c r="W142" s="116" t="n">
        <f aca="false">W85*01_Supuestos!$I$101</f>
        <v>0.896611133099185</v>
      </c>
      <c r="X142" s="116" t="n">
        <f aca="false">X85*01_Supuestos!$I$101</f>
        <v>0.912097107082788</v>
      </c>
      <c r="Y142" s="116" t="n">
        <f aca="false">Y85*01_Supuestos!$I$101</f>
        <v>0.927232343948135</v>
      </c>
      <c r="Z142" s="116" t="n">
        <f aca="false">Z85*01_Supuestos!$I$101</f>
        <v>0.942045969113508</v>
      </c>
      <c r="AA142" s="116" t="n">
        <f aca="false">AA85*01_Supuestos!$I$101</f>
        <v>0.956472791096248</v>
      </c>
      <c r="AB142" s="116" t="n">
        <f aca="false">AB85*01_Supuestos!$I$101</f>
        <v>0.970521247623005</v>
      </c>
      <c r="AC142" s="116" t="n">
        <f aca="false">AC85*01_Supuestos!$I$101</f>
        <v>0.984217521979481</v>
      </c>
      <c r="AD142" s="116" t="n">
        <f aca="false">AD85*01_Supuestos!$I$101</f>
        <v>0.997579344049881</v>
      </c>
      <c r="AE142" s="116" t="n">
        <f aca="false">AE85*01_Supuestos!$I$101</f>
        <v>1.01062705230723</v>
      </c>
      <c r="AF142" s="116" t="n">
        <f aca="false">AF85*01_Supuestos!$I$101</f>
        <v>1.02338205428626</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0.714999999999993</v>
      </c>
      <c r="D143" s="116" t="n">
        <f aca="false">D41*((1+$C$14)^D$39-1)</f>
        <v>1.46449917899995</v>
      </c>
      <c r="E143" s="116" t="n">
        <f aca="false">E41*((1+$C$14)^E$39-1)</f>
        <v>2.24974689696922</v>
      </c>
      <c r="F143" s="116" t="n">
        <f aca="false">F41*((1+$C$14)^F$39-1)</f>
        <v>3.07203276037086</v>
      </c>
      <c r="G143" s="116" t="n">
        <f aca="false">G41*((1+$C$14)^G$39-1)</f>
        <v>3.93268783849619</v>
      </c>
      <c r="H143" s="116" t="n">
        <f aca="false">H41*((1+$C$14)^H$39-1)</f>
        <v>4.83308591511447</v>
      </c>
      <c r="I143" s="116" t="n">
        <f aca="false">I41*((1+$C$14)^I$39-1)</f>
        <v>5.77464477643511</v>
      </c>
      <c r="J143" s="116" t="n">
        <f aca="false">J41*((1+$C$14)^J$39-1)</f>
        <v>6.758827536408</v>
      </c>
      <c r="K143" s="116" t="n">
        <f aca="false">K41*((1+$C$14)^K$39-1)</f>
        <v>7.78714400041525</v>
      </c>
      <c r="L143" s="116" t="n">
        <f aca="false">L41*((1+$C$14)^L$39-1)</f>
        <v>8.86115206843713</v>
      </c>
      <c r="M143" s="116" t="n">
        <f aca="false">M41*((1+$C$14)^M$39-1)</f>
        <v>9.98245917880512</v>
      </c>
      <c r="N143" s="116" t="n">
        <f aca="false">N41*((1+$C$14)^N$39-1)</f>
        <v>11.1527237936849</v>
      </c>
      <c r="O143" s="116" t="n">
        <f aca="false">O41*((1+$C$14)^O$39-1)</f>
        <v>12.3736569274655</v>
      </c>
      <c r="P143" s="116" t="n">
        <f aca="false">P41*((1+$C$14)^P$39-1)</f>
        <v>13.64702371926</v>
      </c>
      <c r="Q143" s="116" t="n">
        <f aca="false">Q41*((1+$C$14)^Q$39-1)</f>
        <v>14.9746450507617</v>
      </c>
      <c r="R143" s="116" t="n">
        <f aca="false">R41*((1+$C$14)^R$39-1)</f>
        <v>16.3583992107272</v>
      </c>
      <c r="S143" s="116" t="n">
        <f aca="false">S41*((1+$C$14)^S$39-1)</f>
        <v>17.8002236074001</v>
      </c>
      <c r="T143" s="116" t="n">
        <f aca="false">T41*((1+$C$14)^T$39-1)</f>
        <v>19.3021165302197</v>
      </c>
      <c r="U143" s="116" t="n">
        <f aca="false">U41*((1+$C$14)^U$39-1)</f>
        <v>20.866138962198</v>
      </c>
      <c r="V143" s="116" t="n">
        <f aca="false">V41*((1+$C$14)^V$39-1)</f>
        <v>22.4944164443885</v>
      </c>
      <c r="W143" s="116" t="n">
        <f aca="false">W41*((1+$C$14)^W$39-1)</f>
        <v>24.1891409939062</v>
      </c>
      <c r="X143" s="116" t="n">
        <f aca="false">X41*((1+$C$14)^X$39-1)</f>
        <v>25.9525730769998</v>
      </c>
      <c r="Y143" s="116" t="n">
        <f aca="false">Y41*((1+$C$14)^Y$39-1)</f>
        <v>27.7870436387196</v>
      </c>
      <c r="Z143" s="116" t="n">
        <f aca="false">Z41*((1+$C$14)^Z$39-1)</f>
        <v>29.6949561907647</v>
      </c>
      <c r="AA143" s="116" t="n">
        <f aca="false">AA41*((1+$C$14)^AA$39-1)</f>
        <v>31.6787889591392</v>
      </c>
      <c r="AB143" s="116" t="n">
        <f aca="false">AB41*((1+$C$14)^AB$39-1)</f>
        <v>33.7410970932892</v>
      </c>
      <c r="AC143" s="116" t="n">
        <f aca="false">AC41*((1+$C$14)^AC$39-1)</f>
        <v>35.8845149384416</v>
      </c>
      <c r="AD143" s="116" t="n">
        <f aca="false">AD41*((1+$C$14)^AD$39-1)</f>
        <v>38.1117583729091</v>
      </c>
      <c r="AE143" s="116" t="n">
        <f aca="false">AE41*((1+$C$14)^AE$39-1)</f>
        <v>40.425627212179</v>
      </c>
      <c r="AF143" s="116" t="n">
        <f aca="false">AF41*((1+$C$14)^AF$39-1)</f>
        <v>42.8290076816476</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0.150149999999999</v>
      </c>
      <c r="D144" s="116" t="n">
        <f aca="false">$C$33*D143</f>
        <v>0.30754482758999</v>
      </c>
      <c r="E144" s="116" t="n">
        <f aca="false">$C$33*E143</f>
        <v>0.472446848363536</v>
      </c>
      <c r="F144" s="116" t="n">
        <f aca="false">$C$33*F143</f>
        <v>0.645126879677881</v>
      </c>
      <c r="G144" s="116" t="n">
        <f aca="false">$C$33*G143</f>
        <v>0.825864446084199</v>
      </c>
      <c r="H144" s="116" t="n">
        <f aca="false">$C$33*H143</f>
        <v>1.01494804217404</v>
      </c>
      <c r="I144" s="116" t="n">
        <f aca="false">$C$33*I143</f>
        <v>1.21267540305137</v>
      </c>
      <c r="J144" s="116" t="n">
        <f aca="false">$C$33*J143</f>
        <v>1.41935378264568</v>
      </c>
      <c r="K144" s="116" t="n">
        <f aca="false">$C$33*K143</f>
        <v>1.6353002400872</v>
      </c>
      <c r="L144" s="116" t="n">
        <f aca="false">$C$33*L143</f>
        <v>1.8608419343718</v>
      </c>
      <c r="M144" s="116" t="n">
        <f aca="false">$C$33*M143</f>
        <v>2.09631642754907</v>
      </c>
      <c r="N144" s="116" t="n">
        <f aca="false">$C$33*N143</f>
        <v>2.34207199667383</v>
      </c>
      <c r="O144" s="116" t="n">
        <f aca="false">$C$33*O143</f>
        <v>2.59846795476776</v>
      </c>
      <c r="P144" s="116" t="n">
        <f aca="false">$C$33*P143</f>
        <v>2.8658749810446</v>
      </c>
      <c r="Q144" s="116" t="n">
        <f aca="false">$C$33*Q143</f>
        <v>3.14467546065995</v>
      </c>
      <c r="R144" s="116" t="n">
        <f aca="false">$C$33*R143</f>
        <v>3.4352638342527</v>
      </c>
      <c r="S144" s="116" t="n">
        <f aca="false">$C$33*S143</f>
        <v>3.73804695755403</v>
      </c>
      <c r="T144" s="116" t="n">
        <f aca="false">$C$33*T143</f>
        <v>4.05344447134613</v>
      </c>
      <c r="U144" s="116" t="n">
        <f aca="false">$C$33*U143</f>
        <v>4.38188918206157</v>
      </c>
      <c r="V144" s="116" t="n">
        <f aca="false">$C$33*V143</f>
        <v>4.72382745332158</v>
      </c>
      <c r="W144" s="116" t="n">
        <f aca="false">$C$33*W143</f>
        <v>5.0797196087203</v>
      </c>
      <c r="X144" s="116" t="n">
        <f aca="false">$C$33*X143</f>
        <v>5.45004034616997</v>
      </c>
      <c r="Y144" s="116" t="n">
        <f aca="false">$C$33*Y143</f>
        <v>5.83527916413112</v>
      </c>
      <c r="Z144" s="116" t="n">
        <f aca="false">$C$33*Z143</f>
        <v>6.23594080006058</v>
      </c>
      <c r="AA144" s="116" t="n">
        <f aca="false">$C$33*AA143</f>
        <v>6.65254568141924</v>
      </c>
      <c r="AB144" s="116" t="n">
        <f aca="false">$C$33*AB143</f>
        <v>7.08563038959073</v>
      </c>
      <c r="AC144" s="116" t="n">
        <f aca="false">$C$33*AC143</f>
        <v>7.53574813707273</v>
      </c>
      <c r="AD144" s="116" t="n">
        <f aca="false">$C$33*AD143</f>
        <v>8.0034692583109</v>
      </c>
      <c r="AE144" s="116" t="n">
        <f aca="false">$C$33*AE143</f>
        <v>8.4893817145576</v>
      </c>
      <c r="AF144" s="116" t="n">
        <f aca="false">$C$33*AF143</f>
        <v>8.994091613146</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-18.6821685832014</v>
      </c>
      <c r="D148" s="136" t="n">
        <f aca="false">D140+D141+D142+D144+D145+D146+D147</f>
        <v>-18.4909848281658</v>
      </c>
      <c r="E148" s="136" t="n">
        <f aca="false">E140+E141+E142+E144+E145+E146+E147</f>
        <v>-18.3734537230171</v>
      </c>
      <c r="F148" s="136" t="n">
        <f aca="false">F140+F141+F142+F144+F145+F146+F147</f>
        <v>-18.16001785637</v>
      </c>
      <c r="G148" s="136" t="n">
        <f aca="false">G140+G141+G142+G144+G145+G146+G147</f>
        <v>-17.8377008658244</v>
      </c>
      <c r="H148" s="136" t="n">
        <f aca="false">H140+H141+H142+H144+H145+H146+H147</f>
        <v>-17.5487726456063</v>
      </c>
      <c r="I148" s="136" t="n">
        <f aca="false">I140+I141+I142+I144+I145+I146+I147</f>
        <v>-17.2800220608548</v>
      </c>
      <c r="J148" s="136" t="n">
        <f aca="false">J140+J141+J142+J144+J145+J146+J147</f>
        <v>-17.0260653847457</v>
      </c>
      <c r="K148" s="136" t="n">
        <f aca="false">K140+K141+K142+K144+K145+K146+K147</f>
        <v>-16.8488672045396</v>
      </c>
      <c r="L148" s="136" t="n">
        <f aca="false">L140+L141+L142+L144+L145+L146+L147</f>
        <v>-16.660397495151</v>
      </c>
      <c r="M148" s="136" t="n">
        <f aca="false">M140+M141+M142+M144+M145+M146+M147</f>
        <v>4.26550977413403</v>
      </c>
      <c r="N148" s="136" t="n">
        <f aca="false">N140+N141+N142+N144+N145+N146+N147</f>
        <v>4.56900485561426</v>
      </c>
      <c r="O148" s="136" t="n">
        <f aca="false">O140+O141+O142+O144+O145+O146+O147</f>
        <v>4.80901300357386</v>
      </c>
      <c r="P148" s="136" t="n">
        <f aca="false">P140+P141+P142+P144+P145+P146+P147</f>
        <v>5.06956311754006</v>
      </c>
      <c r="Q148" s="136" t="n">
        <f aca="false">Q140+Q141+Q142+Q144+Q145+Q146+Q147</f>
        <v>5.35044152443593</v>
      </c>
      <c r="R148" s="136" t="n">
        <f aca="false">R140+R141+R142+R144+R145+R146+R147</f>
        <v>5.63464789940887</v>
      </c>
      <c r="S148" s="136" t="n">
        <f aca="false">S140+S141+S142+S144+S145+S146+S147</f>
        <v>5.92449328227309</v>
      </c>
      <c r="T148" s="136" t="n">
        <f aca="false">T140+T141+T142+T144+T145+T146+T147</f>
        <v>6.22938481232304</v>
      </c>
      <c r="U148" s="136" t="n">
        <f aca="false">U140+U141+U142+U144+U145+U146+U147</f>
        <v>6.54485388248357</v>
      </c>
      <c r="V148" s="136" t="n">
        <f aca="false">V140+V141+V142+V144+V145+V146+V147</f>
        <v>6.87138411548884</v>
      </c>
      <c r="W148" s="136" t="n">
        <f aca="false">W140+W141+W142+W144+W145+W146+W147</f>
        <v>7.20960003528965</v>
      </c>
      <c r="X148" s="136" t="n">
        <f aca="false">X140+X141+X142+X144+X145+X146+X147</f>
        <v>7.55999158814186</v>
      </c>
      <c r="Y148" s="136" t="n">
        <f aca="false">Y140+Y141+Y142+Y144+Y145+Y146+Y147</f>
        <v>7.92305899924461</v>
      </c>
      <c r="Z148" s="136" t="n">
        <f aca="false">Z140+Z141+Z142+Z144+Z145+Z146+Z147</f>
        <v>8.29638207369446</v>
      </c>
      <c r="AA148" s="136" t="n">
        <f aca="false">AA140+AA141+AA142+AA144+AA145+AA146+AA147</f>
        <v>8.68192518629678</v>
      </c>
      <c r="AB148" s="136" t="n">
        <f aca="false">AB140+AB141+AB142+AB144+AB145+AB146+AB147</f>
        <v>9.08126972052598</v>
      </c>
      <c r="AC148" s="136" t="n">
        <f aca="false">AC140+AC141+AC142+AC144+AC145+AC146+AC147</f>
        <v>9.49497289990856</v>
      </c>
      <c r="AD148" s="136" t="n">
        <f aca="false">AD140+AD141+AD142+AD144+AD145+AD146+AD147</f>
        <v>9.9236046024387</v>
      </c>
      <c r="AE148" s="136" t="n">
        <f aca="false">AE140+AE141+AE142+AE144+AE145+AE146+AE147</f>
        <v>10.3677489044605</v>
      </c>
      <c r="AF148" s="136" t="n">
        <f aca="false">AF140+AF141+AF142+AF144+AF145+AF146+AF147</f>
        <v>10.8280046060587</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-18.6821685832014</v>
      </c>
      <c r="D149" s="138" t="n">
        <f aca="false">C149+D148</f>
        <v>-37.1731534113671</v>
      </c>
      <c r="E149" s="138" t="n">
        <f aca="false">D149+E148</f>
        <v>-55.5466071343843</v>
      </c>
      <c r="F149" s="138" t="n">
        <f aca="false">E149+F148</f>
        <v>-73.7066249907543</v>
      </c>
      <c r="G149" s="138" t="n">
        <f aca="false">F149+G148</f>
        <v>-91.5443258565787</v>
      </c>
      <c r="H149" s="138" t="n">
        <f aca="false">G149+H148</f>
        <v>-109.093098502185</v>
      </c>
      <c r="I149" s="138" t="n">
        <f aca="false">H149+I148</f>
        <v>-126.37312056304</v>
      </c>
      <c r="J149" s="138" t="n">
        <f aca="false">I149+J148</f>
        <v>-143.399185947785</v>
      </c>
      <c r="K149" s="138" t="n">
        <f aca="false">J149+K148</f>
        <v>-160.248053152325</v>
      </c>
      <c r="L149" s="138" t="n">
        <f aca="false">K149+L148</f>
        <v>-176.908450647476</v>
      </c>
      <c r="M149" s="138" t="n">
        <f aca="false">L149+M148</f>
        <v>-172.642940873342</v>
      </c>
      <c r="N149" s="138" t="n">
        <f aca="false">M149+N148</f>
        <v>-168.073936017728</v>
      </c>
      <c r="O149" s="138" t="n">
        <f aca="false">N149+O148</f>
        <v>-163.264923014154</v>
      </c>
      <c r="P149" s="138" t="n">
        <f aca="false">O149+P148</f>
        <v>-158.195359896614</v>
      </c>
      <c r="Q149" s="138" t="n">
        <f aca="false">P149+Q148</f>
        <v>-152.844918372178</v>
      </c>
      <c r="R149" s="138" t="n">
        <f aca="false">Q149+R148</f>
        <v>-147.210270472769</v>
      </c>
      <c r="S149" s="138" t="n">
        <f aca="false">R149+S148</f>
        <v>-141.285777190496</v>
      </c>
      <c r="T149" s="138" t="n">
        <f aca="false">S149+T148</f>
        <v>-135.056392378173</v>
      </c>
      <c r="U149" s="138" t="n">
        <f aca="false">T149+U148</f>
        <v>-128.511538495689</v>
      </c>
      <c r="V149" s="138" t="n">
        <f aca="false">U149+V148</f>
        <v>-121.640154380201</v>
      </c>
      <c r="W149" s="138" t="n">
        <f aca="false">V149+W148</f>
        <v>-114.430554344911</v>
      </c>
      <c r="X149" s="138" t="n">
        <f aca="false">W149+X148</f>
        <v>-106.870562756769</v>
      </c>
      <c r="Y149" s="138" t="n">
        <f aca="false">X149+Y148</f>
        <v>-98.9475037575244</v>
      </c>
      <c r="Z149" s="138" t="n">
        <f aca="false">Y149+Z148</f>
        <v>-90.6511216838299</v>
      </c>
      <c r="AA149" s="138" t="n">
        <f aca="false">Z149+AA148</f>
        <v>-81.9691964975332</v>
      </c>
      <c r="AB149" s="138" t="n">
        <f aca="false">AA149+AB148</f>
        <v>-72.8879267770072</v>
      </c>
      <c r="AC149" s="138" t="n">
        <f aca="false">AB149+AC148</f>
        <v>-63.3929538770986</v>
      </c>
      <c r="AD149" s="138" t="n">
        <f aca="false">AC149+AD148</f>
        <v>-53.4693492746599</v>
      </c>
      <c r="AE149" s="138" t="n">
        <f aca="false">AD149+AE148</f>
        <v>-43.1016003701994</v>
      </c>
      <c r="AF149" s="138" t="n">
        <f aca="false">AE149+AF148</f>
        <v>-32.2735957641407</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6.88634987596409</v>
      </c>
      <c r="D152" s="116" t="n">
        <f aca="false">D83</f>
        <v>16.8605998759641</v>
      </c>
      <c r="E152" s="116" t="n">
        <f aca="false">E83</f>
        <v>27.0642576259641</v>
      </c>
      <c r="F152" s="116" t="n">
        <f aca="false">F83</f>
        <v>37.5025995042141</v>
      </c>
      <c r="G152" s="116" t="n">
        <f aca="false">G83</f>
        <v>48.1810232456638</v>
      </c>
      <c r="H152" s="116" t="n">
        <f aca="false">H83</f>
        <v>59.1050507331669</v>
      </c>
      <c r="I152" s="116" t="n">
        <f aca="false">I83</f>
        <v>70.2803308528826</v>
      </c>
      <c r="J152" s="116" t="n">
        <f aca="false">J83</f>
        <v>81.7126424153517</v>
      </c>
      <c r="K152" s="116" t="n">
        <f aca="false">K83</f>
        <v>93.4078971437576</v>
      </c>
      <c r="L152" s="116" t="n">
        <f aca="false">L83</f>
        <v>105.372142730917</v>
      </c>
      <c r="M152" s="116" t="n">
        <f aca="false">M83</f>
        <v>117.611565966581</v>
      </c>
      <c r="N152" s="116" t="n">
        <f aca="false">N83</f>
        <v>130.132495936665</v>
      </c>
      <c r="O152" s="116" t="n">
        <f aca="false">O83</f>
        <v>142.941407296061</v>
      </c>
      <c r="P152" s="116" t="n">
        <f aca="false">P83</f>
        <v>156.044923616723</v>
      </c>
      <c r="Q152" s="116" t="n">
        <f aca="false">Q83</f>
        <v>169.449820812761</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211.777475532204</v>
      </c>
      <c r="AA152" s="116" t="n">
        <f aca="false">AA83</f>
        <v>214.910569098052</v>
      </c>
      <c r="AB152" s="116" t="n">
        <f aca="false">AB83</f>
        <v>217.959442088221</v>
      </c>
      <c r="AC152" s="116" t="n">
        <f aca="false">AC83</f>
        <v>220.929908091122</v>
      </c>
      <c r="AD152" s="116" t="n">
        <f aca="false">AD83</f>
        <v>223.825901987842</v>
      </c>
      <c r="AE152" s="116" t="n">
        <f aca="false">AE83</f>
        <v>226.651938166081</v>
      </c>
      <c r="AF152" s="116" t="n">
        <f aca="false">AF83</f>
        <v>229.412768396675</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20.8853102537517</v>
      </c>
      <c r="D153" s="116" t="n">
        <f aca="false">D120</f>
        <v>41.244191812683</v>
      </c>
      <c r="E153" s="116" t="n">
        <f aca="false">E120</f>
        <v>62.0915804580315</v>
      </c>
      <c r="F153" s="116" t="n">
        <f aca="false">F120</f>
        <v>77.5184895648614</v>
      </c>
      <c r="G153" s="116" t="n">
        <f aca="false">G120</f>
        <v>91.6060595992738</v>
      </c>
      <c r="H153" s="116" t="n">
        <f aca="false">H120</f>
        <v>104.983851888439</v>
      </c>
      <c r="I153" s="116" t="n">
        <f aca="false">I120</f>
        <v>118.170792285179</v>
      </c>
      <c r="J153" s="116" t="n">
        <f aca="false">J120</f>
        <v>131.497859051837</v>
      </c>
      <c r="K153" s="116" t="n">
        <f aca="false">K120</f>
        <v>146.379978683699</v>
      </c>
      <c r="L153" s="116" t="n">
        <f aca="false">L120</f>
        <v>162.581768842554</v>
      </c>
      <c r="M153" s="116" t="n">
        <f aca="false">M120</f>
        <v>162.209134250786</v>
      </c>
      <c r="N153" s="116" t="n">
        <f aca="false">N120</f>
        <v>162.703350991122</v>
      </c>
      <c r="O153" s="116" t="n">
        <f aca="false">O120</f>
        <v>164.086460869411</v>
      </c>
      <c r="P153" s="116" t="n">
        <f aca="false">P120</f>
        <v>165.105409029787</v>
      </c>
      <c r="Q153" s="116" t="n">
        <f aca="false">Q120</f>
        <v>165.984507108313</v>
      </c>
      <c r="R153" s="116" t="n">
        <f aca="false">R120</f>
        <v>167.53394554501</v>
      </c>
      <c r="S153" s="116" t="n">
        <f aca="false">S120</f>
        <v>169.323675807104</v>
      </c>
      <c r="T153" s="116" t="n">
        <f aca="false">T120</f>
        <v>170.805555709743</v>
      </c>
      <c r="U153" s="116" t="n">
        <f aca="false">U120</f>
        <v>172.215385446533</v>
      </c>
      <c r="V153" s="116" t="n">
        <f aca="false">V120</f>
        <v>173.67213982805</v>
      </c>
      <c r="W153" s="116" t="n">
        <f aca="false">W120</f>
        <v>175.177901960226</v>
      </c>
      <c r="X153" s="116" t="n">
        <f aca="false">X120</f>
        <v>176.734208528705</v>
      </c>
      <c r="Y153" s="116" t="n">
        <f aca="false">Y120</f>
        <v>178.342361967817</v>
      </c>
      <c r="Z153" s="116" t="n">
        <f aca="false">Z120</f>
        <v>180.13097082918</v>
      </c>
      <c r="AA153" s="116" t="n">
        <f aca="false">AA120</f>
        <v>181.983052945867</v>
      </c>
      <c r="AB153" s="116" t="n">
        <f aca="false">AB120</f>
        <v>183.848386811403</v>
      </c>
      <c r="AC153" s="116" t="n">
        <f aca="false">AC120</f>
        <v>185.764656153883</v>
      </c>
      <c r="AD153" s="116" t="n">
        <f aca="false">AD120</f>
        <v>187.745215503065</v>
      </c>
      <c r="AE153" s="116" t="n">
        <f aca="false">AE120</f>
        <v>189.79130654207</v>
      </c>
      <c r="AF153" s="116" t="n">
        <f aca="false">AF120</f>
        <v>191.904158044044</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0.781764299547855</v>
      </c>
      <c r="E154" s="116" t="n">
        <f aca="false">E104</f>
        <v>1.44202285779843</v>
      </c>
      <c r="F154" s="116" t="n">
        <f aca="false">F104</f>
        <v>2.95353386461042</v>
      </c>
      <c r="G154" s="116" t="n">
        <f aca="false">G104</f>
        <v>4.45733521101765</v>
      </c>
      <c r="H154" s="116" t="n">
        <f aca="false">H104</f>
        <v>5.70030434785634</v>
      </c>
      <c r="I154" s="116" t="n">
        <f aca="false">I104</f>
        <v>6.78765881378224</v>
      </c>
      <c r="J154" s="116" t="n">
        <f aca="false">J104</f>
        <v>7.74047779506216</v>
      </c>
      <c r="K154" s="116" t="n">
        <f aca="false">K104</f>
        <v>8.05512011485871</v>
      </c>
      <c r="L154" s="116" t="n">
        <f aca="false">L104</f>
        <v>8.37001679304498</v>
      </c>
      <c r="M154" s="116" t="n">
        <f aca="false">M104</f>
        <v>8.67908432684023</v>
      </c>
      <c r="N154" s="116" t="n">
        <f aca="false">N104</f>
        <v>8.98311086118651</v>
      </c>
      <c r="O154" s="116" t="n">
        <f aca="false">O104</f>
        <v>9.27959824172861</v>
      </c>
      <c r="P154" s="116" t="n">
        <f aca="false">P104</f>
        <v>9.5545798006351</v>
      </c>
      <c r="Q154" s="116" t="n">
        <f aca="false">Q104</f>
        <v>9.80808357863359</v>
      </c>
      <c r="R154" s="116" t="n">
        <f aca="false">R104</f>
        <v>10.0453307325402</v>
      </c>
      <c r="S154" s="116" t="n">
        <f aca="false">S104</f>
        <v>10.2654481448032</v>
      </c>
      <c r="T154" s="116" t="n">
        <f aca="false">T104</f>
        <v>10.4698431563487</v>
      </c>
      <c r="U154" s="116" t="n">
        <f aca="false">U104</f>
        <v>10.6724775568101</v>
      </c>
      <c r="V154" s="116" t="n">
        <f aca="false">V104</f>
        <v>10.8733996748698</v>
      </c>
      <c r="W154" s="116" t="n">
        <f aca="false">W104</f>
        <v>11.0692732481381</v>
      </c>
      <c r="X154" s="116" t="n">
        <f aca="false">X104</f>
        <v>11.2604581121332</v>
      </c>
      <c r="Y154" s="116" t="n">
        <f aca="false">Y104</f>
        <v>11.4473128882486</v>
      </c>
      <c r="Z154" s="116" t="n">
        <f aca="false">Z104</f>
        <v>11.6301971495495</v>
      </c>
      <c r="AA154" s="116" t="n">
        <f aca="false">AA104</f>
        <v>11.8083060629166</v>
      </c>
      <c r="AB154" s="116" t="n">
        <f aca="false">AB104</f>
        <v>11.9817437978149</v>
      </c>
      <c r="AC154" s="116" t="n">
        <f aca="false">AC104</f>
        <v>12.1508336046849</v>
      </c>
      <c r="AD154" s="116" t="n">
        <f aca="false">AD104</f>
        <v>12.3157943709862</v>
      </c>
      <c r="AE154" s="116" t="n">
        <f aca="false">AE104</f>
        <v>12.4768771889781</v>
      </c>
      <c r="AF154" s="116" t="n">
        <f aca="false">AF104</f>
        <v>12.6343463492131</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0.356109115187927</v>
      </c>
      <c r="E155" s="116" t="n">
        <f aca="false">E70+E121-E227</f>
        <v>0.749682201589416</v>
      </c>
      <c r="F155" s="116" t="n">
        <f aca="false">F70+F121-F227</f>
        <v>16.9804599240576</v>
      </c>
      <c r="G155" s="116" t="n">
        <f aca="false">G70+G121-G227</f>
        <v>33.2143713892194</v>
      </c>
      <c r="H155" s="116" t="n">
        <f aca="false">H70+H121-H227</f>
        <v>49.4515272181921</v>
      </c>
      <c r="I155" s="116" t="n">
        <f aca="false">I70+I121-I227</f>
        <v>65.6920419370181</v>
      </c>
      <c r="J155" s="116" t="n">
        <f aca="false">J70+J121-J227</f>
        <v>81.9360341145091</v>
      </c>
      <c r="K155" s="116" t="n">
        <f aca="false">K70+K121-K227</f>
        <v>88.9499556564191</v>
      </c>
      <c r="L155" s="116" t="n">
        <f aca="false">L70+L121-L227</f>
        <v>95.9638771983291</v>
      </c>
      <c r="M155" s="116" t="n">
        <f aca="false">M70+M121-M227</f>
        <v>99.0292699811471</v>
      </c>
      <c r="N155" s="116" t="n">
        <f aca="false">N70+N121-N227</f>
        <v>102.471254247324</v>
      </c>
      <c r="O155" s="116" t="n">
        <f aca="false">O70+O121-O227</f>
        <v>106.289712768596</v>
      </c>
      <c r="P155" s="116" t="n">
        <f aca="false">P70+P121-P227</f>
        <v>110.48637171645</v>
      </c>
      <c r="Q155" s="116" t="n">
        <f aca="false">Q70+Q121-Q227</f>
        <v>114.985196171659</v>
      </c>
      <c r="R155" s="116" t="n">
        <f aca="false">R70+R121-R227</f>
        <v>119.517472578466</v>
      </c>
      <c r="S155" s="116" t="n">
        <f aca="false">S70+S121-S227</f>
        <v>123.941261016537</v>
      </c>
      <c r="T155" s="116" t="n">
        <f aca="false">T70+T121-T227</f>
        <v>128.264652882111</v>
      </c>
      <c r="U155" s="116" t="n">
        <f aca="false">U70+U121-U227</f>
        <v>132.493658284889</v>
      </c>
      <c r="V155" s="116" t="n">
        <f aca="false">V70+V121-V227</f>
        <v>136.642323942018</v>
      </c>
      <c r="W155" s="116" t="n">
        <f aca="false">W70+W121-W227</f>
        <v>140.728978500627</v>
      </c>
      <c r="X155" s="116" t="n">
        <f aca="false">X70+X121-X227</f>
        <v>144.771896133974</v>
      </c>
      <c r="Y155" s="116" t="n">
        <f aca="false">Y70+Y121-Y227</f>
        <v>148.789384198835</v>
      </c>
      <c r="Z155" s="116" t="n">
        <f aca="false">Z70+Z121-Z227</f>
        <v>152.753169921285</v>
      </c>
      <c r="AA155" s="116" t="n">
        <f aca="false">AA70+AA121-AA227</f>
        <v>156.667934321293</v>
      </c>
      <c r="AB155" s="116" t="n">
        <f aca="false">AB70+AB121-AB227</f>
        <v>160.547119706737</v>
      </c>
      <c r="AC155" s="116" t="n">
        <f aca="false">AC70+AC121-AC227</f>
        <v>164.399992851433</v>
      </c>
      <c r="AD155" s="116" t="n">
        <f aca="false">AD70+AD121-AD227</f>
        <v>168.237108625505</v>
      </c>
      <c r="AE155" s="116" t="n">
        <f aca="false">AE70+AE121-AE227</f>
        <v>172.069550638892</v>
      </c>
      <c r="AF155" s="116" t="n">
        <f aca="false">AF70+AF121-AF227</f>
        <v>175.908549138885</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32.7120130261346</v>
      </c>
      <c r="D156" s="136" t="n">
        <f aca="false">SUM(D152:D155)+D187</f>
        <v>73.4898132093329</v>
      </c>
      <c r="E156" s="136" t="n">
        <f aca="false">SUM(E152:E155)+E187</f>
        <v>115.836321743383</v>
      </c>
      <c r="F156" s="136" t="n">
        <f aca="false">SUM(F152:F155)+F187</f>
        <v>168.357776868143</v>
      </c>
      <c r="G156" s="136" t="n">
        <f aca="false">SUM(G152:G155)+G187</f>
        <v>220.172484410974</v>
      </c>
      <c r="H156" s="136" t="n">
        <f aca="false">SUM(H152:H155)+H187</f>
        <v>262.936844137666</v>
      </c>
      <c r="I156" s="136" t="n">
        <f aca="false">SUM(I152:I155)+I187</f>
        <v>305.631944367724</v>
      </c>
      <c r="J156" s="136" t="n">
        <f aca="false">SUM(J152:J155)+J187</f>
        <v>348.616259626637</v>
      </c>
      <c r="K156" s="136" t="n">
        <f aca="false">SUM(K152:K155)+K187</f>
        <v>383.573970512358</v>
      </c>
      <c r="L156" s="136" t="n">
        <f aca="false">SUM(L152:L155)+L187</f>
        <v>420.144787913482</v>
      </c>
      <c r="M156" s="136" t="n">
        <f aca="false">SUM(M152:M155)+M187</f>
        <v>436.486747468009</v>
      </c>
      <c r="N156" s="136" t="n">
        <f aca="false">SUM(N152:N155)+N187</f>
        <v>454.373931916634</v>
      </c>
      <c r="O156" s="136" t="n">
        <f aca="false">SUM(O152:O155)+O187</f>
        <v>473.832824613381</v>
      </c>
      <c r="P156" s="136" t="n">
        <f aca="false">SUM(P152:P155)+P187</f>
        <v>493.605349446245</v>
      </c>
      <c r="Q156" s="136" t="n">
        <f aca="false">SUM(Q152:Q155)+Q187</f>
        <v>513.847196455516</v>
      </c>
      <c r="R156" s="136" t="n">
        <f aca="false">SUM(R152:R155)+R187</f>
        <v>529.467842924636</v>
      </c>
      <c r="S156" s="136" t="n">
        <f aca="false">SUM(S152:S155)+S187</f>
        <v>541.246014200642</v>
      </c>
      <c r="T156" s="136" t="n">
        <f aca="false">SUM(T152:T155)+T187</f>
        <v>552.723140452741</v>
      </c>
      <c r="U156" s="136" t="n">
        <f aca="false">SUM(U152:U155)+U187</f>
        <v>564.157821032975</v>
      </c>
      <c r="V156" s="136" t="n">
        <f aca="false">SUM(V152:V155)+V187</f>
        <v>575.686018083809</v>
      </c>
      <c r="W156" s="136" t="n">
        <f aca="false">SUM(W152:W155)+W187</f>
        <v>587.327765904557</v>
      </c>
      <c r="X156" s="136" t="n">
        <f aca="false">SUM(X152:X155)+X187</f>
        <v>599.106262050876</v>
      </c>
      <c r="Y156" s="136" t="n">
        <f aca="false">SUM(Y152:Y155)+Y187</f>
        <v>611.044571414314</v>
      </c>
      <c r="Z156" s="136" t="n">
        <f aca="false">SUM(Z152:Z155)+Z187</f>
        <v>622.088524047198</v>
      </c>
      <c r="AA156" s="136" t="n">
        <f aca="false">SUM(AA152:AA155)+AA187</f>
        <v>632.679897387253</v>
      </c>
      <c r="AB156" s="136" t="n">
        <f aca="false">SUM(AB152:AB155)+AB187</f>
        <v>643.194858167361</v>
      </c>
      <c r="AC156" s="136" t="n">
        <f aca="false">SUM(AC152:AC155)+AC187</f>
        <v>653.687294276861</v>
      </c>
      <c r="AD156" s="136" t="n">
        <f aca="false">SUM(AD152:AD155)+AD187</f>
        <v>664.186087845378</v>
      </c>
      <c r="AE156" s="136" t="n">
        <f aca="false">SUM(AE152:AE155)+AE187</f>
        <v>674.709167443235</v>
      </c>
      <c r="AF156" s="136" t="n">
        <f aca="false">SUM(AF152:AF155)+AF187</f>
        <v>685.274865218897</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11.8267027723829</v>
      </c>
      <c r="D157" s="116" t="n">
        <f aca="false">D69+D80+D121</f>
        <v>31.4638570971021</v>
      </c>
      <c r="E157" s="116" t="n">
        <f aca="false">E69+E80+E121</f>
        <v>57.9887397111386</v>
      </c>
      <c r="F157" s="116" t="n">
        <f aca="false">F69+F80+F121</f>
        <v>118.141354584417</v>
      </c>
      <c r="G157" s="116" t="n">
        <f aca="false">G69+G80+G121</f>
        <v>178.293408440706</v>
      </c>
      <c r="H157" s="116" t="n">
        <f aca="false">H69+H80+H121</f>
        <v>228.012173914254</v>
      </c>
      <c r="I157" s="116" t="n">
        <f aca="false">I69+I80+I121</f>
        <v>271.50635255129</v>
      </c>
      <c r="J157" s="116" t="n">
        <f aca="false">J69+J80+J121</f>
        <v>309.619111802486</v>
      </c>
      <c r="K157" s="116" t="n">
        <f aca="false">K69+K80+K121</f>
        <v>322.204804594348</v>
      </c>
      <c r="L157" s="116" t="n">
        <f aca="false">L69+L80+L121</f>
        <v>334.800671721799</v>
      </c>
      <c r="M157" s="116" t="n">
        <f aca="false">M69+M80+M121</f>
        <v>347.433192033237</v>
      </c>
      <c r="N157" s="116" t="n">
        <f aca="false">N69+N80+N121</f>
        <v>359.966849798008</v>
      </c>
      <c r="O157" s="116" t="n">
        <f aca="false">O69+O80+O121</f>
        <v>372.198683155586</v>
      </c>
      <c r="P157" s="116" t="n">
        <f aca="false">P69+P80+P121</f>
        <v>383.571863814217</v>
      </c>
      <c r="Q157" s="116" t="n">
        <f aca="false">Q69+Q80+Q121</f>
        <v>394.009747158318</v>
      </c>
      <c r="R157" s="116" t="n">
        <f aca="false">R69+R80+R121</f>
        <v>403.52849548809</v>
      </c>
      <c r="S157" s="116" t="n">
        <f aca="false">S69+S80+S121</f>
        <v>412.219952212614</v>
      </c>
      <c r="T157" s="116" t="n">
        <f aca="false">T69+T80+T121</f>
        <v>420.29043656624</v>
      </c>
      <c r="U157" s="116" t="n">
        <f aca="false">U69+U80+U121</f>
        <v>428.296332926589</v>
      </c>
      <c r="V157" s="116" t="n">
        <f aca="false">V69+V80+V121</f>
        <v>436.247604918223</v>
      </c>
      <c r="W157" s="116" t="n">
        <f aca="false">W69+W80+W121</f>
        <v>444.015077628953</v>
      </c>
      <c r="X157" s="116" t="n">
        <f aca="false">X69+X80+X121</f>
        <v>451.613083435027</v>
      </c>
      <c r="Y157" s="116" t="n">
        <f aca="false">Y69+Y80+Y121</f>
        <v>459.055993573144</v>
      </c>
      <c r="Z157" s="116" t="n">
        <f aca="false">Z69+Z80+Z121</f>
        <v>466.311603792525</v>
      </c>
      <c r="AA157" s="116" t="n">
        <f aca="false">AA69+AA80+AA121</f>
        <v>473.380667270998</v>
      </c>
      <c r="AB157" s="116" t="n">
        <f aca="false">AB69+AB80+AB121</f>
        <v>480.276104526393</v>
      </c>
      <c r="AC157" s="116" t="n">
        <f aca="false">AC69+AC80+AC121</f>
        <v>487.006662227128</v>
      </c>
      <c r="AD157" s="116" t="n">
        <f aca="false">AD69+AD80+AD121</f>
        <v>493.582375876867</v>
      </c>
      <c r="AE157" s="116" t="n">
        <f aca="false">AE69+AE80+AE121</f>
        <v>500.013809529178</v>
      </c>
      <c r="AF157" s="116" t="n">
        <f aca="false">AF69+AF80+AF121</f>
        <v>506.311672771171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11.1524547186432</v>
      </c>
      <c r="D159" s="116" t="n">
        <f aca="false">D72</f>
        <v>29.9549829366536</v>
      </c>
      <c r="E159" s="116" t="n">
        <f aca="false">E72</f>
        <v>50.1787978508259</v>
      </c>
      <c r="F159" s="116" t="n">
        <f aca="false">F72</f>
        <v>69.7877721103865</v>
      </c>
      <c r="G159" s="116" t="n">
        <f aca="false">G72</f>
        <v>89.7803974700442</v>
      </c>
      <c r="H159" s="116" t="n">
        <f aca="false">H72</f>
        <v>101.411874001743</v>
      </c>
      <c r="I159" s="116" t="n">
        <f aca="false">I72</f>
        <v>113.289368119464</v>
      </c>
      <c r="J159" s="116" t="n">
        <f aca="false">J72</f>
        <v>125.44179828428</v>
      </c>
      <c r="K159" s="116" t="n">
        <f aca="false">K72</f>
        <v>137.573984801876</v>
      </c>
      <c r="L159" s="116" t="n">
        <f aca="false">L72</f>
        <v>150.172066170966</v>
      </c>
      <c r="M159" s="116" t="n">
        <f aca="false">M72</f>
        <v>162.048509214741</v>
      </c>
      <c r="N159" s="116" t="n">
        <f aca="false">N72</f>
        <v>175.05542529705</v>
      </c>
      <c r="O159" s="116" t="n">
        <f aca="false">O72</f>
        <v>189.218374939235</v>
      </c>
      <c r="P159" s="116" t="n">
        <f aca="false">P72</f>
        <v>203.276487450001</v>
      </c>
      <c r="Q159" s="116" t="n">
        <f aca="false">Q72</f>
        <v>217.460390261605</v>
      </c>
      <c r="R159" s="116" t="n">
        <f aca="false">R72</f>
        <v>226.947146772878</v>
      </c>
      <c r="S159" s="116" t="n">
        <f aca="false">S72</f>
        <v>232.656264082441</v>
      </c>
      <c r="T159" s="116" t="n">
        <f aca="false">T72</f>
        <v>238.119891228617</v>
      </c>
      <c r="U159" s="116" t="n">
        <f aca="false">U72</f>
        <v>243.589395292888</v>
      </c>
      <c r="V159" s="116" t="n">
        <f aca="false">V72</f>
        <v>249.18543622972</v>
      </c>
      <c r="W159" s="116" t="n">
        <f aca="false">W72</f>
        <v>254.908430002582</v>
      </c>
      <c r="X159" s="116" t="n">
        <f aca="false">X72</f>
        <v>260.761975154697</v>
      </c>
      <c r="Y159" s="116" t="n">
        <f aca="false">Y72</f>
        <v>266.749468273167</v>
      </c>
      <c r="Z159" s="116" t="n">
        <f aca="false">Z72</f>
        <v>271.843614143946</v>
      </c>
      <c r="AA159" s="116" t="n">
        <f aca="false">AA72</f>
        <v>276.480073040901</v>
      </c>
      <c r="AB159" s="116" t="n">
        <f aca="false">AB72</f>
        <v>281.020094103049</v>
      </c>
      <c r="AC159" s="116" t="n">
        <f aca="false">AC72</f>
        <v>285.506782951004</v>
      </c>
      <c r="AD159" s="116" t="n">
        <f aca="false">AD72</f>
        <v>289.956910044547</v>
      </c>
      <c r="AE159" s="116" t="n">
        <f aca="false">AE72</f>
        <v>294.37572111376</v>
      </c>
      <c r="AF159" s="116" t="n">
        <f aca="false">AF72</f>
        <v>298.768675242499</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22.9791574910261</v>
      </c>
      <c r="D160" s="136" t="n">
        <f aca="false">SUM(D157:D159)</f>
        <v>61.4188400337557</v>
      </c>
      <c r="E160" s="136" t="n">
        <f aca="false">SUM(E157:E159)</f>
        <v>108.167537561964</v>
      </c>
      <c r="F160" s="136" t="n">
        <f aca="false">SUM(F157:F159)</f>
        <v>187.929126694803</v>
      </c>
      <c r="G160" s="136" t="n">
        <f aca="false">SUM(G157:G159)</f>
        <v>268.07380591075</v>
      </c>
      <c r="H160" s="136" t="n">
        <f aca="false">SUM(H157:H159)</f>
        <v>329.424047915996</v>
      </c>
      <c r="I160" s="136" t="n">
        <f aca="false">SUM(I157:I159)</f>
        <v>384.795720670753</v>
      </c>
      <c r="J160" s="136" t="n">
        <f aca="false">SUM(J157:J159)</f>
        <v>435.060910086766</v>
      </c>
      <c r="K160" s="136" t="n">
        <f aca="false">SUM(K157:K159)</f>
        <v>459.778789396224</v>
      </c>
      <c r="L160" s="136" t="n">
        <f aca="false">SUM(L157:L159)</f>
        <v>484.972737892766</v>
      </c>
      <c r="M160" s="136" t="n">
        <f aca="false">SUM(M157:M159)</f>
        <v>509.481701247978</v>
      </c>
      <c r="N160" s="136" t="n">
        <f aca="false">SUM(N157:N159)</f>
        <v>535.022275095058</v>
      </c>
      <c r="O160" s="136" t="n">
        <f aca="false">SUM(O157:O159)</f>
        <v>561.417058094821</v>
      </c>
      <c r="P160" s="136" t="n">
        <f aca="false">SUM(P157:P159)</f>
        <v>586.848351264218</v>
      </c>
      <c r="Q160" s="136" t="n">
        <f aca="false">SUM(Q157:Q159)</f>
        <v>611.470137419923</v>
      </c>
      <c r="R160" s="136" t="n">
        <f aca="false">SUM(R157:R159)</f>
        <v>630.475642260968</v>
      </c>
      <c r="S160" s="136" t="n">
        <f aca="false">SUM(S157:S159)</f>
        <v>644.876216295055</v>
      </c>
      <c r="T160" s="136" t="n">
        <f aca="false">SUM(T157:T159)</f>
        <v>658.410327794857</v>
      </c>
      <c r="U160" s="136" t="n">
        <f aca="false">SUM(U157:U159)</f>
        <v>671.885728219478</v>
      </c>
      <c r="V160" s="136" t="n">
        <f aca="false">SUM(V157:V159)</f>
        <v>685.433041147942</v>
      </c>
      <c r="W160" s="136" t="n">
        <f aca="false">SUM(W157:W159)</f>
        <v>698.923507631535</v>
      </c>
      <c r="X160" s="136" t="n">
        <f aca="false">SUM(X157:X159)</f>
        <v>712.375058589724</v>
      </c>
      <c r="Y160" s="136" t="n">
        <f aca="false">SUM(Y157:Y159)</f>
        <v>725.805461846312</v>
      </c>
      <c r="Z160" s="136" t="n">
        <f aca="false">SUM(Z157:Z159)</f>
        <v>738.15521793647</v>
      </c>
      <c r="AA160" s="136" t="n">
        <f aca="false">SUM(AA157:AA159)</f>
        <v>749.8607403119</v>
      </c>
      <c r="AB160" s="136" t="n">
        <f aca="false">SUM(AB157:AB159)</f>
        <v>761.296198629442</v>
      </c>
      <c r="AC160" s="136" t="n">
        <f aca="false">SUM(AC157:AC159)</f>
        <v>772.513445178132</v>
      </c>
      <c r="AD160" s="136" t="n">
        <f aca="false">SUM(AD157:AD159)</f>
        <v>783.539285921414</v>
      </c>
      <c r="AE160" s="136" t="n">
        <f aca="false">SUM(AE157:AE159)</f>
        <v>794.389530642938</v>
      </c>
      <c r="AF160" s="136" t="n">
        <f aca="false">SUM(AF157:AF159)</f>
        <v>805.08034801367</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9.73285553510856</v>
      </c>
      <c r="D161" s="138" t="n">
        <f aca="false">D156-D160</f>
        <v>12.0709731755772</v>
      </c>
      <c r="E161" s="138" t="n">
        <f aca="false">E156-E160</f>
        <v>7.66878418141899</v>
      </c>
      <c r="F161" s="138" t="n">
        <f aca="false">F156-F160</f>
        <v>-19.5713498266597</v>
      </c>
      <c r="G161" s="138" t="n">
        <f aca="false">G156-G160</f>
        <v>-47.9013214997764</v>
      </c>
      <c r="H161" s="138" t="n">
        <f aca="false">H156-H160</f>
        <v>-66.48720377833</v>
      </c>
      <c r="I161" s="138" t="n">
        <f aca="false">I156-I160</f>
        <v>-79.1637763030289</v>
      </c>
      <c r="J161" s="138" t="n">
        <f aca="false">J156-J160</f>
        <v>-86.4446504601297</v>
      </c>
      <c r="K161" s="138" t="n">
        <f aca="false">K156-K160</f>
        <v>-76.2048188838659</v>
      </c>
      <c r="L161" s="138" t="n">
        <f aca="false">L156-L160</f>
        <v>-64.8279499792835</v>
      </c>
      <c r="M161" s="138" t="n">
        <f aca="false">M156-M160</f>
        <v>-72.9949537799681</v>
      </c>
      <c r="N161" s="138" t="n">
        <f aca="false">N156-N160</f>
        <v>-80.6483431784233</v>
      </c>
      <c r="O161" s="138" t="n">
        <f aca="false">O156-O160</f>
        <v>-87.58423348144</v>
      </c>
      <c r="P161" s="138" t="n">
        <f aca="false">P156-P160</f>
        <v>-93.243001817974</v>
      </c>
      <c r="Q161" s="138" t="n">
        <f aca="false">Q156-Q160</f>
        <v>-97.6229409644071</v>
      </c>
      <c r="R161" s="138" t="n">
        <f aca="false">R156-R160</f>
        <v>-101.007799336332</v>
      </c>
      <c r="S161" s="138" t="n">
        <f aca="false">S156-S160</f>
        <v>-103.630202094412</v>
      </c>
      <c r="T161" s="138" t="n">
        <f aca="false">T156-T160</f>
        <v>-105.687187342116</v>
      </c>
      <c r="U161" s="138" t="n">
        <f aca="false">U156-U160</f>
        <v>-107.727907186503</v>
      </c>
      <c r="V161" s="138" t="n">
        <f aca="false">V156-V160</f>
        <v>-109.747023064133</v>
      </c>
      <c r="W161" s="138" t="n">
        <f aca="false">W156-W160</f>
        <v>-111.595741726978</v>
      </c>
      <c r="X161" s="138" t="n">
        <f aca="false">X156-X160</f>
        <v>-113.268796538848</v>
      </c>
      <c r="Y161" s="138" t="n">
        <f aca="false">Y156-Y160</f>
        <v>-114.760890431998</v>
      </c>
      <c r="Z161" s="138" t="n">
        <f aca="false">Z156-Z160</f>
        <v>-116.066693889272</v>
      </c>
      <c r="AA161" s="138" t="n">
        <f aca="false">AA156-AA160</f>
        <v>-117.180842924647</v>
      </c>
      <c r="AB161" s="138" t="n">
        <f aca="false">AB156-AB160</f>
        <v>-118.101340462081</v>
      </c>
      <c r="AC161" s="138" t="n">
        <f aca="false">AC156-AC160</f>
        <v>-118.826150901271</v>
      </c>
      <c r="AD161" s="138" t="n">
        <f aca="false">AD156-AD160</f>
        <v>-119.353198076036</v>
      </c>
      <c r="AE161" s="138" t="n">
        <f aca="false">AE156-AE160</f>
        <v>-119.680363199703</v>
      </c>
      <c r="AF161" s="138" t="n">
        <f aca="false">AF156-AF160</f>
        <v>-119.805482794773</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11.8267027723829</v>
      </c>
      <c r="D162" s="116" t="n">
        <f aca="false">D48+D50+(D80-C80)-D63</f>
        <v>19.4438692095313</v>
      </c>
      <c r="E162" s="116" t="n">
        <f aca="false">E48+E50+(E80-D80)-E63</f>
        <v>26.217057214835</v>
      </c>
      <c r="F162" s="116" t="n">
        <f aca="false">F48+F50+(F80-E80)-F63</f>
        <v>48.3421348732781</v>
      </c>
      <c r="G162" s="116" t="n">
        <f aca="false">G48+G50+(G80-F80)-G63</f>
        <v>48.3415738562892</v>
      </c>
      <c r="H162" s="116" t="n">
        <f aca="false">H48+H50+(H80-G80)-H63</f>
        <v>37.9082854735478</v>
      </c>
      <c r="I162" s="116" t="n">
        <f aca="false">I48+I50+(I80-H80)-I63</f>
        <v>31.6836986370359</v>
      </c>
      <c r="J162" s="116" t="n">
        <f aca="false">J48+J50+(J80-I80)-J63</f>
        <v>26.3022792511968</v>
      </c>
      <c r="K162" s="116" t="n">
        <f aca="false">K48+K50+(K80-J80)-K63</f>
        <v>9.90329439186205</v>
      </c>
      <c r="L162" s="116" t="n">
        <f aca="false">L48+L50+(L80-K80)-L63</f>
        <v>9.91346872745088</v>
      </c>
      <c r="M162" s="116" t="n">
        <f aca="false">M48+M50+(M80-L80)-M63</f>
        <v>9.68030295180989</v>
      </c>
      <c r="N162" s="116" t="n">
        <f aca="false">N48+N50+(N80-M80)-N63</f>
        <v>9.20884401422391</v>
      </c>
      <c r="O162" s="116" t="n">
        <f aca="false">O48+O50+(O80-N80)-O63</f>
        <v>8.53468147113642</v>
      </c>
      <c r="P162" s="116" t="n">
        <f aca="false">P48+P50+(P80-O80)-P63</f>
        <v>7.30211046981801</v>
      </c>
      <c r="Q162" s="116" t="n">
        <f aca="false">Q48+Q50+(Q80-P80)-Q63</f>
        <v>6.06908093112626</v>
      </c>
      <c r="R162" s="116" t="n">
        <f aca="false">R48+R50+(R80-Q80)-R63</f>
        <v>5.12108374328976</v>
      </c>
      <c r="S162" s="116" t="n">
        <f aca="false">S48+S50+(S80-R80)-S63</f>
        <v>4.40703190403636</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3.46949400883475</v>
      </c>
      <c r="AA162" s="116" t="n">
        <f aca="false">AA48+AA50+(AA80-Z80)-AA63</f>
        <v>3.33824032414112</v>
      </c>
      <c r="AB162" s="116" t="n">
        <f aca="false">AB48+AB50+(AB80-AA80)-AB63</f>
        <v>3.20668624159695</v>
      </c>
      <c r="AC162" s="116" t="n">
        <f aca="false">AC48+AC50+(AC80-AB80)-AC63</f>
        <v>3.07484126100528</v>
      </c>
      <c r="AD162" s="116" t="n">
        <f aca="false">AD48+AD50+(AD80-AC80)-AD63</f>
        <v>2.94271421231978</v>
      </c>
      <c r="AE162" s="116" t="n">
        <f aca="false">AE48+AE50+(AE80-AD80)-AE63</f>
        <v>2.81031328225874</v>
      </c>
      <c r="AF162" s="116" t="n">
        <f aca="false">AF48+AF50+(AF80-AE80)-AF63</f>
        <v>2.67764603934558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9.73285553510856</v>
      </c>
      <c r="D163" s="116" t="n">
        <f aca="false">C163+D53+D56+D58+D118+D119+D60+D113+D101-D115-D162</f>
        <v>12.0709731755772</v>
      </c>
      <c r="E163" s="116" t="n">
        <f aca="false">D163+E53+E56+E58+E118+E119+E60+E113+E101-E115-E162</f>
        <v>7.66878418141899</v>
      </c>
      <c r="F163" s="116" t="n">
        <f aca="false">E163+F53+F56+F58+F118+F119+F60+F113+F101-F115-F162</f>
        <v>-19.5713498266598</v>
      </c>
      <c r="G163" s="116" t="n">
        <f aca="false">F163+G53+G56+G58+G118+G119+G60+G113+G101-G115-G162</f>
        <v>-47.9013214997764</v>
      </c>
      <c r="H163" s="116" t="n">
        <f aca="false">G163+H53+H56+H58+H118+H119+H60+H113+H101-H115-H162</f>
        <v>-66.4872037783299</v>
      </c>
      <c r="I163" s="116" t="n">
        <f aca="false">H163+I53+I56+I58+I118+I119+I60+I113+I101-I115-I162</f>
        <v>-79.1637763030288</v>
      </c>
      <c r="J163" s="116" t="n">
        <f aca="false">I163+J53+J56+J58+J118+J119+J60+J113+J101-J115-J162</f>
        <v>-86.4446504601297</v>
      </c>
      <c r="K163" s="116" t="n">
        <f aca="false">J163+K53+K56+K58+K118+K119+K60+K113+K101-K115-K162</f>
        <v>-76.2048188838658</v>
      </c>
      <c r="L163" s="116" t="n">
        <f aca="false">K163+L53+L56+L58+L118+L119+L60+L113+L101-L115-L162</f>
        <v>-64.8279499792835</v>
      </c>
      <c r="M163" s="116" t="n">
        <f aca="false">L163+M53+M56+M58+M118+M119+M60+M113+M101-M115-M162</f>
        <v>-72.9949537799681</v>
      </c>
      <c r="N163" s="116" t="n">
        <f aca="false">M163+N53+N56+N58+N118+N119+N60+N113+N101-N115-N162</f>
        <v>-80.6483431784233</v>
      </c>
      <c r="O163" s="116" t="n">
        <f aca="false">N163+O53+O56+O58+O118+O119+O60+O113+O101-O115-O162</f>
        <v>-87.58423348144</v>
      </c>
      <c r="P163" s="116" t="n">
        <f aca="false">O163+P53+P56+P58+P118+P119+P60+P113+P101-P115-P162</f>
        <v>-93.2430018179739</v>
      </c>
      <c r="Q163" s="116" t="n">
        <f aca="false">P163+Q53+Q56+Q58+Q118+Q119+Q60+Q113+Q101-Q115-Q162</f>
        <v>-97.622940964407</v>
      </c>
      <c r="R163" s="116" t="n">
        <f aca="false">Q163+R53+R56+R58+R118+R119+R60+R113+R101-R115-R162</f>
        <v>-101.007799336332</v>
      </c>
      <c r="S163" s="116" t="n">
        <f aca="false">R163+S53+S56+S58+S118+S119+S60+S113+S101-S115-S162</f>
        <v>-103.630202094412</v>
      </c>
      <c r="T163" s="116" t="n">
        <f aca="false">S163+T53+T56+T58+T118+T119+T60+T113+T101-T115-T162</f>
        <v>-105.687187342116</v>
      </c>
      <c r="U163" s="116" t="n">
        <f aca="false">T163+U53+U56+U58+U118+U119+U60+U113+U101-U115-U162</f>
        <v>-107.727907186503</v>
      </c>
      <c r="V163" s="116" t="n">
        <f aca="false">U163+V53+V56+V58+V118+V119+V60+V113+V101-V115-V162</f>
        <v>-109.747023064133</v>
      </c>
      <c r="W163" s="116" t="n">
        <f aca="false">V163+W53+W56+W58+W118+W119+W60+W113+W101-W115-W162</f>
        <v>-111.595741726978</v>
      </c>
      <c r="X163" s="116" t="n">
        <f aca="false">W163+X53+X56+X58+X118+X119+X60+X113+X101-X115-X162</f>
        <v>-113.268796538848</v>
      </c>
      <c r="Y163" s="116" t="n">
        <f aca="false">X163+Y53+Y56+Y58+Y118+Y119+Y60+Y113+Y101-Y115-Y162</f>
        <v>-114.760890431997</v>
      </c>
      <c r="Z163" s="116" t="n">
        <f aca="false">Y163+Z53+Z56+Z58+Z118+Z119+Z60+Z113+Z101-Z115-Z162</f>
        <v>-116.066693889272</v>
      </c>
      <c r="AA163" s="116" t="n">
        <f aca="false">Z163+AA53+AA56+AA58+AA118+AA119+AA60+AA113+AA101-AA115-AA162</f>
        <v>-117.180842924647</v>
      </c>
      <c r="AB163" s="116" t="n">
        <f aca="false">AA163+AB53+AB56+AB58+AB118+AB119+AB60+AB113+AB101-AB115-AB162</f>
        <v>-118.101340462081</v>
      </c>
      <c r="AC163" s="116" t="n">
        <f aca="false">AB163+AC53+AC56+AC58+AC118+AC119+AC60+AC113+AC101-AC115-AC162</f>
        <v>-118.826150901271</v>
      </c>
      <c r="AD163" s="116" t="n">
        <f aca="false">AC163+AD53+AD56+AD58+AD118+AD119+AD60+AD113+AD101-AD115-AD162</f>
        <v>-119.353198076036</v>
      </c>
      <c r="AE163" s="116" t="n">
        <f aca="false">AD163+AE53+AE56+AE58+AE118+AE119+AE60+AE113+AE101-AE115-AE162</f>
        <v>-119.680363199703</v>
      </c>
      <c r="AF163" s="116" t="n">
        <f aca="false">AE163+AF53+AF56+AF58+AF118+AF119+AF60+AF113+AF101-AF115-AF162</f>
        <v>-119.805482794773</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0.03</v>
      </c>
      <c r="D174" s="83" t="s">
        <v>1345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4.86035289641877</v>
      </c>
      <c r="D180" s="142" t="n">
        <f aca="false">IF($C$167="Sí",MAX(0,MIN(D84,($C$168+$C$170)*D41*MIN(1,D$39/MAX(1,01_Supuestos!$C$170)))),0)</f>
        <v>14.2471481059501</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4.86035289641877</v>
      </c>
      <c r="D181" s="142" t="n">
        <f aca="false">D180</f>
        <v>14.2471481059501</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4.86035289641877</v>
      </c>
      <c r="D182" s="142" t="n">
        <f aca="false">MIN(D181,$C$168*D41)</f>
        <v>14.2471481059501</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0.121508822410469</v>
      </c>
      <c r="D184" s="142" t="n">
        <f aca="false">D182*$C$169+D183*$C$171</f>
        <v>0.356178702648753</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4.86035289641877</v>
      </c>
      <c r="D185" s="142" t="n">
        <f aca="false">D181-C181</f>
        <v>9.38679520953133</v>
      </c>
      <c r="E185" s="142" t="n">
        <f aca="false">E181-D181</f>
        <v>10.2416304940499</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0</v>
      </c>
      <c r="D186" s="142" t="n">
        <f aca="false">D84-D181</f>
        <v>0</v>
      </c>
      <c r="E186" s="142" t="n">
        <f aca="false">E84-E181</f>
        <v>5.68602128358511</v>
      </c>
      <c r="F186" s="142" t="n">
        <f aca="false">F84-F181</f>
        <v>30.255601145745</v>
      </c>
      <c r="G186" s="142" t="n">
        <f aca="false">G84-G181</f>
        <v>54.1843188400236</v>
      </c>
      <c r="H186" s="142" t="n">
        <f aca="false">H84-H181</f>
        <v>75.7594860128823</v>
      </c>
      <c r="I186" s="142" t="n">
        <f aca="false">I84-I181</f>
        <v>90.8328592825263</v>
      </c>
      <c r="J186" s="142" t="n">
        <f aca="false">J84-J181</f>
        <v>100.241189022749</v>
      </c>
      <c r="K186" s="142" t="n">
        <f aca="false">K84-K181</f>
        <v>93.065932880548</v>
      </c>
      <c r="L186" s="142" t="n">
        <f aca="false">L84-L181</f>
        <v>85.6076694439163</v>
      </c>
      <c r="M186" s="142" t="n">
        <f aca="false">M84-M181</f>
        <v>81.8346631428531</v>
      </c>
      <c r="N186" s="142" t="n">
        <f aca="false">N84-N181</f>
        <v>77.2793797336826</v>
      </c>
      <c r="O186" s="142" t="n">
        <f aca="false">O84-O181</f>
        <v>71.7319176533443</v>
      </c>
      <c r="P186" s="142" t="n">
        <f aca="false">P84-P181</f>
        <v>64.6265031983952</v>
      </c>
      <c r="Q186" s="142" t="n">
        <f aca="false">Q84-Q181</f>
        <v>55.9551413897486</v>
      </c>
      <c r="R186" s="142" t="n">
        <f aca="false">R84-R181</f>
        <v>51.6399288410036</v>
      </c>
      <c r="S186" s="142" t="n">
        <f aca="false">S84-S181</f>
        <v>50.5630619638788</v>
      </c>
      <c r="T186" s="142" t="n">
        <f aca="false">T84-T181</f>
        <v>48.8426949795906</v>
      </c>
      <c r="U186" s="142" t="n">
        <f aca="false">U84-U181</f>
        <v>47.0263748969573</v>
      </c>
      <c r="V186" s="142" t="n">
        <f aca="false">V84-V181</f>
        <v>45.1071263373325</v>
      </c>
      <c r="W186" s="142" t="n">
        <f aca="false">W84-W181</f>
        <v>42.93448693276</v>
      </c>
      <c r="X186" s="142" t="n">
        <f aca="false">X84-X181</f>
        <v>40.5014880249887</v>
      </c>
      <c r="Y186" s="142" t="n">
        <f aca="false">Y84-Y181</f>
        <v>37.8010970148956</v>
      </c>
      <c r="Z186" s="142" t="n">
        <f aca="false">Z84-Z181</f>
        <v>35.9842477240553</v>
      </c>
      <c r="AA186" s="142" t="n">
        <f aca="false">AA84-AA181</f>
        <v>34.4921288925287</v>
      </c>
      <c r="AB186" s="142" t="n">
        <f aca="false">AB84-AB181</f>
        <v>32.9113769682496</v>
      </c>
      <c r="AC186" s="142" t="n">
        <f aca="false">AC84-AC181</f>
        <v>31.2348577088343</v>
      </c>
      <c r="AD186" s="142" t="n">
        <f aca="false">AD84-AD181</f>
        <v>29.4572979055406</v>
      </c>
      <c r="AE186" s="142" t="n">
        <f aca="false">AE84-AE181</f>
        <v>27.5728258169906</v>
      </c>
      <c r="AF186" s="142" t="n">
        <f aca="false">AF84-AF181</f>
        <v>25.5753119455314</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4.86035289641877</v>
      </c>
      <c r="D187" s="142" t="n">
        <f aca="false">D181</f>
        <v>14.2471481059501</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3.86255216886864</v>
      </c>
      <c r="D189" s="142" t="n">
        <f aca="false">D68-C68</f>
        <v>6.23929264748464</v>
      </c>
      <c r="E189" s="142" t="n">
        <f aca="false">E68-D68</f>
        <v>8.26033125303664</v>
      </c>
      <c r="F189" s="142" t="n">
        <f aca="false">F68-E68</f>
        <v>13.8385983026268</v>
      </c>
      <c r="G189" s="142" t="n">
        <f aca="false">G68-F68</f>
        <v>13.8375328301109</v>
      </c>
      <c r="H189" s="142" t="n">
        <f aca="false">H68-G68</f>
        <v>9.94667757754663</v>
      </c>
      <c r="I189" s="142" t="n">
        <f aca="false">I68-H68</f>
        <v>7.56783491638051</v>
      </c>
      <c r="J189" s="142" t="n">
        <f aca="false">J68-I68</f>
        <v>5.54461992123436</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1.03359586865686</v>
      </c>
      <c r="AC189" s="142" t="n">
        <f aca="false">AC68-AB68</f>
        <v>0.997276246852678</v>
      </c>
      <c r="AD189" s="142" t="n">
        <f aca="false">AD68-AC68</f>
        <v>0.960875943603995</v>
      </c>
      <c r="AE189" s="142" t="n">
        <f aca="false">AE68-AD68</f>
        <v>0.92439211085582</v>
      </c>
      <c r="AF189" s="142" t="n">
        <f aca="false">AF68-AE68</f>
        <v>0.887821800016823</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-18.6821685832014</v>
      </c>
      <c r="D192" s="142" t="n">
        <f aca="false">D149-SUM($C$191:D191)</f>
        <v>-37.7293534113671</v>
      </c>
      <c r="E192" s="142" t="n">
        <f aca="false">E149-SUM($C$191:E191)</f>
        <v>-57.2152071343843</v>
      </c>
      <c r="F192" s="142" t="n">
        <f aca="false">F149-SUM($C$191:F191)</f>
        <v>-77.0438249907543</v>
      </c>
      <c r="G192" s="142" t="n">
        <f aca="false">G149-SUM($C$191:G191)</f>
        <v>-97.1063258565787</v>
      </c>
      <c r="H192" s="142" t="n">
        <f aca="false">H149-SUM($C$191:H191)</f>
        <v>-117.436098502185</v>
      </c>
      <c r="I192" s="142" t="n">
        <f aca="false">I149-SUM($C$191:I191)</f>
        <v>-138.05332056304</v>
      </c>
      <c r="J192" s="142" t="n">
        <f aca="false">J149-SUM($C$191:J191)</f>
        <v>-158.972785947785</v>
      </c>
      <c r="K192" s="142" t="n">
        <f aca="false">K149-SUM($C$191:K191)</f>
        <v>-180.271253152325</v>
      </c>
      <c r="L192" s="142" t="n">
        <f aca="false">L149-SUM($C$191:L191)</f>
        <v>-201.937450647476</v>
      </c>
      <c r="M192" s="142" t="n">
        <f aca="false">M149-SUM($C$191:M191)</f>
        <v>-203.233940873342</v>
      </c>
      <c r="N192" s="142" t="n">
        <f aca="false">N149-SUM($C$191:N191)</f>
        <v>-204.226936017728</v>
      </c>
      <c r="O192" s="142" t="n">
        <f aca="false">O149-SUM($C$191:O191)</f>
        <v>-204.979923014154</v>
      </c>
      <c r="P192" s="142" t="n">
        <f aca="false">P149-SUM($C$191:P191)</f>
        <v>-205.472359896614</v>
      </c>
      <c r="Q192" s="142" t="n">
        <f aca="false">Q149-SUM($C$191:Q191)</f>
        <v>-205.683918372178</v>
      </c>
      <c r="R192" s="142" t="n">
        <f aca="false">R149-SUM($C$191:R191)</f>
        <v>-205.611270472769</v>
      </c>
      <c r="S192" s="142" t="n">
        <f aca="false">S149-SUM($C$191:S191)</f>
        <v>-205.248777190496</v>
      </c>
      <c r="T192" s="142" t="n">
        <f aca="false">T149-SUM($C$191:T191)</f>
        <v>-204.581392378173</v>
      </c>
      <c r="U192" s="142" t="n">
        <f aca="false">U149-SUM($C$191:U191)</f>
        <v>-203.598538495689</v>
      </c>
      <c r="V192" s="142" t="n">
        <f aca="false">V149-SUM($C$191:V191)</f>
        <v>-202.289154380201</v>
      </c>
      <c r="W192" s="142" t="n">
        <f aca="false">W149-SUM($C$191:W191)</f>
        <v>-200.641554344911</v>
      </c>
      <c r="X192" s="142" t="n">
        <f aca="false">X149-SUM($C$191:X191)</f>
        <v>-198.643562756769</v>
      </c>
      <c r="Y192" s="142" t="n">
        <f aca="false">Y149-SUM($C$191:Y191)</f>
        <v>-196.282503757524</v>
      </c>
      <c r="Z192" s="142" t="n">
        <f aca="false">Z149-SUM($C$191:Z191)</f>
        <v>-193.54812168383</v>
      </c>
      <c r="AA192" s="142" t="n">
        <f aca="false">AA149-SUM($C$191:AA191)</f>
        <v>-190.428196497533</v>
      </c>
      <c r="AB192" s="142" t="n">
        <f aca="false">AB149-SUM($C$191:AB191)</f>
        <v>-186.908926777007</v>
      </c>
      <c r="AC192" s="142" t="n">
        <f aca="false">AC149-SUM($C$191:AC191)</f>
        <v>-182.975953877099</v>
      </c>
      <c r="AD192" s="142" t="n">
        <f aca="false">AD149-SUM($C$191:AD191)</f>
        <v>-178.61434927466</v>
      </c>
      <c r="AE192" s="142" t="n">
        <f aca="false">AE149-SUM($C$191:AE191)</f>
        <v>-173.808600370199</v>
      </c>
      <c r="AF192" s="142" t="n">
        <f aca="false">AF149-SUM($C$191:AF191)</f>
        <v>-168.542595764141</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11.440447555496</v>
      </c>
      <c r="D216" s="88" t="n">
        <f aca="false">SUM($C$48:D48)+SUM($C$49:D49)</f>
        <v>29.874132283392</v>
      </c>
      <c r="E216" s="88" t="n">
        <f aca="false">SUM($C$48:E48)+SUM($C$49:E49)</f>
        <v>54.254971891288</v>
      </c>
      <c r="F216" s="88" t="n">
        <f aca="false">SUM($C$48:F48)+SUM($C$49:F49)</f>
        <v>104.173587785454</v>
      </c>
      <c r="G216" s="88" t="n">
        <f aca="false">SUM($C$48:G48)+SUM($C$49:G49)</f>
        <v>154.092203679621</v>
      </c>
      <c r="H216" s="88" t="n">
        <f aca="false">SUM($C$48:H48)+SUM($C$49:H49)</f>
        <v>192.570372018291</v>
      </c>
      <c r="I216" s="88" t="n">
        <f aca="false">SUM($C$48:I48)+SUM($C$49:I49)</f>
        <v>224.055303184562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0.0437990462328718</v>
      </c>
      <c r="E217" s="87" t="n">
        <f aca="false">IF(E216*01_Supuestos!$I$107&gt;0,E218/(E216*01_Supuestos!$I$107),0)</f>
        <v>0.0548079801876766</v>
      </c>
      <c r="F217" s="87" t="n">
        <f aca="false">IF(F216*01_Supuestos!$I$107&gt;0,F218/(F216*01_Supuestos!$I$107),0)</f>
        <v>0.0589502882071654</v>
      </c>
      <c r="G217" s="87" t="n">
        <f aca="false">IF(G216*01_Supuestos!$I$107&gt;0,G218/(G216*01_Supuestos!$I$107),0)</f>
        <v>0.0695294278191715</v>
      </c>
      <c r="H217" s="87" t="n">
        <f aca="false">IF(H216*01_Supuestos!$I$107&gt;0,H218/(H216*01_Supuestos!$I$107),0)</f>
        <v>0.0842948479315586</v>
      </c>
      <c r="I217" s="87" t="n">
        <f aca="false">IF(I216*01_Supuestos!$I$107&gt;0,I218/(I216*01_Supuestos!$I$107),0)</f>
        <v>0.1000235021631</v>
      </c>
      <c r="J217" s="87" t="n">
        <f aca="false">IF(J216*01_Supuestos!$I$107&gt;0,J218/(J216*01_Supuestos!$I$107),0)</f>
        <v>0.11624505559569</v>
      </c>
      <c r="K217" s="87" t="n">
        <f aca="false">IF(K216*01_Supuestos!$I$107&gt;0,K218/(K216*01_Supuestos!$I$107),0)</f>
        <v>0.140994568969348</v>
      </c>
      <c r="L217" s="87" t="n">
        <f aca="false">IF(L216*01_Supuestos!$I$107&gt;0,L218/(L216*01_Supuestos!$I$107),0)</f>
        <v>0.164147911606539</v>
      </c>
      <c r="M217" s="87" t="n">
        <f aca="false">IF(M216*01_Supuestos!$I$107&gt;0,M218/(M216*01_Supuestos!$I$107),0)</f>
        <v>0.184329961641679</v>
      </c>
      <c r="N217" s="87" t="n">
        <f aca="false">IF(N216*01_Supuestos!$I$107&gt;0,N218/(N216*01_Supuestos!$I$107),0)</f>
        <v>0.20082884618213</v>
      </c>
      <c r="O217" s="87" t="n">
        <f aca="false">IF(O216*01_Supuestos!$I$107&gt;0,O218/(O216*01_Supuestos!$I$107),0)</f>
        <v>0.213113753147469</v>
      </c>
      <c r="P217" s="87" t="n">
        <f aca="false">IF(P216*01_Supuestos!$I$107&gt;0,P218/(P216*01_Supuestos!$I$107),0)</f>
        <v>0.218157067927169</v>
      </c>
      <c r="Q217" s="87" t="n">
        <f aca="false">IF(Q216*01_Supuestos!$I$107&gt;0,Q218/(Q216*01_Supuestos!$I$107),0)</f>
        <v>0.216425822634453</v>
      </c>
      <c r="R217" s="87" t="n">
        <f aca="false">IF(R216*01_Supuestos!$I$107&gt;0,R218/(R216*01_Supuestos!$I$107),0)</f>
        <v>0.209834992802257</v>
      </c>
      <c r="S217" s="87" t="n">
        <f aca="false">IF(S216*01_Supuestos!$I$107&gt;0,S218/(S216*01_Supuestos!$I$107),0)</f>
        <v>0.199601488199926</v>
      </c>
      <c r="T217" s="87" t="n">
        <f aca="false">IF(T216*01_Supuestos!$I$107&gt;0,T218/(T216*01_Supuestos!$I$107),0)</f>
        <v>0.186728586433736</v>
      </c>
      <c r="U217" s="87" t="n">
        <f aca="false">IF(U216*01_Supuestos!$I$107&gt;0,U218/(U216*01_Supuestos!$I$107),0)</f>
        <v>0.174685896913841</v>
      </c>
      <c r="V217" s="87" t="n">
        <f aca="false">IF(V216*01_Supuestos!$I$107&gt;0,V218/(V216*01_Supuestos!$I$107),0)</f>
        <v>0.163419876749411</v>
      </c>
      <c r="W217" s="87" t="n">
        <f aca="false">IF(W216*01_Supuestos!$I$107&gt;0,W218/(W216*01_Supuestos!$I$107),0)</f>
        <v>0.15288043619208</v>
      </c>
      <c r="X217" s="87" t="n">
        <f aca="false">IF(X216*01_Supuestos!$I$107&gt;0,X218/(X216*01_Supuestos!$I$107),0)</f>
        <v>0.143020715932371</v>
      </c>
      <c r="Y217" s="87" t="n">
        <f aca="false">IF(Y216*01_Supuestos!$I$107&gt;0,Y218/(Y216*01_Supuestos!$I$107),0)</f>
        <v>0.133796878758956</v>
      </c>
      <c r="Z217" s="87" t="n">
        <f aca="false">IF(Z216*01_Supuestos!$I$107&gt;0,Z218/(Z216*01_Supuestos!$I$107),0)</f>
        <v>0.125167914654432</v>
      </c>
      <c r="AA217" s="87" t="n">
        <f aca="false">IF(AA216*01_Supuestos!$I$107&gt;0,AA218/(AA216*01_Supuestos!$I$107),0)</f>
        <v>0.117095458461063</v>
      </c>
      <c r="AB217" s="87" t="n">
        <f aca="false">IF(AB216*01_Supuestos!$I$107&gt;0,AB218/(AB216*01_Supuestos!$I$107),0)</f>
        <v>0.109543619305804</v>
      </c>
      <c r="AC217" s="87" t="n">
        <f aca="false">IF(AC216*01_Supuestos!$I$107&gt;0,AC218/(AC216*01_Supuestos!$I$107),0)</f>
        <v>0.102478821026224</v>
      </c>
      <c r="AD217" s="87" t="n">
        <f aca="false">IF(AD216*01_Supuestos!$I$107&gt;0,AD218/(AD216*01_Supuestos!$I$107),0)</f>
        <v>0.0958696528878373</v>
      </c>
      <c r="AE217" s="87" t="n">
        <f aca="false">IF(AE216*01_Supuestos!$I$107&gt;0,AE218/(AE216*01_Supuestos!$I$107),0)</f>
        <v>0.0896867299291284</v>
      </c>
      <c r="AF217" s="87" t="n">
        <f aca="false">IF(AF216*01_Supuestos!$I$107&gt;0,AF218/(AF216*01_Supuestos!$I$107),0)</f>
        <v>0.0839025623133439</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0.0184457238860399</v>
      </c>
      <c r="D218" s="88" t="n">
        <f aca="false">(1-01_Supuestos!$C$157)*SUMPRODUCT(($C$48:D48+$C$49:D49)*(EXP(-(((D$39-$C$39:D$39+1)-01_Supuestos!$C$156)+ABS((D$39-$C$39:D$39+1)-01_Supuestos!$C$156))/2/01_Supuestos!$C$155)-EXP(-(D$39-$C$39:D$39+1)/01_Supuestos!$C$155)))*01_Supuestos!$I$107</f>
        <v>0.0654229250523607</v>
      </c>
      <c r="E218" s="88" t="n">
        <f aca="false">(1-01_Supuestos!$C$157)*SUMPRODUCT(($C$48:E48+$C$49:E49)*(EXP(-(((E$39-$C$39:E$39+1)-01_Supuestos!$C$156)+ABS((E$39-$C$39:E$39+1)-01_Supuestos!$C$156))/2/01_Supuestos!$C$155)-EXP(-(E$39-$C$39:E$39+1)/01_Supuestos!$C$155)))*01_Supuestos!$I$107</f>
        <v>0.148680271225033</v>
      </c>
      <c r="F218" s="88" t="n">
        <f aca="false">(1-01_Supuestos!$C$157)*SUMPRODUCT(($C$48:F48+$C$49:F49)*(EXP(-(((F$39-$C$39:F$39+1)-01_Supuestos!$C$156)+ABS((F$39-$C$39:F$39+1)-01_Supuestos!$C$156))/2/01_Supuestos!$C$155)-EXP(-(F$39-$C$39:F$39+1)/01_Supuestos!$C$155)))*01_Supuestos!$I$107</f>
        <v>0.307053151176349</v>
      </c>
      <c r="G218" s="88" t="n">
        <f aca="false">(1-01_Supuestos!$C$157)*SUMPRODUCT(($C$48:G48+$C$49:G49)*(EXP(-(((G$39-$C$39:G$39+1)-01_Supuestos!$C$156)+ABS((G$39-$C$39:G$39+1)-01_Supuestos!$C$156))/2/01_Supuestos!$C$155)-EXP(-(G$39-$C$39:G$39+1)/01_Supuestos!$C$155)))*01_Supuestos!$I$107</f>
        <v>0.535697137661964</v>
      </c>
      <c r="H218" s="88" t="n">
        <f aca="false">(1-01_Supuestos!$C$157)*SUMPRODUCT(($C$48:H48+$C$49:H49)*(EXP(-(((H$39-$C$39:H$39+1)-01_Supuestos!$C$156)+ABS((H$39-$C$39:H$39+1)-01_Supuestos!$C$156))/2/01_Supuestos!$C$155)-EXP(-(H$39-$C$39:H$39+1)/01_Supuestos!$C$155)))*01_Supuestos!$I$107</f>
        <v>0.811634511270276</v>
      </c>
      <c r="I218" s="88" t="n">
        <f aca="false">(1-01_Supuestos!$C$157)*SUMPRODUCT(($C$48:I48+$C$49:I49)*(EXP(-(((I$39-$C$39:I$39+1)-01_Supuestos!$C$156)+ABS((I$39-$C$39:I$39+1)-01_Supuestos!$C$156))/2/01_Supuestos!$C$155)-EXP(-(I$39-$C$39:I$39+1)/01_Supuestos!$C$155)))*01_Supuestos!$I$107</f>
        <v>1.12053980513675</v>
      </c>
      <c r="J218" s="88" t="n">
        <f aca="false">(1-01_Supuestos!$C$157)*SUMPRODUCT(($C$48:J48+$C$49:J49)*(EXP(-(((J$39-$C$39:J$39+1)-01_Supuestos!$C$156)+ABS((J$39-$C$39:J$39+1)-01_Supuestos!$C$156))/2/01_Supuestos!$C$155)-EXP(-(J$39-$C$39:J$39+1)/01_Supuestos!$C$155)))*01_Supuestos!$I$107</f>
        <v>1.45069806996932</v>
      </c>
      <c r="K218" s="88" t="n">
        <f aca="false">(1-01_Supuestos!$C$157)*SUMPRODUCT(($C$48:K48+$C$49:K49)*(EXP(-(((K$39-$C$39:K$39+1)-01_Supuestos!$C$156)+ABS((K$39-$C$39:K$39+1)-01_Supuestos!$C$156))/2/01_Supuestos!$C$155)-EXP(-(K$39-$C$39:K$39+1)/01_Supuestos!$C$155)))*01_Supuestos!$I$107</f>
        <v>1.75956343288611</v>
      </c>
      <c r="L218" s="88" t="n">
        <f aca="false">(1-01_Supuestos!$C$157)*SUMPRODUCT(($C$48:L48+$C$49:L49)*(EXP(-(((L$39-$C$39:L$39+1)-01_Supuestos!$C$156)+ABS((L$39-$C$39:L$39+1)-01_Supuestos!$C$156))/2/01_Supuestos!$C$155)-EXP(-(L$39-$C$39:L$39+1)/01_Supuestos!$C$155)))*01_Supuestos!$I$107</f>
        <v>2.0485091373291</v>
      </c>
      <c r="M218" s="88" t="n">
        <f aca="false">(1-01_Supuestos!$C$157)*SUMPRODUCT(($C$48:M48+$C$49:M49)*(EXP(-(((M$39-$C$39:M$39+1)-01_Supuestos!$C$156)+ABS((M$39-$C$39:M$39+1)-01_Supuestos!$C$156))/2/01_Supuestos!$C$155)-EXP(-(M$39-$C$39:M$39+1)/01_Supuestos!$C$155)))*01_Supuestos!$I$107</f>
        <v>2.30037413824435</v>
      </c>
      <c r="N218" s="88" t="n">
        <f aca="false">(1-01_Supuestos!$C$157)*SUMPRODUCT(($C$48:N48+$C$49:N49)*(EXP(-(((N$39-$C$39:N$39+1)-01_Supuestos!$C$156)+ABS((N$39-$C$39:N$39+1)-01_Supuestos!$C$156))/2/01_Supuestos!$C$155)-EXP(-(N$39-$C$39:N$39+1)/01_Supuestos!$C$155)))*01_Supuestos!$I$107</f>
        <v>2.50627450825859</v>
      </c>
      <c r="O218" s="88" t="n">
        <f aca="false">(1-01_Supuestos!$C$157)*SUMPRODUCT(($C$48:O48+$C$49:O49)*(EXP(-(((O$39-$C$39:O$39+1)-01_Supuestos!$C$156)+ABS((O$39-$C$39:O$39+1)-01_Supuestos!$C$156))/2/01_Supuestos!$C$155)-EXP(-(O$39-$C$39:O$39+1)/01_Supuestos!$C$155)))*01_Supuestos!$I$107</f>
        <v>2.65958589628317</v>
      </c>
      <c r="P218" s="88" t="n">
        <f aca="false">(1-01_Supuestos!$C$157)*SUMPRODUCT(($C$48:P48+$C$49:P49)*(EXP(-(((P$39-$C$39:P$39+1)-01_Supuestos!$C$156)+ABS((P$39-$C$39:P$39+1)-01_Supuestos!$C$156))/2/01_Supuestos!$C$155)-EXP(-(P$39-$C$39:P$39+1)/01_Supuestos!$C$155)))*01_Supuestos!$I$107</f>
        <v>2.72252471961347</v>
      </c>
      <c r="Q218" s="88" t="n">
        <f aca="false">(1-01_Supuestos!$C$157)*SUMPRODUCT(($C$48:Q48+$C$49:Q49)*(EXP(-(((Q$39-$C$39:Q$39+1)-01_Supuestos!$C$156)+ABS((Q$39-$C$39:Q$39+1)-01_Supuestos!$C$156))/2/01_Supuestos!$C$155)-EXP(-(Q$39-$C$39:Q$39+1)/01_Supuestos!$C$155)))*01_Supuestos!$I$107</f>
        <v>2.70091937741706</v>
      </c>
      <c r="R218" s="88" t="n">
        <f aca="false">(1-01_Supuestos!$C$157)*SUMPRODUCT(($C$48:R48+$C$49:R49)*(EXP(-(((R$39-$C$39:R$39+1)-01_Supuestos!$C$156)+ABS((R$39-$C$39:R$39+1)-01_Supuestos!$C$156))/2/01_Supuestos!$C$155)-EXP(-(R$39-$C$39:R$39+1)/01_Supuestos!$C$155)))*01_Supuestos!$I$107</f>
        <v>2.61866810171276</v>
      </c>
      <c r="S218" s="88" t="n">
        <f aca="false">(1-01_Supuestos!$C$157)*SUMPRODUCT(($C$48:S48+$C$49:S49)*(EXP(-(((S$39-$C$39:S$39+1)-01_Supuestos!$C$156)+ABS((S$39-$C$39:S$39+1)-01_Supuestos!$C$156))/2/01_Supuestos!$C$155)-EXP(-(S$39-$C$39:S$39+1)/01_Supuestos!$C$155)))*01_Supuestos!$I$107</f>
        <v>2.49095750533902</v>
      </c>
      <c r="T218" s="88" t="n">
        <f aca="false">(1-01_Supuestos!$C$157)*SUMPRODUCT(($C$48:T48+$C$49:T49)*(EXP(-(((T$39-$C$39:T$39+1)-01_Supuestos!$C$156)+ABS((T$39-$C$39:T$39+1)-01_Supuestos!$C$156))/2/01_Supuestos!$C$155)-EXP(-(T$39-$C$39:T$39+1)/01_Supuestos!$C$155)))*01_Supuestos!$I$107</f>
        <v>2.33030814566159</v>
      </c>
      <c r="U218" s="88" t="n">
        <f aca="false">(1-01_Supuestos!$C$157)*SUMPRODUCT(($C$48:U48+$C$49:U49)*(EXP(-(((U$39-$C$39:U$39+1)-01_Supuestos!$C$156)+ABS((U$39-$C$39:U$39+1)-01_Supuestos!$C$156))/2/01_Supuestos!$C$155)-EXP(-(U$39-$C$39:U$39+1)/01_Supuestos!$C$155)))*01_Supuestos!$I$107</f>
        <v>2.18001954754249</v>
      </c>
      <c r="V218" s="88" t="n">
        <f aca="false">(1-01_Supuestos!$C$157)*SUMPRODUCT(($C$48:V48+$C$49:V49)*(EXP(-(((V$39-$C$39:V$39+1)-01_Supuestos!$C$156)+ABS((V$39-$C$39:V$39+1)-01_Supuestos!$C$156))/2/01_Supuestos!$C$155)-EXP(-(V$39-$C$39:V$39+1)/01_Supuestos!$C$155)))*01_Supuestos!$I$107</f>
        <v>2.03942351423147</v>
      </c>
      <c r="W218" s="88" t="n">
        <f aca="false">(1-01_Supuestos!$C$157)*SUMPRODUCT(($C$48:W48+$C$49:W49)*(EXP(-(((W$39-$C$39:W$39+1)-01_Supuestos!$C$156)+ABS((W$39-$C$39:W$39+1)-01_Supuestos!$C$156))/2/01_Supuestos!$C$155)-EXP(-(W$39-$C$39:W$39+1)/01_Supuestos!$C$155)))*01_Supuestos!$I$107</f>
        <v>1.90789494300127</v>
      </c>
      <c r="X218" s="88" t="n">
        <f aca="false">(1-01_Supuestos!$C$157)*SUMPRODUCT(($C$48:X48+$C$49:X49)*(EXP(-(((X$39-$C$39:X$39+1)-01_Supuestos!$C$156)+ABS((X$39-$C$39:X$39+1)-01_Supuestos!$C$156))/2/01_Supuestos!$C$155)-EXP(-(X$39-$C$39:X$39+1)/01_Supuestos!$C$155)))*01_Supuestos!$I$107</f>
        <v>1.78484904588418</v>
      </c>
      <c r="Y218" s="88" t="n">
        <f aca="false">(1-01_Supuestos!$C$157)*SUMPRODUCT(($C$48:Y48+$C$49:Y49)*(EXP(-(((Y$39-$C$39:Y$39+1)-01_Supuestos!$C$156)+ABS((Y$39-$C$39:Y$39+1)-01_Supuestos!$C$156))/2/01_Supuestos!$C$155)-EXP(-(Y$39-$C$39:Y$39+1)/01_Supuestos!$C$155)))*01_Supuestos!$I$107</f>
        <v>1.66973874965167</v>
      </c>
      <c r="Z218" s="88" t="n">
        <f aca="false">(1-01_Supuestos!$C$157)*SUMPRODUCT(($C$48:Z48+$C$49:Z49)*(EXP(-(((Z$39-$C$39:Z$39+1)-01_Supuestos!$C$156)+ABS((Z$39-$C$39:Z$39+1)-01_Supuestos!$C$156))/2/01_Supuestos!$C$155)-EXP(-(Z$39-$C$39:Z$39+1)/01_Supuestos!$C$155)))*01_Supuestos!$I$107</f>
        <v>1.5620522634771</v>
      </c>
      <c r="AA218" s="88" t="n">
        <f aca="false">(1-01_Supuestos!$C$157)*SUMPRODUCT(($C$48:AA48+$C$49:AA49)*(EXP(-(((AA$39-$C$39:AA$39+1)-01_Supuestos!$C$156)+ABS((AA$39-$C$39:AA$39+1)-01_Supuestos!$C$156))/2/01_Supuestos!$C$155)-EXP(-(AA$39-$C$39:AA$39+1)/01_Supuestos!$C$155)))*01_Supuestos!$I$107</f>
        <v>1.46131080346727</v>
      </c>
      <c r="AB218" s="88" t="n">
        <f aca="false">(1-01_Supuestos!$C$157)*SUMPRODUCT(($C$48:AB48+$C$49:AB49)*(EXP(-(((AB$39-$C$39:AB$39+1)-01_Supuestos!$C$156)+ABS((AB$39-$C$39:AB$39+1)-01_Supuestos!$C$156))/2/01_Supuestos!$C$155)-EXP(-(AB$39-$C$39:AB$39+1)/01_Supuestos!$C$155)))*01_Supuestos!$I$107</f>
        <v>1.3670664639458</v>
      </c>
      <c r="AC218" s="88" t="n">
        <f aca="false">(1-01_Supuestos!$C$157)*SUMPRODUCT(($C$48:AC48+$C$49:AC49)*(EXP(-(((AC$39-$C$39:AC$39+1)-01_Supuestos!$C$156)+ABS((AC$39-$C$39:AC$39+1)-01_Supuestos!$C$156))/2/01_Supuestos!$C$155)-EXP(-(AC$39-$C$39:AC$39+1)/01_Supuestos!$C$155)))*01_Supuestos!$I$107</f>
        <v>1.27890022602377</v>
      </c>
      <c r="AD218" s="88" t="n">
        <f aca="false">(1-01_Supuestos!$C$157)*SUMPRODUCT(($C$48:AD48+$C$49:AD49)*(EXP(-(((AD$39-$C$39:AD$39+1)-01_Supuestos!$C$156)+ABS((AD$39-$C$39:AD$39+1)-01_Supuestos!$C$156))/2/01_Supuestos!$C$155)-EXP(-(AD$39-$C$39:AD$39+1)/01_Supuestos!$C$155)))*01_Supuestos!$I$107</f>
        <v>1.19642009460375</v>
      </c>
      <c r="AE218" s="88" t="n">
        <f aca="false">(1-01_Supuestos!$C$157)*SUMPRODUCT(($C$48:AE48+$C$49:AE49)*(EXP(-(((AE$39-$C$39:AE$39+1)-01_Supuestos!$C$156)+ABS((AE$39-$C$39:AE$39+1)-01_Supuestos!$C$156))/2/01_Supuestos!$C$155)-EXP(-(AE$39-$C$39:AE$39+1)/01_Supuestos!$C$155)))*01_Supuestos!$I$107</f>
        <v>1.119259355534</v>
      </c>
      <c r="AF218" s="88" t="n">
        <f aca="false">(1-01_Supuestos!$C$157)*SUMPRODUCT(($C$48:AF48+$C$49:AF49)*(EXP(-(((AF$39-$C$39:AF$39+1)-01_Supuestos!$C$156)+ABS((AF$39-$C$39:AF$39+1)-01_Supuestos!$C$156))/2/01_Supuestos!$C$155)-EXP(-(AF$39-$C$39:AF$39+1)/01_Supuestos!$C$155)))*01_Supuestos!$I$107</f>
        <v>1.04707494516404</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0.0184457238860399</v>
      </c>
      <c r="D220" s="88" t="n">
        <f aca="false">D218</f>
        <v>0.0654229250523607</v>
      </c>
      <c r="E220" s="88" t="n">
        <f aca="false">E218</f>
        <v>0.148680271225033</v>
      </c>
      <c r="F220" s="88" t="n">
        <f aca="false">F218</f>
        <v>0.307053151176349</v>
      </c>
      <c r="G220" s="88" t="n">
        <f aca="false">G218</f>
        <v>0.535697137661964</v>
      </c>
      <c r="H220" s="88" t="n">
        <f aca="false">H218</f>
        <v>0.811634511270276</v>
      </c>
      <c r="I220" s="88" t="n">
        <f aca="false">I218</f>
        <v>1.12053980513675</v>
      </c>
      <c r="J220" s="88" t="n">
        <f aca="false">J218</f>
        <v>1.45069806996932</v>
      </c>
      <c r="K220" s="88" t="n">
        <f aca="false">K218</f>
        <v>1.75956343288611</v>
      </c>
      <c r="L220" s="88" t="n">
        <f aca="false">L218</f>
        <v>2.0485091373291</v>
      </c>
      <c r="M220" s="88" t="n">
        <f aca="false">M218</f>
        <v>2.30037413824435</v>
      </c>
      <c r="N220" s="88" t="n">
        <f aca="false">N218</f>
        <v>2.50627450825859</v>
      </c>
      <c r="O220" s="88" t="n">
        <f aca="false">O218</f>
        <v>2.65958589628317</v>
      </c>
      <c r="P220" s="88" t="n">
        <f aca="false">P218</f>
        <v>2.72252471961347</v>
      </c>
      <c r="Q220" s="88" t="n">
        <f aca="false">Q218</f>
        <v>2.70091937741706</v>
      </c>
      <c r="R220" s="88" t="n">
        <f aca="false">R218</f>
        <v>2.61866810171276</v>
      </c>
      <c r="S220" s="88" t="n">
        <f aca="false">S218</f>
        <v>2.49095750533902</v>
      </c>
      <c r="T220" s="88" t="n">
        <f aca="false">T218</f>
        <v>2.33030814566159</v>
      </c>
      <c r="U220" s="88" t="n">
        <f aca="false">U218</f>
        <v>2.18001954754249</v>
      </c>
      <c r="V220" s="88" t="n">
        <f aca="false">V218</f>
        <v>2.03942351423147</v>
      </c>
      <c r="W220" s="88" t="n">
        <f aca="false">W218</f>
        <v>1.90789494300127</v>
      </c>
      <c r="X220" s="88" t="n">
        <f aca="false">X218</f>
        <v>1.78484904588418</v>
      </c>
      <c r="Y220" s="88" t="n">
        <f aca="false">Y218</f>
        <v>1.66973874965167</v>
      </c>
      <c r="Z220" s="88" t="n">
        <f aca="false">Z218</f>
        <v>1.5620522634771</v>
      </c>
      <c r="AA220" s="88" t="n">
        <f aca="false">AA218</f>
        <v>1.46131080346727</v>
      </c>
      <c r="AB220" s="88" t="n">
        <f aca="false">AB218</f>
        <v>1.3670664639458</v>
      </c>
      <c r="AC220" s="88" t="n">
        <f aca="false">AC218</f>
        <v>1.27890022602377</v>
      </c>
      <c r="AD220" s="88" t="n">
        <f aca="false">AD218</f>
        <v>1.19642009460375</v>
      </c>
      <c r="AE220" s="88" t="n">
        <f aca="false">AE218</f>
        <v>1.119259355534</v>
      </c>
      <c r="AF220" s="88" t="n">
        <f aca="false">AF218</f>
        <v>1.04707494516404</v>
      </c>
    </row>
    <row r="221" customFormat="false" ht="14.25" hidden="false" customHeight="true" outlineLevel="0" collapsed="false">
      <c r="B221" s="1" t="s">
        <v>1346</v>
      </c>
      <c r="C221" s="116" t="n">
        <f aca="false">C112</f>
        <v>0.0236534055447657</v>
      </c>
      <c r="D221" s="116" t="n">
        <f aca="false">D112</f>
        <v>0.0625411439638284</v>
      </c>
      <c r="E221" s="116" t="n">
        <f aca="false">E112</f>
        <v>0.115361828623874</v>
      </c>
      <c r="F221" s="116" t="n">
        <f aca="false">F112</f>
        <v>0.236282709168833</v>
      </c>
      <c r="G221" s="116" t="n">
        <f aca="false">G112</f>
        <v>0.356586816881412</v>
      </c>
      <c r="H221" s="116" t="n">
        <f aca="false">H112</f>
        <v>0.456024347828507</v>
      </c>
      <c r="I221" s="116" t="n">
        <f aca="false">I112</f>
        <v>0.543012705102579</v>
      </c>
      <c r="J221" s="116" t="n">
        <f aca="false">J112</f>
        <v>0.619238223604973</v>
      </c>
      <c r="K221" s="116" t="n">
        <f aca="false">K112</f>
        <v>0.644409609188697</v>
      </c>
      <c r="L221" s="116" t="n">
        <f aca="false">L112</f>
        <v>0.669601343443599</v>
      </c>
      <c r="M221" s="116" t="n">
        <f aca="false">M112</f>
        <v>0.694326746147219</v>
      </c>
      <c r="N221" s="116" t="n">
        <f aca="false">N112</f>
        <v>0.718648868894921</v>
      </c>
      <c r="O221" s="116" t="n">
        <f aca="false">O112</f>
        <v>0.742367859338289</v>
      </c>
      <c r="P221" s="116" t="n">
        <f aca="false">P112</f>
        <v>0.764366384050808</v>
      </c>
      <c r="Q221" s="116" t="n">
        <f aca="false">Q112</f>
        <v>0.784646686290687</v>
      </c>
      <c r="R221" s="116" t="n">
        <f aca="false">R112</f>
        <v>0.803626458603216</v>
      </c>
      <c r="S221" s="116" t="n">
        <f aca="false">S112</f>
        <v>0.821235851584253</v>
      </c>
      <c r="T221" s="116" t="n">
        <f aca="false">T112</f>
        <v>0.837587452507899</v>
      </c>
      <c r="U221" s="116" t="n">
        <f aca="false">U112</f>
        <v>0.853798204544811</v>
      </c>
      <c r="V221" s="116" t="n">
        <f aca="false">V112</f>
        <v>0.869871973989587</v>
      </c>
      <c r="W221" s="116" t="n">
        <f aca="false">W112</f>
        <v>0.885541859851047</v>
      </c>
      <c r="X221" s="116" t="n">
        <f aca="false">X112</f>
        <v>0.900836648970655</v>
      </c>
      <c r="Y221" s="116" t="n">
        <f aca="false">Y112</f>
        <v>0.915785031059887</v>
      </c>
      <c r="Z221" s="116" t="n">
        <f aca="false">Z112</f>
        <v>0.930415771963958</v>
      </c>
      <c r="AA221" s="116" t="n">
        <f aca="false">AA112</f>
        <v>0.944664485033331</v>
      </c>
      <c r="AB221" s="116" t="n">
        <f aca="false">AB112</f>
        <v>0.958539503825191</v>
      </c>
      <c r="AC221" s="116" t="n">
        <f aca="false">AC112</f>
        <v>0.972066688374796</v>
      </c>
      <c r="AD221" s="116" t="n">
        <f aca="false">AD112</f>
        <v>0.985263549678895</v>
      </c>
      <c r="AE221" s="116" t="n">
        <f aca="false">AE112</f>
        <v>0.998150175118252</v>
      </c>
      <c r="AF221" s="116" t="n">
        <f aca="false">AF112</f>
        <v>1.01074770793705</v>
      </c>
    </row>
    <row r="222" customFormat="false" ht="14.25" hidden="false" customHeight="true" outlineLevel="0" collapsed="false">
      <c r="B222" s="1" t="s">
        <v>1218</v>
      </c>
      <c r="C222" s="87" t="n">
        <f aca="false">IF(C221&gt;0,C220/C221,0)</f>
        <v>0.779833747454677</v>
      </c>
      <c r="D222" s="87" t="n">
        <f aca="false">IF(D221&gt;0,D220/D221,0)</f>
        <v>1.04607816400351</v>
      </c>
      <c r="E222" s="87" t="n">
        <f aca="false">IF(E221&gt;0,E220/E221,0)</f>
        <v>1.28881687295189</v>
      </c>
      <c r="F222" s="87" t="n">
        <f aca="false">IF(F221&gt;0,F220/F221,0)</f>
        <v>1.29951595805069</v>
      </c>
      <c r="G222" s="87" t="n">
        <f aca="false">IF(G221&gt;0,G220/G221,0)</f>
        <v>1.50229092131613</v>
      </c>
      <c r="H222" s="87" t="n">
        <f aca="false">IF(H221&gt;0,H220/H221,0)</f>
        <v>1.77980521245216</v>
      </c>
      <c r="I222" s="87" t="n">
        <f aca="false">IF(I221&gt;0,I220/I221,0)</f>
        <v>2.06356093440774</v>
      </c>
      <c r="J222" s="87" t="n">
        <f aca="false">IF(J221&gt;0,J220/J221,0)</f>
        <v>2.34271402292304</v>
      </c>
      <c r="K222" s="87" t="n">
        <f aca="false">IF(K221&gt;0,K220/K221,0)</f>
        <v>2.7305046476594</v>
      </c>
      <c r="L222" s="87" t="n">
        <f aca="false">IF(L221&gt;0,L220/L221,0)</f>
        <v>3.05929663580737</v>
      </c>
      <c r="M222" s="87" t="n">
        <f aca="false">IF(M221&gt;0,M220/M221,0)</f>
        <v>3.3131002816887</v>
      </c>
      <c r="N222" s="87" t="n">
        <f aca="false">IF(N221&gt;0,N220/N221,0)</f>
        <v>3.48748132326784</v>
      </c>
      <c r="O222" s="87" t="n">
        <f aca="false">IF(O221&gt;0,O220/O221,0)</f>
        <v>3.58257144733313</v>
      </c>
      <c r="P222" s="87" t="n">
        <f aca="false">IF(P221&gt;0,P220/P221,0)</f>
        <v>3.56180593027297</v>
      </c>
      <c r="Q222" s="87" t="n">
        <f aca="false">IF(Q221&gt;0,Q220/Q221,0)</f>
        <v>3.44221090155276</v>
      </c>
      <c r="R222" s="87" t="n">
        <f aca="false">IF(R221&gt;0,R220/R221,0)</f>
        <v>3.25856381864812</v>
      </c>
      <c r="S222" s="87" t="n">
        <f aca="false">IF(S221&gt;0,S220/S221,0)</f>
        <v>3.03318163781293</v>
      </c>
      <c r="T222" s="87" t="n">
        <f aca="false">IF(T221&gt;0,T220/T221,0)</f>
        <v>2.78216697096427</v>
      </c>
      <c r="U222" s="87" t="n">
        <f aca="false">IF(U221&gt;0,U220/U221,0)</f>
        <v>2.55331943302075</v>
      </c>
      <c r="V222" s="87" t="n">
        <f aca="false">IF(V221&gt;0,V220/V221,0)</f>
        <v>2.34450996837827</v>
      </c>
      <c r="W222" s="87" t="n">
        <f aca="false">IF(W221&gt;0,W220/W221,0)</f>
        <v>2.15449436046104</v>
      </c>
      <c r="X222" s="87" t="n">
        <f aca="false">IF(X221&gt;0,X220/X221,0)</f>
        <v>1.98132374823299</v>
      </c>
      <c r="Y222" s="87" t="n">
        <f aca="false">IF(Y221&gt;0,Y220/Y221,0)</f>
        <v>1.82328679004416</v>
      </c>
      <c r="Z222" s="87" t="n">
        <f aca="false">IF(Z221&gt;0,Z220/Z221,0)</f>
        <v>1.67887552054267</v>
      </c>
      <c r="AA222" s="87" t="n">
        <f aca="false">IF(AA221&gt;0,AA220/AA221,0)</f>
        <v>1.54690985701205</v>
      </c>
      <c r="AB222" s="87" t="n">
        <f aca="false">IF(AB221&gt;0,AB220/AB221,0)</f>
        <v>1.42619731215075</v>
      </c>
      <c r="AC222" s="87" t="n">
        <f aca="false">IF(AC221&gt;0,AC220/AC221,0)</f>
        <v>1.31565070721842</v>
      </c>
      <c r="AD222" s="87" t="n">
        <f aca="false">IF(AD221&gt;0,AD220/AD221,0)</f>
        <v>1.21431478409373</v>
      </c>
      <c r="AE222" s="87" t="n">
        <f aca="false">IF(AE221&gt;0,AE220/AE221,0)</f>
        <v>1.12133362637681</v>
      </c>
      <c r="AF222" s="87" t="n">
        <f aca="false">IF(AF221&gt;0,AF220/AF221,0)</f>
        <v>1.0359409543467</v>
      </c>
    </row>
    <row r="223" customFormat="false" ht="14.25" hidden="false" customHeight="true" outlineLevel="0" collapsed="false">
      <c r="B223" s="1" t="s">
        <v>1219</v>
      </c>
      <c r="C223" s="88" t="n">
        <f aca="false">C220-C221</f>
        <v>-0.00520768165872584</v>
      </c>
      <c r="D223" s="88" t="n">
        <f aca="false">D220-D221</f>
        <v>0.00288178108853226</v>
      </c>
      <c r="E223" s="88" t="n">
        <f aca="false">E220-E221</f>
        <v>0.0333184426011591</v>
      </c>
      <c r="F223" s="88" t="n">
        <f aca="false">F220-F221</f>
        <v>0.0707704420075156</v>
      </c>
      <c r="G223" s="88" t="n">
        <f aca="false">G220-G221</f>
        <v>0.179110320780552</v>
      </c>
      <c r="H223" s="88" t="n">
        <f aca="false">H220-H221</f>
        <v>0.355610163441769</v>
      </c>
      <c r="I223" s="88" t="n">
        <f aca="false">I220-I221</f>
        <v>0.577527100034171</v>
      </c>
      <c r="J223" s="88" t="n">
        <f aca="false">J220-J221</f>
        <v>0.83145984636435</v>
      </c>
      <c r="K223" s="88" t="n">
        <f aca="false">K220-K221</f>
        <v>1.11515382369742</v>
      </c>
      <c r="L223" s="88" t="n">
        <f aca="false">L220-L221</f>
        <v>1.3789077938855</v>
      </c>
      <c r="M223" s="88" t="n">
        <f aca="false">M220-M221</f>
        <v>1.60604739209713</v>
      </c>
      <c r="N223" s="88" t="n">
        <f aca="false">N220-N221</f>
        <v>1.78762563936367</v>
      </c>
      <c r="O223" s="88" t="n">
        <f aca="false">O220-O221</f>
        <v>1.91721803694488</v>
      </c>
      <c r="P223" s="88" t="n">
        <f aca="false">P220-P221</f>
        <v>1.95815833556267</v>
      </c>
      <c r="Q223" s="88" t="n">
        <f aca="false">Q220-Q221</f>
        <v>1.91627269112637</v>
      </c>
      <c r="R223" s="88" t="n">
        <f aca="false">R220-R221</f>
        <v>1.81504164310955</v>
      </c>
      <c r="S223" s="88" t="n">
        <f aca="false">S220-S221</f>
        <v>1.66972165375477</v>
      </c>
      <c r="T223" s="88" t="n">
        <f aca="false">T220-T221</f>
        <v>1.49272069315369</v>
      </c>
      <c r="U223" s="88" t="n">
        <f aca="false">U220-U221</f>
        <v>1.32622134299768</v>
      </c>
      <c r="V223" s="88" t="n">
        <f aca="false">V220-V221</f>
        <v>1.16955154024188</v>
      </c>
      <c r="W223" s="88" t="n">
        <f aca="false">W220-W221</f>
        <v>1.02235308315022</v>
      </c>
      <c r="X223" s="88" t="n">
        <f aca="false">X220-X221</f>
        <v>0.884012396913529</v>
      </c>
      <c r="Y223" s="88" t="n">
        <f aca="false">Y220-Y221</f>
        <v>0.753953718591785</v>
      </c>
      <c r="Z223" s="88" t="n">
        <f aca="false">Z220-Z221</f>
        <v>0.631636491513141</v>
      </c>
      <c r="AA223" s="88" t="n">
        <f aca="false">AA220-AA221</f>
        <v>0.516646318433943</v>
      </c>
      <c r="AB223" s="88" t="n">
        <f aca="false">AB220-AB221</f>
        <v>0.408526960120611</v>
      </c>
      <c r="AC223" s="88" t="n">
        <f aca="false">AC220-AC221</f>
        <v>0.306833537648976</v>
      </c>
      <c r="AD223" s="88" t="n">
        <f aca="false">AD220-AD221</f>
        <v>0.211156544924858</v>
      </c>
      <c r="AE223" s="88" t="n">
        <f aca="false">AE220-AE221</f>
        <v>0.121109180415748</v>
      </c>
      <c r="AF223" s="88" t="n">
        <f aca="false">AF220-AF221</f>
        <v>0.0363272372269965</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0.368914477720798</v>
      </c>
      <c r="D232" s="1" t="n">
        <f aca="false">D216*D217</f>
        <v>1.30845850104721</v>
      </c>
      <c r="E232" s="1" t="n">
        <f aca="false">E216*E217</f>
        <v>2.97360542450067</v>
      </c>
      <c r="F232" s="1" t="n">
        <f aca="false">F216*F217</f>
        <v>6.14106302352698</v>
      </c>
      <c r="G232" s="1" t="n">
        <f aca="false">G216*G217</f>
        <v>10.7139427532393</v>
      </c>
      <c r="H232" s="1" t="n">
        <f aca="false">H216*H217</f>
        <v>16.2326902254055</v>
      </c>
      <c r="I232" s="1" t="n">
        <f aca="false">I216*I217</f>
        <v>22.410796102735</v>
      </c>
      <c r="J232" s="1" t="n">
        <f aca="false">J216*J217</f>
        <v>29.0139613993865</v>
      </c>
      <c r="K232" s="1" t="n">
        <f aca="false">K216*K217</f>
        <v>35.1912686577223</v>
      </c>
      <c r="L232" s="1" t="n">
        <f aca="false">L216*L217</f>
        <v>40.9701827465819</v>
      </c>
      <c r="M232" s="1" t="n">
        <f aca="false">M216*M217</f>
        <v>46.0074827648869</v>
      </c>
      <c r="N232" s="1" t="n">
        <f aca="false">N216*N217</f>
        <v>50.1254901651719</v>
      </c>
      <c r="O232" s="1" t="n">
        <f aca="false">O216*O217</f>
        <v>53.1917179256634</v>
      </c>
      <c r="P232" s="1" t="n">
        <f aca="false">P216*P217</f>
        <v>54.4504943922695</v>
      </c>
      <c r="Q232" s="1" t="n">
        <f aca="false">Q216*Q217</f>
        <v>54.0183875483411</v>
      </c>
      <c r="R232" s="1" t="n">
        <f aca="false">R216*R217</f>
        <v>52.3733620342553</v>
      </c>
      <c r="S232" s="1" t="n">
        <f aca="false">S216*S217</f>
        <v>49.8191501067804</v>
      </c>
      <c r="T232" s="1" t="n">
        <f aca="false">T216*T217</f>
        <v>46.6061629132317</v>
      </c>
      <c r="U232" s="1" t="n">
        <f aca="false">U216*U217</f>
        <v>43.6003909508498</v>
      </c>
      <c r="V232" s="1" t="n">
        <f aca="false">V216*V217</f>
        <v>40.7884702846293</v>
      </c>
      <c r="W232" s="1" t="n">
        <f aca="false">W216*W217</f>
        <v>38.1578988600253</v>
      </c>
      <c r="X232" s="1" t="n">
        <f aca="false">X216*X217</f>
        <v>35.6969809176837</v>
      </c>
      <c r="Y232" s="1" t="n">
        <f aca="false">Y216*Y217</f>
        <v>33.3947749930334</v>
      </c>
      <c r="Z232" s="1" t="n">
        <f aca="false">Z216*Z217</f>
        <v>31.241045269542</v>
      </c>
      <c r="AA232" s="1" t="n">
        <f aca="false">AA216*AA217</f>
        <v>29.2262160693455</v>
      </c>
      <c r="AB232" s="1" t="n">
        <f aca="false">AB216*AB217</f>
        <v>27.341329278916</v>
      </c>
      <c r="AC232" s="1" t="n">
        <f aca="false">AC216*AC217</f>
        <v>25.5780045204754</v>
      </c>
      <c r="AD232" s="1" t="n">
        <f aca="false">AD216*AD217</f>
        <v>23.9284018920751</v>
      </c>
      <c r="AE232" s="1" t="n">
        <f aca="false">AE216*AE217</f>
        <v>22.38518711068</v>
      </c>
      <c r="AF232" s="1" t="n">
        <f aca="false">AF216*AF217</f>
        <v>20.9414989032809</v>
      </c>
    </row>
    <row r="233" customFormat="false" ht="14.25" hidden="false" customHeight="true" outlineLevel="0" collapsed="false">
      <c r="B233" s="1" t="s">
        <v>1229</v>
      </c>
      <c r="C233" s="1" t="n">
        <f aca="false">IF(C81&gt;0,(C107+C109+C110+C184-C108-C229)/C81,0)</f>
        <v>0.0338372823330169</v>
      </c>
      <c r="D233" s="1" t="n">
        <f aca="false">IF(C81&gt;0,(D107+D109+D110+D184-D108-D229)/C81,0)</f>
        <v>0.146674937982851</v>
      </c>
      <c r="E233" s="1" t="n">
        <f aca="false">IF(D81&gt;0,(E107+E109+E110+E184-E108-E229)/D81,0)</f>
        <v>0.0982018849368073</v>
      </c>
      <c r="F233" s="1" t="n">
        <f aca="false">IF(E81&gt;0,(F107+F109+F110+F184-F108-F229)/E81,0)</f>
        <v>0.0828397497039908</v>
      </c>
      <c r="G233" s="1" t="n">
        <f aca="false">IF(F81&gt;0,(G107+G109+G110+G184-G108-G229)/F81,0)</f>
        <v>0.0536112546970149</v>
      </c>
      <c r="H233" s="1" t="n">
        <f aca="false">IF(G81&gt;0,(H107+H109+H110+H184-H108-H229)/G81,0)</f>
        <v>0.0428822437780754</v>
      </c>
      <c r="I233" s="1" t="n">
        <f aca="false">IF(H81&gt;0,(I107+I109+I110+I184-I108-I229)/H81,0)</f>
        <v>0.0391901680396862</v>
      </c>
      <c r="J233" s="1" t="n">
        <f aca="false">IF(I81&gt;0,(J107+J109+J110+J184-J108-J229)/I81,0)</f>
        <v>0.0376630217827475</v>
      </c>
      <c r="K233" s="1" t="n">
        <f aca="false">IF(J81&gt;0,(K107+K109+K110+K184-K108-K229)/J81,0)</f>
        <v>0.0365474527495326</v>
      </c>
      <c r="L233" s="1" t="n">
        <f aca="false">IF(K81&gt;0,(L107+L109+L110+L184-L108-L229)/K81,0)</f>
        <v>0.0386408818660929</v>
      </c>
      <c r="M233" s="1" t="n">
        <f aca="false">IF(L81&gt;0,(M107+M109+M110+M184-M108-M229)/L81,0)</f>
        <v>0.0405194959107447</v>
      </c>
      <c r="N233" s="1" t="n">
        <f aca="false">IF(M81&gt;0,(N107+N109+N110+N184-N108-N229)/M81,0)</f>
        <v>0.0404680757353853</v>
      </c>
      <c r="O233" s="1" t="n">
        <f aca="false">IF(N81&gt;0,(O107+O109+O110+O184-O108-O229)/N81,0)</f>
        <v>0.0405896405385257</v>
      </c>
      <c r="P233" s="1" t="n">
        <f aca="false">IF(O81&gt;0,(P107+P109+P110+P184-P108-P229)/O81,0)</f>
        <v>0.0409803631909529</v>
      </c>
      <c r="Q233" s="1" t="n">
        <f aca="false">IF(P81&gt;0,(Q107+Q109+Q110+Q184-Q108-Q229)/P81,0)</f>
        <v>0.0414584683109435</v>
      </c>
      <c r="R233" s="1" t="n">
        <f aca="false">IF(Q81&gt;0,(R107+R109+R110+R184-R108-R229)/Q81,0)</f>
        <v>0.0414496914296461</v>
      </c>
      <c r="S233" s="1" t="n">
        <f aca="false">IF(R81&gt;0,(S107+S109+S110+S184-S108-S229)/R81,0)</f>
        <v>0.0412481825912347</v>
      </c>
      <c r="T233" s="1" t="n">
        <f aca="false">IF(S81&gt;0,(T107+T109+T110+T184-T108-T229)/S81,0)</f>
        <v>0.0412092253305458</v>
      </c>
      <c r="U233" s="1" t="n">
        <f aca="false">IF(T81&gt;0,(U107+U109+U110+U184-U108-U229)/T81,0)</f>
        <v>0.0412113754234052</v>
      </c>
      <c r="V233" s="1" t="n">
        <f aca="false">IF(U81&gt;0,(V107+V109+V110+V184-V108-V229)/U81,0)</f>
        <v>0.0412188329840892</v>
      </c>
      <c r="W233" s="1" t="n">
        <f aca="false">IF(V81&gt;0,(W107+W109+W110+W184-W108-W229)/V81,0)</f>
        <v>0.0412417411692233</v>
      </c>
      <c r="X233" s="1" t="n">
        <f aca="false">IF(W81&gt;0,(X107+X109+X110+X184-X108-X229)/W81,0)</f>
        <v>0.0412929227664209</v>
      </c>
      <c r="Y233" s="1" t="n">
        <f aca="false">IF(X81&gt;0,(Y107+Y109+Y110+Y184-Y108-Y229)/X81,0)</f>
        <v>0.0413709600111598</v>
      </c>
      <c r="Z233" s="1" t="n">
        <f aca="false">IF(Y81&gt;0,(Z107+Z109+Z110+Z184-Z108-Z229)/Y81,0)</f>
        <v>0.0413715923042383</v>
      </c>
      <c r="AA233" s="1" t="n">
        <f aca="false">IF(Z81&gt;0,(AA107+AA109+AA110+AA184-AA108-AA229)/Z81,0)</f>
        <v>0.0413694286381457</v>
      </c>
      <c r="AB233" s="1" t="n">
        <f aca="false">IF(AA81&gt;0,(AB107+AB109+AB110+AB184-AB108-AB229)/AA81,0)</f>
        <v>0.0413872707662799</v>
      </c>
      <c r="AC233" s="1" t="n">
        <f aca="false">IF(AB81&gt;0,(AC107+AC109+AC110+AC184-AC108-AC229)/AB81,0)</f>
        <v>0.0414161091934129</v>
      </c>
      <c r="AD233" s="1" t="n">
        <f aca="false">IF(AC81&gt;0,(AD107+AD109+AD110+AD184-AD108-AD229)/AC81,0)</f>
        <v>0.0414578756036527</v>
      </c>
      <c r="AE233" s="1" t="n">
        <f aca="false">IF(AD81&gt;0,(AE107+AE109+AE110+AE184-AE108-AE229)/AD81,0)</f>
        <v>0.0415131706740733</v>
      </c>
      <c r="AF233" s="1" t="n">
        <f aca="false">IF(AE81&gt;0,(AF107+AF109+AF110+AF184-AF108-AF229)/AE81,0)</f>
        <v>0.0415816688257278</v>
      </c>
    </row>
    <row r="234" customFormat="false" ht="14.25" hidden="false" customHeight="true" outlineLevel="0" collapsed="false">
      <c r="B234" s="1" t="s">
        <v>1230</v>
      </c>
      <c r="C234" s="1" t="n">
        <f aca="false">(C232+0)/2*C233</f>
        <v>0.00624153166968804</v>
      </c>
      <c r="D234" s="1" t="n">
        <f aca="false">(D232+C232)/2*D233</f>
        <v>0.123014288817454</v>
      </c>
      <c r="E234" s="1" t="n">
        <f aca="false">(E232+D232)/2*E233</f>
        <v>0.210253374454353</v>
      </c>
      <c r="F234" s="1" t="n">
        <f aca="false">(F232+E232)/2*F233</f>
        <v>0.377528426434736</v>
      </c>
      <c r="G234" s="1" t="n">
        <f aca="false">(G232+F232)/2*G233</f>
        <v>0.451809003808936</v>
      </c>
      <c r="H234" s="1" t="n">
        <f aca="false">(H232+G232)/2*H233</f>
        <v>0.577766042194285</v>
      </c>
      <c r="I234" s="1" t="n">
        <f aca="false">(I232+H232)/2*I233</f>
        <v>0.757222361419571</v>
      </c>
      <c r="J234" s="1" t="n">
        <f aca="false">(J232+I232)/2*J233</f>
        <v>0.968405880987454</v>
      </c>
      <c r="K234" s="1" t="n">
        <f aca="false">(K232+J232)/2*K233</f>
        <v>1.17326880589253</v>
      </c>
      <c r="L234" s="1" t="n">
        <f aca="false">(L232+K232)/2*L233</f>
        <v>1.47147282323195</v>
      </c>
      <c r="M234" s="1" t="n">
        <f aca="false">(M232+L232)/2*M233</f>
        <v>1.76214558100904</v>
      </c>
      <c r="N234" s="1" t="n">
        <f aca="false">(N232+M232)/2*N233</f>
        <v>1.94515821460068</v>
      </c>
      <c r="O234" s="1" t="n">
        <f aca="false">(O232+N232)/2*O233</f>
        <v>2.09680416892553</v>
      </c>
      <c r="P234" s="1" t="n">
        <f aca="false">(P232+O232)/2*P233</f>
        <v>2.20560847773328</v>
      </c>
      <c r="Q234" s="1" t="n">
        <f aca="false">(Q232+P232)/2*Q233</f>
        <v>2.24847685232914</v>
      </c>
      <c r="R234" s="1" t="n">
        <f aca="false">(R232+Q232)/2*R233</f>
        <v>2.2049525954294</v>
      </c>
      <c r="S234" s="1" t="n">
        <f aca="false">(S232+R232)/2*S233</f>
        <v>2.1076277001252</v>
      </c>
      <c r="T234" s="1" t="n">
        <f aca="false">(T232+S232)/2*T233</f>
        <v>1.98680622590504</v>
      </c>
      <c r="U234" s="1" t="n">
        <f aca="false">(U232+T232)/2*U233</f>
        <v>1.85876807847214</v>
      </c>
      <c r="V234" s="1" t="n">
        <f aca="false">(V232+U232)/2*V233</f>
        <v>1.73920518849134</v>
      </c>
      <c r="W234" s="1" t="n">
        <f aca="false">(W232+V232)/2*W233</f>
        <v>1.6279428612569</v>
      </c>
      <c r="X234" s="1" t="n">
        <f aca="false">(X232+W232)/2*X233</f>
        <v>1.52484192329212</v>
      </c>
      <c r="Y234" s="1" t="n">
        <f aca="false">(Y232+X232)/2*Y233</f>
        <v>1.42919613544155</v>
      </c>
      <c r="Z234" s="1" t="n">
        <f aca="false">(Z232+Y232)/2*Z233</f>
        <v>1.33704340207665</v>
      </c>
      <c r="AA234" s="1" t="n">
        <f aca="false">(AA232+Z232)/2*AA233</f>
        <v>1.25074802645161</v>
      </c>
      <c r="AB234" s="1" t="n">
        <f aca="false">(AB232+AA232)/2*AB233</f>
        <v>1.17058815795616</v>
      </c>
      <c r="AC234" s="1" t="n">
        <f aca="false">(AC232+AB232)/2*AC233</f>
        <v>1.09585645353913</v>
      </c>
      <c r="AD234" s="1" t="n">
        <f aca="false">(AD232+AC232)/2*AD233</f>
        <v>1.02621521931769</v>
      </c>
      <c r="AE234" s="1" t="n">
        <f aca="false">(AE232+AD232)/2*AE233</f>
        <v>0.961311962400128</v>
      </c>
      <c r="AF234" s="1" t="n">
        <f aca="false">(AF232+AE232)/2*AF233</f>
        <v>0.900797954574406</v>
      </c>
    </row>
    <row r="235" customFormat="false" ht="14.25" hidden="false" customHeight="true" outlineLevel="0" collapsed="false">
      <c r="B235" s="1" t="s">
        <v>1231</v>
      </c>
      <c r="C235" s="1" t="n">
        <f aca="false">MAX(0,MIN(C234,$C$231*C232))</f>
        <v>0.00184457238860399</v>
      </c>
      <c r="D235" s="1" t="n">
        <f aca="false">MAX(0,MIN(D234,$C$231*D232))</f>
        <v>0.00654229250523607</v>
      </c>
      <c r="E235" s="1" t="n">
        <f aca="false">MAX(0,MIN(E234,$C$231*E232))</f>
        <v>0.0148680271225033</v>
      </c>
      <c r="F235" s="1" t="n">
        <f aca="false">MAX(0,MIN(F234,$C$231*F232))</f>
        <v>0.0307053151176349</v>
      </c>
      <c r="G235" s="1" t="n">
        <f aca="false">MAX(0,MIN(G234,$C$231*G232))</f>
        <v>0.0535697137661963</v>
      </c>
      <c r="H235" s="1" t="n">
        <f aca="false">MAX(0,MIN(H234,$C$231*H232))</f>
        <v>0.0811634511270276</v>
      </c>
      <c r="I235" s="1" t="n">
        <f aca="false">MAX(0,MIN(I234,$C$231*I232))</f>
        <v>0.112053980513675</v>
      </c>
      <c r="J235" s="1" t="n">
        <f aca="false">MAX(0,MIN(J234,$C$231*J232))</f>
        <v>0.145069806996932</v>
      </c>
      <c r="K235" s="1" t="n">
        <f aca="false">MAX(0,MIN(K234,$C$231*K232))</f>
        <v>0.175956343288611</v>
      </c>
      <c r="L235" s="1" t="n">
        <f aca="false">MAX(0,MIN(L234,$C$231*L232))</f>
        <v>0.20485091373291</v>
      </c>
      <c r="M235" s="1" t="n">
        <f aca="false">MAX(0,MIN(M234,$C$231*M232))</f>
        <v>0.230037413824435</v>
      </c>
      <c r="N235" s="1" t="n">
        <f aca="false">MAX(0,MIN(N234,$C$231*N232))</f>
        <v>0.250627450825859</v>
      </c>
      <c r="O235" s="1" t="n">
        <f aca="false">MAX(0,MIN(O234,$C$231*O232))</f>
        <v>0.265958589628317</v>
      </c>
      <c r="P235" s="1" t="n">
        <f aca="false">MAX(0,MIN(P234,$C$231*P232))</f>
        <v>0.272252471961347</v>
      </c>
      <c r="Q235" s="1" t="n">
        <f aca="false">MAX(0,MIN(Q234,$C$231*Q232))</f>
        <v>0.270091937741706</v>
      </c>
      <c r="R235" s="1" t="n">
        <f aca="false">MAX(0,MIN(R234,$C$231*R232))</f>
        <v>0.261866810171276</v>
      </c>
      <c r="S235" s="1" t="n">
        <f aca="false">MAX(0,MIN(S234,$C$231*S232))</f>
        <v>0.249095750533902</v>
      </c>
      <c r="T235" s="1" t="n">
        <f aca="false">MAX(0,MIN(T234,$C$231*T232))</f>
        <v>0.233030814566158</v>
      </c>
      <c r="U235" s="1" t="n">
        <f aca="false">MAX(0,MIN(U234,$C$231*U232))</f>
        <v>0.218001954754249</v>
      </c>
      <c r="V235" s="1" t="n">
        <f aca="false">MAX(0,MIN(V234,$C$231*V232))</f>
        <v>0.203942351423147</v>
      </c>
      <c r="W235" s="1" t="n">
        <f aca="false">MAX(0,MIN(W234,$C$231*W232))</f>
        <v>0.190789494300126</v>
      </c>
      <c r="X235" s="1" t="n">
        <f aca="false">MAX(0,MIN(X234,$C$231*X232))</f>
        <v>0.178484904588418</v>
      </c>
      <c r="Y235" s="1" t="n">
        <f aca="false">MAX(0,MIN(Y234,$C$231*Y232))</f>
        <v>0.166973874965167</v>
      </c>
      <c r="Z235" s="1" t="n">
        <f aca="false">MAX(0,MIN(Z234,$C$231*Z232))</f>
        <v>0.15620522634771</v>
      </c>
      <c r="AA235" s="1" t="n">
        <f aca="false">MAX(0,MIN(AA234,$C$231*AA232))</f>
        <v>0.146131080346727</v>
      </c>
      <c r="AB235" s="1" t="n">
        <f aca="false">MAX(0,MIN(AB234,$C$231*AB232))</f>
        <v>0.13670664639458</v>
      </c>
      <c r="AC235" s="1" t="n">
        <f aca="false">MAX(0,MIN(AC234,$C$231*AC232))</f>
        <v>0.127890022602377</v>
      </c>
      <c r="AD235" s="1" t="n">
        <f aca="false">MAX(0,MIN(AD234,$C$231*AD232))</f>
        <v>0.119642009460375</v>
      </c>
      <c r="AE235" s="1" t="n">
        <f aca="false">MAX(0,MIN(AE234,$C$231*AE232))</f>
        <v>0.1119259355534</v>
      </c>
      <c r="AF235" s="1" t="n">
        <f aca="false">MAX(0,MIN(AF234,$C$231*AF232))</f>
        <v>0.104707494516404</v>
      </c>
    </row>
    <row r="236" customFormat="false" ht="14.25" hidden="false" customHeight="true" outlineLevel="0" collapsed="false">
      <c r="B236" s="1" t="s">
        <v>1232</v>
      </c>
      <c r="C236" s="1" t="n">
        <f aca="false">MAX(0,C234-C235)</f>
        <v>0.00439695928108406</v>
      </c>
      <c r="D236" s="1" t="n">
        <f aca="false">MAX(0,D234-D235)</f>
        <v>0.116471996312218</v>
      </c>
      <c r="E236" s="1" t="n">
        <f aca="false">MAX(0,E234-E235)</f>
        <v>0.19538534733185</v>
      </c>
      <c r="F236" s="1" t="n">
        <f aca="false">MAX(0,F234-F235)</f>
        <v>0.346823111317101</v>
      </c>
      <c r="G236" s="1" t="n">
        <f aca="false">MAX(0,G234-G235)</f>
        <v>0.39823929004274</v>
      </c>
      <c r="H236" s="1" t="n">
        <f aca="false">MAX(0,H234-H235)</f>
        <v>0.496602591067258</v>
      </c>
      <c r="I236" s="1" t="n">
        <f aca="false">MAX(0,I234-I235)</f>
        <v>0.645168380905896</v>
      </c>
      <c r="J236" s="1" t="n">
        <f aca="false">MAX(0,J234-J235)</f>
        <v>0.823336073990522</v>
      </c>
      <c r="K236" s="1" t="n">
        <f aca="false">MAX(0,K234-K235)</f>
        <v>0.997312462603915</v>
      </c>
      <c r="L236" s="1" t="n">
        <f aca="false">MAX(0,L234-L235)</f>
        <v>1.26662190949904</v>
      </c>
      <c r="M236" s="1" t="n">
        <f aca="false">MAX(0,M234-M235)</f>
        <v>1.53210816718461</v>
      </c>
      <c r="N236" s="1" t="n">
        <f aca="false">MAX(0,N234-N235)</f>
        <v>1.69453076377482</v>
      </c>
      <c r="O236" s="1" t="n">
        <f aca="false">MAX(0,O234-O235)</f>
        <v>1.83084557929721</v>
      </c>
      <c r="P236" s="1" t="n">
        <f aca="false">MAX(0,P234-P235)</f>
        <v>1.93335600577193</v>
      </c>
      <c r="Q236" s="1" t="n">
        <f aca="false">MAX(0,Q234-Q235)</f>
        <v>1.97838491458743</v>
      </c>
      <c r="R236" s="1" t="n">
        <f aca="false">MAX(0,R234-R235)</f>
        <v>1.94308578525812</v>
      </c>
      <c r="S236" s="1" t="n">
        <f aca="false">MAX(0,S234-S235)</f>
        <v>1.8585319495913</v>
      </c>
      <c r="T236" s="1" t="n">
        <f aca="false">MAX(0,T234-T235)</f>
        <v>1.75377541133888</v>
      </c>
      <c r="U236" s="1" t="n">
        <f aca="false">MAX(0,U234-U235)</f>
        <v>1.64076612371789</v>
      </c>
      <c r="V236" s="1" t="n">
        <f aca="false">MAX(0,V234-V235)</f>
        <v>1.5352628370682</v>
      </c>
      <c r="W236" s="1" t="n">
        <f aca="false">MAX(0,W234-W235)</f>
        <v>1.43715336695678</v>
      </c>
      <c r="X236" s="1" t="n">
        <f aca="false">MAX(0,X234-X235)</f>
        <v>1.3463570187037</v>
      </c>
      <c r="Y236" s="1" t="n">
        <f aca="false">MAX(0,Y234-Y235)</f>
        <v>1.26222226047638</v>
      </c>
      <c r="Z236" s="1" t="n">
        <f aca="false">MAX(0,Z234-Z235)</f>
        <v>1.18083817572894</v>
      </c>
      <c r="AA236" s="1" t="n">
        <f aca="false">MAX(0,AA234-AA235)</f>
        <v>1.10461694610488</v>
      </c>
      <c r="AB236" s="1" t="n">
        <f aca="false">MAX(0,AB234-AB235)</f>
        <v>1.03388151156158</v>
      </c>
      <c r="AC236" s="1" t="n">
        <f aca="false">MAX(0,AC234-AC235)</f>
        <v>0.967966430936755</v>
      </c>
      <c r="AD236" s="1" t="n">
        <f aca="false">MAX(0,AD234-AD235)</f>
        <v>0.90657320985732</v>
      </c>
      <c r="AE236" s="1" t="n">
        <f aca="false">MAX(0,AE234-AE235)</f>
        <v>0.849386026846728</v>
      </c>
      <c r="AF236" s="1" t="n">
        <f aca="false">MAX(0,AF234-AF235)</f>
        <v>0.796090460058001</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0.0779833747454677</v>
      </c>
      <c r="D238" s="1" t="n">
        <f aca="false">IF(D112&gt;0,D235/D112,0)</f>
        <v>0.104607816400351</v>
      </c>
      <c r="E238" s="1" t="n">
        <f aca="false">IF(E112&gt;0,E235/E112,0)</f>
        <v>0.128881687295189</v>
      </c>
      <c r="F238" s="1" t="n">
        <f aca="false">IF(F112&gt;0,F235/F112,0)</f>
        <v>0.129951595805069</v>
      </c>
      <c r="G238" s="1" t="n">
        <f aca="false">IF(G112&gt;0,G235/G112,0)</f>
        <v>0.150229092131613</v>
      </c>
      <c r="H238" s="1" t="n">
        <f aca="false">IF(H112&gt;0,H235/H112,0)</f>
        <v>0.177980521245216</v>
      </c>
      <c r="I238" s="1" t="n">
        <f aca="false">IF(I112&gt;0,I235/I112,0)</f>
        <v>0.206356093440774</v>
      </c>
      <c r="J238" s="1" t="n">
        <f aca="false">IF(J112&gt;0,J235/J112,0)</f>
        <v>0.234271402292304</v>
      </c>
      <c r="K238" s="1" t="n">
        <f aca="false">IF(K112&gt;0,K235/K112,0)</f>
        <v>0.27305046476594</v>
      </c>
      <c r="L238" s="1" t="n">
        <f aca="false">IF(L112&gt;0,L235/L112,0)</f>
        <v>0.305929663580737</v>
      </c>
      <c r="M238" s="1" t="n">
        <f aca="false">IF(M112&gt;0,M235/M112,0)</f>
        <v>0.33131002816887</v>
      </c>
      <c r="N238" s="1" t="n">
        <f aca="false">IF(N112&gt;0,N235/N112,0)</f>
        <v>0.348748132326784</v>
      </c>
      <c r="O238" s="1" t="n">
        <f aca="false">IF(O112&gt;0,O235/O112,0)</f>
        <v>0.358257144733313</v>
      </c>
      <c r="P238" s="1" t="n">
        <f aca="false">IF(P112&gt;0,P235/P112,0)</f>
        <v>0.356180593027297</v>
      </c>
      <c r="Q238" s="1" t="n">
        <f aca="false">IF(Q112&gt;0,Q235/Q112,0)</f>
        <v>0.344221090155276</v>
      </c>
      <c r="R238" s="1" t="n">
        <f aca="false">IF(R112&gt;0,R235/R112,0)</f>
        <v>0.325856381864812</v>
      </c>
      <c r="S238" s="1" t="n">
        <f aca="false">IF(S112&gt;0,S235/S112,0)</f>
        <v>0.303318163781293</v>
      </c>
      <c r="T238" s="1" t="n">
        <f aca="false">IF(T112&gt;0,T235/T112,0)</f>
        <v>0.278216697096427</v>
      </c>
      <c r="U238" s="1" t="n">
        <f aca="false">IF(U112&gt;0,U235/U112,0)</f>
        <v>0.255331943302075</v>
      </c>
      <c r="V238" s="1" t="n">
        <f aca="false">IF(V112&gt;0,V235/V112,0)</f>
        <v>0.234450996837827</v>
      </c>
      <c r="W238" s="1" t="n">
        <f aca="false">IF(W112&gt;0,W235/W112,0)</f>
        <v>0.215449436046104</v>
      </c>
      <c r="X238" s="1" t="n">
        <f aca="false">IF(X112&gt;0,X235/X112,0)</f>
        <v>0.198132374823299</v>
      </c>
      <c r="Y238" s="1" t="n">
        <f aca="false">IF(Y112&gt;0,Y235/Y112,0)</f>
        <v>0.182328679004416</v>
      </c>
      <c r="Z238" s="1" t="n">
        <f aca="false">IF(Z112&gt;0,Z235/Z112,0)</f>
        <v>0.167887552054267</v>
      </c>
      <c r="AA238" s="1" t="n">
        <f aca="false">IF(AA112&gt;0,AA235/AA112,0)</f>
        <v>0.154690985701205</v>
      </c>
      <c r="AB238" s="1" t="n">
        <f aca="false">IF(AB112&gt;0,AB235/AB112,0)</f>
        <v>0.142619731215075</v>
      </c>
      <c r="AC238" s="1" t="n">
        <f aca="false">IF(AC112&gt;0,AC235/AC112,0)</f>
        <v>0.131565070721842</v>
      </c>
      <c r="AD238" s="1" t="n">
        <f aca="false">IF(AD112&gt;0,AD235/AD112,0)</f>
        <v>0.121431478409373</v>
      </c>
      <c r="AE238" s="1" t="n">
        <f aca="false">IF(AE112&gt;0,AE235/AE112,0)</f>
        <v>0.112133362637681</v>
      </c>
      <c r="AF238" s="1" t="n">
        <f aca="false">IF(AF112&gt;0,AF235/AF112,0)</f>
        <v>0.10359409543467</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0.00439695928108406</v>
      </c>
      <c r="D243" s="1" t="n">
        <f aca="false">D236</f>
        <v>0.116471996312218</v>
      </c>
      <c r="E243" s="1" t="n">
        <f aca="false">E236</f>
        <v>0.19538534733185</v>
      </c>
      <c r="F243" s="1" t="n">
        <f aca="false">F236</f>
        <v>0.346823111317101</v>
      </c>
      <c r="G243" s="1" t="n">
        <f aca="false">G236</f>
        <v>0.39823929004274</v>
      </c>
      <c r="H243" s="1" t="n">
        <f aca="false">H236</f>
        <v>0.496602591067258</v>
      </c>
      <c r="I243" s="1" t="n">
        <f aca="false">I236</f>
        <v>0.645168380905896</v>
      </c>
      <c r="J243" s="1" t="n">
        <f aca="false">J236</f>
        <v>0.823336073990522</v>
      </c>
      <c r="K243" s="1" t="n">
        <f aca="false">K236</f>
        <v>0.997312462603915</v>
      </c>
      <c r="L243" s="1" t="n">
        <f aca="false">L236</f>
        <v>1.26662190949904</v>
      </c>
      <c r="M243" s="1" t="n">
        <f aca="false">M236</f>
        <v>1.53210816718461</v>
      </c>
      <c r="N243" s="1" t="n">
        <f aca="false">N236</f>
        <v>1.69453076377482</v>
      </c>
      <c r="O243" s="1" t="n">
        <f aca="false">O236</f>
        <v>1.83084557929721</v>
      </c>
      <c r="P243" s="1" t="n">
        <f aca="false">P236</f>
        <v>1.93335600577193</v>
      </c>
      <c r="Q243" s="1" t="n">
        <f aca="false">Q236</f>
        <v>1.97838491458743</v>
      </c>
      <c r="R243" s="1" t="n">
        <f aca="false">R236</f>
        <v>1.94308578525812</v>
      </c>
      <c r="S243" s="1" t="n">
        <f aca="false">S236</f>
        <v>1.8585319495913</v>
      </c>
      <c r="T243" s="1" t="n">
        <f aca="false">T236</f>
        <v>1.75377541133888</v>
      </c>
      <c r="U243" s="1" t="n">
        <f aca="false">U236</f>
        <v>1.64076612371789</v>
      </c>
      <c r="V243" s="1" t="n">
        <f aca="false">V236</f>
        <v>1.5352628370682</v>
      </c>
      <c r="W243" s="1" t="n">
        <f aca="false">W236</f>
        <v>1.43715336695678</v>
      </c>
      <c r="X243" s="1" t="n">
        <f aca="false">X236</f>
        <v>1.3463570187037</v>
      </c>
      <c r="Y243" s="1" t="n">
        <f aca="false">Y236</f>
        <v>1.26222226047638</v>
      </c>
      <c r="Z243" s="1" t="n">
        <f aca="false">Z236</f>
        <v>1.18083817572894</v>
      </c>
      <c r="AA243" s="1" t="n">
        <f aca="false">AA236</f>
        <v>1.10461694610488</v>
      </c>
      <c r="AB243" s="1" t="n">
        <f aca="false">AB236</f>
        <v>1.03388151156158</v>
      </c>
      <c r="AC243" s="1" t="n">
        <f aca="false">AC236</f>
        <v>0.967966430936755</v>
      </c>
      <c r="AD243" s="1" t="n">
        <f aca="false">AD236</f>
        <v>0.90657320985732</v>
      </c>
      <c r="AE243" s="1" t="n">
        <f aca="false">AE236</f>
        <v>0.849386026846728</v>
      </c>
      <c r="AF243" s="1" t="n">
        <f aca="false">AF236</f>
        <v>0.796090460058001</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0.00439695928108406</v>
      </c>
      <c r="D247" s="1" t="n">
        <f aca="false">MAX(0,C248+D243-D244-D245-D246)</f>
        <v>0.120868955593302</v>
      </c>
      <c r="E247" s="1" t="n">
        <f aca="false">MAX(0,D248+E243-E244-E245-E246)</f>
        <v>0.316254302925152</v>
      </c>
      <c r="F247" s="1" t="n">
        <f aca="false">MAX(0,E248+F243-F244-F245-F246)</f>
        <v>0.663077414242253</v>
      </c>
      <c r="G247" s="1" t="n">
        <f aca="false">MAX(0,F248+G243-G244-G245-G246)</f>
        <v>1.06131670428499</v>
      </c>
      <c r="H247" s="1" t="n">
        <f aca="false">MAX(0,G248+H243-H244-H245-H246)</f>
        <v>1.55791929535225</v>
      </c>
      <c r="I247" s="1" t="n">
        <f aca="false">MAX(0,H248+I243-I244-I245-I246)</f>
        <v>2.20308767625815</v>
      </c>
      <c r="J247" s="1" t="n">
        <f aca="false">MAX(0,I248+J243-J244-J245-J246)</f>
        <v>3.02642375024867</v>
      </c>
      <c r="K247" s="1" t="n">
        <f aca="false">MAX(0,J248+K243-K244-K245-K246)</f>
        <v>4.02373621285258</v>
      </c>
      <c r="L247" s="1" t="n">
        <f aca="false">MAX(0,K248+L243-L244-L245-L246)</f>
        <v>5.29035812235162</v>
      </c>
      <c r="M247" s="1" t="n">
        <f aca="false">MAX(0,L248+M243-M244-M245-M246)</f>
        <v>6.82246628953623</v>
      </c>
      <c r="N247" s="1" t="n">
        <f aca="false">MAX(0,M248+N243-N244-N245-N246)</f>
        <v>8.51699705331105</v>
      </c>
      <c r="O247" s="1" t="n">
        <f aca="false">MAX(0,N248+O243-O244-O245-O246)</f>
        <v>10.3478426326083</v>
      </c>
      <c r="P247" s="1" t="n">
        <f aca="false">MAX(0,O248+P243-P244-P245-P246)</f>
        <v>12.2811986383802</v>
      </c>
      <c r="Q247" s="1" t="n">
        <f aca="false">MAX(0,P248+Q243-Q244-Q245-Q246)</f>
        <v>14.2595835529676</v>
      </c>
      <c r="R247" s="1" t="n">
        <f aca="false">MAX(0,Q248+R243-R244-R245-R246)</f>
        <v>16.2026693382258</v>
      </c>
      <c r="S247" s="1" t="n">
        <f aca="false">MAX(0,R248+S243-S244-S245-S246)</f>
        <v>18.0612012878171</v>
      </c>
      <c r="T247" s="1" t="n">
        <f aca="false">MAX(0,S248+T243-T244-T245-T246)</f>
        <v>19.8149766991559</v>
      </c>
      <c r="U247" s="1" t="n">
        <f aca="false">MAX(0,T248+U243-U244-U245-U246)</f>
        <v>21.4557428228738</v>
      </c>
      <c r="V247" s="1" t="n">
        <f aca="false">MAX(0,U248+V243-V244-V245-V246)</f>
        <v>22.991005659942</v>
      </c>
      <c r="W247" s="1" t="n">
        <f aca="false">MAX(0,V248+W243-W244-W245-W246)</f>
        <v>24.4281590268988</v>
      </c>
      <c r="X247" s="1" t="n">
        <f aca="false">MAX(0,W248+X243-X244-X245-X246)</f>
        <v>25.7745160456025</v>
      </c>
      <c r="Y247" s="1" t="n">
        <f aca="false">MAX(0,X248+Y243-Y244-Y245-Y246)</f>
        <v>27.0367383060789</v>
      </c>
      <c r="Z247" s="1" t="n">
        <f aca="false">MAX(0,Y248+Z243-Z244-Z245-Z246)</f>
        <v>28.2175764818078</v>
      </c>
      <c r="AA247" s="1" t="n">
        <f aca="false">MAX(0,Z248+AA243-AA244-AA245-AA246)</f>
        <v>29.3221934279127</v>
      </c>
      <c r="AB247" s="1" t="n">
        <f aca="false">MAX(0,AA248+AB243-AB244-AB245-AB246)</f>
        <v>30.3560749394743</v>
      </c>
      <c r="AC247" s="1" t="n">
        <f aca="false">MAX(0,AB248+AC243-AC244-AC245-AC246)</f>
        <v>31.324041370411</v>
      </c>
      <c r="AD247" s="1" t="n">
        <f aca="false">MAX(0,AC248+AD243-AD244-AD245-AD246)</f>
        <v>32.2306145802684</v>
      </c>
      <c r="AE247" s="1" t="n">
        <f aca="false">MAX(0,AD248+AE243-AE244-AE245-AE246)</f>
        <v>33.0800006071151</v>
      </c>
      <c r="AF247" s="1" t="n">
        <f aca="false">MAX(0,AE248+AF243-AF244-AF245-AF246)</f>
        <v>33.8760910671731</v>
      </c>
    </row>
    <row r="248" customFormat="false" ht="14.25" hidden="false" customHeight="true" outlineLevel="0" collapsed="false">
      <c r="B248" s="1" t="s">
        <v>1244</v>
      </c>
      <c r="C248" s="1" t="n">
        <f aca="false">MIN(C247,MAX(0,C276))</f>
        <v>0.00439695928108406</v>
      </c>
      <c r="D248" s="1" t="n">
        <f aca="false">MIN(D247,MAX(0,D276))</f>
        <v>0.120868955593302</v>
      </c>
      <c r="E248" s="1" t="n">
        <f aca="false">MIN(E247,MAX(0,E276))</f>
        <v>0.316254302925152</v>
      </c>
      <c r="F248" s="1" t="n">
        <f aca="false">MIN(F247,MAX(0,F276))</f>
        <v>0.663077414242253</v>
      </c>
      <c r="G248" s="1" t="n">
        <f aca="false">MIN(G247,MAX(0,G276))</f>
        <v>1.06131670428499</v>
      </c>
      <c r="H248" s="1" t="n">
        <f aca="false">MIN(H247,MAX(0,H276))</f>
        <v>1.55791929535225</v>
      </c>
      <c r="I248" s="1" t="n">
        <f aca="false">MIN(I247,MAX(0,I276))</f>
        <v>2.20308767625815</v>
      </c>
      <c r="J248" s="1" t="n">
        <f aca="false">MIN(J247,MAX(0,J276))</f>
        <v>3.02642375024867</v>
      </c>
      <c r="K248" s="1" t="n">
        <f aca="false">MIN(K247,MAX(0,K276))</f>
        <v>4.02373621285258</v>
      </c>
      <c r="L248" s="1" t="n">
        <f aca="false">MIN(L247,MAX(0,L276))</f>
        <v>5.29035812235162</v>
      </c>
      <c r="M248" s="1" t="n">
        <f aca="false">MIN(M247,MAX(0,M276))</f>
        <v>6.82246628953623</v>
      </c>
      <c r="N248" s="1" t="n">
        <f aca="false">MIN(N247,MAX(0,N276))</f>
        <v>8.51699705331105</v>
      </c>
      <c r="O248" s="1" t="n">
        <f aca="false">MIN(O247,MAX(0,O276))</f>
        <v>10.3478426326083</v>
      </c>
      <c r="P248" s="1" t="n">
        <f aca="false">MIN(P247,MAX(0,P276))</f>
        <v>12.2811986383802</v>
      </c>
      <c r="Q248" s="1" t="n">
        <f aca="false">MIN(Q247,MAX(0,Q276))</f>
        <v>14.2595835529676</v>
      </c>
      <c r="R248" s="1" t="n">
        <f aca="false">MIN(R247,MAX(0,R276))</f>
        <v>16.2026693382258</v>
      </c>
      <c r="S248" s="1" t="n">
        <f aca="false">MIN(S247,MAX(0,S276))</f>
        <v>18.0612012878171</v>
      </c>
      <c r="T248" s="1" t="n">
        <f aca="false">MIN(T247,MAX(0,T276))</f>
        <v>19.8149766991559</v>
      </c>
      <c r="U248" s="1" t="n">
        <f aca="false">MIN(U247,MAX(0,U276))</f>
        <v>21.4557428228738</v>
      </c>
      <c r="V248" s="1" t="n">
        <f aca="false">MIN(V247,MAX(0,V276))</f>
        <v>22.991005659942</v>
      </c>
      <c r="W248" s="1" t="n">
        <f aca="false">MIN(W247,MAX(0,W276))</f>
        <v>24.4281590268988</v>
      </c>
      <c r="X248" s="1" t="n">
        <f aca="false">MIN(X247,MAX(0,X276))</f>
        <v>25.7745160456025</v>
      </c>
      <c r="Y248" s="1" t="n">
        <f aca="false">MIN(Y247,MAX(0,Y276))</f>
        <v>27.0367383060789</v>
      </c>
      <c r="Z248" s="1" t="n">
        <f aca="false">MIN(Z247,MAX(0,Z276))</f>
        <v>28.2175764818078</v>
      </c>
      <c r="AA248" s="1" t="n">
        <f aca="false">MIN(AA247,MAX(0,AA276))</f>
        <v>29.3221934279127</v>
      </c>
      <c r="AB248" s="1" t="n">
        <f aca="false">MIN(AB247,MAX(0,AB276))</f>
        <v>30.3560749394743</v>
      </c>
      <c r="AC248" s="1" t="n">
        <f aca="false">MIN(AC247,MAX(0,AC276))</f>
        <v>31.324041370411</v>
      </c>
      <c r="AD248" s="1" t="n">
        <f aca="false">MIN(AD247,MAX(0,AD276))</f>
        <v>32.2306145802684</v>
      </c>
      <c r="AE248" s="1" t="n">
        <f aca="false">MIN(AE247,MAX(0,AE276))</f>
        <v>33.0800006071151</v>
      </c>
      <c r="AF248" s="1" t="n">
        <f aca="false">MIN(AF247,MAX(0,AF276))</f>
        <v>33.8760910671731</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20.8809132944707</v>
      </c>
      <c r="D250" s="1" t="n">
        <f aca="false">D120-D248</f>
        <v>41.1233228570897</v>
      </c>
      <c r="E250" s="1" t="n">
        <f aca="false">E120-E248</f>
        <v>61.7753261551064</v>
      </c>
      <c r="F250" s="1" t="n">
        <f aca="false">F120-F248</f>
        <v>76.8554121506191</v>
      </c>
      <c r="G250" s="1" t="n">
        <f aca="false">G120-G248</f>
        <v>90.5447428949888</v>
      </c>
      <c r="H250" s="1" t="n">
        <f aca="false">H120-H248</f>
        <v>103.425932593087</v>
      </c>
      <c r="I250" s="1" t="n">
        <f aca="false">I120-I248</f>
        <v>115.967704608921</v>
      </c>
      <c r="J250" s="1" t="n">
        <f aca="false">J120-J248</f>
        <v>128.471435301588</v>
      </c>
      <c r="K250" s="1" t="n">
        <f aca="false">K120-K248</f>
        <v>142.356242470847</v>
      </c>
      <c r="L250" s="1" t="n">
        <f aca="false">L120-L248</f>
        <v>157.291410720202</v>
      </c>
      <c r="M250" s="1" t="n">
        <f aca="false">M120-M248</f>
        <v>155.38666796125</v>
      </c>
      <c r="N250" s="1" t="n">
        <f aca="false">N120-N248</f>
        <v>154.186353937811</v>
      </c>
      <c r="O250" s="1" t="n">
        <f aca="false">O120-O248</f>
        <v>153.738618236802</v>
      </c>
      <c r="P250" s="1" t="n">
        <f aca="false">P120-P248</f>
        <v>152.824210391407</v>
      </c>
      <c r="Q250" s="1" t="n">
        <f aca="false">Q120-Q248</f>
        <v>151.724923555346</v>
      </c>
      <c r="R250" s="1" t="n">
        <f aca="false">R120-R248</f>
        <v>151.331276206784</v>
      </c>
      <c r="S250" s="1" t="n">
        <f aca="false">S120-S248</f>
        <v>151.262474519287</v>
      </c>
      <c r="T250" s="1" t="n">
        <f aca="false">T120-T248</f>
        <v>150.990579010587</v>
      </c>
      <c r="U250" s="1" t="n">
        <f aca="false">U120-U248</f>
        <v>150.759642623659</v>
      </c>
      <c r="V250" s="1" t="n">
        <f aca="false">V120-V248</f>
        <v>150.681134168107</v>
      </c>
      <c r="W250" s="1" t="n">
        <f aca="false">W120-W248</f>
        <v>150.749742933327</v>
      </c>
      <c r="X250" s="1" t="n">
        <f aca="false">X120-X248</f>
        <v>150.959692483102</v>
      </c>
      <c r="Y250" s="1" t="n">
        <f aca="false">Y120-Y248</f>
        <v>151.305623661738</v>
      </c>
      <c r="Z250" s="1" t="n">
        <f aca="false">Z120-Z248</f>
        <v>151.913394347372</v>
      </c>
      <c r="AA250" s="1" t="n">
        <f aca="false">AA120-AA248</f>
        <v>152.660859517954</v>
      </c>
      <c r="AB250" s="1" t="n">
        <f aca="false">AB120-AB248</f>
        <v>153.492311871929</v>
      </c>
      <c r="AC250" s="1" t="n">
        <f aca="false">AC120-AC248</f>
        <v>154.440614783472</v>
      </c>
      <c r="AD250" s="1" t="n">
        <f aca="false">AD120-AD248</f>
        <v>155.514600922797</v>
      </c>
      <c r="AE250" s="1" t="n">
        <f aca="false">AE120-AE248</f>
        <v>156.711305934955</v>
      </c>
      <c r="AF250" s="1" t="n">
        <f aca="false">AF120-AF248</f>
        <v>158.028066976871</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0.000210528798838131</v>
      </c>
      <c r="D252" s="1" t="n">
        <f aca="false">IF(D120&gt;0,D248/D120,0)</f>
        <v>0.00293056913667377</v>
      </c>
      <c r="E252" s="1" t="n">
        <f aca="false">IF(E120&gt;0,E248/E120,0)</f>
        <v>0.00509335244154256</v>
      </c>
      <c r="F252" s="1" t="n">
        <f aca="false">IF(F120&gt;0,F248/F120,0)</f>
        <v>0.00855379688077439</v>
      </c>
      <c r="G252" s="1" t="n">
        <f aca="false">IF(G120&gt;0,G248/G120,0)</f>
        <v>0.0115856604784407</v>
      </c>
      <c r="H252" s="1" t="n">
        <f aca="false">IF(H120&gt;0,H248/H120,0)</f>
        <v>0.0148396088286775</v>
      </c>
      <c r="I252" s="1" t="n">
        <f aca="false">IF(I120&gt;0,I248/I120,0)</f>
        <v>0.0186432504483975</v>
      </c>
      <c r="J252" s="1" t="n">
        <f aca="false">IF(J120&gt;0,J248/J120,0)</f>
        <v>0.0230150039861534</v>
      </c>
      <c r="K252" s="1" t="n">
        <f aca="false">IF(K120&gt;0,K248/K120,0)</f>
        <v>0.0274882962071415</v>
      </c>
      <c r="L252" s="1" t="n">
        <f aca="false">IF(L120&gt;0,L248/L120,0)</f>
        <v>0.0325396762503849</v>
      </c>
      <c r="M252" s="1" t="n">
        <f aca="false">IF(M120&gt;0,M248/M120,0)</f>
        <v>0.0420596923906163</v>
      </c>
      <c r="N252" s="1" t="n">
        <f aca="false">IF(N120&gt;0,N248/N120,0)</f>
        <v>0.0523467832803012</v>
      </c>
      <c r="O252" s="1" t="n">
        <f aca="false">IF(O120&gt;0,O248/O120,0)</f>
        <v>0.0630633543912174</v>
      </c>
      <c r="P252" s="1" t="n">
        <f aca="false">IF(P120&gt;0,P248/P120,0)</f>
        <v>0.0743839872391128</v>
      </c>
      <c r="Q252" s="1" t="n">
        <f aca="false">IF(Q120&gt;0,Q248/Q120,0)</f>
        <v>0.0859091236970842</v>
      </c>
      <c r="R252" s="1" t="n">
        <f aca="false">IF(R120&gt;0,R248/R120,0)</f>
        <v>0.0967127544541278</v>
      </c>
      <c r="S252" s="1" t="n">
        <f aca="false">IF(S120&gt;0,S248/S120,0)</f>
        <v>0.106666721010667</v>
      </c>
      <c r="T252" s="1" t="n">
        <f aca="false">IF(T120&gt;0,T248/T120,0)</f>
        <v>0.116008970649809</v>
      </c>
      <c r="U252" s="1" t="n">
        <f aca="false">IF(U120&gt;0,U248/U120,0)</f>
        <v>0.124586678288016</v>
      </c>
      <c r="V252" s="1" t="n">
        <f aca="false">IF(V120&gt;0,V248/V120,0)</f>
        <v>0.13238165708504</v>
      </c>
      <c r="W252" s="1" t="n">
        <f aca="false">IF(W120&gt;0,W248/W120,0)</f>
        <v>0.139447720023757</v>
      </c>
      <c r="X252" s="1" t="n">
        <f aca="false">IF(X120&gt;0,X248/X120,0)</f>
        <v>0.145837731473566</v>
      </c>
      <c r="Y252" s="1" t="n">
        <f aca="false">IF(Y120&gt;0,Y248/Y120,0)</f>
        <v>0.15160020315845</v>
      </c>
      <c r="Z252" s="1" t="n">
        <f aca="false">IF(Z120&gt;0,Z248/Z120,0)</f>
        <v>0.156650332543685</v>
      </c>
      <c r="AA252" s="1" t="n">
        <f aca="false">IF(AA120&gt;0,AA248/AA120,0)</f>
        <v>0.161125956253932</v>
      </c>
      <c r="AB252" s="1" t="n">
        <f aca="false">IF(AB120&gt;0,AB248/AB120,0)</f>
        <v>0.165114720155877</v>
      </c>
      <c r="AC252" s="1" t="n">
        <f aca="false">IF(AC120&gt;0,AC248/AC120,0)</f>
        <v>0.168622180445687</v>
      </c>
      <c r="AD252" s="1" t="n">
        <f aca="false">IF(AD120&gt;0,AD248/AD120,0)</f>
        <v>0.171672095578607</v>
      </c>
      <c r="AE252" s="1" t="n">
        <f aca="false">IF(AE120&gt;0,AE248/AE120,0)</f>
        <v>0.17429671152921</v>
      </c>
      <c r="AF252" s="1" t="n">
        <f aca="false">IF(AF120&gt;0,AF248/AF120,0)</f>
        <v>0.176526092047459</v>
      </c>
    </row>
    <row r="253" customFormat="false" ht="14.25" hidden="false" customHeight="true" outlineLevel="0" collapsed="false">
      <c r="B253" s="1" t="s">
        <v>1249</v>
      </c>
    </row>
    <row r="254" customFormat="false" ht="14.25" hidden="false" customHeight="true" outlineLevel="0" collapsed="false">
      <c r="B254" s="1" t="s">
        <v>1250</v>
      </c>
      <c r="C254" s="116" t="n">
        <f aca="false">C112</f>
        <v>0.0236534055447657</v>
      </c>
      <c r="D254" s="116" t="n">
        <f aca="false">D112</f>
        <v>0.0625411439638284</v>
      </c>
      <c r="E254" s="116" t="n">
        <f aca="false">E112</f>
        <v>0.115361828623874</v>
      </c>
      <c r="F254" s="116" t="n">
        <f aca="false">F112</f>
        <v>0.236282709168833</v>
      </c>
      <c r="G254" s="116" t="n">
        <f aca="false">G112</f>
        <v>0.356586816881412</v>
      </c>
      <c r="H254" s="116" t="n">
        <f aca="false">H112</f>
        <v>0.456024347828507</v>
      </c>
      <c r="I254" s="116" t="n">
        <f aca="false">I112</f>
        <v>0.543012705102579</v>
      </c>
      <c r="J254" s="116" t="n">
        <f aca="false">J112</f>
        <v>0.619238223604973</v>
      </c>
      <c r="K254" s="116" t="n">
        <f aca="false">K112</f>
        <v>0.644409609188697</v>
      </c>
      <c r="L254" s="116" t="n">
        <f aca="false">L112</f>
        <v>0.669601343443599</v>
      </c>
      <c r="M254" s="116" t="n">
        <f aca="false">M112</f>
        <v>0.694326746147219</v>
      </c>
      <c r="N254" s="116" t="n">
        <f aca="false">N112</f>
        <v>0.718648868894921</v>
      </c>
      <c r="O254" s="116" t="n">
        <f aca="false">O112</f>
        <v>0.742367859338289</v>
      </c>
      <c r="P254" s="116" t="n">
        <f aca="false">P112</f>
        <v>0.764366384050808</v>
      </c>
      <c r="Q254" s="116" t="n">
        <f aca="false">Q112</f>
        <v>0.784646686290687</v>
      </c>
      <c r="R254" s="116" t="n">
        <f aca="false">R112</f>
        <v>0.803626458603216</v>
      </c>
      <c r="S254" s="116" t="n">
        <f aca="false">S112</f>
        <v>0.821235851584253</v>
      </c>
      <c r="T254" s="116" t="n">
        <f aca="false">T112</f>
        <v>0.837587452507899</v>
      </c>
      <c r="U254" s="116" t="n">
        <f aca="false">U112</f>
        <v>0.853798204544811</v>
      </c>
      <c r="V254" s="116" t="n">
        <f aca="false">V112</f>
        <v>0.869871973989587</v>
      </c>
      <c r="W254" s="116" t="n">
        <f aca="false">W112</f>
        <v>0.885541859851047</v>
      </c>
      <c r="X254" s="116" t="n">
        <f aca="false">X112</f>
        <v>0.900836648970655</v>
      </c>
      <c r="Y254" s="116" t="n">
        <f aca="false">Y112</f>
        <v>0.915785031059887</v>
      </c>
      <c r="Z254" s="116" t="n">
        <f aca="false">Z112</f>
        <v>0.930415771963958</v>
      </c>
      <c r="AA254" s="116" t="n">
        <f aca="false">AA112</f>
        <v>0.944664485033331</v>
      </c>
      <c r="AB254" s="116" t="n">
        <f aca="false">AB112</f>
        <v>0.958539503825191</v>
      </c>
      <c r="AC254" s="116" t="n">
        <f aca="false">AC112</f>
        <v>0.972066688374796</v>
      </c>
      <c r="AD254" s="116" t="n">
        <f aca="false">AD112</f>
        <v>0.985263549678895</v>
      </c>
      <c r="AE254" s="116" t="n">
        <f aca="false">AE112</f>
        <v>0.998150175118252</v>
      </c>
      <c r="AF254" s="116" t="n">
        <f aca="false">AF112</f>
        <v>1.01074770793705</v>
      </c>
    </row>
    <row r="255" customFormat="false" ht="14.25" hidden="false" customHeight="true" outlineLevel="0" collapsed="false">
      <c r="B255" s="1" t="s">
        <v>1251</v>
      </c>
      <c r="C255" s="1" t="n">
        <f aca="false">MIN(C235,C254)</f>
        <v>0.00184457238860399</v>
      </c>
      <c r="D255" s="1" t="n">
        <f aca="false">MIN(D235,D254)</f>
        <v>0.00654229250523607</v>
      </c>
      <c r="E255" s="1" t="n">
        <f aca="false">MIN(E235,E254)</f>
        <v>0.0148680271225033</v>
      </c>
      <c r="F255" s="1" t="n">
        <f aca="false">MIN(F235,F254)</f>
        <v>0.0307053151176349</v>
      </c>
      <c r="G255" s="1" t="n">
        <f aca="false">MIN(G235,G254)</f>
        <v>0.0535697137661963</v>
      </c>
      <c r="H255" s="1" t="n">
        <f aca="false">MIN(H235,H254)</f>
        <v>0.0811634511270276</v>
      </c>
      <c r="I255" s="1" t="n">
        <f aca="false">MIN(I235,I254)</f>
        <v>0.112053980513675</v>
      </c>
      <c r="J255" s="1" t="n">
        <f aca="false">MIN(J235,J254)</f>
        <v>0.145069806996932</v>
      </c>
      <c r="K255" s="1" t="n">
        <f aca="false">MIN(K235,K254)</f>
        <v>0.175956343288611</v>
      </c>
      <c r="L255" s="1" t="n">
        <f aca="false">MIN(L235,L254)</f>
        <v>0.20485091373291</v>
      </c>
      <c r="M255" s="1" t="n">
        <f aca="false">MIN(M235,M254)</f>
        <v>0.230037413824435</v>
      </c>
      <c r="N255" s="1" t="n">
        <f aca="false">MIN(N235,N254)</f>
        <v>0.250627450825859</v>
      </c>
      <c r="O255" s="1" t="n">
        <f aca="false">MIN(O235,O254)</f>
        <v>0.265958589628317</v>
      </c>
      <c r="P255" s="1" t="n">
        <f aca="false">MIN(P235,P254)</f>
        <v>0.272252471961347</v>
      </c>
      <c r="Q255" s="1" t="n">
        <f aca="false">MIN(Q235,Q254)</f>
        <v>0.270091937741706</v>
      </c>
      <c r="R255" s="1" t="n">
        <f aca="false">MIN(R235,R254)</f>
        <v>0.261866810171276</v>
      </c>
      <c r="S255" s="1" t="n">
        <f aca="false">MIN(S235,S254)</f>
        <v>0.249095750533902</v>
      </c>
      <c r="T255" s="1" t="n">
        <f aca="false">MIN(T235,T254)</f>
        <v>0.233030814566158</v>
      </c>
      <c r="U255" s="1" t="n">
        <f aca="false">MIN(U235,U254)</f>
        <v>0.218001954754249</v>
      </c>
      <c r="V255" s="1" t="n">
        <f aca="false">MIN(V235,V254)</f>
        <v>0.203942351423147</v>
      </c>
      <c r="W255" s="1" t="n">
        <f aca="false">MIN(W235,W254)</f>
        <v>0.190789494300126</v>
      </c>
      <c r="X255" s="1" t="n">
        <f aca="false">MIN(X235,X254)</f>
        <v>0.178484904588418</v>
      </c>
      <c r="Y255" s="1" t="n">
        <f aca="false">MIN(Y235,Y254)</f>
        <v>0.166973874965167</v>
      </c>
      <c r="Z255" s="1" t="n">
        <f aca="false">MIN(Z235,Z254)</f>
        <v>0.15620522634771</v>
      </c>
      <c r="AA255" s="1" t="n">
        <f aca="false">MIN(AA235,AA254)</f>
        <v>0.146131080346727</v>
      </c>
      <c r="AB255" s="1" t="n">
        <f aca="false">MIN(AB235,AB254)</f>
        <v>0.13670664639458</v>
      </c>
      <c r="AC255" s="1" t="n">
        <f aca="false">MIN(AC235,AC254)</f>
        <v>0.127890022602377</v>
      </c>
      <c r="AD255" s="1" t="n">
        <f aca="false">MIN(AD235,AD254)</f>
        <v>0.119642009460375</v>
      </c>
      <c r="AE255" s="1" t="n">
        <f aca="false">MIN(AE235,AE254)</f>
        <v>0.1119259355534</v>
      </c>
      <c r="AF255" s="1" t="n">
        <f aca="false">MIN(AF235,AF254)</f>
        <v>0.104707494516404</v>
      </c>
    </row>
    <row r="256" customFormat="false" ht="14.25" hidden="false" customHeight="true" outlineLevel="0" collapsed="false">
      <c r="B256" s="1" t="s">
        <v>1252</v>
      </c>
      <c r="C256" s="1" t="n">
        <f aca="false">MIN(C254-C255,MAX(0,C107-C108+C109+C110+C184-C229-C235))</f>
        <v>0.0218088331561617</v>
      </c>
      <c r="D256" s="1" t="n">
        <f aca="false">MIN(D254-D255,MAX(0,D107-D108+D109+D110+D184-D229-D235))</f>
        <v>0.0559988514585923</v>
      </c>
      <c r="E256" s="1" t="n">
        <f aca="false">MIN(E254-E255,MAX(0,E107-E108+E109+E110+E184-E229-E235))</f>
        <v>0.100493801501371</v>
      </c>
      <c r="F256" s="1" t="n">
        <f aca="false">MIN(F254-F255,MAX(0,F107-F108+F109+F110+F184-F229-F235))</f>
        <v>0.205577394051198</v>
      </c>
      <c r="G256" s="1" t="n">
        <f aca="false">MIN(G254-G255,MAX(0,G107-G108+G109+G110+G184-G229-G235))</f>
        <v>0.303017103115215</v>
      </c>
      <c r="H256" s="1" t="n">
        <f aca="false">MIN(H254-H255,MAX(0,H107-H108+H109+H110+H184-H229-H235))</f>
        <v>0.37486089670148</v>
      </c>
      <c r="I256" s="1" t="n">
        <f aca="false">MIN(I254-I255,MAX(0,I107-I108+I109+I110+I184-I229-I235))</f>
        <v>0.430958724588904</v>
      </c>
      <c r="J256" s="1" t="n">
        <f aca="false">MIN(J254-J255,MAX(0,J107-J108+J109+J110+J184-J229-J235))</f>
        <v>0.47416841660804</v>
      </c>
      <c r="K256" s="1" t="n">
        <f aca="false">MIN(K254-K255,MAX(0,K107-K108+K109+K110+K184-K229-K235))</f>
        <v>0.468453265900086</v>
      </c>
      <c r="L256" s="1" t="n">
        <f aca="false">MIN(L254-L255,MAX(0,L107-L108+L109+L110+L184-L229-L235))</f>
        <v>0.464750429710689</v>
      </c>
      <c r="M256" s="1" t="n">
        <f aca="false">MIN(M254-M255,MAX(0,M107-M108+M109+M110+M184-M229-M235))</f>
        <v>0.464289332322784</v>
      </c>
      <c r="N256" s="1" t="n">
        <f aca="false">MIN(N254-N255,MAX(0,N107-N108+N109+N110+N184-N229-N235))</f>
        <v>0.468021418069062</v>
      </c>
      <c r="O256" s="1" t="n">
        <f aca="false">MIN(O254-O255,MAX(0,O107-O108+O109+O110+O184-O229-O235))</f>
        <v>0.476409269709972</v>
      </c>
      <c r="P256" s="1" t="n">
        <f aca="false">MIN(P254-P255,MAX(0,P107-P108+P109+P110+P184-P229-P235))</f>
        <v>0.492113912089461</v>
      </c>
      <c r="Q256" s="1" t="n">
        <f aca="false">MIN(Q254-Q255,MAX(0,Q107-Q108+Q109+Q110+Q184-Q229-Q235))</f>
        <v>0.514554748548982</v>
      </c>
      <c r="R256" s="1" t="n">
        <f aca="false">MIN(R254-R255,MAX(0,R107-R108+R109+R110+R184-R229-R235))</f>
        <v>0.54175964843194</v>
      </c>
      <c r="S256" s="1" t="n">
        <f aca="false">MIN(S254-S255,MAX(0,S107-S108+S109+S110+S184-S229-S235))</f>
        <v>0.572140101050351</v>
      </c>
      <c r="T256" s="1" t="n">
        <f aca="false">MIN(T254-T255,MAX(0,T107-T108+T109+T110+T184-T229-T235))</f>
        <v>0.604556637941741</v>
      </c>
      <c r="U256" s="1" t="n">
        <f aca="false">MIN(U254-U255,MAX(0,U107-U108+U109+U110+U184-U229-U235))</f>
        <v>0.635796249790562</v>
      </c>
      <c r="V256" s="1" t="n">
        <f aca="false">MIN(V254-V255,MAX(0,V107-V108+V109+V110+V184-V229-V235))</f>
        <v>0.665929622566441</v>
      </c>
      <c r="W256" s="1" t="n">
        <f aca="false">MIN(W254-W255,MAX(0,W107-W108+W109+W110+W184-W229-W235))</f>
        <v>0.694752365550921</v>
      </c>
      <c r="X256" s="1" t="n">
        <f aca="false">MIN(X254-X255,MAX(0,X107-X108+X109+X110+X184-X229-X235))</f>
        <v>0.722351744382236</v>
      </c>
      <c r="Y256" s="1" t="n">
        <f aca="false">MIN(Y254-Y255,MAX(0,Y107-Y108+Y109+Y110+Y184-Y229-Y235))</f>
        <v>0.74881115609472</v>
      </c>
      <c r="Z256" s="1" t="n">
        <f aca="false">MIN(Z254-Z255,MAX(0,Z107-Z108+Z109+Z110+Z184-Z229-Z235))</f>
        <v>0.774210545616248</v>
      </c>
      <c r="AA256" s="1" t="n">
        <f aca="false">MIN(AA254-AA255,MAX(0,AA107-AA108+AA109+AA110+AA184-AA229-AA235))</f>
        <v>0.798533404686604</v>
      </c>
      <c r="AB256" s="1" t="n">
        <f aca="false">MIN(AB254-AB255,MAX(0,AB107-AB108+AB109+AB110+AB184-AB229-AB235))</f>
        <v>0.821832857430611</v>
      </c>
      <c r="AC256" s="1" t="n">
        <f aca="false">MIN(AC254-AC255,MAX(0,AC107-AC108+AC109+AC110+AC184-AC229-AC235))</f>
        <v>0.844176665772419</v>
      </c>
      <c r="AD256" s="1" t="n">
        <f aca="false">MIN(AD254-AD255,MAX(0,AD107-AD108+AD109+AD110+AD184-AD229-AD235))</f>
        <v>0.86562154021852</v>
      </c>
      <c r="AE256" s="1" t="n">
        <f aca="false">MIN(AE254-AE255,MAX(0,AE107-AE108+AE109+AE110+AE184-AE229-AE235))</f>
        <v>0.886224239564852</v>
      </c>
      <c r="AF256" s="1" t="n">
        <f aca="false">MIN(AF254-AF255,MAX(0,AF107-AF108+AF109+AF110+AF184-AF229-AF235))</f>
        <v>0.906040213420643</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11.1524547186432</v>
      </c>
      <c r="D261" s="1" t="n">
        <f aca="false">(D83-D326)+D181</f>
        <v>29.9549829366536</v>
      </c>
      <c r="E261" s="1" t="n">
        <f aca="false">(E83-E326)+E181</f>
        <v>50.1787978508259</v>
      </c>
      <c r="F261" s="1" t="n">
        <f aca="false">(F83-F326)+F181</f>
        <v>69.7877721103865</v>
      </c>
      <c r="G261" s="1" t="n">
        <f aca="false">(G83-G326)+G181</f>
        <v>89.7803974700442</v>
      </c>
      <c r="H261" s="1" t="n">
        <f aca="false">(H83-H326)+H181</f>
        <v>101.411874001743</v>
      </c>
      <c r="I261" s="1" t="n">
        <f aca="false">(I83-I326)+I181</f>
        <v>113.289368119464</v>
      </c>
      <c r="J261" s="1" t="n">
        <f aca="false">(J83-J326)+J181</f>
        <v>125.44179828428</v>
      </c>
      <c r="K261" s="1" t="n">
        <f aca="false">(K83-K326)+K181</f>
        <v>137.573984801876</v>
      </c>
      <c r="L261" s="1" t="n">
        <f aca="false">(L83-L326)+L181</f>
        <v>150.172066170966</v>
      </c>
      <c r="M261" s="1" t="n">
        <f aca="false">(M83-M326)+M181</f>
        <v>162.048509214741</v>
      </c>
      <c r="N261" s="1" t="n">
        <f aca="false">(N83-N326)+N181</f>
        <v>175.05542529705</v>
      </c>
      <c r="O261" s="1" t="n">
        <f aca="false">(O83-O326)+O181</f>
        <v>189.218374939235</v>
      </c>
      <c r="P261" s="1" t="n">
        <f aca="false">(P83-P326)+P181</f>
        <v>203.276487450001</v>
      </c>
      <c r="Q261" s="1" t="n">
        <f aca="false">(Q83-Q326)+Q181</f>
        <v>217.460390261605</v>
      </c>
      <c r="R261" s="1" t="n">
        <f aca="false">(R83-R326)+R181</f>
        <v>226.947146772878</v>
      </c>
      <c r="S261" s="1" t="n">
        <f aca="false">(S83-S326)+S181</f>
        <v>232.656264082441</v>
      </c>
      <c r="T261" s="1" t="n">
        <f aca="false">(T83-T326)+T181</f>
        <v>238.119891228617</v>
      </c>
      <c r="U261" s="1" t="n">
        <f aca="false">(U83-U326)+U181</f>
        <v>243.589395292888</v>
      </c>
      <c r="V261" s="1" t="n">
        <f aca="false">(V83-V326)+V181</f>
        <v>249.18543622972</v>
      </c>
      <c r="W261" s="1" t="n">
        <f aca="false">(W83-W326)+W181</f>
        <v>254.908430002582</v>
      </c>
      <c r="X261" s="1" t="n">
        <f aca="false">(X83-X326)+X181</f>
        <v>260.761975154697</v>
      </c>
      <c r="Y261" s="1" t="n">
        <f aca="false">(Y83-Y326)+Y181</f>
        <v>266.749468273167</v>
      </c>
      <c r="Z261" s="1" t="n">
        <f aca="false">(Z83-Z326)+Z181</f>
        <v>271.843614143946</v>
      </c>
      <c r="AA261" s="1" t="n">
        <f aca="false">(AA83-AA326)+AA181</f>
        <v>276.480073040901</v>
      </c>
      <c r="AB261" s="1" t="n">
        <f aca="false">(AB83-AB326)+AB181</f>
        <v>281.020094103049</v>
      </c>
      <c r="AC261" s="1" t="n">
        <f aca="false">(AC83-AC326)+AC181</f>
        <v>285.506782951004</v>
      </c>
      <c r="AD261" s="1" t="n">
        <f aca="false">(AD83-AD326)+AD181</f>
        <v>289.956910044547</v>
      </c>
      <c r="AE261" s="1" t="n">
        <f aca="false">(AE83-AE326)+AE181</f>
        <v>294.37572111376</v>
      </c>
      <c r="AF261" s="1" t="n">
        <f aca="false">(AF83-AF326)+AF181</f>
        <v>298.768675242499</v>
      </c>
    </row>
    <row r="262" customFormat="false" ht="14.25" hidden="false" customHeight="true" outlineLevel="0" collapsed="false">
      <c r="B262" s="1" t="s">
        <v>1257</v>
      </c>
      <c r="C262" s="1" t="n">
        <f aca="false">$C$260*C261</f>
        <v>0.557622735932159</v>
      </c>
      <c r="D262" s="1" t="n">
        <f aca="false">$C$260*D261</f>
        <v>1.49774914683268</v>
      </c>
      <c r="E262" s="1" t="n">
        <f aca="false">$C$260*E261</f>
        <v>2.50893989254129</v>
      </c>
      <c r="F262" s="1" t="n">
        <f aca="false">$C$260*F261</f>
        <v>3.48938860551933</v>
      </c>
      <c r="G262" s="1" t="n">
        <f aca="false">$C$260*G261</f>
        <v>4.48901987350221</v>
      </c>
      <c r="H262" s="1" t="n">
        <f aca="false">$C$260*H261</f>
        <v>5.07059370008714</v>
      </c>
      <c r="I262" s="1" t="n">
        <f aca="false">$C$260*I261</f>
        <v>5.66446840597319</v>
      </c>
      <c r="J262" s="1" t="n">
        <f aca="false">$C$260*J261</f>
        <v>6.272089914214</v>
      </c>
      <c r="K262" s="1" t="n">
        <f aca="false">$C$260*K261</f>
        <v>6.87869924009378</v>
      </c>
      <c r="L262" s="1" t="n">
        <f aca="false">$C$260*L261</f>
        <v>7.50860330854831</v>
      </c>
      <c r="M262" s="1" t="n">
        <f aca="false">$C$260*M261</f>
        <v>8.10242546073705</v>
      </c>
      <c r="N262" s="1" t="n">
        <f aca="false">$C$260*N261</f>
        <v>8.75277126485248</v>
      </c>
      <c r="O262" s="1" t="n">
        <f aca="false">$C$260*O261</f>
        <v>9.46091874696175</v>
      </c>
      <c r="P262" s="1" t="n">
        <f aca="false">$C$260*P261</f>
        <v>10.1638243725001</v>
      </c>
      <c r="Q262" s="1" t="n">
        <f aca="false">$C$260*Q261</f>
        <v>10.8730195130803</v>
      </c>
      <c r="R262" s="1" t="n">
        <f aca="false">$C$260*R261</f>
        <v>11.3473573386439</v>
      </c>
      <c r="S262" s="1" t="n">
        <f aca="false">$C$260*S261</f>
        <v>11.6328132041221</v>
      </c>
      <c r="T262" s="1" t="n">
        <f aca="false">$C$260*T261</f>
        <v>11.9059945614309</v>
      </c>
      <c r="U262" s="1" t="n">
        <f aca="false">$C$260*U261</f>
        <v>12.1794697646444</v>
      </c>
      <c r="V262" s="1" t="n">
        <f aca="false">$C$260*V261</f>
        <v>12.459271811486</v>
      </c>
      <c r="W262" s="1" t="n">
        <f aca="false">$C$260*W261</f>
        <v>12.7454215001291</v>
      </c>
      <c r="X262" s="1" t="n">
        <f aca="false">$C$260*X261</f>
        <v>13.0380987577349</v>
      </c>
      <c r="Y262" s="1" t="n">
        <f aca="false">$C$260*Y261</f>
        <v>13.3374734136584</v>
      </c>
      <c r="Z262" s="1" t="n">
        <f aca="false">$C$260*Z261</f>
        <v>13.5921807071973</v>
      </c>
      <c r="AA262" s="1" t="n">
        <f aca="false">$C$260*AA261</f>
        <v>13.8240036520451</v>
      </c>
      <c r="AB262" s="1" t="n">
        <f aca="false">$C$260*AB261</f>
        <v>14.0510047051525</v>
      </c>
      <c r="AC262" s="1" t="n">
        <f aca="false">$C$260*AC261</f>
        <v>14.2753391475502</v>
      </c>
      <c r="AD262" s="1" t="n">
        <f aca="false">$C$260*AD261</f>
        <v>14.4978455022273</v>
      </c>
      <c r="AE262" s="1" t="n">
        <f aca="false">$C$260*AE261</f>
        <v>14.718786055688</v>
      </c>
      <c r="AF262" s="1" t="n">
        <f aca="false">$C$260*AF261</f>
        <v>14.938433762125</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0.200844001085421</v>
      </c>
      <c r="F263" s="1" t="n">
        <f aca="false">MAX(0,(F70+E121-E227)*0.25/0.55)</f>
        <v>7.71839087457163</v>
      </c>
      <c r="G263" s="1" t="n">
        <f aca="false">MAX(0,(G70+F121-F227)*0.25/0.55)</f>
        <v>15.0974415405543</v>
      </c>
      <c r="H263" s="1" t="n">
        <f aca="false">MAX(0,(H70+G121-G227)*0.25/0.55)</f>
        <v>22.47796691736</v>
      </c>
      <c r="I263" s="1" t="n">
        <f aca="false">MAX(0,(I70+H121-H227)*0.25/0.55)</f>
        <v>29.8600190622809</v>
      </c>
      <c r="J263" s="1" t="n">
        <f aca="false">MAX(0,(J70+I121-I227)*0.25/0.55)</f>
        <v>37.2436518702314</v>
      </c>
      <c r="K263" s="1" t="n">
        <f aca="false">MAX(0,(K70+J121-J227)*0.25/0.55)</f>
        <v>40.4317980256451</v>
      </c>
      <c r="L263" s="1" t="n">
        <f aca="false">MAX(0,(L70+K121-K227)*0.25/0.55)</f>
        <v>43.6199441810587</v>
      </c>
      <c r="M263" s="1" t="n">
        <f aca="false">MAX(0,(M70+L121-L227)*0.25/0.55)</f>
        <v>44.8906595552362</v>
      </c>
      <c r="N263" s="1" t="n">
        <f aca="false">MAX(0,(N70+M121-M227)*0.25/0.55)</f>
        <v>46.285835862171</v>
      </c>
      <c r="O263" s="1" t="n">
        <f aca="false">MAX(0,(O70+N121-N227)*0.25/0.55)</f>
        <v>47.8522542191613</v>
      </c>
      <c r="P263" s="1" t="n">
        <f aca="false">MAX(0,(P70+O121-O227)*0.25/0.55)</f>
        <v>49.5898636034712</v>
      </c>
      <c r="Q263" s="1" t="n">
        <f aca="false">MAX(0,(Q70+P121-P227)*0.25/0.55)</f>
        <v>51.4994509812202</v>
      </c>
      <c r="R263" s="1" t="n">
        <f aca="false">MAX(0,(R70+Q121-Q227)*0.25/0.55)</f>
        <v>53.546457450902</v>
      </c>
      <c r="S263" s="1" t="n">
        <f aca="false">MAX(0,(S70+R121-R227)*0.25/0.55)</f>
        <v>55.6087429982043</v>
      </c>
      <c r="T263" s="1" t="n">
        <f aca="false">MAX(0,(T70+S121-S227)*0.25/0.55)</f>
        <v>57.6217920771911</v>
      </c>
      <c r="U263" s="1" t="n">
        <f aca="false">MAX(0,(U70+T121-T227)*0.25/0.55)</f>
        <v>59.5892852866841</v>
      </c>
      <c r="V263" s="1" t="n">
        <f aca="false">MAX(0,(V70+U121-U227)*0.25/0.55)</f>
        <v>61.5139572811767</v>
      </c>
      <c r="W263" s="1" t="n">
        <f aca="false">MAX(0,(W70+V121-V227)*0.25/0.55)</f>
        <v>63.4021958169078</v>
      </c>
      <c r="X263" s="1" t="n">
        <f aca="false">MAX(0,(X70+W121-W227)*0.25/0.55)</f>
        <v>65.2623350837611</v>
      </c>
      <c r="Y263" s="1" t="n">
        <f aca="false">MAX(0,(Y70+X121-X227)*0.25/0.55)</f>
        <v>67.1026846161973</v>
      </c>
      <c r="Z263" s="1" t="n">
        <f aca="false">MAX(0,(Z70+Y121-Y227)*0.25/0.55)</f>
        <v>68.9315691412453</v>
      </c>
      <c r="AA263" s="1" t="n">
        <f aca="false">MAX(0,(AA70+Z121-Z227)*0.25/0.55)</f>
        <v>70.7361407122546</v>
      </c>
      <c r="AB263" s="1" t="n">
        <f aca="false">MAX(0,(AB70+AA121-AA227)*0.25/0.55)</f>
        <v>72.5185304967909</v>
      </c>
      <c r="AC263" s="1" t="n">
        <f aca="false">MAX(0,(AC70+AB121-AB227)*0.25/0.55)</f>
        <v>74.284852187138</v>
      </c>
      <c r="AD263" s="1" t="n">
        <f aca="false">MAX(0,(AD70+AC121-AC227)*0.25/0.55)</f>
        <v>76.0393216309478</v>
      </c>
      <c r="AE263" s="1" t="n">
        <f aca="false">MAX(0,(AE70+AD121-AD227)*0.25/0.55)</f>
        <v>77.7867403040183</v>
      </c>
      <c r="AF263" s="1" t="n">
        <f aca="false">MAX(0,(AF70+AE121-AE227)*0.25/0.55)</f>
        <v>79.5321501528353</v>
      </c>
    </row>
    <row r="264" customFormat="false" ht="14.25" hidden="false" customHeight="true" outlineLevel="0" collapsed="false">
      <c r="B264" s="1" t="s">
        <v>1259</v>
      </c>
      <c r="C264" s="1" t="n">
        <f aca="false">MAX(0,C262-C263)</f>
        <v>0.521259099568523</v>
      </c>
      <c r="D264" s="1" t="n">
        <f aca="false">MAX(0,D262-D263)</f>
        <v>1.42373823774177</v>
      </c>
      <c r="E264" s="1" t="n">
        <f aca="false">MAX(0,E262-E263)</f>
        <v>2.30809589145587</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0.0130314774892131</v>
      </c>
      <c r="D265" s="1" t="n">
        <f aca="false">D264*MAX(0,$C$10-01_Supuestos!$I$134)</f>
        <v>0.0355934559435443</v>
      </c>
      <c r="E265" s="1" t="n">
        <f aca="false">E264*MAX(0,$C$10-01_Supuestos!$I$134)</f>
        <v>0.0577023972863968</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15.3346252381344</v>
      </c>
      <c r="D266" s="1" t="n">
        <f aca="false">IF(D263&gt;0,D262/D263,0)</f>
        <v>20.2368700132161</v>
      </c>
      <c r="E266" s="1" t="n">
        <f aca="false">IF(E263&gt;0,E262/E263,0)</f>
        <v>12.4919832256987</v>
      </c>
      <c r="F266" s="1" t="n">
        <f aca="false">IF(F263&gt;0,F262/F263,0)</f>
        <v>0.452087573980631</v>
      </c>
      <c r="G266" s="1" t="n">
        <f aca="false">IF(G263&gt;0,G262/G263,0)</f>
        <v>0.297336463363275</v>
      </c>
      <c r="H266" s="1" t="n">
        <f aca="false">IF(H263&gt;0,H262/H263,0)</f>
        <v>0.225580619400727</v>
      </c>
      <c r="I266" s="1" t="n">
        <f aca="false">IF(I263&gt;0,I262/I263,0)</f>
        <v>0.189700763223173</v>
      </c>
      <c r="J266" s="1" t="n">
        <f aca="false">IF(J263&gt;0,J262/J263,0)</f>
        <v>0.168406952574574</v>
      </c>
      <c r="K266" s="1" t="n">
        <f aca="false">IF(K263&gt;0,K262/K263,0)</f>
        <v>0.170130926053073</v>
      </c>
      <c r="L266" s="1" t="n">
        <f aca="false">IF(L263&gt;0,L262/L263,0)</f>
        <v>0.172136930698064</v>
      </c>
      <c r="M266" s="1" t="n">
        <f aca="false">IF(M263&gt;0,M262/M263,0)</f>
        <v>0.180492457473638</v>
      </c>
      <c r="N266" s="1" t="n">
        <f aca="false">IF(N263&gt;0,N262/N263,0)</f>
        <v>0.189102586175959</v>
      </c>
      <c r="O266" s="1" t="n">
        <f aca="false">IF(O263&gt;0,O262/O263,0)</f>
        <v>0.197711035798463</v>
      </c>
      <c r="P266" s="1" t="n">
        <f aca="false">IF(P263&gt;0,P262/P263,0)</f>
        <v>0.2049576996979</v>
      </c>
      <c r="Q266" s="1" t="n">
        <f aca="false">IF(Q263&gt;0,Q262/Q263,0)</f>
        <v>0.211128843238449</v>
      </c>
      <c r="R266" s="1" t="n">
        <f aca="false">IF(R263&gt;0,R262/R263,0)</f>
        <v>0.21191611693544</v>
      </c>
      <c r="S266" s="1" t="n">
        <f aca="false">IF(S263&gt;0,S262/S263,0)</f>
        <v>0.209190364265161</v>
      </c>
      <c r="T266" s="1" t="n">
        <f aca="false">IF(T263&gt;0,T262/T263,0)</f>
        <v>0.206623121777979</v>
      </c>
      <c r="U266" s="1" t="n">
        <f aca="false">IF(U263&gt;0,U262/U263,0)</f>
        <v>0.20439026422366</v>
      </c>
      <c r="V266" s="1" t="n">
        <f aca="false">IF(V263&gt;0,V262/V263,0)</f>
        <v>0.202543818706629</v>
      </c>
      <c r="W266" s="1" t="n">
        <f aca="false">IF(W263&gt;0,W262/W263,0)</f>
        <v>0.201024922495353</v>
      </c>
      <c r="X266" s="1" t="n">
        <f aca="false">IF(X263&gt;0,X262/X263,0)</f>
        <v>0.19977983841677</v>
      </c>
      <c r="Y266" s="1" t="n">
        <f aca="false">IF(Y263&gt;0,Y262/Y263,0)</f>
        <v>0.198762143272565</v>
      </c>
      <c r="Z266" s="1" t="n">
        <f aca="false">IF(Z263&gt;0,Z262/Z263,0)</f>
        <v>0.197183683420089</v>
      </c>
      <c r="AA266" s="1" t="n">
        <f aca="false">IF(AA263&gt;0,AA262/AA263,0)</f>
        <v>0.195430560854024</v>
      </c>
      <c r="AB266" s="1" t="n">
        <f aca="false">IF(AB263&gt;0,AB262/AB263,0)</f>
        <v>0.19375743839396</v>
      </c>
      <c r="AC266" s="1" t="n">
        <f aca="false">IF(AC263&gt;0,AC262/AC263,0)</f>
        <v>0.19217025715536</v>
      </c>
      <c r="AD266" s="1" t="n">
        <f aca="false">IF(AD263&gt;0,AD262/AD263,0)</f>
        <v>0.190662478192425</v>
      </c>
      <c r="AE266" s="1" t="n">
        <f aca="false">IF(AE263&gt;0,AE262/AE263,0)</f>
        <v>0.18921973074282</v>
      </c>
      <c r="AF266" s="1" t="n">
        <f aca="false">IF(AF263&gt;0,AF262/AF263,0)</f>
        <v>0.187828868368554</v>
      </c>
    </row>
    <row r="267" customFormat="false" ht="14.25" hidden="false" customHeight="true" outlineLevel="0" collapsed="false">
      <c r="B267" s="1" t="s">
        <v>1262</v>
      </c>
      <c r="C267" s="1" t="n">
        <f aca="false">C120-C264</f>
        <v>20.3640511541832</v>
      </c>
      <c r="D267" s="1" t="n">
        <f aca="false">D120-D264</f>
        <v>39.8204535749412</v>
      </c>
      <c r="E267" s="1" t="n">
        <f aca="false">E120-E264</f>
        <v>59.7834845665757</v>
      </c>
      <c r="F267" s="1" t="n">
        <f aca="false">F120-F264</f>
        <v>77.5184895648614</v>
      </c>
      <c r="G267" s="1" t="n">
        <f aca="false">G120-G264</f>
        <v>91.6060595992738</v>
      </c>
      <c r="H267" s="1" t="n">
        <f aca="false">H120-H264</f>
        <v>104.983851888439</v>
      </c>
      <c r="I267" s="1" t="n">
        <f aca="false">I120-I264</f>
        <v>118.170792285179</v>
      </c>
      <c r="J267" s="1" t="n">
        <f aca="false">J120-J264</f>
        <v>131.497859051837</v>
      </c>
      <c r="K267" s="1" t="n">
        <f aca="false">K120-K264</f>
        <v>146.379978683699</v>
      </c>
      <c r="L267" s="1" t="n">
        <f aca="false">L120-L264</f>
        <v>162.581768842554</v>
      </c>
      <c r="M267" s="1" t="n">
        <f aca="false">M120-M264</f>
        <v>162.209134250786</v>
      </c>
      <c r="N267" s="1" t="n">
        <f aca="false">N120-N264</f>
        <v>162.703350991122</v>
      </c>
      <c r="O267" s="1" t="n">
        <f aca="false">O120-O264</f>
        <v>164.086460869411</v>
      </c>
      <c r="P267" s="1" t="n">
        <f aca="false">P120-P264</f>
        <v>165.105409029787</v>
      </c>
      <c r="Q267" s="1" t="n">
        <f aca="false">Q120-Q264</f>
        <v>165.984507108313</v>
      </c>
      <c r="R267" s="1" t="n">
        <f aca="false">R120-R264</f>
        <v>167.53394554501</v>
      </c>
      <c r="S267" s="1" t="n">
        <f aca="false">S120-S264</f>
        <v>169.323675807104</v>
      </c>
      <c r="T267" s="1" t="n">
        <f aca="false">T120-T264</f>
        <v>170.805555709743</v>
      </c>
      <c r="U267" s="1" t="n">
        <f aca="false">U120-U264</f>
        <v>172.215385446533</v>
      </c>
      <c r="V267" s="1" t="n">
        <f aca="false">V120-V264</f>
        <v>173.67213982805</v>
      </c>
      <c r="W267" s="1" t="n">
        <f aca="false">W120-W264</f>
        <v>175.177901960226</v>
      </c>
      <c r="X267" s="1" t="n">
        <f aca="false">X120-X264</f>
        <v>176.734208528705</v>
      </c>
      <c r="Y267" s="1" t="n">
        <f aca="false">Y120-Y264</f>
        <v>178.342361967817</v>
      </c>
      <c r="Z267" s="1" t="n">
        <f aca="false">Z120-Z264</f>
        <v>180.13097082918</v>
      </c>
      <c r="AA267" s="1" t="n">
        <f aca="false">AA120-AA264</f>
        <v>181.983052945867</v>
      </c>
      <c r="AB267" s="1" t="n">
        <f aca="false">AB120-AB264</f>
        <v>183.848386811403</v>
      </c>
      <c r="AC267" s="1" t="n">
        <f aca="false">AC120-AC264</f>
        <v>185.764656153883</v>
      </c>
      <c r="AD267" s="1" t="n">
        <f aca="false">AD120-AD264</f>
        <v>187.745215503065</v>
      </c>
      <c r="AE267" s="1" t="n">
        <f aca="false">AE120-AE264</f>
        <v>189.79130654207</v>
      </c>
      <c r="AF267" s="1" t="n">
        <f aca="false">AF120-AF264</f>
        <v>191.904158044044</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0.557622735932159</v>
      </c>
      <c r="D270" s="1" t="n">
        <f aca="false">01_Supuestos!$C$173*D261</f>
        <v>1.49774914683268</v>
      </c>
      <c r="E270" s="1" t="n">
        <f aca="false">01_Supuestos!$C$173*E261</f>
        <v>2.50893989254129</v>
      </c>
      <c r="F270" s="1" t="n">
        <f aca="false">01_Supuestos!$C$173*F261</f>
        <v>3.48938860551933</v>
      </c>
      <c r="G270" s="1" t="n">
        <f aca="false">01_Supuestos!$C$173*G261</f>
        <v>4.48901987350221</v>
      </c>
      <c r="H270" s="1" t="n">
        <f aca="false">01_Supuestos!$C$173*H261</f>
        <v>5.07059370008714</v>
      </c>
      <c r="I270" s="1" t="n">
        <f aca="false">01_Supuestos!$C$173*I261</f>
        <v>5.66446840597319</v>
      </c>
      <c r="J270" s="1" t="n">
        <f aca="false">01_Supuestos!$C$173*J261</f>
        <v>6.272089914214</v>
      </c>
      <c r="K270" s="1" t="n">
        <f aca="false">01_Supuestos!$C$173*K261</f>
        <v>6.87869924009378</v>
      </c>
      <c r="L270" s="1" t="n">
        <f aca="false">01_Supuestos!$C$173*L261</f>
        <v>7.50860330854831</v>
      </c>
      <c r="M270" s="1" t="n">
        <f aca="false">01_Supuestos!$C$173*M261</f>
        <v>8.10242546073705</v>
      </c>
      <c r="N270" s="1" t="n">
        <f aca="false">01_Supuestos!$C$173*N261</f>
        <v>8.75277126485248</v>
      </c>
      <c r="O270" s="1" t="n">
        <f aca="false">01_Supuestos!$C$173*O261</f>
        <v>9.46091874696175</v>
      </c>
      <c r="P270" s="1" t="n">
        <f aca="false">01_Supuestos!$C$173*P261</f>
        <v>10.1638243725001</v>
      </c>
      <c r="Q270" s="1" t="n">
        <f aca="false">01_Supuestos!$C$173*Q261</f>
        <v>10.8730195130803</v>
      </c>
      <c r="R270" s="1" t="n">
        <f aca="false">01_Supuestos!$C$173*R261</f>
        <v>11.3473573386439</v>
      </c>
      <c r="S270" s="1" t="n">
        <f aca="false">01_Supuestos!$C$173*S261</f>
        <v>11.6328132041221</v>
      </c>
      <c r="T270" s="1" t="n">
        <f aca="false">01_Supuestos!$C$173*T261</f>
        <v>11.9059945614309</v>
      </c>
      <c r="U270" s="1" t="n">
        <f aca="false">01_Supuestos!$C$173*U261</f>
        <v>12.1794697646444</v>
      </c>
      <c r="V270" s="1" t="n">
        <f aca="false">01_Supuestos!$C$173*V261</f>
        <v>12.459271811486</v>
      </c>
      <c r="W270" s="1" t="n">
        <f aca="false">01_Supuestos!$C$173*W261</f>
        <v>12.7454215001291</v>
      </c>
      <c r="X270" s="1" t="n">
        <f aca="false">01_Supuestos!$C$173*X261</f>
        <v>13.0380987577349</v>
      </c>
      <c r="Y270" s="1" t="n">
        <f aca="false">01_Supuestos!$C$173*Y261</f>
        <v>13.3374734136584</v>
      </c>
      <c r="Z270" s="1" t="n">
        <f aca="false">01_Supuestos!$C$173*Z261</f>
        <v>13.5921807071973</v>
      </c>
      <c r="AA270" s="1" t="n">
        <f aca="false">01_Supuestos!$C$173*AA261</f>
        <v>13.8240036520451</v>
      </c>
      <c r="AB270" s="1" t="n">
        <f aca="false">01_Supuestos!$C$173*AB261</f>
        <v>14.0510047051525</v>
      </c>
      <c r="AC270" s="1" t="n">
        <f aca="false">01_Supuestos!$C$173*AC261</f>
        <v>14.2753391475502</v>
      </c>
      <c r="AD270" s="1" t="n">
        <f aca="false">01_Supuestos!$C$173*AD261</f>
        <v>14.4978455022273</v>
      </c>
      <c r="AE270" s="1" t="n">
        <f aca="false">01_Supuestos!$C$173*AE261</f>
        <v>14.718786055688</v>
      </c>
      <c r="AF270" s="1" t="n">
        <f aca="false">01_Supuestos!$C$173*AF261</f>
        <v>14.938433762125</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0.200844001085421</v>
      </c>
      <c r="F271" s="1" t="n">
        <f aca="false">MIN(F270,F263)</f>
        <v>3.48938860551933</v>
      </c>
      <c r="G271" s="1" t="n">
        <f aca="false">MIN(G270,G263)</f>
        <v>4.48901987350221</v>
      </c>
      <c r="H271" s="1" t="n">
        <f aca="false">MIN(H270,H263)</f>
        <v>5.07059370008714</v>
      </c>
      <c r="I271" s="1" t="n">
        <f aca="false">MIN(I270,I263)</f>
        <v>5.66446840597319</v>
      </c>
      <c r="J271" s="1" t="n">
        <f aca="false">MIN(J270,J263)</f>
        <v>6.272089914214</v>
      </c>
      <c r="K271" s="1" t="n">
        <f aca="false">MIN(K270,K263)</f>
        <v>6.87869924009378</v>
      </c>
      <c r="L271" s="1" t="n">
        <f aca="false">MIN(L270,L263)</f>
        <v>7.50860330854831</v>
      </c>
      <c r="M271" s="1" t="n">
        <f aca="false">MIN(M270,M263)</f>
        <v>8.10242546073705</v>
      </c>
      <c r="N271" s="1" t="n">
        <f aca="false">MIN(N270,N263)</f>
        <v>8.75277126485248</v>
      </c>
      <c r="O271" s="1" t="n">
        <f aca="false">MIN(O270,O263)</f>
        <v>9.46091874696175</v>
      </c>
      <c r="P271" s="1" t="n">
        <f aca="false">MIN(P270,P263)</f>
        <v>10.1638243725001</v>
      </c>
      <c r="Q271" s="1" t="n">
        <f aca="false">MIN(Q270,Q263)</f>
        <v>10.8730195130803</v>
      </c>
      <c r="R271" s="1" t="n">
        <f aca="false">MIN(R270,R263)</f>
        <v>11.3473573386439</v>
      </c>
      <c r="S271" s="1" t="n">
        <f aca="false">MIN(S270,S263)</f>
        <v>11.6328132041221</v>
      </c>
      <c r="T271" s="1" t="n">
        <f aca="false">MIN(T270,T263)</f>
        <v>11.9059945614309</v>
      </c>
      <c r="U271" s="1" t="n">
        <f aca="false">MIN(U270,U263)</f>
        <v>12.1794697646444</v>
      </c>
      <c r="V271" s="1" t="n">
        <f aca="false">MIN(V270,V263)</f>
        <v>12.459271811486</v>
      </c>
      <c r="W271" s="1" t="n">
        <f aca="false">MIN(W270,W263)</f>
        <v>12.7454215001291</v>
      </c>
      <c r="X271" s="1" t="n">
        <f aca="false">MIN(X270,X263)</f>
        <v>13.0380987577349</v>
      </c>
      <c r="Y271" s="1" t="n">
        <f aca="false">MIN(Y270,Y263)</f>
        <v>13.3374734136584</v>
      </c>
      <c r="Z271" s="1" t="n">
        <f aca="false">MIN(Z270,Z263)</f>
        <v>13.5921807071973</v>
      </c>
      <c r="AA271" s="1" t="n">
        <f aca="false">MIN(AA270,AA263)</f>
        <v>13.8240036520451</v>
      </c>
      <c r="AB271" s="1" t="n">
        <f aca="false">MIN(AB270,AB263)</f>
        <v>14.0510047051525</v>
      </c>
      <c r="AC271" s="1" t="n">
        <f aca="false">MIN(AC270,AC263)</f>
        <v>14.2753391475502</v>
      </c>
      <c r="AD271" s="1" t="n">
        <f aca="false">MIN(AD270,AD263)</f>
        <v>14.4978455022273</v>
      </c>
      <c r="AE271" s="1" t="n">
        <f aca="false">MIN(AE270,AE263)</f>
        <v>14.718786055688</v>
      </c>
      <c r="AF271" s="1" t="n">
        <f aca="false">MIN(AF270,AF263)</f>
        <v>14.938433762125</v>
      </c>
    </row>
    <row r="272" customFormat="false" ht="14.25" hidden="false" customHeight="true" outlineLevel="0" collapsed="false">
      <c r="B272" s="1" t="s">
        <v>1267</v>
      </c>
      <c r="C272" s="1" t="n">
        <f aca="false">MIN(C270-C271,MAX(0,C120))</f>
        <v>0.521259099568523</v>
      </c>
      <c r="D272" s="1" t="n">
        <f aca="false">MIN(D270-D271,MAX(0,D120))</f>
        <v>1.42373823774177</v>
      </c>
      <c r="E272" s="1" t="n">
        <f aca="false">MIN(E270-E271,MAX(0,E120))</f>
        <v>2.30809589145587</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0.0149774914683268</v>
      </c>
      <c r="E274" s="1" t="n">
        <f aca="false">IF(01_Supuestos!$C$174="Sí",01_Supuestos!$C$172*E271,01_Supuestos!$I$134*(E271+MIN(MIN(E270-E271,MAX(0,D120)),E264))+$C$10*MAX(0,MIN(E270-E271,MAX(0,D120))-E264))</f>
        <v>0.0250893989254129</v>
      </c>
      <c r="F274" s="1" t="n">
        <f aca="false">IF(01_Supuestos!$C$174="Sí",01_Supuestos!$C$172*F271,01_Supuestos!$I$134*(F271+MIN(MIN(F270-F271,MAX(0,E120)),F264))+$C$10*MAX(0,MIN(F270-F271,MAX(0,E120))-F264))</f>
        <v>0.0348938860551933</v>
      </c>
      <c r="G274" s="1" t="n">
        <f aca="false">IF(01_Supuestos!$C$174="Sí",01_Supuestos!$C$172*G271,01_Supuestos!$I$134*(G271+MIN(MIN(G270-G271,MAX(0,F120)),G264))+$C$10*MAX(0,MIN(G270-G271,MAX(0,F120))-G264))</f>
        <v>0.0448901987350221</v>
      </c>
      <c r="H274" s="1" t="n">
        <f aca="false">IF(01_Supuestos!$C$174="Sí",01_Supuestos!$C$172*H271,01_Supuestos!$I$134*(H271+MIN(MIN(H270-H271,MAX(0,G120)),H264))+$C$10*MAX(0,MIN(H270-H271,MAX(0,G120))-H264))</f>
        <v>0.0507059370008714</v>
      </c>
      <c r="I274" s="1" t="n">
        <f aca="false">IF(01_Supuestos!$C$174="Sí",01_Supuestos!$C$172*I271,01_Supuestos!$I$134*(I271+MIN(MIN(I270-I271,MAX(0,H120)),I264))+$C$10*MAX(0,MIN(I270-I271,MAX(0,H120))-I264))</f>
        <v>0.0566446840597319</v>
      </c>
      <c r="J274" s="1" t="n">
        <f aca="false">IF(01_Supuestos!$C$174="Sí",01_Supuestos!$C$172*J271,01_Supuestos!$I$134*(J271+MIN(MIN(J270-J271,MAX(0,I120)),J264))+$C$10*MAX(0,MIN(J270-J271,MAX(0,I120))-J264))</f>
        <v>0.06272089914214</v>
      </c>
      <c r="K274" s="1" t="n">
        <f aca="false">IF(01_Supuestos!$C$174="Sí",01_Supuestos!$C$172*K271,01_Supuestos!$I$134*(K271+MIN(MIN(K270-K271,MAX(0,J120)),K264))+$C$10*MAX(0,MIN(K270-K271,MAX(0,J120))-K264))</f>
        <v>0.0687869924009378</v>
      </c>
      <c r="L274" s="1" t="n">
        <f aca="false">IF(01_Supuestos!$C$174="Sí",01_Supuestos!$C$172*L271,01_Supuestos!$I$134*(L271+MIN(MIN(L270-L271,MAX(0,K120)),L264))+$C$10*MAX(0,MIN(L270-L271,MAX(0,K120))-L264))</f>
        <v>0.0750860330854831</v>
      </c>
      <c r="M274" s="1" t="n">
        <f aca="false">IF(01_Supuestos!$C$174="Sí",01_Supuestos!$C$172*M271,01_Supuestos!$I$134*(M271+MIN(MIN(M270-M271,MAX(0,L120)),M264))+$C$10*MAX(0,MIN(M270-M271,MAX(0,L120))-M264))</f>
        <v>0.0810242546073705</v>
      </c>
      <c r="N274" s="1" t="n">
        <f aca="false">IF(01_Supuestos!$C$174="Sí",01_Supuestos!$C$172*N271,01_Supuestos!$I$134*(N271+MIN(MIN(N270-N271,MAX(0,M120)),N264))+$C$10*MAX(0,MIN(N270-N271,MAX(0,M120))-N264))</f>
        <v>0.0875277126485248</v>
      </c>
      <c r="O274" s="1" t="n">
        <f aca="false">IF(01_Supuestos!$C$174="Sí",01_Supuestos!$C$172*O271,01_Supuestos!$I$134*(O271+MIN(MIN(O270-O271,MAX(0,N120)),O264))+$C$10*MAX(0,MIN(O270-O271,MAX(0,N120))-O264))</f>
        <v>0.0946091874696175</v>
      </c>
      <c r="P274" s="1" t="n">
        <f aca="false">IF(01_Supuestos!$C$174="Sí",01_Supuestos!$C$172*P271,01_Supuestos!$I$134*(P271+MIN(MIN(P270-P271,MAX(0,O120)),P264))+$C$10*MAX(0,MIN(P270-P271,MAX(0,O120))-P264))</f>
        <v>0.101638243725001</v>
      </c>
      <c r="Q274" s="1" t="n">
        <f aca="false">IF(01_Supuestos!$C$174="Sí",01_Supuestos!$C$172*Q271,01_Supuestos!$I$134*(Q271+MIN(MIN(Q270-Q271,MAX(0,P120)),Q264))+$C$10*MAX(0,MIN(Q270-Q271,MAX(0,P120))-Q264))</f>
        <v>0.108730195130803</v>
      </c>
      <c r="R274" s="1" t="n">
        <f aca="false">IF(01_Supuestos!$C$174="Sí",01_Supuestos!$C$172*R271,01_Supuestos!$I$134*(R271+MIN(MIN(R270-R271,MAX(0,Q120)),R264))+$C$10*MAX(0,MIN(R270-R271,MAX(0,Q120))-R264))</f>
        <v>0.113473573386439</v>
      </c>
      <c r="S274" s="1" t="n">
        <f aca="false">IF(01_Supuestos!$C$174="Sí",01_Supuestos!$C$172*S271,01_Supuestos!$I$134*(S271+MIN(MIN(S270-S271,MAX(0,R120)),S264))+$C$10*MAX(0,MIN(S270-S271,MAX(0,R120))-S264))</f>
        <v>0.116328132041221</v>
      </c>
      <c r="T274" s="1" t="n">
        <f aca="false">IF(01_Supuestos!$C$174="Sí",01_Supuestos!$C$172*T271,01_Supuestos!$I$134*(T271+MIN(MIN(T270-T271,MAX(0,S120)),T264))+$C$10*MAX(0,MIN(T270-T271,MAX(0,S120))-T264))</f>
        <v>0.119059945614309</v>
      </c>
      <c r="U274" s="1" t="n">
        <f aca="false">IF(01_Supuestos!$C$174="Sí",01_Supuestos!$C$172*U271,01_Supuestos!$I$134*(U271+MIN(MIN(U270-U271,MAX(0,T120)),U264))+$C$10*MAX(0,MIN(U270-U271,MAX(0,T120))-U264))</f>
        <v>0.121794697646444</v>
      </c>
      <c r="V274" s="1" t="n">
        <f aca="false">IF(01_Supuestos!$C$174="Sí",01_Supuestos!$C$172*V271,01_Supuestos!$I$134*(V271+MIN(MIN(V270-V271,MAX(0,U120)),V264))+$C$10*MAX(0,MIN(V270-V271,MAX(0,U120))-V264))</f>
        <v>0.12459271811486</v>
      </c>
      <c r="W274" s="1" t="n">
        <f aca="false">IF(01_Supuestos!$C$174="Sí",01_Supuestos!$C$172*W271,01_Supuestos!$I$134*(W271+MIN(MIN(W270-W271,MAX(0,V120)),W264))+$C$10*MAX(0,MIN(W270-W271,MAX(0,V120))-W264))</f>
        <v>0.127454215001291</v>
      </c>
      <c r="X274" s="1" t="n">
        <f aca="false">IF(01_Supuestos!$C$174="Sí",01_Supuestos!$C$172*X271,01_Supuestos!$I$134*(X271+MIN(MIN(X270-X271,MAX(0,W120)),X264))+$C$10*MAX(0,MIN(X270-X271,MAX(0,W120))-X264))</f>
        <v>0.130380987577349</v>
      </c>
      <c r="Y274" s="1" t="n">
        <f aca="false">IF(01_Supuestos!$C$174="Sí",01_Supuestos!$C$172*Y271,01_Supuestos!$I$134*(Y271+MIN(MIN(Y270-Y271,MAX(0,X120)),Y264))+$C$10*MAX(0,MIN(Y270-Y271,MAX(0,X120))-Y264))</f>
        <v>0.133374734136584</v>
      </c>
      <c r="Z274" s="1" t="n">
        <f aca="false">IF(01_Supuestos!$C$174="Sí",01_Supuestos!$C$172*Z271,01_Supuestos!$I$134*(Z271+MIN(MIN(Z270-Z271,MAX(0,Y120)),Z264))+$C$10*MAX(0,MIN(Z270-Z271,MAX(0,Y120))-Z264))</f>
        <v>0.135921807071973</v>
      </c>
      <c r="AA274" s="1" t="n">
        <f aca="false">IF(01_Supuestos!$C$174="Sí",01_Supuestos!$C$172*AA271,01_Supuestos!$I$134*(AA271+MIN(MIN(AA270-AA271,MAX(0,Z120)),AA264))+$C$10*MAX(0,MIN(AA270-AA271,MAX(0,Z120))-AA264))</f>
        <v>0.138240036520451</v>
      </c>
      <c r="AB274" s="1" t="n">
        <f aca="false">IF(01_Supuestos!$C$174="Sí",01_Supuestos!$C$172*AB271,01_Supuestos!$I$134*(AB271+MIN(MIN(AB270-AB271,MAX(0,AA120)),AB264))+$C$10*MAX(0,MIN(AB270-AB271,MAX(0,AA120))-AB264))</f>
        <v>0.140510047051525</v>
      </c>
      <c r="AC274" s="1" t="n">
        <f aca="false">IF(01_Supuestos!$C$174="Sí",01_Supuestos!$C$172*AC271,01_Supuestos!$I$134*(AC271+MIN(MIN(AC270-AC271,MAX(0,AB120)),AC264))+$C$10*MAX(0,MIN(AC270-AC271,MAX(0,AB120))-AC264))</f>
        <v>0.142753391475502</v>
      </c>
      <c r="AD274" s="1" t="n">
        <f aca="false">IF(01_Supuestos!$C$174="Sí",01_Supuestos!$C$172*AD271,01_Supuestos!$I$134*(AD271+MIN(MIN(AD270-AD271,MAX(0,AC120)),AD264))+$C$10*MAX(0,MIN(AD270-AD271,MAX(0,AC120))-AD264))</f>
        <v>0.144978455022273</v>
      </c>
      <c r="AE274" s="1" t="n">
        <f aca="false">IF(01_Supuestos!$C$174="Sí",01_Supuestos!$C$172*AE271,01_Supuestos!$I$134*(AE271+MIN(MIN(AE270-AE271,MAX(0,AD120)),AE264))+$C$10*MAX(0,MIN(AE270-AE271,MAX(0,AD120))-AE264))</f>
        <v>0.14718786055688</v>
      </c>
      <c r="AF274" s="1" t="n">
        <f aca="false">IF(01_Supuestos!$C$174="Sí",01_Supuestos!$C$172*AF271,01_Supuestos!$I$134*(AF271+MIN(MIN(AF270-AF271,MAX(0,AE120)),AF264))+$C$10*MAX(0,MIN(AF270-AF271,MAX(0,AE120))-AF264))</f>
        <v>0.14938433762125</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20.3640511541832</v>
      </c>
      <c r="D276" s="1" t="n">
        <f aca="false">D120-MAX(D264,D272)</f>
        <v>39.8204535749412</v>
      </c>
      <c r="E276" s="1" t="n">
        <f aca="false">E120-MAX(E264,E272)</f>
        <v>59.7834845665757</v>
      </c>
      <c r="F276" s="1" t="n">
        <f aca="false">F120-MAX(F264,F272)</f>
        <v>77.5184895648614</v>
      </c>
      <c r="G276" s="1" t="n">
        <f aca="false">G120-MAX(G264,G272)</f>
        <v>91.6060595992738</v>
      </c>
      <c r="H276" s="1" t="n">
        <f aca="false">H120-MAX(H264,H272)</f>
        <v>104.983851888439</v>
      </c>
      <c r="I276" s="1" t="n">
        <f aca="false">I120-MAX(I264,I272)</f>
        <v>118.170792285179</v>
      </c>
      <c r="J276" s="1" t="n">
        <f aca="false">J120-MAX(J264,J272)</f>
        <v>131.497859051837</v>
      </c>
      <c r="K276" s="1" t="n">
        <f aca="false">K120-MAX(K264,K272)</f>
        <v>146.379978683699</v>
      </c>
      <c r="L276" s="1" t="n">
        <f aca="false">L120-MAX(L264,L272)</f>
        <v>162.581768842554</v>
      </c>
      <c r="M276" s="1" t="n">
        <f aca="false">M120-MAX(M264,M272)</f>
        <v>162.209134250786</v>
      </c>
      <c r="N276" s="1" t="n">
        <f aca="false">N120-MAX(N264,N272)</f>
        <v>162.703350991122</v>
      </c>
      <c r="O276" s="1" t="n">
        <f aca="false">O120-MAX(O264,O272)</f>
        <v>164.086460869411</v>
      </c>
      <c r="P276" s="1" t="n">
        <f aca="false">P120-MAX(P264,P272)</f>
        <v>165.105409029787</v>
      </c>
      <c r="Q276" s="1" t="n">
        <f aca="false">Q120-MAX(Q264,Q272)</f>
        <v>165.984507108313</v>
      </c>
      <c r="R276" s="1" t="n">
        <f aca="false">R120-MAX(R264,R272)</f>
        <v>167.53394554501</v>
      </c>
      <c r="S276" s="1" t="n">
        <f aca="false">S120-MAX(S264,S272)</f>
        <v>169.323675807104</v>
      </c>
      <c r="T276" s="1" t="n">
        <f aca="false">T120-MAX(T264,T272)</f>
        <v>170.805555709743</v>
      </c>
      <c r="U276" s="1" t="n">
        <f aca="false">U120-MAX(U264,U272)</f>
        <v>172.215385446533</v>
      </c>
      <c r="V276" s="1" t="n">
        <f aca="false">V120-MAX(V264,V272)</f>
        <v>173.67213982805</v>
      </c>
      <c r="W276" s="1" t="n">
        <f aca="false">W120-MAX(W264,W272)</f>
        <v>175.177901960226</v>
      </c>
      <c r="X276" s="1" t="n">
        <f aca="false">X120-MAX(X264,X272)</f>
        <v>176.734208528705</v>
      </c>
      <c r="Y276" s="1" t="n">
        <f aca="false">Y120-MAX(Y264,Y272)</f>
        <v>178.342361967817</v>
      </c>
      <c r="Z276" s="1" t="n">
        <f aca="false">Z120-MAX(Z264,Z272)</f>
        <v>180.13097082918</v>
      </c>
      <c r="AA276" s="1" t="n">
        <f aca="false">AA120-MAX(AA264,AA272)</f>
        <v>181.983052945867</v>
      </c>
      <c r="AB276" s="1" t="n">
        <f aca="false">AB120-MAX(AB264,AB272)</f>
        <v>183.848386811403</v>
      </c>
      <c r="AC276" s="1" t="n">
        <f aca="false">AC120-MAX(AC264,AC272)</f>
        <v>185.764656153883</v>
      </c>
      <c r="AD276" s="1" t="n">
        <f aca="false">AD120-MAX(AD264,AD272)</f>
        <v>187.745215503065</v>
      </c>
      <c r="AE276" s="1" t="n">
        <f aca="false">AE120-MAX(AE264,AE272)</f>
        <v>189.79130654207</v>
      </c>
      <c r="AF276" s="1" t="n">
        <f aca="false">AF120-MAX(AF264,AF272)</f>
        <v>191.904158044044</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2.15158778078157</v>
      </c>
      <c r="D284" s="1" t="n">
        <f aca="false">$C$279*D87</f>
        <v>5.15134252262119</v>
      </c>
      <c r="E284" s="1" t="n">
        <f aca="false">$C$279*E87</f>
        <v>7.89152071143804</v>
      </c>
      <c r="F284" s="1" t="n">
        <f aca="false">$C$279*F87</f>
        <v>9.00921293112682</v>
      </c>
      <c r="G284" s="1" t="n">
        <f aca="false">$C$279*G87</f>
        <v>10.2382404896083</v>
      </c>
      <c r="H284" s="1" t="n">
        <f aca="false">$C$279*H87</f>
        <v>12.0911016772552</v>
      </c>
      <c r="I284" s="1" t="n">
        <f aca="false">$C$279*I87</f>
        <v>14.3579318417152</v>
      </c>
      <c r="J284" s="1" t="n">
        <f aca="false">$C$279*J87</f>
        <v>16.99854108888</v>
      </c>
      <c r="K284" s="1" t="n">
        <f aca="false">$C$279*K87</f>
        <v>21.0306288088041</v>
      </c>
      <c r="L284" s="1" t="n">
        <f aca="false">$C$279*L87</f>
        <v>25.1695310948571</v>
      </c>
      <c r="M284" s="1" t="n">
        <f aca="false">$C$279*M87</f>
        <v>33.4278517368428</v>
      </c>
      <c r="N284" s="1" t="n">
        <f aca="false">$C$279*N87</f>
        <v>40.6041461936343</v>
      </c>
      <c r="O284" s="1" t="n">
        <f aca="false">$C$279*O87</f>
        <v>45.3413277265503</v>
      </c>
      <c r="P284" s="1" t="n">
        <f aca="false">$C$279*P87</f>
        <v>50.2231539742723</v>
      </c>
      <c r="Q284" s="1" t="n">
        <f aca="false">$C$279*Q87</f>
        <v>55.2522931952132</v>
      </c>
      <c r="R284" s="1" t="n">
        <f aca="false">$C$279*R87</f>
        <v>58.1726669192308</v>
      </c>
      <c r="S284" s="1" t="n">
        <f aca="false">$C$279*S87</f>
        <v>59.5244040035508</v>
      </c>
      <c r="T284" s="1" t="n">
        <f aca="false">$C$279*T87</f>
        <v>60.9334202683214</v>
      </c>
      <c r="U284" s="1" t="n">
        <f aca="false">$C$279*U87</f>
        <v>62.3829856445824</v>
      </c>
      <c r="V284" s="1" t="n">
        <f aca="false">$C$279*V87</f>
        <v>63.8739208452489</v>
      </c>
      <c r="W284" s="1" t="n">
        <f aca="false">$C$279*W87</f>
        <v>65.4113314449494</v>
      </c>
      <c r="X284" s="1" t="n">
        <f aca="false">$C$279*X87</f>
        <v>66.9956866782804</v>
      </c>
      <c r="Y284" s="1" t="n">
        <f aca="false">$C$279*Y87</f>
        <v>68.6274785300651</v>
      </c>
      <c r="Z284" s="1" t="n">
        <f aca="false">$C$279*Z87</f>
        <v>69.8451643289169</v>
      </c>
      <c r="AA284" s="1" t="n">
        <f aca="false">$C$279*AA87</f>
        <v>70.8708514308478</v>
      </c>
      <c r="AB284" s="1" t="n">
        <f aca="false">$C$279*AB87</f>
        <v>71.8688202079534</v>
      </c>
      <c r="AC284" s="1" t="n">
        <f aca="false">$C$279*AC87</f>
        <v>72.8409829864546</v>
      </c>
      <c r="AD284" s="1" t="n">
        <f aca="false">$C$279*AD87</f>
        <v>73.7886339857063</v>
      </c>
      <c r="AE284" s="1" t="n">
        <f aca="false">$C$279*AE87</f>
        <v>74.713258070154</v>
      </c>
      <c r="AF284" s="1" t="n">
        <f aca="false">$C$279*AF87</f>
        <v>75.6164181902649</v>
      </c>
    </row>
    <row r="285" customFormat="false" ht="14.25" hidden="false" customHeight="true" outlineLevel="0" collapsed="false">
      <c r="B285" s="84" t="s">
        <v>1280</v>
      </c>
      <c r="C285" s="1" t="n">
        <f aca="false">MAX(0/$C$280,0-C284)</f>
        <v>0</v>
      </c>
      <c r="D285" s="1" t="n">
        <f aca="false">MAX(C284*(1-$C$340)/$C$280,C284-D341-D284)</f>
        <v>0.106503595148688</v>
      </c>
      <c r="E285" s="1" t="n">
        <f aca="false">MAX(D284*(1-$C$340)/$C$280,D284-E341-E284)</f>
        <v>0.254991454869749</v>
      </c>
      <c r="F285" s="1" t="n">
        <f aca="false">MAX(E284*(1-$C$340)/$C$280,E284-F341-F284)</f>
        <v>0.390630275216183</v>
      </c>
      <c r="G285" s="1" t="n">
        <f aca="false">MAX(F284*(1-$C$340)/$C$280,F284-G341-G284)</f>
        <v>0.445956040090777</v>
      </c>
      <c r="H285" s="1" t="n">
        <f aca="false">MAX(G284*(1-$C$340)/$C$280,G284-H341-H284)</f>
        <v>0.50679290423561</v>
      </c>
      <c r="I285" s="1" t="n">
        <f aca="false">MAX(H284*(1-$C$340)/$C$280,H284-I341-I284)</f>
        <v>0.598509533024133</v>
      </c>
      <c r="J285" s="1" t="n">
        <f aca="false">MAX(I284*(1-$C$340)/$C$280,I284-J341-J284)</f>
        <v>0.7107176261649</v>
      </c>
      <c r="K285" s="1" t="n">
        <f aca="false">MAX(J284*(1-$C$340)/$C$280,J284-K341-K284)</f>
        <v>0.841427783899561</v>
      </c>
      <c r="L285" s="1" t="n">
        <f aca="false">MAX(K284*(1-$C$340)/$C$280,K284-L341-L284)</f>
        <v>1.0410161260358</v>
      </c>
      <c r="M285" s="1" t="n">
        <f aca="false">MAX(L284*(1-$C$340)/$C$280,L284-M341-M284)</f>
        <v>1.24589178919543</v>
      </c>
      <c r="N285" s="1" t="n">
        <f aca="false">MAX(M284*(1-$C$340)/$C$280,M284-N341-N284)</f>
        <v>1.65467866097372</v>
      </c>
      <c r="O285" s="1" t="n">
        <f aca="false">MAX(N284*(1-$C$340)/$C$280,N284-O341-O284)</f>
        <v>2.0099052365849</v>
      </c>
      <c r="P285" s="1" t="n">
        <f aca="false">MAX(O284*(1-$C$340)/$C$280,O284-P341-P284)</f>
        <v>2.24439572246424</v>
      </c>
      <c r="Q285" s="1" t="n">
        <f aca="false">MAX(P284*(1-$C$340)/$C$280,P284-Q341-Q284)</f>
        <v>2.48604612172648</v>
      </c>
      <c r="R285" s="1" t="n">
        <f aca="false">MAX(Q284*(1-$C$340)/$C$280,Q284-R341-R284)</f>
        <v>2.73498851316305</v>
      </c>
      <c r="S285" s="1" t="n">
        <f aca="false">MAX(R284*(1-$C$340)/$C$280,R284-S341-S284)</f>
        <v>2.87954701250192</v>
      </c>
      <c r="T285" s="1" t="n">
        <f aca="false">MAX(S284*(1-$C$340)/$C$280,S284-T341-T284)</f>
        <v>2.94645799817576</v>
      </c>
      <c r="U285" s="1" t="n">
        <f aca="false">MAX(T284*(1-$C$340)/$C$280,T284-U341-U284)</f>
        <v>3.01620430328191</v>
      </c>
      <c r="V285" s="1" t="n">
        <f aca="false">MAX(U284*(1-$C$340)/$C$280,U284-V341-V284)</f>
        <v>3.08795778940683</v>
      </c>
      <c r="W285" s="1" t="n">
        <f aca="false">MAX(V284*(1-$C$340)/$C$280,V284-W341-W284)</f>
        <v>3.16175908183982</v>
      </c>
      <c r="X285" s="1" t="n">
        <f aca="false">MAX(W284*(1-$C$340)/$C$280,W284-X341-X284)</f>
        <v>3.23786090652499</v>
      </c>
      <c r="Y285" s="1" t="n">
        <f aca="false">MAX(X284*(1-$C$340)/$C$280,X284-Y341-Y284)</f>
        <v>3.31628649057488</v>
      </c>
      <c r="Z285" s="1" t="n">
        <f aca="false">MAX(Y284*(1-$C$340)/$C$280,Y284-Z341-Z284)</f>
        <v>3.39706018723822</v>
      </c>
      <c r="AA285" s="1" t="n">
        <f aca="false">MAX(Z284*(1-$C$340)/$C$280,Z284-AA341-AA284)</f>
        <v>3.45733563428139</v>
      </c>
      <c r="AB285" s="1" t="n">
        <f aca="false">MAX(AA284*(1-$C$340)/$C$280,AA284-AB341-AB284)</f>
        <v>3.50810714582696</v>
      </c>
      <c r="AC285" s="1" t="n">
        <f aca="false">MAX(AB284*(1-$C$340)/$C$280,AB284-AC341-AC284)</f>
        <v>3.55750660029369</v>
      </c>
      <c r="AD285" s="1" t="n">
        <f aca="false">MAX(AC284*(1-$C$340)/$C$280,AC284-AD341-AD284)</f>
        <v>3.6056286578295</v>
      </c>
      <c r="AE285" s="1" t="n">
        <f aca="false">MAX(AD284*(1-$C$340)/$C$280,AD284-AE341-AE284)</f>
        <v>3.65253738229246</v>
      </c>
      <c r="AF285" s="1" t="n">
        <f aca="false">MAX(AE284*(1-$C$340)/$C$280,AE284-AF341-AF284)</f>
        <v>3.69830627447262</v>
      </c>
    </row>
    <row r="286" customFormat="false" ht="14.25" hidden="false" customHeight="true" outlineLevel="0" collapsed="false">
      <c r="B286" s="84" t="s">
        <v>1281</v>
      </c>
      <c r="C286" s="1" t="n">
        <f aca="false">C284-0+C285</f>
        <v>2.15158778078157</v>
      </c>
      <c r="D286" s="1" t="n">
        <f aca="false">D284-C284+D285+D341</f>
        <v>3.12777421479612</v>
      </c>
      <c r="E286" s="1" t="n">
        <f aca="false">E284-D284+E285+E341</f>
        <v>3.04668306891281</v>
      </c>
      <c r="F286" s="1" t="n">
        <f aca="false">F284-E284+F285+F341</f>
        <v>1.58723770201934</v>
      </c>
      <c r="G286" s="1" t="n">
        <f aca="false">G284-F284+G285+G341</f>
        <v>1.76507572788352</v>
      </c>
      <c r="H286" s="1" t="n">
        <f aca="false">H284-G284+H285+H341</f>
        <v>2.46203649677861</v>
      </c>
      <c r="I286" s="1" t="n">
        <f aca="false">I284-H284+I285+I341</f>
        <v>2.98625071425663</v>
      </c>
      <c r="J286" s="1" t="n">
        <f aca="false">J284-I284+J285+J341</f>
        <v>3.49490619174691</v>
      </c>
      <c r="K286" s="1" t="n">
        <f aca="false">K284-J284+K285+K341</f>
        <v>5.04350091471247</v>
      </c>
      <c r="L286" s="1" t="n">
        <f aca="false">L284-K284+L285+L341</f>
        <v>5.39022470017686</v>
      </c>
      <c r="M286" s="1" t="n">
        <f aca="false">M284-L284+M285+M341</f>
        <v>9.75590774212963</v>
      </c>
      <c r="N286" s="1" t="n">
        <f aca="false">N284-M284+N285+N341</f>
        <v>9.16525163513367</v>
      </c>
      <c r="O286" s="1" t="n">
        <f aca="false">O284-N284+O285+O341</f>
        <v>7.15312823143724</v>
      </c>
      <c r="P286" s="1" t="n">
        <f aca="false">P284-O284+P285+P341</f>
        <v>7.57963524745179</v>
      </c>
      <c r="Q286" s="1" t="n">
        <f aca="false">Q284-P284+Q285+Q341</f>
        <v>8.01741688241004</v>
      </c>
      <c r="R286" s="1" t="n">
        <f aca="false">R284-Q284+R285+R341</f>
        <v>6.20788516913276</v>
      </c>
      <c r="S286" s="1" t="n">
        <f aca="false">S284-R284+S285+S341</f>
        <v>4.81301076601423</v>
      </c>
      <c r="T286" s="1" t="n">
        <f aca="false">T284-S284+T285+T341</f>
        <v>4.95071830298188</v>
      </c>
      <c r="U286" s="1" t="n">
        <f aca="false">U284-T284+U285+U341</f>
        <v>5.07510388222614</v>
      </c>
      <c r="V286" s="1" t="n">
        <f aca="false">V284-U284+V285+V341</f>
        <v>5.20272284651917</v>
      </c>
      <c r="W286" s="1" t="n">
        <f aca="false">W284-V284+W285+W341</f>
        <v>5.33790888999276</v>
      </c>
      <c r="X286" s="1" t="n">
        <f aca="false">X284-W284+X285+X341</f>
        <v>5.47632945430553</v>
      </c>
      <c r="Y286" s="1" t="n">
        <f aca="false">Y284-X284+Y285+Y341</f>
        <v>5.61803520914235</v>
      </c>
      <c r="Z286" s="1" t="n">
        <f aca="false">Z284-Y284+Z285+Z341</f>
        <v>5.30102077139073</v>
      </c>
      <c r="AA286" s="1" t="n">
        <f aca="false">AA284-Z284+AA285+AA341</f>
        <v>5.18147437950138</v>
      </c>
      <c r="AB286" s="1" t="n">
        <f aca="false">AB284-AA284+AB285+AB341</f>
        <v>5.2147844372411</v>
      </c>
      <c r="AC286" s="1" t="n">
        <f aca="false">AC284-AB284+AC285+AC341</f>
        <v>5.24835758087444</v>
      </c>
      <c r="AD286" s="1" t="n">
        <f aca="false">AD284-AC284+AD285+AD341</f>
        <v>5.2816894869457</v>
      </c>
      <c r="AE286" s="1" t="n">
        <f aca="false">AE284-AD284+AE285+AE341</f>
        <v>5.31504780659729</v>
      </c>
      <c r="AF286" s="1" t="n">
        <f aca="false">AF284-AE284+AF285+AF341</f>
        <v>5.34859897528503</v>
      </c>
    </row>
    <row r="287" customFormat="false" ht="14.25" hidden="false" customHeight="true" outlineLevel="0" collapsed="false">
      <c r="B287" s="84" t="s">
        <v>1282</v>
      </c>
      <c r="C287" s="1" t="n">
        <f aca="false">C284*(1-$C$340)*$C$175</f>
        <v>0.0915930918278716</v>
      </c>
      <c r="D287" s="1" t="n">
        <f aca="false">D284*(1-$C$340)*$C$175</f>
        <v>0.219292651187984</v>
      </c>
      <c r="E287" s="1" t="n">
        <f aca="false">E284*(1-$C$340)*$C$175</f>
        <v>0.335942036685917</v>
      </c>
      <c r="F287" s="1" t="n">
        <f aca="false">F284*(1-$C$340)*$C$175</f>
        <v>0.383522194478068</v>
      </c>
      <c r="G287" s="1" t="n">
        <f aca="false">G284*(1-$C$340)*$C$175</f>
        <v>0.435841897642625</v>
      </c>
      <c r="H287" s="1" t="n">
        <f aca="false">H284*(1-$C$340)*$C$175</f>
        <v>0.514718198400754</v>
      </c>
      <c r="I287" s="1" t="n">
        <f aca="false">I284*(1-$C$340)*$C$175</f>
        <v>0.611217158501814</v>
      </c>
      <c r="J287" s="1" t="n">
        <f aca="false">J284*(1-$C$340)*$C$175</f>
        <v>0.723627894153622</v>
      </c>
      <c r="K287" s="1" t="n">
        <f aca="false">K284*(1-$C$340)*$C$175</f>
        <v>0.895273868390791</v>
      </c>
      <c r="L287" s="1" t="n">
        <f aca="false">L284*(1-$C$340)*$C$175</f>
        <v>1.07146693870807</v>
      </c>
      <c r="M287" s="1" t="n">
        <f aca="false">M284*(1-$C$340)*$C$175</f>
        <v>1.4230236484374</v>
      </c>
      <c r="N287" s="1" t="n">
        <f aca="false">N284*(1-$C$340)*$C$175</f>
        <v>1.72851850346301</v>
      </c>
      <c r="O287" s="1" t="n">
        <f aca="false">O284*(1-$C$340)*$C$175</f>
        <v>1.93018032131925</v>
      </c>
      <c r="P287" s="1" t="n">
        <f aca="false">P284*(1-$C$340)*$C$175</f>
        <v>2.13799966468477</v>
      </c>
      <c r="Q287" s="1" t="n">
        <f aca="false">Q284*(1-$C$340)*$C$175</f>
        <v>2.35209012132022</v>
      </c>
      <c r="R287" s="1" t="n">
        <f aca="false">R284*(1-$C$340)*$C$175</f>
        <v>2.47641043075165</v>
      </c>
      <c r="S287" s="1" t="n">
        <f aca="false">S284*(1-$C$340)*$C$175</f>
        <v>2.53395387843116</v>
      </c>
      <c r="T287" s="1" t="n">
        <f aca="false">T284*(1-$C$340)*$C$175</f>
        <v>2.59393570082244</v>
      </c>
      <c r="U287" s="1" t="n">
        <f aca="false">U284*(1-$C$340)*$C$175</f>
        <v>2.65564369888987</v>
      </c>
      <c r="V287" s="1" t="n">
        <f aca="false">V284*(1-$C$340)*$C$175</f>
        <v>2.71911281038225</v>
      </c>
      <c r="W287" s="1" t="n">
        <f aca="false">W284*(1-$C$340)*$C$175</f>
        <v>2.78456037961149</v>
      </c>
      <c r="X287" s="1" t="n">
        <f aca="false">X284*(1-$C$340)*$C$175</f>
        <v>2.8520063818944</v>
      </c>
      <c r="Y287" s="1" t="n">
        <f aca="false">Y284*(1-$C$340)*$C$175</f>
        <v>2.92147176102487</v>
      </c>
      <c r="Z287" s="1" t="n">
        <f aca="false">Z284*(1-$C$340)*$C$175</f>
        <v>2.97330864548199</v>
      </c>
      <c r="AA287" s="1" t="n">
        <f aca="false">AA284*(1-$C$340)*$C$175</f>
        <v>3.01697214541119</v>
      </c>
      <c r="AB287" s="1" t="n">
        <f aca="false">AB284*(1-$C$340)*$C$175</f>
        <v>3.05945567625258</v>
      </c>
      <c r="AC287" s="1" t="n">
        <f aca="false">AC284*(1-$C$340)*$C$175</f>
        <v>3.10084064573337</v>
      </c>
      <c r="AD287" s="1" t="n">
        <f aca="false">AD284*(1-$C$340)*$C$175</f>
        <v>3.14118214877152</v>
      </c>
      <c r="AE287" s="1" t="n">
        <f aca="false">AE284*(1-$C$340)*$C$175</f>
        <v>3.18054339604646</v>
      </c>
      <c r="AF287" s="1" t="n">
        <f aca="false">AF284*(1-$C$340)*$C$175</f>
        <v>3.21899092235958</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2.97124026869837</v>
      </c>
      <c r="D289" s="1" t="n">
        <f aca="false">(1-$C$279)*D87</f>
        <v>7.11375872171498</v>
      </c>
      <c r="E289" s="1" t="n">
        <f aca="false">(1-$C$279)*E87</f>
        <v>10.8978143157954</v>
      </c>
      <c r="F289" s="1" t="n">
        <f aca="false">(1-$C$279)*F87</f>
        <v>12.4412940477466</v>
      </c>
      <c r="G289" s="1" t="n">
        <f aca="false">(1-$C$279)*G87</f>
        <v>14.1385225808876</v>
      </c>
      <c r="H289" s="1" t="n">
        <f aca="false">(1-$C$279)*H87</f>
        <v>16.6972356495429</v>
      </c>
      <c r="I289" s="1" t="n">
        <f aca="false">(1-$C$279)*I87</f>
        <v>19.8276201623685</v>
      </c>
      <c r="J289" s="1" t="n">
        <f aca="false">(1-$C$279)*J87</f>
        <v>23.4741757894057</v>
      </c>
      <c r="K289" s="1" t="n">
        <f aca="false">(1-$C$279)*K87</f>
        <v>29.0422969264438</v>
      </c>
      <c r="L289" s="1" t="n">
        <f aca="false">(1-$C$279)*L87</f>
        <v>34.757923892898</v>
      </c>
      <c r="M289" s="1" t="n">
        <f aca="false">(1-$C$279)*M87</f>
        <v>46.1622714461162</v>
      </c>
      <c r="N289" s="1" t="n">
        <f aca="false">(1-$C$279)*N87</f>
        <v>56.0723923626378</v>
      </c>
      <c r="O289" s="1" t="n">
        <f aca="false">(1-$C$279)*O87</f>
        <v>62.6142144795218</v>
      </c>
      <c r="P289" s="1" t="n">
        <f aca="false">(1-$C$279)*P87</f>
        <v>69.3557840597094</v>
      </c>
      <c r="Q289" s="1" t="n">
        <f aca="false">(1-$C$279)*Q87</f>
        <v>76.3007858410087</v>
      </c>
      <c r="R289" s="1" t="n">
        <f aca="false">(1-$C$279)*R87</f>
        <v>80.3336828884615</v>
      </c>
      <c r="S289" s="1" t="n">
        <f aca="false">(1-$C$279)*S87</f>
        <v>82.2003674334749</v>
      </c>
      <c r="T289" s="1" t="n">
        <f aca="false">(1-$C$279)*T87</f>
        <v>84.1461517991105</v>
      </c>
      <c r="U289" s="1" t="n">
        <f aca="false">(1-$C$279)*U87</f>
        <v>86.1479325568043</v>
      </c>
      <c r="V289" s="1" t="n">
        <f aca="false">(1-$C$279)*V87</f>
        <v>88.2068430720104</v>
      </c>
      <c r="W289" s="1" t="n">
        <f aca="false">(1-$C$279)*W87</f>
        <v>90.3299339001682</v>
      </c>
      <c r="X289" s="1" t="n">
        <f aca="false">(1-$C$279)*X87</f>
        <v>92.517853031911</v>
      </c>
      <c r="Y289" s="1" t="n">
        <f aca="false">(1-$C$279)*Y87</f>
        <v>94.7712798748518</v>
      </c>
      <c r="Z289" s="1" t="n">
        <f aca="false">(1-$C$279)*Z87</f>
        <v>96.4528459780282</v>
      </c>
      <c r="AA289" s="1" t="n">
        <f aca="false">(1-$C$279)*AA87</f>
        <v>97.8692710235517</v>
      </c>
      <c r="AB289" s="1" t="n">
        <f aca="false">(1-$C$279)*AB87</f>
        <v>99.2474183824119</v>
      </c>
      <c r="AC289" s="1" t="n">
        <f aca="false">(1-$C$279)*AC87</f>
        <v>100.589928886056</v>
      </c>
      <c r="AD289" s="1" t="n">
        <f aca="false">(1-$C$279)*AD87</f>
        <v>101.898589789785</v>
      </c>
      <c r="AE289" s="1" t="n">
        <f aca="false">(1-$C$279)*AE87</f>
        <v>103.175451620689</v>
      </c>
      <c r="AF289" s="1" t="n">
        <f aca="false">(1-$C$279)*AF87</f>
        <v>104.422672738937</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0.588305573202276</v>
      </c>
      <c r="E290" s="1" t="n">
        <f aca="false">MAX(D289*(1-$C$340)/$C$281+IF(AND(01_Supuestos!$C$189&gt;0,E$39=01_Supuestos!$C$189),01_Supuestos!$C$190*D289*(1-$C$340)*(1-1/$C$281),0),D289-E342-E289)</f>
        <v>1.40852422689957</v>
      </c>
      <c r="F290" s="1" t="n">
        <f aca="false">MAX(E289*(1-$C$340)/$C$281+IF(AND(01_Supuestos!$C$189&gt;0,F$39=01_Supuestos!$C$189),01_Supuestos!$C$190*E289*(1-$C$340)*(1-1/$C$281),0),E289-F342-F289)</f>
        <v>2.15776723452749</v>
      </c>
      <c r="G290" s="1" t="n">
        <f aca="false">MAX(F289*(1-$C$340)/$C$281+IF(AND(01_Supuestos!$C$189&gt;0,G$39=01_Supuestos!$C$189),01_Supuestos!$C$190*F289*(1-$C$340)*(1-1/$C$281),0),F289-G342-G289)</f>
        <v>2.46337622145382</v>
      </c>
      <c r="H290" s="1" t="n">
        <f aca="false">MAX(G289*(1-$C$340)/$C$281+IF(AND(01_Supuestos!$C$189&gt;0,H$39=01_Supuestos!$C$189),01_Supuestos!$C$190*G289*(1-$C$340)*(1-1/$C$281),0),G289-H342-H289)</f>
        <v>2.79942747101575</v>
      </c>
      <c r="I290" s="1" t="n">
        <f aca="false">MAX(H289*(1-$C$340)/$C$281+IF(AND(01_Supuestos!$C$189&gt;0,I$39=01_Supuestos!$C$189),01_Supuestos!$C$190*H289*(1-$C$340)*(1-1/$C$281),0),H289-I342-I289)</f>
        <v>3.3060526586095</v>
      </c>
      <c r="J290" s="1" t="n">
        <f aca="false">MAX(I289*(1-$C$340)/$C$281+IF(AND(01_Supuestos!$C$189&gt;0,J$39=01_Supuestos!$C$189),01_Supuestos!$C$190*I289*(1-$C$340)*(1-1/$C$281),0),I289-J342-J289)</f>
        <v>3.92586879214897</v>
      </c>
      <c r="K290" s="1" t="n">
        <f aca="false">MAX(J289*(1-$C$340)/$C$281+IF(AND(01_Supuestos!$C$189&gt;0,K$39=01_Supuestos!$C$189),01_Supuestos!$C$190*J289*(1-$C$340)*(1-1/$C$281),0),J289-K342-K289)</f>
        <v>4.64788680630234</v>
      </c>
      <c r="L290" s="1" t="n">
        <f aca="false">MAX(K289*(1-$C$340)/$C$281+IF(AND(01_Supuestos!$C$189&gt;0,L$39=01_Supuestos!$C$189),01_Supuestos!$C$190*K289*(1-$C$340)*(1-1/$C$281),0),K289-L342-L289)</f>
        <v>5.75037479143587</v>
      </c>
      <c r="M290" s="1" t="n">
        <f aca="false">MAX(L289*(1-$C$340)/$C$281+IF(AND(01_Supuestos!$C$189&gt;0,M$39=01_Supuestos!$C$189),01_Supuestos!$C$190*L289*(1-$C$340)*(1-1/$C$281),0),L289-M342-M289)</f>
        <v>6.8820689307938</v>
      </c>
      <c r="N290" s="1" t="n">
        <f aca="false">MAX(M289*(1-$C$340)/$C$281+IF(AND(01_Supuestos!$C$189&gt;0,N$39=01_Supuestos!$C$189),01_Supuestos!$C$190*M289*(1-$C$340)*(1-1/$C$281),0),M289-N342-N289)</f>
        <v>9.14012974633101</v>
      </c>
      <c r="O290" s="1" t="n">
        <f aca="false">MAX(N289*(1-$C$340)/$C$281+IF(AND(01_Supuestos!$C$189&gt;0,O$39=01_Supuestos!$C$189),01_Supuestos!$C$190*N289*(1-$C$340)*(1-1/$C$281),0),N289-O342-O289)</f>
        <v>11.1023336878023</v>
      </c>
      <c r="P290" s="1" t="n">
        <f aca="false">MAX(O289*(1-$C$340)/$C$281+IF(AND(01_Supuestos!$C$189&gt;0,P$39=01_Supuestos!$C$189),01_Supuestos!$C$190*O289*(1-$C$340)*(1-1/$C$281),0),O289-P342-P289)</f>
        <v>12.3976144669453</v>
      </c>
      <c r="Q290" s="1" t="n">
        <f aca="false">MAX(P289*(1-$C$340)/$C$281+IF(AND(01_Supuestos!$C$189&gt;0,Q$39=01_Supuestos!$C$189),01_Supuestos!$C$190*P289*(1-$C$340)*(1-1/$C$281),0),P289-Q342-Q289)</f>
        <v>13.7324452438225</v>
      </c>
      <c r="R290" s="1" t="n">
        <f aca="false">MAX(Q289*(1-$C$340)/$C$281+IF(AND(01_Supuestos!$C$189&gt;0,R$39=01_Supuestos!$C$189),01_Supuestos!$C$190*Q289*(1-$C$340)*(1-1/$C$281),0),Q289-R342-R289)</f>
        <v>15.1075555965197</v>
      </c>
      <c r="S290" s="1" t="n">
        <f aca="false">MAX(R289*(1-$C$340)/$C$281+IF(AND(01_Supuestos!$C$189&gt;0,S$39=01_Supuestos!$C$189),01_Supuestos!$C$190*R289*(1-$C$340)*(1-1/$C$281),0),R289-S342-S289)</f>
        <v>15.9060692119154</v>
      </c>
      <c r="T290" s="1" t="n">
        <f aca="false">MAX(S289*(1-$C$340)/$C$281+IF(AND(01_Supuestos!$C$189&gt;0,T$39=01_Supuestos!$C$189),01_Supuestos!$C$190*S289*(1-$C$340)*(1-1/$C$281),0),S289-T342-T289)</f>
        <v>16.275672751828</v>
      </c>
      <c r="U290" s="1" t="n">
        <f aca="false">MAX(T289*(1-$C$340)/$C$281+IF(AND(01_Supuestos!$C$189&gt;0,U$39=01_Supuestos!$C$189),01_Supuestos!$C$190*T289*(1-$C$340)*(1-1/$C$281),0),T289-U342-U289)</f>
        <v>16.6609380562239</v>
      </c>
      <c r="V290" s="1" t="n">
        <f aca="false">MAX(U289*(1-$C$340)/$C$281+IF(AND(01_Supuestos!$C$189&gt;0,V$39=01_Supuestos!$C$189),01_Supuestos!$C$190*U289*(1-$C$340)*(1-1/$C$281),0),U289-V342-V289)</f>
        <v>17.0572906462472</v>
      </c>
      <c r="W290" s="1" t="n">
        <f aca="false">MAX(V289*(1-$C$340)/$C$281+IF(AND(01_Supuestos!$C$189&gt;0,W$39=01_Supuestos!$C$189),01_Supuestos!$C$190*V289*(1-$C$340)*(1-1/$C$281),0),V289-W342-W289)</f>
        <v>17.4649549282581</v>
      </c>
      <c r="X290" s="1" t="n">
        <f aca="false">MAX(W289*(1-$C$340)/$C$281+IF(AND(01_Supuestos!$C$189&gt;0,X$39=01_Supuestos!$C$189),01_Supuestos!$C$190*W289*(1-$C$340)*(1-1/$C$281),0),W289-X342-X289)</f>
        <v>17.8853269122333</v>
      </c>
      <c r="Y290" s="1" t="n">
        <f aca="false">MAX(X289*(1-$C$340)/$C$281+IF(AND(01_Supuestos!$C$189&gt;0,Y$39=01_Supuestos!$C$189),01_Supuestos!$C$190*X289*(1-$C$340)*(1-1/$C$281),0),X289-Y342-Y289)</f>
        <v>18.3185349003184</v>
      </c>
      <c r="Z290" s="1" t="n">
        <f aca="false">MAX(Y289*(1-$C$340)/$C$281+IF(AND(01_Supuestos!$C$189&gt;0,Z$39=01_Supuestos!$C$189),01_Supuestos!$C$190*Y289*(1-$C$340)*(1-1/$C$281),0),Y289-Z342-Z289)</f>
        <v>18.7647134152206</v>
      </c>
      <c r="AA290" s="1" t="n">
        <f aca="false">MAX(Z289*(1-$C$340)/$C$281+IF(AND(01_Supuestos!$C$189&gt;0,AA$39=01_Supuestos!$C$189),01_Supuestos!$C$190*Z289*(1-$C$340)*(1-1/$C$281),0),Z289-AA342-AA289)</f>
        <v>19.0976635036496</v>
      </c>
      <c r="AB290" s="1" t="n">
        <f aca="false">MAX(AA289*(1-$C$340)/$C$281+IF(AND(01_Supuestos!$C$189&gt;0,AB$39=01_Supuestos!$C$189),01_Supuestos!$C$190*AA289*(1-$C$340)*(1-1/$C$281),0),AA289-AB342-AB289)</f>
        <v>19.3781156626632</v>
      </c>
      <c r="AC290" s="1" t="n">
        <f aca="false">MAX(AB289*(1-$C$340)/$C$281+IF(AND(01_Supuestos!$C$189&gt;0,AC$39=01_Supuestos!$C$189),01_Supuestos!$C$190*AB289*(1-$C$340)*(1-1/$C$281),0),AB289-AC342-AC289)</f>
        <v>19.6509888397176</v>
      </c>
      <c r="AD290" s="1" t="n">
        <f aca="false">MAX(AC289*(1-$C$340)/$C$281+IF(AND(01_Supuestos!$C$189&gt;0,AD$39=01_Supuestos!$C$189),01_Supuestos!$C$190*AC289*(1-$C$340)*(1-1/$C$281),0),AC289-AD342-AD289)</f>
        <v>19.9168059194392</v>
      </c>
      <c r="AE290" s="1" t="n">
        <f aca="false">MAX(AD289*(1-$C$340)/$C$281+IF(AND(01_Supuestos!$C$189&gt;0,AE$39=01_Supuestos!$C$189),01_Supuestos!$C$190*AD289*(1-$C$340)*(1-1/$C$281),0),AD289-AE342-AE289)</f>
        <v>20.1759207783774</v>
      </c>
      <c r="AF290" s="1" t="n">
        <f aca="false">MAX(AE289*(1-$C$340)/$C$281+IF(AND(01_Supuestos!$C$189&gt;0,AF$39=01_Supuestos!$C$189),01_Supuestos!$C$190*AE289*(1-$C$340)*(1-1/$C$281),0),AE289-AF342-AF289)</f>
        <v>20.4287394208964</v>
      </c>
    </row>
    <row r="291" customFormat="false" ht="14.25" hidden="false" customHeight="true" outlineLevel="0" collapsed="false">
      <c r="B291" s="84" t="s">
        <v>1281</v>
      </c>
      <c r="C291" s="1" t="n">
        <f aca="false">C289-0+C290</f>
        <v>2.97124026869837</v>
      </c>
      <c r="D291" s="1" t="n">
        <f aca="false">D289-C289+D290+D342</f>
        <v>4.76053642890588</v>
      </c>
      <c r="E291" s="1" t="n">
        <f aca="false">E289-D289+E290+E342</f>
        <v>5.26371740819712</v>
      </c>
      <c r="F291" s="1" t="n">
        <f aca="false">F289-E289+F290+F342</f>
        <v>3.81022510963661</v>
      </c>
      <c r="G291" s="1" t="n">
        <f aca="false">G289-F289+G290+G342</f>
        <v>4.28501769507237</v>
      </c>
      <c r="H291" s="1" t="n">
        <f aca="false">H289-G289+H290+H342</f>
        <v>5.4995257654799</v>
      </c>
      <c r="I291" s="1" t="n">
        <f aca="false">I289-H289+I290+I342</f>
        <v>6.60340952793056</v>
      </c>
      <c r="J291" s="1" t="n">
        <f aca="false">J289-I289+J290+J342</f>
        <v>7.77070062080985</v>
      </c>
      <c r="K291" s="1" t="n">
        <f aca="false">K289-J289+K290+K342</f>
        <v>10.4507497012344</v>
      </c>
      <c r="L291" s="1" t="n">
        <f aca="false">L289-K289+L290+L342</f>
        <v>11.7564247271545</v>
      </c>
      <c r="M291" s="1" t="n">
        <f aca="false">M289-L289+M290+M342</f>
        <v>18.633995722941</v>
      </c>
      <c r="N291" s="1" t="n">
        <f aca="false">N289-M289+N290+N342</f>
        <v>19.5118733773138</v>
      </c>
      <c r="O291" s="1" t="n">
        <f aca="false">O289-N289+O290+O342</f>
        <v>18.2048797283127</v>
      </c>
      <c r="P291" s="1" t="n">
        <f aca="false">P289-O289+P290+P342</f>
        <v>19.7653261919281</v>
      </c>
      <c r="Q291" s="1" t="n">
        <f aca="false">Q289-P289+Q290+Q342</f>
        <v>21.3710048657188</v>
      </c>
      <c r="R291" s="1" t="n">
        <f aca="false">R289-Q289+R290+R342</f>
        <v>19.9034605023827</v>
      </c>
      <c r="S291" s="1" t="n">
        <f aca="false">S289-R289+S290+S342</f>
        <v>18.5760905858133</v>
      </c>
      <c r="T291" s="1" t="n">
        <f aca="false">T289-S289+T290+T342</f>
        <v>19.0434607917984</v>
      </c>
      <c r="U291" s="1" t="n">
        <f aca="false">U289-T289+U290+U342</f>
        <v>19.5041803319088</v>
      </c>
      <c r="V291" s="1" t="n">
        <f aca="false">V289-U289+V290+V342</f>
        <v>19.9776804870214</v>
      </c>
      <c r="W291" s="1" t="n">
        <f aca="false">W289-V289+W290+W342</f>
        <v>20.4701141871359</v>
      </c>
      <c r="X291" s="1" t="n">
        <f aca="false">X289-W289+X290+X342</f>
        <v>20.9765453829778</v>
      </c>
      <c r="Y291" s="1" t="n">
        <f aca="false">Y289-X289+Y290+Y342</f>
        <v>21.4971402735782</v>
      </c>
      <c r="Z291" s="1" t="n">
        <f aca="false">Z289-Y289+Z290+Z342</f>
        <v>21.3939923171456</v>
      </c>
      <c r="AA291" s="1" t="n">
        <f aca="false">AA289-Z289+AA290+AA342</f>
        <v>21.4786170089534</v>
      </c>
      <c r="AB291" s="1" t="n">
        <f aca="false">AB289-AA289+AB290+AB342</f>
        <v>21.7349557317589</v>
      </c>
      <c r="AC291" s="1" t="n">
        <f aca="false">AC289-AB289+AC290+AC342</f>
        <v>21.9859735271862</v>
      </c>
      <c r="AD291" s="1" t="n">
        <f aca="false">AD289-AC289+AD290+AD342</f>
        <v>22.2313661120282</v>
      </c>
      <c r="AE291" s="1" t="n">
        <f aca="false">AE289-AD289+AE290+AE342</f>
        <v>22.4717685071793</v>
      </c>
      <c r="AF291" s="1" t="n">
        <f aca="false">AF289-AE289+AF290+AF342</f>
        <v>22.7077150553516</v>
      </c>
    </row>
    <row r="292" customFormat="false" ht="14.25" hidden="false" customHeight="true" outlineLevel="0" collapsed="false">
      <c r="B292" s="84" t="s">
        <v>1282</v>
      </c>
      <c r="C292" s="1" t="n">
        <f aca="false">C289*(1-$C$340)*$C$175</f>
        <v>0.126485698238489</v>
      </c>
      <c r="D292" s="1" t="n">
        <f aca="false">D289*(1-$C$340)*$C$175</f>
        <v>0.302832708783407</v>
      </c>
      <c r="E292" s="1" t="n">
        <f aca="false">E289*(1-$C$340)*$C$175</f>
        <v>0.46391995542341</v>
      </c>
      <c r="F292" s="1" t="n">
        <f aca="false">F289*(1-$C$340)*$C$175</f>
        <v>0.529625887612571</v>
      </c>
      <c r="G292" s="1" t="n">
        <f aca="false">G289*(1-$C$340)*$C$175</f>
        <v>0.601876906268387</v>
      </c>
      <c r="H292" s="1" t="n">
        <f aca="false">H289*(1-$C$340)*$C$175</f>
        <v>0.710801321601042</v>
      </c>
      <c r="I292" s="1" t="n">
        <f aca="false">I289*(1-$C$340)*$C$175</f>
        <v>0.844061790312029</v>
      </c>
      <c r="J292" s="1" t="n">
        <f aca="false">J289*(1-$C$340)*$C$175</f>
        <v>0.999295663355002</v>
      </c>
      <c r="K292" s="1" t="n">
        <f aca="false">K289*(1-$C$340)*$C$175</f>
        <v>1.23633058015871</v>
      </c>
      <c r="L292" s="1" t="n">
        <f aca="false">L289*(1-$C$340)*$C$175</f>
        <v>1.47964482012067</v>
      </c>
      <c r="M292" s="1" t="n">
        <f aca="false">M289*(1-$C$340)*$C$175</f>
        <v>1.96512789546117</v>
      </c>
      <c r="N292" s="1" t="n">
        <f aca="false">N289*(1-$C$340)*$C$175</f>
        <v>2.38700174287749</v>
      </c>
      <c r="O292" s="1" t="n">
        <f aca="false">O289*(1-$C$340)*$C$175</f>
        <v>2.66548711039324</v>
      </c>
      <c r="P292" s="1" t="n">
        <f aca="false">P289*(1-$C$340)*$C$175</f>
        <v>2.95247572742183</v>
      </c>
      <c r="Q292" s="1" t="n">
        <f aca="false">Q289*(1-$C$340)*$C$175</f>
        <v>3.24812445325174</v>
      </c>
      <c r="R292" s="1" t="n">
        <f aca="false">R289*(1-$C$340)*$C$175</f>
        <v>3.41980488056181</v>
      </c>
      <c r="S292" s="1" t="n">
        <f aca="false">S289*(1-$C$340)*$C$175</f>
        <v>3.49926964164302</v>
      </c>
      <c r="T292" s="1" t="n">
        <f aca="false">T289*(1-$C$340)*$C$175</f>
        <v>3.58210168208813</v>
      </c>
      <c r="U292" s="1" t="n">
        <f aca="false">U289*(1-$C$340)*$C$175</f>
        <v>3.66731748894316</v>
      </c>
      <c r="V292" s="1" t="n">
        <f aca="false">V289*(1-$C$340)*$C$175</f>
        <v>3.75496530957548</v>
      </c>
      <c r="W292" s="1" t="n">
        <f aca="false">W289*(1-$C$340)*$C$175</f>
        <v>3.84534528613016</v>
      </c>
      <c r="X292" s="1" t="n">
        <f aca="false">X289*(1-$C$340)*$C$175</f>
        <v>3.93848500356845</v>
      </c>
      <c r="Y292" s="1" t="n">
        <f aca="false">Y289*(1-$C$340)*$C$175</f>
        <v>4.03441338427244</v>
      </c>
      <c r="Z292" s="1" t="n">
        <f aca="false">Z289*(1-$C$340)*$C$175</f>
        <v>4.10599765328466</v>
      </c>
      <c r="AA292" s="1" t="n">
        <f aca="false">AA289*(1-$C$340)*$C$175</f>
        <v>4.16629486747259</v>
      </c>
      <c r="AB292" s="1" t="n">
        <f aca="false">AB289*(1-$C$340)*$C$175</f>
        <v>4.22496260053927</v>
      </c>
      <c r="AC292" s="1" t="n">
        <f aca="false">AC289*(1-$C$340)*$C$175</f>
        <v>4.28211327267942</v>
      </c>
      <c r="AD292" s="1" t="n">
        <f aca="false">AD289*(1-$C$340)*$C$175</f>
        <v>4.33782296735114</v>
      </c>
      <c r="AE292" s="1" t="n">
        <f aca="false">AE289*(1-$C$340)*$C$175</f>
        <v>4.39217897549273</v>
      </c>
      <c r="AF292" s="1" t="n">
        <f aca="false">AF289*(1-$C$340)*$C$175</f>
        <v>4.44527317849656</v>
      </c>
    </row>
    <row r="293" customFormat="false" ht="14.25" hidden="false" customHeight="true" outlineLevel="0" collapsed="false">
      <c r="B293" s="144" t="s">
        <v>1285</v>
      </c>
    </row>
    <row r="294" customFormat="false" ht="14.25" hidden="false" customHeight="true" outlineLevel="0" collapsed="false">
      <c r="B294" s="84" t="s">
        <v>1286</v>
      </c>
      <c r="C294" s="116" t="n">
        <f aca="false">C85</f>
        <v>1.41920433268594</v>
      </c>
      <c r="D294" s="116" t="n">
        <f aca="false">D85</f>
        <v>3.7524686378297</v>
      </c>
      <c r="E294" s="116" t="n">
        <f aca="false">E85</f>
        <v>6.92170971743245</v>
      </c>
      <c r="F294" s="116" t="n">
        <f aca="false">F85</f>
        <v>14.17696255013</v>
      </c>
      <c r="G294" s="116" t="n">
        <f aca="false">G85</f>
        <v>21.3952090128847</v>
      </c>
      <c r="H294" s="116" t="n">
        <f aca="false">H85</f>
        <v>27.3614608697104</v>
      </c>
      <c r="I294" s="116" t="n">
        <f aca="false">I85</f>
        <v>32.5807623061547</v>
      </c>
      <c r="J294" s="116" t="n">
        <f aca="false">J85</f>
        <v>37.1542934162984</v>
      </c>
      <c r="K294" s="116" t="n">
        <f aca="false">K85</f>
        <v>38.6645765513218</v>
      </c>
      <c r="L294" s="116" t="n">
        <f aca="false">L85</f>
        <v>40.1760806066159</v>
      </c>
      <c r="M294" s="116" t="n">
        <f aca="false">M85</f>
        <v>32.1408644852927</v>
      </c>
      <c r="N294" s="116" t="n">
        <f aca="false">N85</f>
        <v>26.9493325835595</v>
      </c>
      <c r="O294" s="116" t="n">
        <f aca="false">O85</f>
        <v>27.8387947251858</v>
      </c>
      <c r="P294" s="116" t="n">
        <f aca="false">P85</f>
        <v>28.6637394019053</v>
      </c>
      <c r="Q294" s="116" t="n">
        <f aca="false">Q85</f>
        <v>29.4242507359008</v>
      </c>
      <c r="R294" s="116" t="n">
        <f aca="false">R85</f>
        <v>30.1359921976206</v>
      </c>
      <c r="S294" s="116" t="n">
        <f aca="false">S85</f>
        <v>30.7963444344095</v>
      </c>
      <c r="T294" s="116" t="n">
        <f aca="false">T85</f>
        <v>31.4095294690462</v>
      </c>
      <c r="U294" s="116" t="n">
        <f aca="false">U85</f>
        <v>32.0174326704304</v>
      </c>
      <c r="V294" s="116" t="n">
        <f aca="false">V85</f>
        <v>32.6201990246095</v>
      </c>
      <c r="W294" s="116" t="n">
        <f aca="false">W85</f>
        <v>33.2078197444143</v>
      </c>
      <c r="X294" s="116" t="n">
        <f aca="false">X85</f>
        <v>33.7813743363995</v>
      </c>
      <c r="Y294" s="116" t="n">
        <f aca="false">Y85</f>
        <v>34.3419386647458</v>
      </c>
      <c r="Z294" s="116" t="n">
        <f aca="false">Z85</f>
        <v>34.8905914486484</v>
      </c>
      <c r="AA294" s="116" t="n">
        <f aca="false">AA85</f>
        <v>35.4249181887499</v>
      </c>
      <c r="AB294" s="116" t="n">
        <f aca="false">AB85</f>
        <v>35.9452313934446</v>
      </c>
      <c r="AC294" s="116" t="n">
        <f aca="false">AC85</f>
        <v>36.4525008140548</v>
      </c>
      <c r="AD294" s="116" t="n">
        <f aca="false">AD85</f>
        <v>36.9473831129586</v>
      </c>
      <c r="AE294" s="116" t="n">
        <f aca="false">AE85</f>
        <v>37.4306315669344</v>
      </c>
      <c r="AF294" s="116" t="n">
        <f aca="false">AF85</f>
        <v>37.9030390476393</v>
      </c>
    </row>
    <row r="295" customFormat="false" ht="14.25" hidden="false" customHeight="true" outlineLevel="0" collapsed="false">
      <c r="B295" s="84" t="s">
        <v>1287</v>
      </c>
      <c r="C295" s="1" t="n">
        <f aca="false">MAX(0/$C$282,0-C294)</f>
        <v>0</v>
      </c>
      <c r="D295" s="1" t="n">
        <f aca="false">MAX(C294/$C$282,C294-D294)</f>
        <v>0.141920433268594</v>
      </c>
      <c r="E295" s="1" t="n">
        <f aca="false">MAX(D294/$C$282,D294-E294)</f>
        <v>0.37524686378297</v>
      </c>
      <c r="F295" s="1" t="n">
        <f aca="false">MAX(E294/$C$282,E294-F294)</f>
        <v>0.692170971743245</v>
      </c>
      <c r="G295" s="1" t="n">
        <f aca="false">MAX(F294/$C$282,F294-G294)</f>
        <v>1.417696255013</v>
      </c>
      <c r="H295" s="1" t="n">
        <f aca="false">MAX(G294/$C$282,G294-H294)</f>
        <v>2.13952090128847</v>
      </c>
      <c r="I295" s="1" t="n">
        <f aca="false">MAX(H294/$C$282,H294-I294)</f>
        <v>2.73614608697104</v>
      </c>
      <c r="J295" s="1" t="n">
        <f aca="false">MAX(I294/$C$282,I294-J294)</f>
        <v>3.25807623061547</v>
      </c>
      <c r="K295" s="1" t="n">
        <f aca="false">MAX(J294/$C$282,J294-K294)</f>
        <v>3.71542934162984</v>
      </c>
      <c r="L295" s="1" t="n">
        <f aca="false">MAX(K294/$C$282,K294-L294)</f>
        <v>3.86645765513218</v>
      </c>
      <c r="M295" s="1" t="n">
        <f aca="false">MAX(L294/$C$282,L294-M294)</f>
        <v>8.03521612132318</v>
      </c>
      <c r="N295" s="1" t="n">
        <f aca="false">MAX(M294/$C$282,M294-N294)</f>
        <v>5.1915319017332</v>
      </c>
      <c r="O295" s="1" t="n">
        <f aca="false">MAX(N294/$C$282,N294-O294)</f>
        <v>2.69493325835595</v>
      </c>
      <c r="P295" s="1" t="n">
        <f aca="false">MAX(O294/$C$282,O294-P294)</f>
        <v>2.78387947251858</v>
      </c>
      <c r="Q295" s="1" t="n">
        <f aca="false">MAX(P294/$C$282,P294-Q294)</f>
        <v>2.86637394019053</v>
      </c>
      <c r="R295" s="1" t="n">
        <f aca="false">MAX(Q294/$C$282,Q294-R294)</f>
        <v>2.94242507359008</v>
      </c>
      <c r="S295" s="1" t="n">
        <f aca="false">MAX(R294/$C$282,R294-S294)</f>
        <v>3.01359921976206</v>
      </c>
      <c r="T295" s="1" t="n">
        <f aca="false">MAX(S294/$C$282,S294-T294)</f>
        <v>3.07963444344095</v>
      </c>
      <c r="U295" s="1" t="n">
        <f aca="false">MAX(T294/$C$282,T294-U294)</f>
        <v>3.14095294690462</v>
      </c>
      <c r="V295" s="1" t="n">
        <f aca="false">MAX(U294/$C$282,U294-V294)</f>
        <v>3.20174326704304</v>
      </c>
      <c r="W295" s="1" t="n">
        <f aca="false">MAX(V294/$C$282,V294-W294)</f>
        <v>3.26201990246095</v>
      </c>
      <c r="X295" s="1" t="n">
        <f aca="false">MAX(W294/$C$282,W294-X294)</f>
        <v>3.32078197444143</v>
      </c>
      <c r="Y295" s="1" t="n">
        <f aca="false">MAX(X294/$C$282,X294-Y294)</f>
        <v>3.37813743363995</v>
      </c>
      <c r="Z295" s="1" t="n">
        <f aca="false">MAX(Y294/$C$282,Y294-Z294)</f>
        <v>3.43419386647458</v>
      </c>
      <c r="AA295" s="1" t="n">
        <f aca="false">MAX(Z294/$C$282,Z294-AA294)</f>
        <v>3.48905914486484</v>
      </c>
      <c r="AB295" s="1" t="n">
        <f aca="false">MAX(AA294/$C$282,AA294-AB294)</f>
        <v>3.54249181887499</v>
      </c>
      <c r="AC295" s="1" t="n">
        <f aca="false">MAX(AB294/$C$282,AB294-AC294)</f>
        <v>3.59452313934446</v>
      </c>
      <c r="AD295" s="1" t="n">
        <f aca="false">MAX(AC294/$C$282,AC294-AD294)</f>
        <v>3.64525008140548</v>
      </c>
      <c r="AE295" s="1" t="n">
        <f aca="false">MAX(AD294/$C$282,AD294-AE294)</f>
        <v>3.69473831129586</v>
      </c>
      <c r="AF295" s="1" t="n">
        <f aca="false">MAX(AE294/$C$282,AE294-AF294)</f>
        <v>3.74306315669344</v>
      </c>
    </row>
    <row r="296" customFormat="false" ht="14.25" hidden="false" customHeight="true" outlineLevel="0" collapsed="false">
      <c r="B296" s="84" t="s">
        <v>1288</v>
      </c>
      <c r="C296" s="1" t="n">
        <f aca="false">C294-0+C295</f>
        <v>1.41920433268594</v>
      </c>
      <c r="D296" s="1" t="n">
        <f aca="false">D294-C294+D295</f>
        <v>2.47518473841235</v>
      </c>
      <c r="E296" s="1" t="n">
        <f aca="false">E294-D294+E295</f>
        <v>3.54448794338572</v>
      </c>
      <c r="F296" s="1" t="n">
        <f aca="false">F294-E294+F295</f>
        <v>7.94742380444079</v>
      </c>
      <c r="G296" s="1" t="n">
        <f aca="false">G294-F294+G295</f>
        <v>8.6359427177677</v>
      </c>
      <c r="H296" s="1" t="n">
        <f aca="false">H294-G294+H295</f>
        <v>8.10577275811421</v>
      </c>
      <c r="I296" s="1" t="n">
        <f aca="false">I294-H294+I295</f>
        <v>7.95544752341535</v>
      </c>
      <c r="J296" s="1" t="n">
        <f aca="false">J294-I294+J295</f>
        <v>7.83160734075909</v>
      </c>
      <c r="K296" s="1" t="n">
        <f aca="false">K294-J294+K295</f>
        <v>5.22571247665328</v>
      </c>
      <c r="L296" s="1" t="n">
        <f aca="false">L294-K294+L295</f>
        <v>5.37796171042629</v>
      </c>
      <c r="M296" s="1" t="n">
        <f aca="false">M294-L294+M295</f>
        <v>0</v>
      </c>
      <c r="N296" s="1" t="n">
        <f aca="false">N294-M294+N295</f>
        <v>0</v>
      </c>
      <c r="O296" s="1" t="n">
        <f aca="false">O294-N294+O295</f>
        <v>3.58439539998226</v>
      </c>
      <c r="P296" s="1" t="n">
        <f aca="false">P294-O294+P295</f>
        <v>3.60882414923804</v>
      </c>
      <c r="Q296" s="1" t="n">
        <f aca="false">Q294-P294+Q295</f>
        <v>3.626885274186</v>
      </c>
      <c r="R296" s="1" t="n">
        <f aca="false">R294-Q294+R295</f>
        <v>3.6541665353099</v>
      </c>
      <c r="S296" s="1" t="n">
        <f aca="false">S294-R294+S295</f>
        <v>3.67395145655093</v>
      </c>
      <c r="T296" s="1" t="n">
        <f aca="false">T294-S294+T295</f>
        <v>3.6928194780777</v>
      </c>
      <c r="U296" s="1" t="n">
        <f aca="false">U294-T294+U295</f>
        <v>3.74885614828881</v>
      </c>
      <c r="V296" s="1" t="n">
        <f aca="false">V294-U294+V295</f>
        <v>3.80450962122214</v>
      </c>
      <c r="W296" s="1" t="n">
        <f aca="false">W294-V294+W295</f>
        <v>3.8496406222657</v>
      </c>
      <c r="X296" s="1" t="n">
        <f aca="false">X294-W294+X295</f>
        <v>3.89433656642671</v>
      </c>
      <c r="Y296" s="1" t="n">
        <f aca="false">Y294-X294+Y295</f>
        <v>3.93870176198616</v>
      </c>
      <c r="Z296" s="1" t="n">
        <f aca="false">Z294-Y294+Z295</f>
        <v>3.98284665037726</v>
      </c>
      <c r="AA296" s="1" t="n">
        <f aca="false">AA294-Z294+AA295</f>
        <v>4.02338588496634</v>
      </c>
      <c r="AB296" s="1" t="n">
        <f aca="false">AB294-AA294+AB295</f>
        <v>4.06280502356971</v>
      </c>
      <c r="AC296" s="1" t="n">
        <f aca="false">AC294-AB294+AC295</f>
        <v>4.10179255995466</v>
      </c>
      <c r="AD296" s="1" t="n">
        <f aca="false">AD294-AC294+AD295</f>
        <v>4.1401323803092</v>
      </c>
      <c r="AE296" s="1" t="n">
        <f aca="false">AE294-AD294+AE295</f>
        <v>4.17798676527173</v>
      </c>
      <c r="AF296" s="1" t="n">
        <f aca="false">AF294-AE294+AF295</f>
        <v>4.21547063739827</v>
      </c>
    </row>
    <row r="297" customFormat="false" ht="14.25" hidden="false" customHeight="true" outlineLevel="0" collapsed="false">
      <c r="B297" s="84" t="s">
        <v>1289</v>
      </c>
      <c r="C297" s="1" t="n">
        <f aca="false">C294*01_Supuestos!$I$126</f>
        <v>0.0567681733074377</v>
      </c>
      <c r="D297" s="1" t="n">
        <f aca="false">D294*01_Supuestos!$I$126</f>
        <v>0.150098745513188</v>
      </c>
      <c r="E297" s="1" t="n">
        <f aca="false">E294*01_Supuestos!$I$126</f>
        <v>0.276868388697298</v>
      </c>
      <c r="F297" s="1" t="n">
        <f aca="false">F294*01_Supuestos!$I$126</f>
        <v>0.5670785020052</v>
      </c>
      <c r="G297" s="1" t="n">
        <f aca="false">G294*01_Supuestos!$I$126</f>
        <v>0.855808360515388</v>
      </c>
      <c r="H297" s="1" t="n">
        <f aca="false">H294*01_Supuestos!$I$126</f>
        <v>1.09445843478842</v>
      </c>
      <c r="I297" s="1" t="n">
        <f aca="false">I294*01_Supuestos!$I$126</f>
        <v>1.30323049224619</v>
      </c>
      <c r="J297" s="1" t="n">
        <f aca="false">J294*01_Supuestos!$I$126</f>
        <v>1.48617173665193</v>
      </c>
      <c r="K297" s="1" t="n">
        <f aca="false">K294*01_Supuestos!$I$126</f>
        <v>1.54658306205287</v>
      </c>
      <c r="L297" s="1" t="n">
        <f aca="false">L294*01_Supuestos!$I$126</f>
        <v>1.60704322426464</v>
      </c>
      <c r="M297" s="1" t="n">
        <f aca="false">M294*01_Supuestos!$I$126</f>
        <v>1.28563457941171</v>
      </c>
      <c r="N297" s="1" t="n">
        <f aca="false">N294*01_Supuestos!$I$126</f>
        <v>1.07797330334238</v>
      </c>
      <c r="O297" s="1" t="n">
        <f aca="false">O294*01_Supuestos!$I$126</f>
        <v>1.11355178900743</v>
      </c>
      <c r="P297" s="1" t="n">
        <f aca="false">P294*01_Supuestos!$I$126</f>
        <v>1.14654957607621</v>
      </c>
      <c r="Q297" s="1" t="n">
        <f aca="false">Q294*01_Supuestos!$I$126</f>
        <v>1.17697002943603</v>
      </c>
      <c r="R297" s="1" t="n">
        <f aca="false">R294*01_Supuestos!$I$126</f>
        <v>1.20543968790482</v>
      </c>
      <c r="S297" s="1" t="n">
        <f aca="false">S294*01_Supuestos!$I$126</f>
        <v>1.23185377737638</v>
      </c>
      <c r="T297" s="1" t="n">
        <f aca="false">T294*01_Supuestos!$I$126</f>
        <v>1.25638117876185</v>
      </c>
      <c r="U297" s="1" t="n">
        <f aca="false">U294*01_Supuestos!$I$126</f>
        <v>1.28069730681722</v>
      </c>
      <c r="V297" s="1" t="n">
        <f aca="false">V294*01_Supuestos!$I$126</f>
        <v>1.30480796098438</v>
      </c>
      <c r="W297" s="1" t="n">
        <f aca="false">W294*01_Supuestos!$I$126</f>
        <v>1.32831278977657</v>
      </c>
      <c r="X297" s="1" t="n">
        <f aca="false">X294*01_Supuestos!$I$126</f>
        <v>1.35125497345598</v>
      </c>
      <c r="Y297" s="1" t="n">
        <f aca="false">Y294*01_Supuestos!$I$126</f>
        <v>1.37367754658983</v>
      </c>
      <c r="Z297" s="1" t="n">
        <f aca="false">Z294*01_Supuestos!$I$126</f>
        <v>1.39562365794594</v>
      </c>
      <c r="AA297" s="1" t="n">
        <f aca="false">AA294*01_Supuestos!$I$126</f>
        <v>1.41699672755</v>
      </c>
      <c r="AB297" s="1" t="n">
        <f aca="false">AB294*01_Supuestos!$I$126</f>
        <v>1.43780925573779</v>
      </c>
      <c r="AC297" s="1" t="n">
        <f aca="false">AC294*01_Supuestos!$I$126</f>
        <v>1.45810003256219</v>
      </c>
      <c r="AD297" s="1" t="n">
        <f aca="false">AD294*01_Supuestos!$I$126</f>
        <v>1.47789532451834</v>
      </c>
      <c r="AE297" s="1" t="n">
        <f aca="false">AE294*01_Supuestos!$I$126</f>
        <v>1.49722526267738</v>
      </c>
      <c r="AF297" s="1" t="n">
        <f aca="false">AF294*01_Supuestos!$I$126</f>
        <v>1.51612156190557</v>
      </c>
    </row>
    <row r="298" customFormat="false" ht="14.25" hidden="false" customHeight="true" outlineLevel="0" collapsed="false">
      <c r="B298" s="84" t="s">
        <v>1290</v>
      </c>
      <c r="C298" s="116" t="n">
        <f aca="false">C86</f>
        <v>0.344317493798204</v>
      </c>
      <c r="D298" s="116" t="n">
        <f aca="false">D86</f>
        <v>0.843029993798204</v>
      </c>
      <c r="E298" s="116" t="n">
        <f aca="false">E86</f>
        <v>1.3532128812982</v>
      </c>
      <c r="F298" s="116" t="n">
        <f aca="false">F86</f>
        <v>1.8751299752107</v>
      </c>
      <c r="G298" s="116" t="n">
        <f aca="false">G86</f>
        <v>2.40905116228319</v>
      </c>
      <c r="H298" s="116" t="n">
        <f aca="false">H86</f>
        <v>2.95525253665835</v>
      </c>
      <c r="I298" s="116" t="n">
        <f aca="false">I86</f>
        <v>3.51401654264413</v>
      </c>
      <c r="J298" s="116" t="n">
        <f aca="false">J86</f>
        <v>4.08563212076759</v>
      </c>
      <c r="K298" s="116" t="n">
        <f aca="false">K86</f>
        <v>4.67039485718788</v>
      </c>
      <c r="L298" s="116" t="n">
        <f aca="false">L86</f>
        <v>5.26860713654584</v>
      </c>
      <c r="M298" s="116" t="n">
        <f aca="false">M86</f>
        <v>5.88057829832904</v>
      </c>
      <c r="N298" s="116" t="n">
        <f aca="false">N86</f>
        <v>6.50662479683325</v>
      </c>
      <c r="O298" s="116" t="n">
        <f aca="false">O86</f>
        <v>7.14707036480305</v>
      </c>
      <c r="P298" s="116" t="n">
        <f aca="false">P86</f>
        <v>7.80224618083616</v>
      </c>
      <c r="Q298" s="116" t="n">
        <f aca="false">Q86</f>
        <v>8.47249104063803</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10.5888737766102</v>
      </c>
      <c r="AA298" s="116" t="n">
        <f aca="false">AA86</f>
        <v>10.7455284549026</v>
      </c>
      <c r="AB298" s="116" t="n">
        <f aca="false">AB86</f>
        <v>10.897972104411</v>
      </c>
      <c r="AC298" s="116" t="n">
        <f aca="false">AC86</f>
        <v>11.0464954045561</v>
      </c>
      <c r="AD298" s="116" t="n">
        <f aca="false">AD86</f>
        <v>11.1912950993921</v>
      </c>
      <c r="AE298" s="116" t="n">
        <f aca="false">AE86</f>
        <v>11.3325969083041</v>
      </c>
      <c r="AF298" s="116" t="n">
        <f aca="false">AF86</f>
        <v>11.4706384198338</v>
      </c>
    </row>
    <row r="299" customFormat="false" ht="14.25" hidden="false" customHeight="true" outlineLevel="0" collapsed="false">
      <c r="B299" s="144" t="s">
        <v>1291</v>
      </c>
      <c r="C299" s="1" t="n">
        <f aca="false">C286+C291+C296</f>
        <v>6.54203238216588</v>
      </c>
      <c r="D299" s="1" t="n">
        <f aca="false">D286+D291+D296</f>
        <v>10.3634953821144</v>
      </c>
      <c r="E299" s="1" t="n">
        <f aca="false">E286+E291+E296</f>
        <v>11.8548884204956</v>
      </c>
      <c r="F299" s="1" t="n">
        <f aca="false">F286+F291+F296</f>
        <v>13.3448866160967</v>
      </c>
      <c r="G299" s="1" t="n">
        <f aca="false">G286+G291+G296</f>
        <v>14.6860361407236</v>
      </c>
      <c r="H299" s="1" t="n">
        <f aca="false">H286+H291+H296</f>
        <v>16.0673350203727</v>
      </c>
      <c r="I299" s="1" t="n">
        <f aca="false">I286+I291+I296</f>
        <v>17.5451077656025</v>
      </c>
      <c r="J299" s="1" t="n">
        <f aca="false">J286+J291+J296</f>
        <v>19.0972141533159</v>
      </c>
      <c r="K299" s="1" t="n">
        <f aca="false">K286+K291+K296</f>
        <v>20.7199630926002</v>
      </c>
      <c r="L299" s="1" t="n">
        <f aca="false">L286+L291+L296</f>
        <v>22.5246111377576</v>
      </c>
      <c r="M299" s="1" t="n">
        <f aca="false">M286+M291+M296</f>
        <v>28.3899034650707</v>
      </c>
      <c r="N299" s="1" t="n">
        <f aca="false">N286+N291+N296</f>
        <v>28.6771250124475</v>
      </c>
      <c r="O299" s="1" t="n">
        <f aca="false">O286+O291+O296</f>
        <v>28.9424033597322</v>
      </c>
      <c r="P299" s="1" t="n">
        <f aca="false">P286+P291+P296</f>
        <v>30.953785588618</v>
      </c>
      <c r="Q299" s="1" t="n">
        <f aca="false">Q286+Q291+Q296</f>
        <v>33.0153070223149</v>
      </c>
      <c r="R299" s="1" t="n">
        <f aca="false">R286+R291+R296</f>
        <v>29.7655122068253</v>
      </c>
      <c r="S299" s="1" t="n">
        <f aca="false">S286+S291+S296</f>
        <v>27.0630528083785</v>
      </c>
      <c r="T299" s="1" t="n">
        <f aca="false">T286+T291+T296</f>
        <v>27.686998572858</v>
      </c>
      <c r="U299" s="1" t="n">
        <f aca="false">U286+U291+U296</f>
        <v>28.3281403624237</v>
      </c>
      <c r="V299" s="1" t="n">
        <f aca="false">V286+V291+V296</f>
        <v>28.9849129547627</v>
      </c>
      <c r="W299" s="1" t="n">
        <f aca="false">W286+W291+W296</f>
        <v>29.6576636993944</v>
      </c>
      <c r="X299" s="1" t="n">
        <f aca="false">X286+X291+X296</f>
        <v>30.3472114037101</v>
      </c>
      <c r="Y299" s="1" t="n">
        <f aca="false">Y286+Y291+Y296</f>
        <v>31.0538772447067</v>
      </c>
      <c r="Z299" s="1" t="n">
        <f aca="false">Z286+Z291+Z296</f>
        <v>30.6778597389136</v>
      </c>
      <c r="AA299" s="1" t="n">
        <f aca="false">AA286+AA291+AA296</f>
        <v>30.6834772734211</v>
      </c>
      <c r="AB299" s="1" t="n">
        <f aca="false">AB286+AB291+AB296</f>
        <v>31.0125451925697</v>
      </c>
      <c r="AC299" s="1" t="n">
        <f aca="false">AC286+AC291+AC296</f>
        <v>31.3361236680153</v>
      </c>
      <c r="AD299" s="1" t="n">
        <f aca="false">AD286+AD291+AD296</f>
        <v>31.6531879792831</v>
      </c>
      <c r="AE299" s="1" t="n">
        <f aca="false">AE286+AE291+AE296</f>
        <v>31.9648030790483</v>
      </c>
      <c r="AF299" s="1" t="n">
        <f aca="false">AF286+AF291+AF296</f>
        <v>32.271784668035</v>
      </c>
    </row>
    <row r="300" customFormat="false" ht="14.25" hidden="false" customHeight="true" outlineLevel="0" collapsed="false">
      <c r="B300" s="144" t="s">
        <v>1292</v>
      </c>
      <c r="C300" s="1" t="n">
        <f aca="false">C285+C290+C295</f>
        <v>0</v>
      </c>
      <c r="D300" s="1" t="n">
        <f aca="false">D285+D290+D295</f>
        <v>0.836729601619559</v>
      </c>
      <c r="E300" s="1" t="n">
        <f aca="false">E285+E290+E295</f>
        <v>2.03876254555229</v>
      </c>
      <c r="F300" s="1" t="n">
        <f aca="false">F285+F290+F295</f>
        <v>3.24056848148692</v>
      </c>
      <c r="G300" s="1" t="n">
        <f aca="false">G285+G290+G295</f>
        <v>4.3270285165576</v>
      </c>
      <c r="H300" s="1" t="n">
        <f aca="false">H285+H290+H295</f>
        <v>5.44574127653983</v>
      </c>
      <c r="I300" s="1" t="n">
        <f aca="false">I285+I290+I295</f>
        <v>6.64070827860467</v>
      </c>
      <c r="J300" s="1" t="n">
        <f aca="false">J285+J290+J295</f>
        <v>7.89466264892935</v>
      </c>
      <c r="K300" s="1" t="n">
        <f aca="false">K285+K290+K295</f>
        <v>9.20474393183173</v>
      </c>
      <c r="L300" s="1" t="n">
        <f aca="false">L285+L290+L295</f>
        <v>10.6578485726039</v>
      </c>
      <c r="M300" s="1" t="n">
        <f aca="false">M285+M290+M295</f>
        <v>16.1631768413124</v>
      </c>
      <c r="N300" s="1" t="n">
        <f aca="false">N285+N290+N295</f>
        <v>15.9863403090379</v>
      </c>
      <c r="O300" s="1" t="n">
        <f aca="false">O285+O290+O295</f>
        <v>15.8071721827431</v>
      </c>
      <c r="P300" s="1" t="n">
        <f aca="false">P285+P290+P295</f>
        <v>17.4258896619282</v>
      </c>
      <c r="Q300" s="1" t="n">
        <f aca="false">Q285+Q290+Q295</f>
        <v>19.0848653057395</v>
      </c>
      <c r="R300" s="1" t="n">
        <f aca="false">R285+R290+R295</f>
        <v>20.7849691832728</v>
      </c>
      <c r="S300" s="1" t="n">
        <f aca="false">S285+S290+S295</f>
        <v>21.7992154441794</v>
      </c>
      <c r="T300" s="1" t="n">
        <f aca="false">T285+T290+T295</f>
        <v>22.3017651934447</v>
      </c>
      <c r="U300" s="1" t="n">
        <f aca="false">U285+U290+U295</f>
        <v>22.8180953064104</v>
      </c>
      <c r="V300" s="1" t="n">
        <f aca="false">V285+V290+V295</f>
        <v>23.3469917026971</v>
      </c>
      <c r="W300" s="1" t="n">
        <f aca="false">W285+W290+W295</f>
        <v>23.8887339125588</v>
      </c>
      <c r="X300" s="1" t="n">
        <f aca="false">X285+X290+X295</f>
        <v>24.4439697931997</v>
      </c>
      <c r="Y300" s="1" t="n">
        <f aca="false">Y285+Y290+Y295</f>
        <v>25.0129588245332</v>
      </c>
      <c r="Z300" s="1" t="n">
        <f aca="false">Z285+Z290+Z295</f>
        <v>25.5959674689334</v>
      </c>
      <c r="AA300" s="1" t="n">
        <f aca="false">AA285+AA290+AA295</f>
        <v>26.0440582827958</v>
      </c>
      <c r="AB300" s="1" t="n">
        <f aca="false">AB285+AB290+AB295</f>
        <v>26.4287146273652</v>
      </c>
      <c r="AC300" s="1" t="n">
        <f aca="false">AC285+AC290+AC295</f>
        <v>26.8030185793557</v>
      </c>
      <c r="AD300" s="1" t="n">
        <f aca="false">AD285+AD290+AD295</f>
        <v>27.1676846586741</v>
      </c>
      <c r="AE300" s="1" t="n">
        <f aca="false">AE285+AE290+AE295</f>
        <v>27.5231964719657</v>
      </c>
      <c r="AF300" s="1" t="n">
        <f aca="false">AF285+AF290+AF295</f>
        <v>27.8701088520625</v>
      </c>
    </row>
    <row r="301" customFormat="false" ht="14.25" hidden="false" customHeight="true" outlineLevel="0" collapsed="false">
      <c r="B301" s="144" t="s">
        <v>1293</v>
      </c>
      <c r="C301" s="1" t="n">
        <f aca="false">C284+C289+C294</f>
        <v>6.54203238216588</v>
      </c>
      <c r="D301" s="1" t="n">
        <f aca="false">D284+D289+D294</f>
        <v>16.0175698821659</v>
      </c>
      <c r="E301" s="1" t="n">
        <f aca="false">E284+E289+E294</f>
        <v>25.7110447446659</v>
      </c>
      <c r="F301" s="1" t="n">
        <f aca="false">F284+F289+F294</f>
        <v>35.6274695290034</v>
      </c>
      <c r="G301" s="1" t="n">
        <f aca="false">G284+G289+G294</f>
        <v>45.7719720833806</v>
      </c>
      <c r="H301" s="1" t="n">
        <f aca="false">H284+H289+H294</f>
        <v>56.1497981965086</v>
      </c>
      <c r="I301" s="1" t="n">
        <f aca="false">I284+I289+I294</f>
        <v>66.7663143102384</v>
      </c>
      <c r="J301" s="1" t="n">
        <f aca="false">J284+J289+J294</f>
        <v>77.6270102945841</v>
      </c>
      <c r="K301" s="1" t="n">
        <f aca="false">K284+K289+K294</f>
        <v>88.7375022865697</v>
      </c>
      <c r="L301" s="1" t="n">
        <f aca="false">L284+L289+L294</f>
        <v>100.103535594371</v>
      </c>
      <c r="M301" s="1" t="n">
        <f aca="false">M284+M289+M294</f>
        <v>111.730987668252</v>
      </c>
      <c r="N301" s="1" t="n">
        <f aca="false">N284+N289+N294</f>
        <v>123.625871139832</v>
      </c>
      <c r="O301" s="1" t="n">
        <f aca="false">O284+O289+O294</f>
        <v>135.794336931258</v>
      </c>
      <c r="P301" s="1" t="n">
        <f aca="false">P284+P289+P294</f>
        <v>148.242677435887</v>
      </c>
      <c r="Q301" s="1" t="n">
        <f aca="false">Q284+Q289+Q294</f>
        <v>160.977329772123</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201.188601755593</v>
      </c>
      <c r="AA301" s="1" t="n">
        <f aca="false">AA284+AA289+AA294</f>
        <v>204.165040643149</v>
      </c>
      <c r="AB301" s="1" t="n">
        <f aca="false">AB284+AB289+AB294</f>
        <v>207.06146998381</v>
      </c>
      <c r="AC301" s="1" t="n">
        <f aca="false">AC284+AC289+AC294</f>
        <v>209.883412686566</v>
      </c>
      <c r="AD301" s="1" t="n">
        <f aca="false">AD284+AD289+AD294</f>
        <v>212.63460688845</v>
      </c>
      <c r="AE301" s="1" t="n">
        <f aca="false">AE284+AE289+AE294</f>
        <v>215.319341257777</v>
      </c>
      <c r="AF301" s="1" t="n">
        <f aca="false">AF284+AF289+AF294</f>
        <v>217.942129976841</v>
      </c>
    </row>
    <row r="302" customFormat="false" ht="14.25" hidden="false" customHeight="true" outlineLevel="0" collapsed="false">
      <c r="B302" s="144" t="s">
        <v>1294</v>
      </c>
      <c r="C302" s="1" t="n">
        <f aca="false">C287+C292+C297</f>
        <v>0.274846963373799</v>
      </c>
      <c r="D302" s="1" t="n">
        <f aca="false">D287+D292+D297</f>
        <v>0.672224105484579</v>
      </c>
      <c r="E302" s="1" t="n">
        <f aca="false">E287+E292+E297</f>
        <v>1.07673038080662</v>
      </c>
      <c r="F302" s="1" t="n">
        <f aca="false">F287+F292+F297</f>
        <v>1.48022658409584</v>
      </c>
      <c r="G302" s="1" t="n">
        <f aca="false">G287+G292+G297</f>
        <v>1.8935271644264</v>
      </c>
      <c r="H302" s="1" t="n">
        <f aca="false">H287+H292+H297</f>
        <v>2.31997795479021</v>
      </c>
      <c r="I302" s="1" t="n">
        <f aca="false">I287+I292+I297</f>
        <v>2.75850944106003</v>
      </c>
      <c r="J302" s="1" t="n">
        <f aca="false">J287+J292+J297</f>
        <v>3.20909529416056</v>
      </c>
      <c r="K302" s="1" t="n">
        <f aca="false">K287+K292+K297</f>
        <v>3.67818751060238</v>
      </c>
      <c r="L302" s="1" t="n">
        <f aca="false">L287+L292+L297</f>
        <v>4.15815498309337</v>
      </c>
      <c r="M302" s="1" t="n">
        <f aca="false">M287+M292+M297</f>
        <v>4.67378612331027</v>
      </c>
      <c r="N302" s="1" t="n">
        <f aca="false">N287+N292+N297</f>
        <v>5.19349354968289</v>
      </c>
      <c r="O302" s="1" t="n">
        <f aca="false">O287+O292+O297</f>
        <v>5.70921922071992</v>
      </c>
      <c r="P302" s="1" t="n">
        <f aca="false">P287+P292+P297</f>
        <v>6.23702496818282</v>
      </c>
      <c r="Q302" s="1" t="n">
        <f aca="false">Q287+Q292+Q297</f>
        <v>6.77718460400799</v>
      </c>
      <c r="R302" s="1" t="n">
        <f aca="false">R287+R292+R297</f>
        <v>7.10165499921828</v>
      </c>
      <c r="S302" s="1" t="n">
        <f aca="false">S287+S292+S297</f>
        <v>7.26507729745056</v>
      </c>
      <c r="T302" s="1" t="n">
        <f aca="false">T287+T292+T297</f>
        <v>7.43241856167242</v>
      </c>
      <c r="U302" s="1" t="n">
        <f aca="false">U287+U292+U297</f>
        <v>7.60365849465025</v>
      </c>
      <c r="V302" s="1" t="n">
        <f aca="false">V287+V292+V297</f>
        <v>7.77888608094211</v>
      </c>
      <c r="W302" s="1" t="n">
        <f aca="false">W287+W292+W297</f>
        <v>7.95821845551822</v>
      </c>
      <c r="X302" s="1" t="n">
        <f aca="false">X287+X292+X297</f>
        <v>8.14174635891883</v>
      </c>
      <c r="Y302" s="1" t="n">
        <f aca="false">Y287+Y292+Y297</f>
        <v>8.32956269188714</v>
      </c>
      <c r="Z302" s="1" t="n">
        <f aca="false">Z287+Z292+Z297</f>
        <v>8.47492995671259</v>
      </c>
      <c r="AA302" s="1" t="n">
        <f aca="false">AA287+AA292+AA297</f>
        <v>8.60026374043378</v>
      </c>
      <c r="AB302" s="1" t="n">
        <f aca="false">AB287+AB292+AB297</f>
        <v>8.72222753252964</v>
      </c>
      <c r="AC302" s="1" t="n">
        <f aca="false">AC287+AC292+AC297</f>
        <v>8.84105395097499</v>
      </c>
      <c r="AD302" s="1" t="n">
        <f aca="false">AD287+AD292+AD297</f>
        <v>8.956900440641</v>
      </c>
      <c r="AE302" s="1" t="n">
        <f aca="false">AE287+AE292+AE297</f>
        <v>9.06994763421656</v>
      </c>
      <c r="AF302" s="1" t="n">
        <f aca="false">AF287+AF292+AF297</f>
        <v>9.18038566276171</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11.8267027723829</v>
      </c>
      <c r="D307" s="116" t="n">
        <f aca="false">D81</f>
        <v>31.2705719819142</v>
      </c>
      <c r="E307" s="116" t="n">
        <f aca="false">E81</f>
        <v>57.6809143119371</v>
      </c>
      <c r="F307" s="116" t="n">
        <f aca="false">F81</f>
        <v>118.141354584417</v>
      </c>
      <c r="G307" s="116" t="n">
        <f aca="false">G81</f>
        <v>178.293408440706</v>
      </c>
      <c r="H307" s="116" t="n">
        <f aca="false">H81</f>
        <v>228.012173914254</v>
      </c>
      <c r="I307" s="116" t="n">
        <f aca="false">I81</f>
        <v>271.50635255129</v>
      </c>
      <c r="J307" s="116" t="n">
        <f aca="false">J81</f>
        <v>309.619111802486</v>
      </c>
      <c r="K307" s="116" t="n">
        <f aca="false">K81</f>
        <v>322.204804594348</v>
      </c>
      <c r="L307" s="116" t="n">
        <f aca="false">L81</f>
        <v>334.800671721799</v>
      </c>
      <c r="M307" s="116" t="n">
        <f aca="false">M81</f>
        <v>347.163373073609</v>
      </c>
      <c r="N307" s="116" t="n">
        <f aca="false">N81</f>
        <v>359.324434447461</v>
      </c>
      <c r="O307" s="116" t="n">
        <f aca="false">O81</f>
        <v>371.183929669145</v>
      </c>
      <c r="P307" s="116" t="n">
        <f aca="false">P81</f>
        <v>382.183192025404</v>
      </c>
      <c r="Q307" s="116" t="n">
        <f aca="false">Q81</f>
        <v>392.323343145344</v>
      </c>
      <c r="R307" s="116" t="n">
        <f aca="false">R81</f>
        <v>401.813229301608</v>
      </c>
      <c r="S307" s="116" t="n">
        <f aca="false">S81</f>
        <v>410.617925792126</v>
      </c>
      <c r="T307" s="116" t="n">
        <f aca="false">T81</f>
        <v>418.79372625395</v>
      </c>
      <c r="U307" s="116" t="n">
        <f aca="false">U81</f>
        <v>426.899102272405</v>
      </c>
      <c r="V307" s="116" t="n">
        <f aca="false">V81</f>
        <v>434.935986994794</v>
      </c>
      <c r="W307" s="116" t="n">
        <f aca="false">W81</f>
        <v>442.770929925524</v>
      </c>
      <c r="X307" s="116" t="n">
        <f aca="false">X81</f>
        <v>450.418324485327</v>
      </c>
      <c r="Y307" s="116" t="n">
        <f aca="false">Y81</f>
        <v>457.892515529943</v>
      </c>
      <c r="Z307" s="116" t="n">
        <f aca="false">Z81</f>
        <v>465.207885981979</v>
      </c>
      <c r="AA307" s="116" t="n">
        <f aca="false">AA81</f>
        <v>472.332242516666</v>
      </c>
      <c r="AB307" s="116" t="n">
        <f aca="false">AB81</f>
        <v>479.269751912595</v>
      </c>
      <c r="AC307" s="116" t="n">
        <f aca="false">AC81</f>
        <v>486.033344187398</v>
      </c>
      <c r="AD307" s="116" t="n">
        <f aca="false">AD81</f>
        <v>492.631774839447</v>
      </c>
      <c r="AE307" s="116" t="n">
        <f aca="false">AE81</f>
        <v>499.075087559126</v>
      </c>
      <c r="AF307" s="116" t="n">
        <f aca="false">AF81</f>
        <v>505.373853968524</v>
      </c>
    </row>
    <row r="308" customFormat="false" ht="14.25" hidden="false" customHeight="true" outlineLevel="0" collapsed="false">
      <c r="B308" s="84" t="s">
        <v>1300</v>
      </c>
      <c r="C308" s="1" t="n">
        <f aca="false">C301</f>
        <v>6.54203238216588</v>
      </c>
      <c r="D308" s="1" t="n">
        <f aca="false">D301</f>
        <v>16.0175698821659</v>
      </c>
      <c r="E308" s="1" t="n">
        <f aca="false">E301</f>
        <v>25.7110447446659</v>
      </c>
      <c r="F308" s="1" t="n">
        <f aca="false">F301</f>
        <v>35.6274695290034</v>
      </c>
      <c r="G308" s="1" t="n">
        <f aca="false">G301</f>
        <v>45.7719720833806</v>
      </c>
      <c r="H308" s="1" t="n">
        <f aca="false">H301</f>
        <v>56.1497981965086</v>
      </c>
      <c r="I308" s="1" t="n">
        <f aca="false">I301</f>
        <v>66.7663143102384</v>
      </c>
      <c r="J308" s="1" t="n">
        <f aca="false">J301</f>
        <v>77.6270102945841</v>
      </c>
      <c r="K308" s="1" t="n">
        <f aca="false">K301</f>
        <v>88.7375022865697</v>
      </c>
      <c r="L308" s="1" t="n">
        <f aca="false">L301</f>
        <v>100.103535594371</v>
      </c>
      <c r="M308" s="1" t="n">
        <f aca="false">M301</f>
        <v>111.730987668252</v>
      </c>
      <c r="N308" s="1" t="n">
        <f aca="false">N301</f>
        <v>123.625871139832</v>
      </c>
      <c r="O308" s="1" t="n">
        <f aca="false">O301</f>
        <v>135.794336931258</v>
      </c>
      <c r="P308" s="1" t="n">
        <f aca="false">P301</f>
        <v>148.242677435887</v>
      </c>
      <c r="Q308" s="1" t="n">
        <f aca="false">Q301</f>
        <v>160.977329772123</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201.188601755593</v>
      </c>
      <c r="AA308" s="1" t="n">
        <f aca="false">AA301</f>
        <v>204.165040643149</v>
      </c>
      <c r="AB308" s="1" t="n">
        <f aca="false">AB301</f>
        <v>207.06146998381</v>
      </c>
      <c r="AC308" s="1" t="n">
        <f aca="false">AC301</f>
        <v>209.883412686566</v>
      </c>
      <c r="AD308" s="1" t="n">
        <f aca="false">AD301</f>
        <v>212.63460688845</v>
      </c>
      <c r="AE308" s="1" t="n">
        <f aca="false">AE301</f>
        <v>215.319341257777</v>
      </c>
      <c r="AF308" s="1" t="n">
        <f aca="false">AF301</f>
        <v>217.942129976841</v>
      </c>
    </row>
    <row r="309" customFormat="false" ht="14.25" hidden="false" customHeight="true" outlineLevel="0" collapsed="false">
      <c r="B309" s="84" t="s">
        <v>1301</v>
      </c>
      <c r="C309" s="1" t="n">
        <f aca="false">C307-C308</f>
        <v>5.28467039021698</v>
      </c>
      <c r="D309" s="1" t="n">
        <f aca="false">D307-D308</f>
        <v>15.2530020997483</v>
      </c>
      <c r="E309" s="1" t="n">
        <f aca="false">E307-E308</f>
        <v>31.9698695672712</v>
      </c>
      <c r="F309" s="1" t="n">
        <f aca="false">F307-F308</f>
        <v>82.5138850554133</v>
      </c>
      <c r="G309" s="1" t="n">
        <f aca="false">G307-G308</f>
        <v>132.521436357325</v>
      </c>
      <c r="H309" s="1" t="n">
        <f aca="false">H307-H308</f>
        <v>171.862375717745</v>
      </c>
      <c r="I309" s="1" t="n">
        <f aca="false">I307-I308</f>
        <v>204.740038241051</v>
      </c>
      <c r="J309" s="1" t="n">
        <f aca="false">J307-J308</f>
        <v>231.992101507902</v>
      </c>
      <c r="K309" s="1" t="n">
        <f aca="false">K307-K308</f>
        <v>233.467302307779</v>
      </c>
      <c r="L309" s="1" t="n">
        <f aca="false">L307-L308</f>
        <v>234.697136127428</v>
      </c>
      <c r="M309" s="1" t="n">
        <f aca="false">M307-M308</f>
        <v>235.432385405357</v>
      </c>
      <c r="N309" s="1" t="n">
        <f aca="false">N307-N308</f>
        <v>235.698563307629</v>
      </c>
      <c r="O309" s="1" t="n">
        <f aca="false">O307-O308</f>
        <v>235.389592737887</v>
      </c>
      <c r="P309" s="1" t="n">
        <f aca="false">P307-P308</f>
        <v>233.940514589517</v>
      </c>
      <c r="Q309" s="1" t="n">
        <f aca="false">Q307-Q308</f>
        <v>231.346013373221</v>
      </c>
      <c r="R309" s="1" t="n">
        <f aca="false">R307-R308</f>
        <v>233.170887296295</v>
      </c>
      <c r="S309" s="1" t="n">
        <f aca="false">S307-S308</f>
        <v>238.096809920691</v>
      </c>
      <c r="T309" s="1" t="n">
        <f aca="false">T307-T308</f>
        <v>242.304624717472</v>
      </c>
      <c r="U309" s="1" t="n">
        <f aca="false">U307-U308</f>
        <v>246.350751400588</v>
      </c>
      <c r="V309" s="1" t="n">
        <f aca="false">V307-V308</f>
        <v>250.235024052925</v>
      </c>
      <c r="W309" s="1" t="n">
        <f aca="false">W307-W308</f>
        <v>253.821844835992</v>
      </c>
      <c r="X309" s="1" t="n">
        <f aca="false">X307-X308</f>
        <v>257.123410438736</v>
      </c>
      <c r="Y309" s="1" t="n">
        <f aca="false">Y307-Y308</f>
        <v>260.151818460281</v>
      </c>
      <c r="Z309" s="1" t="n">
        <f aca="false">Z307-Z308</f>
        <v>264.019284226386</v>
      </c>
      <c r="AA309" s="1" t="n">
        <f aca="false">AA307-AA308</f>
        <v>268.167201873516</v>
      </c>
      <c r="AB309" s="1" t="n">
        <f aca="false">AB307-AB308</f>
        <v>272.208281928785</v>
      </c>
      <c r="AC309" s="1" t="n">
        <f aca="false">AC307-AC308</f>
        <v>276.149931500832</v>
      </c>
      <c r="AD309" s="1" t="n">
        <f aca="false">AD307-AD308</f>
        <v>279.997167950998</v>
      </c>
      <c r="AE309" s="1" t="n">
        <f aca="false">AE307-AE308</f>
        <v>283.755746301348</v>
      </c>
      <c r="AF309" s="1" t="n">
        <f aca="false">AF307-AF308</f>
        <v>287.431723991682</v>
      </c>
    </row>
    <row r="310" customFormat="false" ht="14.25" hidden="false" customHeight="true" outlineLevel="0" collapsed="false">
      <c r="B310" s="84" t="s">
        <v>1302</v>
      </c>
      <c r="C310" s="1" t="n">
        <f aca="false">IF(C307&gt;0,100*C308/C307,0)</f>
        <v>55.3157757328824</v>
      </c>
      <c r="D310" s="1" t="n">
        <f aca="false">IF(D307&gt;0,100*D308/D307,0)</f>
        <v>51.2225036735173</v>
      </c>
      <c r="E310" s="1" t="n">
        <f aca="false">IF(E307&gt;0,100*E308/E307,0)</f>
        <v>44.5746137199232</v>
      </c>
      <c r="F310" s="1" t="n">
        <f aca="false">IF(F307&gt;0,100*F308/F307,0)</f>
        <v>30.156645532235</v>
      </c>
      <c r="G310" s="1" t="n">
        <f aca="false">IF(G307&gt;0,100*G308/G307,0)</f>
        <v>25.6722738567213</v>
      </c>
      <c r="H310" s="1" t="n">
        <f aca="false">IF(H307&gt;0,100*H308/H307,0)</f>
        <v>24.6257895938593</v>
      </c>
      <c r="I310" s="1" t="n">
        <f aca="false">IF(I307&gt;0,100*I308/I307,0)</f>
        <v>24.5910689318497</v>
      </c>
      <c r="J310" s="1" t="n">
        <f aca="false">IF(J307&gt;0,100*J308/J307,0)</f>
        <v>25.071776042076</v>
      </c>
      <c r="K310" s="1" t="n">
        <f aca="false">IF(K307&gt;0,100*K308/K307,0)</f>
        <v>27.5407135527631</v>
      </c>
      <c r="L310" s="1" t="n">
        <f aca="false">IF(L307&gt;0,100*L308/L307,0)</f>
        <v>29.8994428773284</v>
      </c>
      <c r="M310" s="1" t="n">
        <f aca="false">IF(M307&gt;0,100*M308/M307,0)</f>
        <v>32.1839791678028</v>
      </c>
      <c r="N310" s="1" t="n">
        <f aca="false">IF(N307&gt;0,100*N308/N307,0)</f>
        <v>34.4050833420035</v>
      </c>
      <c r="O310" s="1" t="n">
        <f aca="false">IF(O307&gt;0,100*O308/O307,0)</f>
        <v>36.5841099457885</v>
      </c>
      <c r="P310" s="1" t="n">
        <f aca="false">IF(P307&gt;0,100*P308/P307,0)</f>
        <v>38.7883822546632</v>
      </c>
      <c r="Q310" s="1" t="n">
        <f aca="false">IF(Q307&gt;0,100*Q308/Q307,0)</f>
        <v>41.0318000661219</v>
      </c>
      <c r="R310" s="1" t="n">
        <f aca="false">IF(R307&gt;0,100*R308/R307,0)</f>
        <v>41.970330916787</v>
      </c>
      <c r="S310" s="1" t="n">
        <f aca="false">IF(S307&gt;0,100*S308/S307,0)</f>
        <v>42.0149986239941</v>
      </c>
      <c r="T310" s="1" t="n">
        <f aca="false">IF(T307&gt;0,100*T308/T307,0)</f>
        <v>42.1422505812463</v>
      </c>
      <c r="U310" s="1" t="n">
        <f aca="false">IF(U307&gt;0,100*U308/U307,0)</f>
        <v>42.2929797487859</v>
      </c>
      <c r="V310" s="1" t="n">
        <f aca="false">IF(V307&gt;0,100*V308/V307,0)</f>
        <v>42.4662406571751</v>
      </c>
      <c r="W310" s="1" t="n">
        <f aca="false">IF(W307&gt;0,100*W308/W307,0)</f>
        <v>42.6742300180624</v>
      </c>
      <c r="X310" s="1" t="n">
        <f aca="false">IF(X307&gt;0,100*X308/X307,0)</f>
        <v>42.9145315673958</v>
      </c>
      <c r="Y310" s="1" t="n">
        <f aca="false">IF(Y307&gt;0,100*Y308/Y307,0)</f>
        <v>43.1849594311029</v>
      </c>
      <c r="Z310" s="1" t="n">
        <f aca="false">IF(Z307&gt;0,100*Z308/Z307,0)</f>
        <v>43.2470316643315</v>
      </c>
      <c r="AA310" s="1" t="n">
        <f aca="false">IF(AA307&gt;0,100*AA308/AA307,0)</f>
        <v>43.2248790714188</v>
      </c>
      <c r="AB310" s="1" t="n">
        <f aca="false">IF(AB307&gt;0,100*AB308/AB307,0)</f>
        <v>43.2035339508703</v>
      </c>
      <c r="AC310" s="1" t="n">
        <f aca="false">IF(AC307&gt;0,100*AC308/AC307,0)</f>
        <v>43.1829246278301</v>
      </c>
      <c r="AD310" s="1" t="n">
        <f aca="false">IF(AD307&gt;0,100*AD308/AD307,0)</f>
        <v>43.1629906450409</v>
      </c>
      <c r="AE310" s="1" t="n">
        <f aca="false">IF(AE307&gt;0,100*AE308/AE307,0)</f>
        <v>43.1436764978313</v>
      </c>
      <c r="AF310" s="1" t="n">
        <f aca="false">IF(AF307&gt;0,100*AF308/AF307,0)</f>
        <v>43.1249318233261</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0.55357665388876</v>
      </c>
      <c r="D313" s="116" t="n">
        <f aca="false">D111</f>
        <v>1.42828368911724</v>
      </c>
      <c r="E313" s="116" t="n">
        <f aca="false">E111</f>
        <v>2.56406832333937</v>
      </c>
      <c r="F313" s="116" t="n">
        <f aca="false">F111</f>
        <v>5.25232231519187</v>
      </c>
      <c r="G313" s="116" t="n">
        <f aca="false">G111</f>
        <v>7.80108948551008</v>
      </c>
      <c r="H313" s="116" t="n">
        <f aca="false">H111</f>
        <v>9.73116546168079</v>
      </c>
      <c r="I313" s="116" t="n">
        <f aca="false">I111</f>
        <v>11.2792050011858</v>
      </c>
      <c r="J313" s="116" t="n">
        <f aca="false">J111</f>
        <v>12.5091975008267</v>
      </c>
      <c r="K313" s="116" t="n">
        <f aca="false">K111</f>
        <v>12.4841295794165</v>
      </c>
      <c r="L313" s="116" t="n">
        <f aca="false">L111</f>
        <v>12.4794900332596</v>
      </c>
      <c r="M313" s="116" t="n">
        <f aca="false">M111</f>
        <v>12.512414471571</v>
      </c>
      <c r="N313" s="116" t="n">
        <f aca="false">N111</f>
        <v>12.5917626576767</v>
      </c>
      <c r="O313" s="116" t="n">
        <f aca="false">O111</f>
        <v>12.7241359868209</v>
      </c>
      <c r="P313" s="116" t="n">
        <f aca="false">P111</f>
        <v>12.9472962336558</v>
      </c>
      <c r="Q313" s="116" t="n">
        <f aca="false">Q111</f>
        <v>13.2553942813638</v>
      </c>
      <c r="R313" s="116" t="n">
        <f aca="false">R111</f>
        <v>13.6195072119713</v>
      </c>
      <c r="S313" s="116" t="n">
        <f aca="false">S111</f>
        <v>14.024429714961</v>
      </c>
      <c r="T313" s="116" t="n">
        <f aca="false">T111</f>
        <v>14.4576234701719</v>
      </c>
      <c r="U313" s="116" t="n">
        <f aca="false">U111</f>
        <v>14.8757720780868</v>
      </c>
      <c r="V313" s="116" t="n">
        <f aca="false">V111</f>
        <v>15.2795277045336</v>
      </c>
      <c r="W313" s="116" t="n">
        <f aca="false">W111</f>
        <v>15.669500222863</v>
      </c>
      <c r="X313" s="116" t="n">
        <f aca="false">X111</f>
        <v>16.0462599531352</v>
      </c>
      <c r="Y313" s="116" t="n">
        <f aca="false">Y111</f>
        <v>16.4103402240666</v>
      </c>
      <c r="Z313" s="116" t="n">
        <f aca="false">Z111</f>
        <v>16.7622397691973</v>
      </c>
      <c r="AA313" s="116" t="n">
        <f aca="false">AA111</f>
        <v>17.1024249679981</v>
      </c>
      <c r="AB313" s="116" t="n">
        <f aca="false">AB111</f>
        <v>17.4313319419445</v>
      </c>
      <c r="AC313" s="116" t="n">
        <f aca="false">AC111</f>
        <v>17.7493685149341</v>
      </c>
      <c r="AD313" s="116" t="n">
        <f aca="false">AD111</f>
        <v>18.056916046823</v>
      </c>
      <c r="AE313" s="116" t="n">
        <f aca="false">AE111</f>
        <v>18.3543311482834</v>
      </c>
      <c r="AF313" s="116" t="n">
        <f aca="false">AF111</f>
        <v>18.6419472846603</v>
      </c>
    </row>
    <row r="314" customFormat="false" ht="14.25" hidden="false" customHeight="true" outlineLevel="0" collapsed="false">
      <c r="B314" s="84" t="s">
        <v>1306</v>
      </c>
      <c r="C314" s="1" t="n">
        <f aca="false">C302</f>
        <v>0.274846963373799</v>
      </c>
      <c r="D314" s="1" t="n">
        <f aca="false">D302</f>
        <v>0.672224105484579</v>
      </c>
      <c r="E314" s="1" t="n">
        <f aca="false">E302</f>
        <v>1.07673038080662</v>
      </c>
      <c r="F314" s="1" t="n">
        <f aca="false">F302</f>
        <v>1.48022658409584</v>
      </c>
      <c r="G314" s="1" t="n">
        <f aca="false">G302</f>
        <v>1.8935271644264</v>
      </c>
      <c r="H314" s="1" t="n">
        <f aca="false">H302</f>
        <v>2.31997795479021</v>
      </c>
      <c r="I314" s="1" t="n">
        <f aca="false">I302</f>
        <v>2.75850944106003</v>
      </c>
      <c r="J314" s="1" t="n">
        <f aca="false">J302</f>
        <v>3.20909529416056</v>
      </c>
      <c r="K314" s="1" t="n">
        <f aca="false">K302</f>
        <v>3.67818751060238</v>
      </c>
      <c r="L314" s="1" t="n">
        <f aca="false">L302</f>
        <v>4.15815498309337</v>
      </c>
      <c r="M314" s="1" t="n">
        <f aca="false">M302</f>
        <v>4.67378612331027</v>
      </c>
      <c r="N314" s="1" t="n">
        <f aca="false">N302</f>
        <v>5.19349354968289</v>
      </c>
      <c r="O314" s="1" t="n">
        <f aca="false">O302</f>
        <v>5.70921922071992</v>
      </c>
      <c r="P314" s="1" t="n">
        <f aca="false">P302</f>
        <v>6.23702496818282</v>
      </c>
      <c r="Q314" s="1" t="n">
        <f aca="false">Q302</f>
        <v>6.77718460400799</v>
      </c>
      <c r="R314" s="1" t="n">
        <f aca="false">R302</f>
        <v>7.10165499921828</v>
      </c>
      <c r="S314" s="1" t="n">
        <f aca="false">S302</f>
        <v>7.26507729745056</v>
      </c>
      <c r="T314" s="1" t="n">
        <f aca="false">T302</f>
        <v>7.43241856167242</v>
      </c>
      <c r="U314" s="1" t="n">
        <f aca="false">U302</f>
        <v>7.60365849465025</v>
      </c>
      <c r="V314" s="1" t="n">
        <f aca="false">V302</f>
        <v>7.77888608094211</v>
      </c>
      <c r="W314" s="1" t="n">
        <f aca="false">W302</f>
        <v>7.95821845551822</v>
      </c>
      <c r="X314" s="1" t="n">
        <f aca="false">X302</f>
        <v>8.14174635891883</v>
      </c>
      <c r="Y314" s="1" t="n">
        <f aca="false">Y302</f>
        <v>8.32956269188714</v>
      </c>
      <c r="Z314" s="1" t="n">
        <f aca="false">Z302</f>
        <v>8.47492995671259</v>
      </c>
      <c r="AA314" s="1" t="n">
        <f aca="false">AA302</f>
        <v>8.60026374043378</v>
      </c>
      <c r="AB314" s="1" t="n">
        <f aca="false">AB302</f>
        <v>8.72222753252964</v>
      </c>
      <c r="AC314" s="1" t="n">
        <f aca="false">AC302</f>
        <v>8.84105395097499</v>
      </c>
      <c r="AD314" s="1" t="n">
        <f aca="false">AD302</f>
        <v>8.956900440641</v>
      </c>
      <c r="AE314" s="1" t="n">
        <f aca="false">AE302</f>
        <v>9.06994763421656</v>
      </c>
      <c r="AF314" s="1" t="n">
        <f aca="false">AF302</f>
        <v>9.18038566276171</v>
      </c>
    </row>
    <row r="315" customFormat="false" ht="14.25" hidden="false" customHeight="true" outlineLevel="0" collapsed="false">
      <c r="B315" s="84" t="s">
        <v>1307</v>
      </c>
      <c r="C315" s="116" t="n">
        <f aca="false">C56</f>
        <v>1.07</v>
      </c>
      <c r="D315" s="116" t="n">
        <f aca="false">D56</f>
        <v>1.09916285</v>
      </c>
      <c r="E315" s="116" t="n">
        <f aca="false">E56</f>
        <v>1.12912053347675</v>
      </c>
      <c r="F315" s="116" t="n">
        <f aca="false">F56</f>
        <v>1.15989471361666</v>
      </c>
      <c r="G315" s="116" t="n">
        <f aca="false">G56</f>
        <v>1.19150764403628</v>
      </c>
      <c r="H315" s="116" t="n">
        <f aca="false">H56</f>
        <v>1.22398218487449</v>
      </c>
      <c r="I315" s="116" t="n">
        <f aca="false">I56</f>
        <v>1.25734181932324</v>
      </c>
      <c r="J315" s="116" t="n">
        <f aca="false">J56</f>
        <v>1.2916106706089</v>
      </c>
      <c r="K315" s="116" t="n">
        <f aca="false">K56</f>
        <v>1.32681351943634</v>
      </c>
      <c r="L315" s="116" t="n">
        <f aca="false">L56</f>
        <v>1.36297582190858</v>
      </c>
      <c r="M315" s="116" t="n">
        <f aca="false">M56</f>
        <v>1.4001237279347</v>
      </c>
      <c r="N315" s="116" t="n">
        <f aca="false">N56</f>
        <v>1.43828410013956</v>
      </c>
      <c r="O315" s="116" t="n">
        <f aca="false">O56</f>
        <v>1.47748453328886</v>
      </c>
      <c r="P315" s="116" t="n">
        <f aca="false">P56</f>
        <v>1.51775337424365</v>
      </c>
      <c r="Q315" s="116" t="n">
        <f aca="false">Q56</f>
        <v>1.55911974245866</v>
      </c>
      <c r="R315" s="116" t="n">
        <f aca="false">R56</f>
        <v>1.60161355103937</v>
      </c>
      <c r="S315" s="116" t="n">
        <f aca="false">S56</f>
        <v>1.64526552837295</v>
      </c>
      <c r="T315" s="116" t="n">
        <f aca="false">T56</f>
        <v>1.69010724034875</v>
      </c>
      <c r="U315" s="116" t="n">
        <f aca="false">U56</f>
        <v>1.73617111318446</v>
      </c>
      <c r="V315" s="116" t="n">
        <f aca="false">V56</f>
        <v>1.7834904568743</v>
      </c>
      <c r="W315" s="116" t="n">
        <f aca="false">W56</f>
        <v>1.83209948927641</v>
      </c>
      <c r="X315" s="116" t="n">
        <f aca="false">X56</f>
        <v>1.88203336085664</v>
      </c>
      <c r="Y315" s="116" t="n">
        <f aca="false">Y56</f>
        <v>1.93332818010679</v>
      </c>
      <c r="Z315" s="116" t="n">
        <f aca="false">Z56</f>
        <v>1.9860210396556</v>
      </c>
      <c r="AA315" s="116" t="n">
        <f aca="false">AA56</f>
        <v>2.04015004309141</v>
      </c>
      <c r="AB315" s="116" t="n">
        <f aca="false">AB56</f>
        <v>2.09575433251587</v>
      </c>
      <c r="AC315" s="116" t="n">
        <f aca="false">AC56</f>
        <v>2.15287411684858</v>
      </c>
      <c r="AD315" s="116" t="n">
        <f aca="false">AD56</f>
        <v>2.21155070090329</v>
      </c>
      <c r="AE315" s="116" t="n">
        <f aca="false">AE56</f>
        <v>2.27182651525641</v>
      </c>
      <c r="AF315" s="116" t="n">
        <f aca="false">AF56</f>
        <v>2.33374514692973</v>
      </c>
    </row>
    <row r="316" customFormat="false" ht="14.25" hidden="false" customHeight="true" outlineLevel="0" collapsed="false">
      <c r="B316" s="84" t="s">
        <v>1308</v>
      </c>
      <c r="C316" s="1" t="n">
        <f aca="false">IF(C313&gt;0,100*(C314+C315)/C313,0)</f>
        <v>242.937803450801</v>
      </c>
      <c r="D316" s="1" t="n">
        <f aca="false">IF(D313&gt;0,100*(D314+D315)/D313,0)</f>
        <v>124.02206711325</v>
      </c>
      <c r="E316" s="1" t="n">
        <f aca="false">IF(E313&gt;0,100*(E314+E315)/E313,0)</f>
        <v>86.0293344839789</v>
      </c>
      <c r="F316" s="1" t="n">
        <f aca="false">IF(F313&gt;0,100*(F314+F315)/F313,0)</f>
        <v>50.2657898597766</v>
      </c>
      <c r="G316" s="1" t="n">
        <f aca="false">IF(G313&gt;0,100*(G314+G315)/G313,0)</f>
        <v>39.5462045935109</v>
      </c>
      <c r="H316" s="1" t="n">
        <f aca="false">IF(H313&gt;0,100*(H314+H315)/H313,0)</f>
        <v>36.4186607824114</v>
      </c>
      <c r="I316" s="1" t="n">
        <f aca="false">IF(I313&gt;0,100*(I314+I315)/I313,0)</f>
        <v>35.6040275884787</v>
      </c>
      <c r="J316" s="1" t="n">
        <f aca="false">IF(J313&gt;0,100*(J314+J315)/J313,0)</f>
        <v>35.979174239371</v>
      </c>
      <c r="K316" s="1" t="n">
        <f aca="false">IF(K313&gt;0,100*(K314+K315)/K313,0)</f>
        <v>40.0909090073114</v>
      </c>
      <c r="L316" s="1" t="n">
        <f aca="false">IF(L313&gt;0,100*(L314+L315)/L313,0)</f>
        <v>44.2416380019323</v>
      </c>
      <c r="M316" s="1" t="n">
        <f aca="false">IF(M313&gt;0,100*(M314+M315)/M313,0)</f>
        <v>48.5430678870597</v>
      </c>
      <c r="N316" s="1" t="n">
        <f aca="false">IF(N313&gt;0,100*(N314+N315)/N313,0)</f>
        <v>52.6675877723863</v>
      </c>
      <c r="O316" s="1" t="n">
        <f aca="false">IF(O313&gt;0,100*(O314+O315)/O313,0)</f>
        <v>56.4808782415752</v>
      </c>
      <c r="P316" s="1" t="n">
        <f aca="false">IF(P313&gt;0,100*(P314+P315)/P313,0)</f>
        <v>59.8949634153605</v>
      </c>
      <c r="Q316" s="1" t="n">
        <f aca="false">IF(Q313&gt;0,100*(Q314+Q315)/Q313,0)</f>
        <v>62.8899010434336</v>
      </c>
      <c r="R316" s="1" t="n">
        <f aca="false">IF(R313&gt;0,100*(R314+R315)/R313,0)</f>
        <v>63.902962234989</v>
      </c>
      <c r="S316" s="1" t="n">
        <f aca="false">IF(S313&gt;0,100*(S314+S315)/S313,0)</f>
        <v>63.5344395952026</v>
      </c>
      <c r="T316" s="1" t="n">
        <f aca="false">IF(T313&gt;0,100*(T314+T315)/T313,0)</f>
        <v>63.0983772737078</v>
      </c>
      <c r="U316" s="1" t="n">
        <f aca="false">IF(U313&gt;0,100*(U314+U315)/U313,0)</f>
        <v>62.7855116279511</v>
      </c>
      <c r="V316" s="1" t="n">
        <f aca="false">IF(V313&gt;0,100*(V314+V315)/V313,0)</f>
        <v>62.5829326843602</v>
      </c>
      <c r="W316" s="1" t="n">
        <f aca="false">IF(W313&gt;0,100*(W314+W315)/W313,0)</f>
        <v>62.4800906573257</v>
      </c>
      <c r="X316" s="1" t="n">
        <f aca="false">IF(X313&gt;0,100*(X314+X315)/X313,0)</f>
        <v>62.4680127895907</v>
      </c>
      <c r="Y316" s="1" t="n">
        <f aca="false">IF(Y313&gt;0,100*(Y314+Y315)/Y313,0)</f>
        <v>62.5391718383929</v>
      </c>
      <c r="Z316" s="1" t="n">
        <f aca="false">IF(Z313&gt;0,100*(Z314+Z315)/Z313,0)</f>
        <v>62.407835351404</v>
      </c>
      <c r="AA316" s="1" t="n">
        <f aca="false">IF(AA313&gt;0,100*(AA314+AA315)/AA313,0)</f>
        <v>62.2158191217644</v>
      </c>
      <c r="AB316" s="1" t="n">
        <f aca="false">IF(AB313&gt;0,100*(AB314+AB315)/AB313,0)</f>
        <v>62.06055797156</v>
      </c>
      <c r="AC316" s="1" t="n">
        <f aca="false">IF(AC313&gt;0,100*(AC314+AC315)/AC313,0)</f>
        <v>61.9398265271996</v>
      </c>
      <c r="AD316" s="1" t="n">
        <f aca="false">IF(AD313&gt;0,100*(AD314+AD315)/AD313,0)</f>
        <v>61.8513765727417</v>
      </c>
      <c r="AE316" s="1" t="n">
        <f aca="false">IF(AE313&gt;0,100*(AE314+AE315)/AE313,0)</f>
        <v>61.7934484119501</v>
      </c>
      <c r="AF316" s="1" t="n">
        <f aca="false">IF(AF313&gt;0,100*(AF314+AF315)/AF313,0)</f>
        <v>61.7646356030947</v>
      </c>
    </row>
    <row r="317" customFormat="false" ht="14.25" hidden="false" customHeight="true" outlineLevel="0" collapsed="false">
      <c r="B317" s="1" t="s">
        <v>1309</v>
      </c>
      <c r="C317" s="1" t="n">
        <f aca="false">$C$329*C291</f>
        <v>1.98082684579891</v>
      </c>
      <c r="D317" s="1" t="n">
        <f aca="false">$C$329*D291</f>
        <v>3.17369095260392</v>
      </c>
      <c r="E317" s="1" t="n">
        <f aca="false">$C$329*E291</f>
        <v>3.50914493879808</v>
      </c>
      <c r="F317" s="1" t="n">
        <f aca="false">$C$329*F291</f>
        <v>2.54015007309107</v>
      </c>
      <c r="G317" s="1" t="n">
        <f aca="false">$C$329*G291</f>
        <v>2.85667846338158</v>
      </c>
      <c r="H317" s="1" t="n">
        <f aca="false">$C$329*H291</f>
        <v>3.66635051031994</v>
      </c>
      <c r="I317" s="1" t="n">
        <f aca="false">$C$329*I291</f>
        <v>4.40227301862037</v>
      </c>
      <c r="J317" s="1" t="n">
        <f aca="false">$C$329*J291</f>
        <v>5.1804670805399</v>
      </c>
      <c r="K317" s="1" t="n">
        <f aca="false">$C$329*K291</f>
        <v>6.96716646748963</v>
      </c>
      <c r="L317" s="1" t="n">
        <f aca="false">$C$329*L291</f>
        <v>7.83761648476965</v>
      </c>
      <c r="M317" s="1" t="n">
        <f aca="false">$C$329*M291</f>
        <v>12.422663815294</v>
      </c>
      <c r="N317" s="1" t="n">
        <f aca="false">$C$329*N291</f>
        <v>13.0079155848759</v>
      </c>
      <c r="O317" s="1" t="n">
        <f aca="false">$C$329*O291</f>
        <v>12.1365864855418</v>
      </c>
      <c r="P317" s="1" t="n">
        <f aca="false">$C$329*P291</f>
        <v>13.1768841279521</v>
      </c>
      <c r="Q317" s="1" t="n">
        <f aca="false">$C$329*Q291</f>
        <v>14.2473365771459</v>
      </c>
      <c r="R317" s="1" t="n">
        <f aca="false">$C$329*R291</f>
        <v>13.2689736682551</v>
      </c>
      <c r="S317" s="1" t="n">
        <f aca="false">$C$329*S291</f>
        <v>12.3840603905422</v>
      </c>
      <c r="T317" s="1" t="n">
        <f aca="false">$C$329*T291</f>
        <v>12.6956405278656</v>
      </c>
      <c r="U317" s="1" t="n">
        <f aca="false">$C$329*U291</f>
        <v>13.0027868879392</v>
      </c>
      <c r="V317" s="1" t="n">
        <f aca="false">$C$329*V291</f>
        <v>13.3184536580143</v>
      </c>
      <c r="W317" s="1" t="n">
        <f aca="false">$C$329*W291</f>
        <v>13.646742791424</v>
      </c>
      <c r="X317" s="1" t="n">
        <f aca="false">$C$329*X291</f>
        <v>13.9843635886519</v>
      </c>
      <c r="Y317" s="1" t="n">
        <f aca="false">$C$329*Y291</f>
        <v>14.3314268490522</v>
      </c>
      <c r="Z317" s="1" t="n">
        <f aca="false">$C$329*Z291</f>
        <v>14.2626615447637</v>
      </c>
      <c r="AA317" s="1" t="n">
        <f aca="false">$C$329*AA291</f>
        <v>14.3190780059689</v>
      </c>
      <c r="AB317" s="1" t="n">
        <f aca="false">$C$329*AB291</f>
        <v>14.4899704878393</v>
      </c>
      <c r="AC317" s="1" t="n">
        <f aca="false">$C$329*AC291</f>
        <v>14.6573156847908</v>
      </c>
      <c r="AD317" s="1" t="n">
        <f aca="false">$C$329*AD291</f>
        <v>14.8209107413521</v>
      </c>
      <c r="AE317" s="1" t="n">
        <f aca="false">$C$329*AE291</f>
        <v>14.9811790047862</v>
      </c>
      <c r="AF317" s="1" t="n">
        <f aca="false">$C$329*AF291</f>
        <v>15.1384767035678</v>
      </c>
    </row>
    <row r="318" customFormat="false" ht="14.25" hidden="false" customHeight="true" outlineLevel="0" collapsed="false">
      <c r="B318" s="146" t="s">
        <v>1310</v>
      </c>
      <c r="C318" s="1" t="n">
        <f aca="false">$C$329*(C290+(1-$C$279)*C332)</f>
        <v>0</v>
      </c>
      <c r="D318" s="1" t="n">
        <f aca="false">$C$329*(D290+(1-$C$279)*D332)</f>
        <v>0.39913660942848</v>
      </c>
      <c r="E318" s="1" t="n">
        <f aca="false">$C$329*(E290+(1-$C$279)*E332)</f>
        <v>0.955614921617046</v>
      </c>
      <c r="F318" s="1" t="n">
        <f aca="false">$C$329*(F290+(1-$C$279)*F332)</f>
        <v>1.46393972308851</v>
      </c>
      <c r="G318" s="1" t="n">
        <f aca="false">$C$329*(G290+(1-$C$279)*G332)</f>
        <v>1.67128050041395</v>
      </c>
      <c r="H318" s="1" t="n">
        <f aca="false">$C$329*(H290+(1-$C$279)*H332)</f>
        <v>1.89927486669924</v>
      </c>
      <c r="I318" s="1" t="n">
        <f aca="false">$C$329*(I290+(1-$C$279)*I332)</f>
        <v>2.24299532225527</v>
      </c>
      <c r="J318" s="1" t="n">
        <f aca="false">$C$329*(J290+(1-$C$279)*J332)</f>
        <v>2.66351030847818</v>
      </c>
      <c r="K318" s="1" t="n">
        <f aca="false">$C$329*(K290+(1-$C$279)*K332)</f>
        <v>3.1533642810435</v>
      </c>
      <c r="L318" s="1" t="n">
        <f aca="false">$C$329*(L290+(1-$C$279)*L332)</f>
        <v>3.90134855378562</v>
      </c>
      <c r="M318" s="1" t="n">
        <f aca="false">$C$329*(M290+(1-$C$279)*M332)</f>
        <v>4.66914777627929</v>
      </c>
      <c r="N318" s="1" t="n">
        <f aca="false">$C$329*(N290+(1-$C$279)*N332)</f>
        <v>6.20113179759495</v>
      </c>
      <c r="O318" s="1" t="n">
        <f aca="false">$C$329*(O290+(1-$C$279)*O332)</f>
        <v>7.53239137404769</v>
      </c>
      <c r="P318" s="1" t="n">
        <f aca="false">$C$329*(P290+(1-$C$279)*P332)</f>
        <v>8.41117614508243</v>
      </c>
      <c r="Q318" s="1" t="n">
        <f aca="false">$C$329*(Q290+(1-$C$279)*Q332)</f>
        <v>9.31679365868763</v>
      </c>
      <c r="R318" s="1" t="n">
        <f aca="false">$C$329*(R290+(1-$C$279)*R332)</f>
        <v>10.2497388979755</v>
      </c>
      <c r="S318" s="1" t="n">
        <f aca="false">$C$329*(S290+(1-$C$279)*S332)</f>
        <v>10.79149140135</v>
      </c>
      <c r="T318" s="1" t="n">
        <f aca="false">$C$329*(T290+(1-$C$279)*T332)</f>
        <v>11.0422493585635</v>
      </c>
      <c r="U318" s="1" t="n">
        <f aca="false">$C$329*(U290+(1-$C$279)*U332)</f>
        <v>11.3036330583472</v>
      </c>
      <c r="V318" s="1" t="n">
        <f aca="false">$C$329*(V290+(1-$C$279)*V332)</f>
        <v>11.5725389401307</v>
      </c>
      <c r="W318" s="1" t="n">
        <f aca="false">$C$329*(W290+(1-$C$279)*W332)</f>
        <v>11.8491192526734</v>
      </c>
      <c r="X318" s="1" t="n">
        <f aca="false">$C$329*(X290+(1-$C$279)*X332)</f>
        <v>12.1343211205893</v>
      </c>
      <c r="Y318" s="1" t="n">
        <f aca="false">$C$329*(Y290+(1-$C$279)*Y332)</f>
        <v>12.4282315906201</v>
      </c>
      <c r="Z318" s="1" t="n">
        <f aca="false">$C$329*(Z290+(1-$C$279)*Z332)</f>
        <v>12.7309419298551</v>
      </c>
      <c r="AA318" s="1" t="n">
        <f aca="false">$C$329*(AA290+(1-$C$279)*AA332)</f>
        <v>12.9568323097151</v>
      </c>
      <c r="AB318" s="1" t="n">
        <f aca="false">$C$329*(AB290+(1-$C$279)*AB332)</f>
        <v>13.1471054074971</v>
      </c>
      <c r="AC318" s="1" t="n">
        <f aca="false">$C$329*(AC290+(1-$C$279)*AC332)</f>
        <v>13.3322365360373</v>
      </c>
      <c r="AD318" s="1" t="n">
        <f aca="false">$C$329*(AD290+(1-$C$279)*AD332)</f>
        <v>13.5125804470269</v>
      </c>
      <c r="AE318" s="1" t="n">
        <f aca="false">$C$329*(AE290+(1-$C$279)*AE332)</f>
        <v>13.6883772284278</v>
      </c>
      <c r="AF318" s="1" t="n">
        <f aca="false">$C$329*(AF290+(1-$C$279)*AF332)</f>
        <v>13.8599023343792</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0.594248053739673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1.15276504526061</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1.3742383751382</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1.11752140422757</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1.1143207414186</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1.38928668143653</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1.69208321228152</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2.00009038094821</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2.61493125550558</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3.05705890858759</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4.52074969449537</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5.16079051995204</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4.95867779441046</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5.18250144937101</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5.60901933530531</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5.42394729574141</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5.05936514975691</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5.0631974759216</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5.18690445185454</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5.31271840915252</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5.44318219298403</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5.57772412136681</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5.71604408624608</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5.7305720032381</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5.74053101627524</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5.79751374835644</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5.86502871585536</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5.93105930127495</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5.99571195953483</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6.05913644425517</v>
      </c>
    </row>
    <row r="320" customFormat="false" ht="14.25" hidden="false" customHeight="true" outlineLevel="0" collapsed="false">
      <c r="B320" s="147" t="s">
        <v>1312</v>
      </c>
      <c r="C320" s="1" t="n">
        <f aca="false">01_Supuestos!$C$185*C317</f>
        <v>0.594248053739673</v>
      </c>
      <c r="D320" s="1" t="n">
        <f aca="false">01_Supuestos!$C$185*D317</f>
        <v>0.952107285781176</v>
      </c>
      <c r="E320" s="1" t="n">
        <f aca="false">01_Supuestos!$C$185*E317</f>
        <v>1.05274348163942</v>
      </c>
      <c r="F320" s="1" t="n">
        <f aca="false">01_Supuestos!$C$185*F317</f>
        <v>0.762045021927322</v>
      </c>
      <c r="G320" s="1" t="n">
        <f aca="false">01_Supuestos!$C$185*G317</f>
        <v>0.857003539014474</v>
      </c>
      <c r="H320" s="1" t="n">
        <f aca="false">01_Supuestos!$C$185*H317</f>
        <v>1.09990515309598</v>
      </c>
      <c r="I320" s="1" t="n">
        <f aca="false">01_Supuestos!$C$185*I317</f>
        <v>1.32068190558611</v>
      </c>
      <c r="J320" s="1" t="n">
        <f aca="false">01_Supuestos!$C$185*J317</f>
        <v>1.55414012416197</v>
      </c>
      <c r="K320" s="1" t="n">
        <f aca="false">01_Supuestos!$C$185*K317</f>
        <v>2.09014994024689</v>
      </c>
      <c r="L320" s="1" t="n">
        <f aca="false">01_Supuestos!$C$185*L317</f>
        <v>2.3512849454309</v>
      </c>
      <c r="M320" s="1" t="n">
        <f aca="false">01_Supuestos!$C$185*M317</f>
        <v>3.72679914458821</v>
      </c>
      <c r="N320" s="1" t="n">
        <f aca="false">01_Supuestos!$C$185*N317</f>
        <v>3.90237467546276</v>
      </c>
      <c r="O320" s="1" t="n">
        <f aca="false">01_Supuestos!$C$185*O317</f>
        <v>3.64097594566253</v>
      </c>
      <c r="P320" s="1" t="n">
        <f aca="false">01_Supuestos!$C$185*P317</f>
        <v>3.95306523838562</v>
      </c>
      <c r="Q320" s="1" t="n">
        <f aca="false">01_Supuestos!$C$185*Q317</f>
        <v>4.27420097314376</v>
      </c>
      <c r="R320" s="1" t="n">
        <f aca="false">01_Supuestos!$C$185*R317</f>
        <v>3.98069210047653</v>
      </c>
      <c r="S320" s="1" t="n">
        <f aca="false">01_Supuestos!$C$185*S317</f>
        <v>3.71521811716267</v>
      </c>
      <c r="T320" s="1" t="n">
        <f aca="false">01_Supuestos!$C$185*T317</f>
        <v>3.80869215835968</v>
      </c>
      <c r="U320" s="1" t="n">
        <f aca="false">01_Supuestos!$C$185*U317</f>
        <v>3.90083606638175</v>
      </c>
      <c r="V320" s="1" t="n">
        <f aca="false">01_Supuestos!$C$185*V317</f>
        <v>3.99553609740428</v>
      </c>
      <c r="W320" s="1" t="n">
        <f aca="false">01_Supuestos!$C$185*W317</f>
        <v>4.09402283742719</v>
      </c>
      <c r="X320" s="1" t="n">
        <f aca="false">01_Supuestos!$C$185*X317</f>
        <v>4.19530907659557</v>
      </c>
      <c r="Y320" s="1" t="n">
        <f aca="false">01_Supuestos!$C$185*Y317</f>
        <v>4.29942805471565</v>
      </c>
      <c r="Z320" s="1" t="n">
        <f aca="false">01_Supuestos!$C$185*Z317</f>
        <v>4.27879846342911</v>
      </c>
      <c r="AA320" s="1" t="n">
        <f aca="false">01_Supuestos!$C$185*AA317</f>
        <v>4.29572340179067</v>
      </c>
      <c r="AB320" s="1" t="n">
        <f aca="false">01_Supuestos!$C$185*AB317</f>
        <v>4.34699114635179</v>
      </c>
      <c r="AC320" s="1" t="n">
        <f aca="false">01_Supuestos!$C$185*AC317</f>
        <v>4.39719470543724</v>
      </c>
      <c r="AD320" s="1" t="n">
        <f aca="false">01_Supuestos!$C$185*AD317</f>
        <v>4.44627322240564</v>
      </c>
      <c r="AE320" s="1" t="n">
        <f aca="false">01_Supuestos!$C$185*AE317</f>
        <v>4.49435370143586</v>
      </c>
      <c r="AF320" s="1" t="n">
        <f aca="false">01_Supuestos!$C$185*AF317</f>
        <v>4.54154301107033</v>
      </c>
    </row>
    <row r="321" customFormat="false" ht="14.25" hidden="false" customHeight="true" outlineLevel="0" collapsed="false">
      <c r="B321" s="148" t="s">
        <v>1313</v>
      </c>
      <c r="C321" s="1" t="n">
        <f aca="false">C320-C323</f>
        <v>0.594248053739673</v>
      </c>
      <c r="D321" s="1" t="n">
        <f aca="false">C321+D320-D323</f>
        <v>1.15276504526061</v>
      </c>
      <c r="E321" s="1" t="n">
        <f aca="false">D321+E320-E323</f>
        <v>1.3742383751382</v>
      </c>
      <c r="F321" s="1" t="n">
        <f aca="false">E321+F320-F323</f>
        <v>1.11752140422757</v>
      </c>
      <c r="G321" s="1" t="n">
        <f aca="false">F321+G320-G323</f>
        <v>1.1143207414186</v>
      </c>
      <c r="H321" s="1" t="n">
        <f aca="false">G321+H320-H323</f>
        <v>1.38928668143653</v>
      </c>
      <c r="I321" s="1" t="n">
        <f aca="false">H321+I320-I323</f>
        <v>1.69208321228152</v>
      </c>
      <c r="J321" s="1" t="n">
        <f aca="false">I321+J320-J323</f>
        <v>2.00009038094821</v>
      </c>
      <c r="K321" s="1" t="n">
        <f aca="false">J321+K320-K323</f>
        <v>2.61493125550558</v>
      </c>
      <c r="L321" s="1" t="n">
        <f aca="false">K321+L320-L323</f>
        <v>3.05705890858759</v>
      </c>
      <c r="M321" s="1" t="n">
        <f aca="false">L321+M320-M323</f>
        <v>4.52074969449537</v>
      </c>
      <c r="N321" s="1" t="n">
        <f aca="false">M321+N320-N323</f>
        <v>5.16079051995204</v>
      </c>
      <c r="O321" s="1" t="n">
        <f aca="false">N321+O320-O323</f>
        <v>4.95867779441046</v>
      </c>
      <c r="P321" s="1" t="n">
        <f aca="false">O321+P320-P323</f>
        <v>5.18250144937101</v>
      </c>
      <c r="Q321" s="1" t="n">
        <f aca="false">P321+Q320-Q323</f>
        <v>5.60901933530531</v>
      </c>
      <c r="R321" s="1" t="n">
        <f aca="false">Q321+R320-R323</f>
        <v>5.42394729574141</v>
      </c>
      <c r="S321" s="1" t="n">
        <f aca="false">R321+S320-S323</f>
        <v>5.05936514975691</v>
      </c>
      <c r="T321" s="1" t="n">
        <f aca="false">S321+T320-T323</f>
        <v>5.0631974759216</v>
      </c>
      <c r="U321" s="1" t="n">
        <f aca="false">T321+U320-U323</f>
        <v>5.18690445185454</v>
      </c>
      <c r="V321" s="1" t="n">
        <f aca="false">U321+V320-V323</f>
        <v>5.31271840915252</v>
      </c>
      <c r="W321" s="1" t="n">
        <f aca="false">V321+W320-W323</f>
        <v>5.44318219298403</v>
      </c>
      <c r="X321" s="1" t="n">
        <f aca="false">W321+X320-X323</f>
        <v>5.57772412136681</v>
      </c>
      <c r="Y321" s="1" t="n">
        <f aca="false">X321+Y320-Y323</f>
        <v>5.71604408624608</v>
      </c>
      <c r="Z321" s="1" t="n">
        <f aca="false">Y321+Z320-Z323</f>
        <v>5.7305720032381</v>
      </c>
      <c r="AA321" s="1" t="n">
        <f aca="false">Z321+AA320-AA323</f>
        <v>5.74053101627524</v>
      </c>
      <c r="AB321" s="1" t="n">
        <f aca="false">AA321+AB320-AB323</f>
        <v>5.79751374835644</v>
      </c>
      <c r="AC321" s="1" t="n">
        <f aca="false">AB321+AC320-AC323</f>
        <v>5.86502871585536</v>
      </c>
      <c r="AD321" s="1" t="n">
        <f aca="false">AC321+AD320-AD323</f>
        <v>5.93105930127495</v>
      </c>
      <c r="AE321" s="1" t="n">
        <f aca="false">AD321+AE320-AE323</f>
        <v>5.99571195953483</v>
      </c>
      <c r="AF321" s="1" t="n">
        <f aca="false">AE321+AF320-AF323</f>
        <v>6.05913644425517</v>
      </c>
    </row>
    <row r="322" customFormat="false" ht="14.25" hidden="false" customHeight="true" outlineLevel="0" collapsed="false">
      <c r="B322" s="148" t="s">
        <v>1314</v>
      </c>
      <c r="C322" s="1" t="n">
        <f aca="false">$C$172*C83</f>
        <v>1.37726997519282</v>
      </c>
      <c r="D322" s="1" t="n">
        <f aca="false">$C$172*D83</f>
        <v>3.37211997519282</v>
      </c>
      <c r="E322" s="1" t="n">
        <f aca="false">$C$172*E83</f>
        <v>5.41285152519282</v>
      </c>
      <c r="F322" s="1" t="n">
        <f aca="false">$C$172*F83</f>
        <v>7.50051990084282</v>
      </c>
      <c r="G322" s="1" t="n">
        <f aca="false">$C$172*G83</f>
        <v>9.63620464913277</v>
      </c>
      <c r="H322" s="1" t="n">
        <f aca="false">$C$172*H83</f>
        <v>11.8210101466334</v>
      </c>
      <c r="I322" s="1" t="n">
        <f aca="false">$C$172*I83</f>
        <v>14.0560661705765</v>
      </c>
      <c r="J322" s="1" t="n">
        <f aca="false">$C$172*J83</f>
        <v>16.3425284830703</v>
      </c>
      <c r="K322" s="1" t="n">
        <f aca="false">$C$172*K83</f>
        <v>18.6815794287515</v>
      </c>
      <c r="L322" s="1" t="n">
        <f aca="false">$C$172*L83</f>
        <v>21.0744285461834</v>
      </c>
      <c r="M322" s="1" t="n">
        <f aca="false">$C$172*M83</f>
        <v>23.5223131933162</v>
      </c>
      <c r="N322" s="1" t="n">
        <f aca="false">$C$172*N83</f>
        <v>26.026499187333</v>
      </c>
      <c r="O322" s="1" t="n">
        <f aca="false">$C$172*O83</f>
        <v>28.5882814592122</v>
      </c>
      <c r="P322" s="1" t="n">
        <f aca="false">$C$172*P83</f>
        <v>31.2089847233446</v>
      </c>
      <c r="Q322" s="1" t="n">
        <f aca="false">$C$172*Q83</f>
        <v>33.8899641625521</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42.3554951064407</v>
      </c>
      <c r="AA322" s="1" t="n">
        <f aca="false">$C$172*AA83</f>
        <v>42.9821138196104</v>
      </c>
      <c r="AB322" s="1" t="n">
        <f aca="false">$C$172*AB83</f>
        <v>43.5918884176442</v>
      </c>
      <c r="AC322" s="1" t="n">
        <f aca="false">$C$172*AC83</f>
        <v>44.1859816182244</v>
      </c>
      <c r="AD322" s="1" t="n">
        <f aca="false">$C$172*AD83</f>
        <v>44.7651803975684</v>
      </c>
      <c r="AE322" s="1" t="n">
        <f aca="false">$C$172*AE83</f>
        <v>45.3303876332163</v>
      </c>
      <c r="AF322" s="1" t="n">
        <f aca="false">$C$172*AF83</f>
        <v>45.882553679335</v>
      </c>
    </row>
    <row r="323" customFormat="false" ht="14.25" hidden="false" customHeight="true" outlineLevel="0" collapsed="false">
      <c r="B323" s="148" t="s">
        <v>1315</v>
      </c>
      <c r="C323" s="1" t="n">
        <f aca="false">MAX(0,MIN(C318,C320,C320-C319))</f>
        <v>0</v>
      </c>
      <c r="D323" s="1" t="n">
        <f aca="false">MAX(0,MIN(D318,C321+D320,C321+D320-D319))</f>
        <v>0.393590294260244</v>
      </c>
      <c r="E323" s="1" t="n">
        <f aca="false">MAX(0,MIN(E318,D321+E320,D321+E320-E319))</f>
        <v>0.831270151761828</v>
      </c>
      <c r="F323" s="1" t="n">
        <f aca="false">MAX(0,MIN(F318,E321+F320,E321+F320-F319))</f>
        <v>1.01876199283796</v>
      </c>
      <c r="G323" s="1" t="n">
        <f aca="false">MAX(0,MIN(G318,F321+G320,F321+G320-G319))</f>
        <v>0.860204201823442</v>
      </c>
      <c r="H323" s="1" t="n">
        <f aca="false">MAX(0,MIN(H318,G321+H320,G321+H320-H319))</f>
        <v>0.824939213078046</v>
      </c>
      <c r="I323" s="1" t="n">
        <f aca="false">MAX(0,MIN(I318,H321+I320,H321+I320-I319))</f>
        <v>1.01788537474113</v>
      </c>
      <c r="J323" s="1" t="n">
        <f aca="false">MAX(0,MIN(J318,I321+J320,I321+J320-J319))</f>
        <v>1.24613295549528</v>
      </c>
      <c r="K323" s="1" t="n">
        <f aca="false">MAX(0,MIN(K318,J321+K320,J321+K320-K319))</f>
        <v>1.47530906568952</v>
      </c>
      <c r="L323" s="1" t="n">
        <f aca="false">MAX(0,MIN(L318,K321+L320,K321+L320-L319))</f>
        <v>1.90915729234888</v>
      </c>
      <c r="M323" s="1" t="n">
        <f aca="false">MAX(0,MIN(M318,L321+M320,L321+M320-M319))</f>
        <v>2.26310835868043</v>
      </c>
      <c r="N323" s="1" t="n">
        <f aca="false">MAX(0,MIN(N318,M321+N320,M321+N320-N319))</f>
        <v>3.26233385000609</v>
      </c>
      <c r="O323" s="1" t="n">
        <f aca="false">MAX(0,MIN(O318,N321+O320,N321+O320-O319))</f>
        <v>3.84308867120412</v>
      </c>
      <c r="P323" s="1" t="n">
        <f aca="false">MAX(0,MIN(P318,O321+P320,O321+P320-P319))</f>
        <v>3.72924158342508</v>
      </c>
      <c r="Q323" s="1" t="n">
        <f aca="false">MAX(0,MIN(Q318,P321+Q320,P321+Q320-Q319))</f>
        <v>3.84768308720946</v>
      </c>
      <c r="R323" s="1" t="n">
        <f aca="false">MAX(0,MIN(R318,Q321+R320,Q321+R320-R319))</f>
        <v>4.16576414004043</v>
      </c>
      <c r="S323" s="1" t="n">
        <f aca="false">MAX(0,MIN(S318,R321+S320,R321+S320-S319))</f>
        <v>4.07980026314717</v>
      </c>
      <c r="T323" s="1" t="n">
        <f aca="false">MAX(0,MIN(T318,S321+T320,S321+T320-T319))</f>
        <v>3.80485983219498</v>
      </c>
      <c r="U323" s="1" t="n">
        <f aca="false">MAX(0,MIN(U318,T321+U320,T321+U320-U319))</f>
        <v>3.77712909044882</v>
      </c>
      <c r="V323" s="1" t="n">
        <f aca="false">MAX(0,MIN(V318,U321+V320,U321+V320-V319))</f>
        <v>3.8697221401063</v>
      </c>
      <c r="W323" s="1" t="n">
        <f aca="false">MAX(0,MIN(W318,V321+W320,V321+W320-W319))</f>
        <v>3.96355905359568</v>
      </c>
      <c r="X323" s="1" t="n">
        <f aca="false">MAX(0,MIN(X318,W321+X320,W321+X320-X319))</f>
        <v>4.06076714821279</v>
      </c>
      <c r="Y323" s="1" t="n">
        <f aca="false">MAX(0,MIN(Y318,X321+Y320,X321+Y320-Y319))</f>
        <v>4.16110808983638</v>
      </c>
      <c r="Z323" s="1" t="n">
        <f aca="false">MAX(0,MIN(Z318,Y321+Z320,Y321+Z320-Z319))</f>
        <v>4.2642705464371</v>
      </c>
      <c r="AA323" s="1" t="n">
        <f aca="false">MAX(0,MIN(AA318,Z321+AA320,Z321+AA320-AA319))</f>
        <v>4.28576438875353</v>
      </c>
      <c r="AB323" s="1" t="n">
        <f aca="false">MAX(0,MIN(AB318,AA321+AB320,AA321+AB320-AB319))</f>
        <v>4.29000841427059</v>
      </c>
      <c r="AC323" s="1" t="n">
        <f aca="false">MAX(0,MIN(AC318,AB321+AC320,AB321+AC320-AC319))</f>
        <v>4.32967973793832</v>
      </c>
      <c r="AD323" s="1" t="n">
        <f aca="false">MAX(0,MIN(AD318,AC321+AD320,AC321+AD320-AD319))</f>
        <v>4.38024263698605</v>
      </c>
      <c r="AE323" s="1" t="n">
        <f aca="false">MAX(0,MIN(AE318,AD321+AE320,AD321+AE320-AE319))</f>
        <v>4.42970104317598</v>
      </c>
      <c r="AF323" s="1" t="n">
        <f aca="false">MAX(0,MIN(AF318,AE321+AF320,AE321+AF320-AF319))</f>
        <v>4.47811852634999</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0.594248053739673</v>
      </c>
      <c r="D326" s="1" t="n">
        <f aca="false">IF(01_Supuestos!$C$184="Sí",D321,$C$172*D83)</f>
        <v>1.15276504526061</v>
      </c>
      <c r="E326" s="1" t="n">
        <f aca="false">IF(01_Supuestos!$C$184="Sí",E321,$C$172*E83)</f>
        <v>1.3742383751382</v>
      </c>
      <c r="F326" s="1" t="n">
        <f aca="false">IF(01_Supuestos!$C$184="Sí",F321,$C$172*F83)</f>
        <v>1.11752140422757</v>
      </c>
      <c r="G326" s="1" t="n">
        <f aca="false">IF(01_Supuestos!$C$184="Sí",G321,$C$172*G83)</f>
        <v>1.1143207414186</v>
      </c>
      <c r="H326" s="1" t="n">
        <f aca="false">IF(01_Supuestos!$C$184="Sí",H321,$C$172*H83)</f>
        <v>1.38928668143653</v>
      </c>
      <c r="I326" s="1" t="n">
        <f aca="false">IF(01_Supuestos!$C$184="Sí",I321,$C$172*I83)</f>
        <v>1.69208321228152</v>
      </c>
      <c r="J326" s="1" t="n">
        <f aca="false">IF(01_Supuestos!$C$184="Sí",J321,$C$172*J83)</f>
        <v>2.00009038094821</v>
      </c>
      <c r="K326" s="1" t="n">
        <f aca="false">IF(01_Supuestos!$C$184="Sí",K321,$C$172*K83)</f>
        <v>2.61493125550558</v>
      </c>
      <c r="L326" s="1" t="n">
        <f aca="false">IF(01_Supuestos!$C$184="Sí",L321,$C$172*L83)</f>
        <v>3.05705890858759</v>
      </c>
      <c r="M326" s="1" t="n">
        <f aca="false">IF(01_Supuestos!$C$184="Sí",M321,$C$172*M83)</f>
        <v>4.52074969449537</v>
      </c>
      <c r="N326" s="1" t="n">
        <f aca="false">IF(01_Supuestos!$C$184="Sí",N321,$C$172*N83)</f>
        <v>5.16079051995204</v>
      </c>
      <c r="O326" s="1" t="n">
        <f aca="false">IF(01_Supuestos!$C$184="Sí",O321,$C$172*O83)</f>
        <v>4.95867779441046</v>
      </c>
      <c r="P326" s="1" t="n">
        <f aca="false">IF(01_Supuestos!$C$184="Sí",P321,$C$172*P83)</f>
        <v>5.18250144937101</v>
      </c>
      <c r="Q326" s="1" t="n">
        <f aca="false">IF(01_Supuestos!$C$184="Sí",Q321,$C$172*Q83)</f>
        <v>5.60901933530531</v>
      </c>
      <c r="R326" s="1" t="n">
        <f aca="false">IF(01_Supuestos!$C$184="Sí",R321,$C$172*R83)</f>
        <v>5.42394729574141</v>
      </c>
      <c r="S326" s="1" t="n">
        <f aca="false">IF(01_Supuestos!$C$184="Sí",S321,$C$172*S83)</f>
        <v>5.05936514975691</v>
      </c>
      <c r="T326" s="1" t="n">
        <f aca="false">IF(01_Supuestos!$C$184="Sí",T321,$C$172*T83)</f>
        <v>5.0631974759216</v>
      </c>
      <c r="U326" s="1" t="n">
        <f aca="false">IF(01_Supuestos!$C$184="Sí",U321,$C$172*U83)</f>
        <v>5.18690445185454</v>
      </c>
      <c r="V326" s="1" t="n">
        <f aca="false">IF(01_Supuestos!$C$184="Sí",V321,$C$172*V83)</f>
        <v>5.31271840915252</v>
      </c>
      <c r="W326" s="1" t="n">
        <f aca="false">IF(01_Supuestos!$C$184="Sí",W321,$C$172*W83)</f>
        <v>5.44318219298403</v>
      </c>
      <c r="X326" s="1" t="n">
        <f aca="false">IF(01_Supuestos!$C$184="Sí",X321,$C$172*X83)</f>
        <v>5.57772412136681</v>
      </c>
      <c r="Y326" s="1" t="n">
        <f aca="false">IF(01_Supuestos!$C$184="Sí",Y321,$C$172*Y83)</f>
        <v>5.71604408624608</v>
      </c>
      <c r="Z326" s="1" t="n">
        <f aca="false">IF(01_Supuestos!$C$184="Sí",Z321,$C$172*Z83)</f>
        <v>5.7305720032381</v>
      </c>
      <c r="AA326" s="1" t="n">
        <f aca="false">IF(01_Supuestos!$C$184="Sí",AA321,$C$172*AA83)</f>
        <v>5.74053101627524</v>
      </c>
      <c r="AB326" s="1" t="n">
        <f aca="false">IF(01_Supuestos!$C$184="Sí",AB321,$C$172*AB83)</f>
        <v>5.79751374835644</v>
      </c>
      <c r="AC326" s="1" t="n">
        <f aca="false">IF(01_Supuestos!$C$184="Sí",AC321,$C$172*AC83)</f>
        <v>5.86502871585536</v>
      </c>
      <c r="AD326" s="1" t="n">
        <f aca="false">IF(01_Supuestos!$C$184="Sí",AD321,$C$172*AD83)</f>
        <v>5.93105930127495</v>
      </c>
      <c r="AE326" s="1" t="n">
        <f aca="false">IF(01_Supuestos!$C$184="Sí",AE321,$C$172*AE83)</f>
        <v>5.99571195953483</v>
      </c>
      <c r="AF326" s="1" t="n">
        <f aca="false">IF(01_Supuestos!$C$184="Sí",AF321,$C$172*AF83)</f>
        <v>6.05913644425517</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0.090835388610983</v>
      </c>
      <c r="E327" s="1" t="n">
        <f aca="false">IF(01_Supuestos!$C$184="Sí",MAX(0.001,IF(D299&gt;0,D320/D299,$C$328*(1-$C$279))),$C$172)</f>
        <v>0.0918712510283309</v>
      </c>
      <c r="F327" s="1" t="n">
        <f aca="false">IF(01_Supuestos!$C$184="Sí",MAX(0.001,IF(E299&gt;0,E320/E299,$C$328*(1-$C$279))),$C$172)</f>
        <v>0.0888024791375818</v>
      </c>
      <c r="G327" s="1" t="n">
        <f aca="false">IF(01_Supuestos!$C$184="Sí",MAX(0.001,IF(F299&gt;0,F320/F299,$C$328*(1-$C$279))),$C$172)</f>
        <v>0.0571038963349554</v>
      </c>
      <c r="H327" s="1" t="n">
        <f aca="false">IF(01_Supuestos!$C$184="Sí",MAX(0.001,IF(G299&gt;0,G320/G299,$C$328*(1-$C$279))),$C$172)</f>
        <v>0.0583549931923461</v>
      </c>
      <c r="I327" s="1" t="n">
        <f aca="false">IF(01_Supuestos!$C$184="Sí",MAX(0.001,IF(H299&gt;0,H320/H299,$C$328*(1-$C$279))),$C$172)</f>
        <v>0.0684559792710705</v>
      </c>
      <c r="J327" s="1" t="n">
        <f aca="false">IF(01_Supuestos!$C$184="Sí",MAX(0.001,IF(I299&gt;0,I320/I299,$C$328*(1-$C$279))),$C$172)</f>
        <v>0.075273513461988</v>
      </c>
      <c r="K327" s="1" t="n">
        <f aca="false">IF(01_Supuestos!$C$184="Sí",MAX(0.001,IF(J299&gt;0,J320/J299,$C$328*(1-$C$279))),$C$172)</f>
        <v>0.0813804627044057</v>
      </c>
      <c r="L327" s="1" t="n">
        <f aca="false">IF(01_Supuestos!$C$184="Sí",MAX(0.001,IF(K299&gt;0,K320/K299,$C$328*(1-$C$279))),$C$172)</f>
        <v>0.100876142052268</v>
      </c>
      <c r="M327" s="1" t="n">
        <f aca="false">IF(01_Supuestos!$C$184="Sí",MAX(0.001,IF(L299&gt;0,L320/L299,$C$328*(1-$C$279))),$C$172)</f>
        <v>0.104387371264735</v>
      </c>
      <c r="N327" s="1" t="n">
        <f aca="false">IF(01_Supuestos!$C$184="Sí",MAX(0.001,IF(M299&gt;0,M320/M299,$C$328*(1-$C$279))),$C$172)</f>
        <v>0.131271990733376</v>
      </c>
      <c r="O327" s="1" t="n">
        <f aca="false">IF(01_Supuestos!$C$184="Sí",MAX(0.001,IF(N299&gt;0,N320/N299,$C$328*(1-$C$279))),$C$172)</f>
        <v>0.136079703727933</v>
      </c>
      <c r="P327" s="1" t="n">
        <f aca="false">IF(01_Supuestos!$C$184="Sí",MAX(0.001,IF(O299&gt;0,O320/O299,$C$328*(1-$C$279))),$C$172)</f>
        <v>0.125800746413764</v>
      </c>
      <c r="Q327" s="1" t="n">
        <f aca="false">IF(01_Supuestos!$C$184="Sí",MAX(0.001,IF(P299&gt;0,P320/P299,$C$328*(1-$C$279))),$C$172)</f>
        <v>0.127708619905903</v>
      </c>
      <c r="R327" s="1" t="n">
        <f aca="false">IF(01_Supuestos!$C$184="Sí",MAX(0.001,IF(Q299&gt;0,Q320/Q299,$C$328*(1-$C$279))),$C$172)</f>
        <v>0.129461191145515</v>
      </c>
      <c r="S327" s="1" t="n">
        <f aca="false">IF(01_Supuestos!$C$184="Sí",MAX(0.001,IF(R299&gt;0,R320/R299,$C$328*(1-$C$279))),$C$172)</f>
        <v>0.133735044531293</v>
      </c>
      <c r="T327" s="1" t="n">
        <f aca="false">IF(01_Supuestos!$C$184="Sí",MAX(0.001,IF(S299&gt;0,S320/S299,$C$328*(1-$C$279))),$C$172)</f>
        <v>0.137280082312534</v>
      </c>
      <c r="U327" s="1" t="n">
        <f aca="false">IF(01_Supuestos!$C$184="Sí",MAX(0.001,IF(T299&gt;0,T320/T299,$C$328*(1-$C$279))),$C$172)</f>
        <v>0.137562478949719</v>
      </c>
      <c r="V327" s="1" t="n">
        <f aca="false">IF(01_Supuestos!$C$184="Sí",MAX(0.001,IF(U299&gt;0,U320/U299,$C$328*(1-$C$279))),$C$172)</f>
        <v>0.137701805218251</v>
      </c>
      <c r="W327" s="1" t="n">
        <f aca="false">IF(01_Supuestos!$C$184="Sí",MAX(0.001,IF(V299&gt;0,V320/V299,$C$328*(1-$C$279))),$C$172)</f>
        <v>0.137848821683204</v>
      </c>
      <c r="X327" s="1" t="n">
        <f aca="false">IF(01_Supuestos!$C$184="Sí",MAX(0.001,IF(W299&gt;0,W320/W299,$C$328*(1-$C$279))),$C$172)</f>
        <v>0.138042661718859</v>
      </c>
      <c r="Y327" s="1" t="n">
        <f aca="false">IF(01_Supuestos!$C$184="Sí",MAX(0.001,IF(X299&gt;0,X320/X299,$C$328*(1-$C$279))),$C$172)</f>
        <v>0.138243643568604</v>
      </c>
      <c r="Z327" s="1" t="n">
        <f aca="false">IF(01_Supuestos!$C$184="Sí",MAX(0.001,IF(Y299&gt;0,Y320/Y299,$C$328*(1-$C$279))),$C$172)</f>
        <v>0.138450603795328</v>
      </c>
      <c r="AA327" s="1" t="n">
        <f aca="false">IF(01_Supuestos!$C$184="Sí",MAX(0.001,IF(Z299&gt;0,Z320/Z299,$C$328*(1-$C$279))),$C$172)</f>
        <v>0.139475129616087</v>
      </c>
      <c r="AB327" s="1" t="n">
        <f aca="false">IF(01_Supuestos!$C$184="Sí",MAX(0.001,IF(AA299&gt;0,AA320/AA299,$C$328*(1-$C$279))),$C$172)</f>
        <v>0.140001192287021</v>
      </c>
      <c r="AC327" s="1" t="n">
        <f aca="false">IF(01_Supuestos!$C$184="Sí",MAX(0.001,IF(AB299&gt;0,AB320/AB299,$C$328*(1-$C$279))),$C$172)</f>
        <v>0.140168796832363</v>
      </c>
      <c r="AD327" s="1" t="n">
        <f aca="false">IF(01_Supuestos!$C$184="Sí",MAX(0.001,IF(AC299&gt;0,AC320/AC299,$C$328*(1-$C$279))),$C$172)</f>
        <v>0.14032350497536</v>
      </c>
      <c r="AE327" s="1" t="n">
        <f aca="false">IF(01_Supuestos!$C$184="Sí",MAX(0.001,IF(AD299&gt;0,AD320/AD299,$C$328*(1-$C$279))),$C$172)</f>
        <v>0.140468417440787</v>
      </c>
      <c r="AF327" s="1" t="n">
        <f aca="false">IF(01_Supuestos!$C$184="Sí",MAX(0.001,IF(AE299&gt;0,AE320/AE299,$C$328*(1-$C$279))),$C$172)</f>
        <v>0.140603203164475</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0.0512282804947994</v>
      </c>
      <c r="E330" s="1" t="n">
        <f aca="false">E343</f>
        <v>0.122651012443362</v>
      </c>
      <c r="F330" s="1" t="n">
        <f aca="false">F343</f>
        <v>0.187893350272334</v>
      </c>
      <c r="G330" s="1" t="n">
        <f aca="false">G343</f>
        <v>0.214505069788734</v>
      </c>
      <c r="H330" s="1" t="n">
        <f aca="false">H343</f>
        <v>0.243767630704959</v>
      </c>
      <c r="I330" s="1" t="n">
        <f aca="false">I343</f>
        <v>0.287883373267981</v>
      </c>
      <c r="J330" s="1" t="n">
        <f aca="false">J343</f>
        <v>0.341855520040837</v>
      </c>
      <c r="K330" s="1" t="n">
        <f aca="false">K343</f>
        <v>0.404727168782858</v>
      </c>
      <c r="L330" s="1" t="n">
        <f aca="false">L343</f>
        <v>0.500729257352479</v>
      </c>
      <c r="M330" s="1" t="n">
        <f aca="false">M343</f>
        <v>0.599274549877551</v>
      </c>
      <c r="N330" s="1" t="n">
        <f aca="false">N343</f>
        <v>0.79590123182959</v>
      </c>
      <c r="O330" s="1" t="n">
        <f aca="false">O343</f>
        <v>0.966765385562721</v>
      </c>
      <c r="P330" s="1" t="n">
        <f aca="false">P343</f>
        <v>1.07955542206072</v>
      </c>
      <c r="Q330" s="1" t="n">
        <f aca="false">Q343</f>
        <v>1.19578938033982</v>
      </c>
      <c r="R330" s="1" t="n">
        <f aca="false">R343</f>
        <v>1.31553079036222</v>
      </c>
      <c r="S330" s="1" t="n">
        <f aca="false">S343</f>
        <v>1.38506349807692</v>
      </c>
      <c r="T330" s="1" t="n">
        <f aca="false">T343</f>
        <v>1.41724771437026</v>
      </c>
      <c r="U330" s="1" t="n">
        <f aca="false">U343</f>
        <v>1.45079572067432</v>
      </c>
      <c r="V330" s="1" t="n">
        <f aca="false">V343</f>
        <v>1.48530918201387</v>
      </c>
      <c r="W330" s="1" t="n">
        <f aca="false">W343</f>
        <v>1.52080763917259</v>
      </c>
      <c r="X330" s="1" t="n">
        <f aca="false">X343</f>
        <v>1.55741265345118</v>
      </c>
      <c r="Y330" s="1" t="n">
        <f aca="false">Y343</f>
        <v>1.59513539710191</v>
      </c>
      <c r="Z330" s="1" t="n">
        <f aca="false">Z343</f>
        <v>1.63398758404917</v>
      </c>
      <c r="AA330" s="1" t="n">
        <f aca="false">AA343</f>
        <v>1.66298010306945</v>
      </c>
      <c r="AB330" s="1" t="n">
        <f aca="false">AB343</f>
        <v>1.68740122454399</v>
      </c>
      <c r="AC330" s="1" t="n">
        <f aca="false">AC343</f>
        <v>1.71116238590365</v>
      </c>
      <c r="AD330" s="1" t="n">
        <f aca="false">AD343</f>
        <v>1.73430911872511</v>
      </c>
      <c r="AE330" s="1" t="n">
        <f aca="false">AE343</f>
        <v>1.75687223775491</v>
      </c>
      <c r="AF330" s="1" t="n">
        <f aca="false">AF343</f>
        <v>1.77888709690843</v>
      </c>
    </row>
    <row r="331" customFormat="false" ht="14.25" hidden="false" customHeight="true" outlineLevel="0" collapsed="false">
      <c r="B331" s="1" t="s">
        <v>1324</v>
      </c>
      <c r="C331" s="1" t="n">
        <f aca="false">C330*$C$338</f>
        <v>0</v>
      </c>
      <c r="D331" s="1" t="n">
        <f aca="false">D330*$C$338</f>
        <v>0.0179298981731798</v>
      </c>
      <c r="E331" s="1" t="n">
        <f aca="false">E330*$C$338</f>
        <v>0.0429278543551766</v>
      </c>
      <c r="F331" s="1" t="n">
        <f aca="false">F330*$C$338</f>
        <v>0.065762672595317</v>
      </c>
      <c r="G331" s="1" t="n">
        <f aca="false">G330*$C$338</f>
        <v>0.0750767744260568</v>
      </c>
      <c r="H331" s="1" t="n">
        <f aca="false">H330*$C$338</f>
        <v>0.0853186707467358</v>
      </c>
      <c r="I331" s="1" t="n">
        <f aca="false">I330*$C$338</f>
        <v>0.100759180643793</v>
      </c>
      <c r="J331" s="1" t="n">
        <f aca="false">J330*$C$338</f>
        <v>0.119649432014293</v>
      </c>
      <c r="K331" s="1" t="n">
        <f aca="false">K330*$C$338</f>
        <v>0.141654509074</v>
      </c>
      <c r="L331" s="1" t="n">
        <f aca="false">L330*$C$338</f>
        <v>0.175255240073368</v>
      </c>
      <c r="M331" s="1" t="n">
        <f aca="false">M330*$C$338</f>
        <v>0.209746092457143</v>
      </c>
      <c r="N331" s="1" t="n">
        <f aca="false">N330*$C$338</f>
        <v>0.278565431140356</v>
      </c>
      <c r="O331" s="1" t="n">
        <f aca="false">O330*$C$338</f>
        <v>0.338367884946952</v>
      </c>
      <c r="P331" s="1" t="n">
        <f aca="false">P330*$C$338</f>
        <v>0.377844397721252</v>
      </c>
      <c r="Q331" s="1" t="n">
        <f aca="false">Q330*$C$338</f>
        <v>0.418526283118936</v>
      </c>
      <c r="R331" s="1" t="n">
        <f aca="false">R330*$C$338</f>
        <v>0.460435776626777</v>
      </c>
      <c r="S331" s="1" t="n">
        <f aca="false">S330*$C$338</f>
        <v>0.484772224326923</v>
      </c>
      <c r="T331" s="1" t="n">
        <f aca="false">T330*$C$338</f>
        <v>0.49603670002959</v>
      </c>
      <c r="U331" s="1" t="n">
        <f aca="false">U330*$C$338</f>
        <v>0.507778502236011</v>
      </c>
      <c r="V331" s="1" t="n">
        <f aca="false">V330*$C$338</f>
        <v>0.519858213704853</v>
      </c>
      <c r="W331" s="1" t="n">
        <f aca="false">W330*$C$338</f>
        <v>0.532282673710408</v>
      </c>
      <c r="X331" s="1" t="n">
        <f aca="false">X330*$C$338</f>
        <v>0.545094428707911</v>
      </c>
      <c r="Y331" s="1" t="n">
        <f aca="false">Y330*$C$338</f>
        <v>0.55829738898567</v>
      </c>
      <c r="Z331" s="1" t="n">
        <f aca="false">Z330*$C$338</f>
        <v>0.571895654417209</v>
      </c>
      <c r="AA331" s="1" t="n">
        <f aca="false">AA330*$C$338</f>
        <v>0.582043036074308</v>
      </c>
      <c r="AB331" s="1" t="n">
        <f aca="false">AB330*$C$338</f>
        <v>0.590590428590398</v>
      </c>
      <c r="AC331" s="1" t="n">
        <f aca="false">AC330*$C$338</f>
        <v>0.598906835066278</v>
      </c>
      <c r="AD331" s="1" t="n">
        <f aca="false">AD330*$C$338</f>
        <v>0.607008191553788</v>
      </c>
      <c r="AE331" s="1" t="n">
        <f aca="false">AE330*$C$338</f>
        <v>0.614905283214219</v>
      </c>
      <c r="AF331" s="1" t="n">
        <f aca="false">AF330*$C$338</f>
        <v>0.62261048391795</v>
      </c>
    </row>
    <row r="332" customFormat="false" ht="14.25" hidden="false" customHeight="true" outlineLevel="0" collapsed="false">
      <c r="B332" s="1" t="s">
        <v>1325</v>
      </c>
      <c r="C332" s="1" t="n">
        <f aca="false">IF($C$339&lt;=0,C331,IF($C$339=1,0,0))</f>
        <v>0</v>
      </c>
      <c r="D332" s="1" t="n">
        <f aca="false">IF($C$339&lt;=0,D331,IF($C$339=1,C331,0))</f>
        <v>0.0179298981731798</v>
      </c>
      <c r="E332" s="1" t="n">
        <f aca="false">IF($C$339&lt;=0,E331,IF($C$339=1,D331,C331))</f>
        <v>0.0429278543551766</v>
      </c>
      <c r="F332" s="1" t="n">
        <f aca="false">IF($C$339&lt;=0,F331,IF($C$339=1,E331,D331))</f>
        <v>0.065762672595317</v>
      </c>
      <c r="G332" s="1" t="n">
        <f aca="false">IF($C$339&lt;=0,G331,IF($C$339=1,F331,E331))</f>
        <v>0.0750767744260568</v>
      </c>
      <c r="H332" s="1" t="n">
        <f aca="false">IF($C$339&lt;=0,H331,IF($C$339=1,G331,F331))</f>
        <v>0.0853186707467358</v>
      </c>
      <c r="I332" s="1" t="n">
        <f aca="false">IF($C$339&lt;=0,I331,IF($C$339=1,H331,G331))</f>
        <v>0.100759180643793</v>
      </c>
      <c r="J332" s="1" t="n">
        <f aca="false">IF($C$339&lt;=0,J331,IF($C$339=1,I331,H331))</f>
        <v>0.119649432014293</v>
      </c>
      <c r="K332" s="1" t="n">
        <f aca="false">IF($C$339&lt;=0,K331,IF($C$339=1,J331,I331))</f>
        <v>0.141654509074</v>
      </c>
      <c r="L332" s="1" t="n">
        <f aca="false">IF($C$339&lt;=0,L331,IF($C$339=1,K331,J331))</f>
        <v>0.175255240073368</v>
      </c>
      <c r="M332" s="1" t="n">
        <f aca="false">IF($C$339&lt;=0,M331,IF($C$339=1,L331,K331))</f>
        <v>0.209746092457143</v>
      </c>
      <c r="N332" s="1" t="n">
        <f aca="false">IF($C$339&lt;=0,N331,IF($C$339=1,M331,L331))</f>
        <v>0.278565431140356</v>
      </c>
      <c r="O332" s="1" t="n">
        <f aca="false">IF($C$339&lt;=0,O331,IF($C$339=1,N331,M331))</f>
        <v>0.338367884946952</v>
      </c>
      <c r="P332" s="1" t="n">
        <f aca="false">IF($C$339&lt;=0,P331,IF($C$339=1,O331,N331))</f>
        <v>0.377844397721252</v>
      </c>
      <c r="Q332" s="1" t="n">
        <f aca="false">IF($C$339&lt;=0,Q331,IF($C$339=1,P331,O331))</f>
        <v>0.418526283118936</v>
      </c>
      <c r="R332" s="1" t="n">
        <f aca="false">IF($C$339&lt;=0,R331,IF($C$339=1,Q331,P331))</f>
        <v>0.460435776626777</v>
      </c>
      <c r="S332" s="1" t="n">
        <f aca="false">IF($C$339&lt;=0,S331,IF($C$339=1,R331,Q331))</f>
        <v>0.484772224326923</v>
      </c>
      <c r="T332" s="1" t="n">
        <f aca="false">IF($C$339&lt;=0,T331,IF($C$339=1,S331,R331))</f>
        <v>0.49603670002959</v>
      </c>
      <c r="U332" s="1" t="n">
        <f aca="false">IF($C$339&lt;=0,U331,IF($C$339=1,T331,S331))</f>
        <v>0.507778502236011</v>
      </c>
      <c r="V332" s="1" t="n">
        <f aca="false">IF($C$339&lt;=0,V331,IF($C$339=1,U331,T331))</f>
        <v>0.519858213704853</v>
      </c>
      <c r="W332" s="1" t="n">
        <f aca="false">IF($C$339&lt;=0,W331,IF($C$339=1,V331,U331))</f>
        <v>0.532282673710408</v>
      </c>
      <c r="X332" s="1" t="n">
        <f aca="false">IF($C$339&lt;=0,X331,IF($C$339=1,W331,V331))</f>
        <v>0.545094428707911</v>
      </c>
      <c r="Y332" s="1" t="n">
        <f aca="false">IF($C$339&lt;=0,Y331,IF($C$339=1,X331,W331))</f>
        <v>0.55829738898567</v>
      </c>
      <c r="Z332" s="1" t="n">
        <f aca="false">IF($C$339&lt;=0,Z331,IF($C$339=1,Y331,X331))</f>
        <v>0.571895654417209</v>
      </c>
      <c r="AA332" s="1" t="n">
        <f aca="false">IF($C$339&lt;=0,AA331,IF($C$339=1,Z331,Y331))</f>
        <v>0.582043036074308</v>
      </c>
      <c r="AB332" s="1" t="n">
        <f aca="false">IF($C$339&lt;=0,AB331,IF($C$339=1,AA331,Z331))</f>
        <v>0.590590428590398</v>
      </c>
      <c r="AC332" s="1" t="n">
        <f aca="false">IF($C$339&lt;=0,AC331,IF($C$339=1,AB331,AA331))</f>
        <v>0.598906835066278</v>
      </c>
      <c r="AD332" s="1" t="n">
        <f aca="false">IF($C$339&lt;=0,AD331,IF($C$339=1,AC331,AB331))</f>
        <v>0.607008191553788</v>
      </c>
      <c r="AE332" s="1" t="n">
        <f aca="false">IF($C$339&lt;=0,AE331,IF($C$339=1,AD331,AC331))</f>
        <v>0.614905283214219</v>
      </c>
      <c r="AF332" s="1" t="n">
        <f aca="false">IF($C$339&lt;=0,AF331,IF($C$339=1,AE331,AD331))</f>
        <v>0.62261048391795</v>
      </c>
    </row>
    <row r="333" customFormat="false" ht="14.25" hidden="false" customHeight="true" outlineLevel="0" collapsed="false">
      <c r="B333" s="1" t="s">
        <v>1326</v>
      </c>
      <c r="C333" s="1" t="n">
        <f aca="false">C330-C331</f>
        <v>0</v>
      </c>
      <c r="D333" s="1" t="n">
        <f aca="false">D330-D331</f>
        <v>0.0332983823216196</v>
      </c>
      <c r="E333" s="1" t="n">
        <f aca="false">E330-E331</f>
        <v>0.0797231580881851</v>
      </c>
      <c r="F333" s="1" t="n">
        <f aca="false">F330-F331</f>
        <v>0.122130677677017</v>
      </c>
      <c r="G333" s="1" t="n">
        <f aca="false">G330-G331</f>
        <v>0.139428295362677</v>
      </c>
      <c r="H333" s="1" t="n">
        <f aca="false">H330-H331</f>
        <v>0.158448959958224</v>
      </c>
      <c r="I333" s="1" t="n">
        <f aca="false">I330-I331</f>
        <v>0.187124192624188</v>
      </c>
      <c r="J333" s="1" t="n">
        <f aca="false">J330-J331</f>
        <v>0.222206088026544</v>
      </c>
      <c r="K333" s="1" t="n">
        <f aca="false">K330-K331</f>
        <v>0.263072659708857</v>
      </c>
      <c r="L333" s="1" t="n">
        <f aca="false">L330-L331</f>
        <v>0.325474017279111</v>
      </c>
      <c r="M333" s="1" t="n">
        <f aca="false">M330-M331</f>
        <v>0.389528457420408</v>
      </c>
      <c r="N333" s="1" t="n">
        <f aca="false">N330-N331</f>
        <v>0.517335800689234</v>
      </c>
      <c r="O333" s="1" t="n">
        <f aca="false">O330-O331</f>
        <v>0.628397500615769</v>
      </c>
      <c r="P333" s="1" t="n">
        <f aca="false">P330-P331</f>
        <v>0.701711024339469</v>
      </c>
      <c r="Q333" s="1" t="n">
        <f aca="false">Q330-Q331</f>
        <v>0.777263097220882</v>
      </c>
      <c r="R333" s="1" t="n">
        <f aca="false">R330-R331</f>
        <v>0.855095013735442</v>
      </c>
      <c r="S333" s="1" t="n">
        <f aca="false">S330-S331</f>
        <v>0.90029127375</v>
      </c>
      <c r="T333" s="1" t="n">
        <f aca="false">T330-T331</f>
        <v>0.921211014340666</v>
      </c>
      <c r="U333" s="1" t="n">
        <f aca="false">U330-U331</f>
        <v>0.943017218438307</v>
      </c>
      <c r="V333" s="1" t="n">
        <f aca="false">V330-V331</f>
        <v>0.965450968309013</v>
      </c>
      <c r="W333" s="1" t="n">
        <f aca="false">W330-W331</f>
        <v>0.988524965462186</v>
      </c>
      <c r="X333" s="1" t="n">
        <f aca="false">X330-X331</f>
        <v>1.01231822474326</v>
      </c>
      <c r="Y333" s="1" t="n">
        <f aca="false">Y330-Y331</f>
        <v>1.03683800811624</v>
      </c>
      <c r="Z333" s="1" t="n">
        <f aca="false">Z330-Z331</f>
        <v>1.06209192963196</v>
      </c>
      <c r="AA333" s="1" t="n">
        <f aca="false">AA330-AA331</f>
        <v>1.08093706699514</v>
      </c>
      <c r="AB333" s="1" t="n">
        <f aca="false">AB330-AB331</f>
        <v>1.0968107959536</v>
      </c>
      <c r="AC333" s="1" t="n">
        <f aca="false">AC330-AC331</f>
        <v>1.11225555083737</v>
      </c>
      <c r="AD333" s="1" t="n">
        <f aca="false">AD330-AD331</f>
        <v>1.12730092717132</v>
      </c>
      <c r="AE333" s="1" t="n">
        <f aca="false">AE330-AE331</f>
        <v>1.14196695454069</v>
      </c>
      <c r="AF333" s="1" t="n">
        <f aca="false">AF330-AF331</f>
        <v>1.15627661299048</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01_Supuestos!$C$191</f>
        <v>0.35</v>
      </c>
      <c r="D338" s="1" t="s">
        <v>1347</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0.0215158778078157</v>
      </c>
      <c r="E341" s="1" t="n">
        <f aca="false">D284*$C$340</f>
        <v>0.0515134252262119</v>
      </c>
      <c r="F341" s="1" t="n">
        <f aca="false">E284*$C$340</f>
        <v>0.0789152071143804</v>
      </c>
      <c r="G341" s="1" t="n">
        <f aca="false">F284*$C$340</f>
        <v>0.0900921293112681</v>
      </c>
      <c r="H341" s="1" t="n">
        <f aca="false">G284*$C$340</f>
        <v>0.102382404896083</v>
      </c>
      <c r="I341" s="1" t="n">
        <f aca="false">H284*$C$340</f>
        <v>0.120911016772552</v>
      </c>
      <c r="J341" s="1" t="n">
        <f aca="false">I284*$C$340</f>
        <v>0.143579318417152</v>
      </c>
      <c r="K341" s="1" t="n">
        <f aca="false">J284*$C$340</f>
        <v>0.1699854108888</v>
      </c>
      <c r="L341" s="1" t="n">
        <f aca="false">K284*$C$340</f>
        <v>0.210306288088041</v>
      </c>
      <c r="M341" s="1" t="n">
        <f aca="false">L284*$C$340</f>
        <v>0.251695310948571</v>
      </c>
      <c r="N341" s="1" t="n">
        <f aca="false">M284*$C$340</f>
        <v>0.334278517368428</v>
      </c>
      <c r="O341" s="1" t="n">
        <f aca="false">N284*$C$340</f>
        <v>0.406041461936343</v>
      </c>
      <c r="P341" s="1" t="n">
        <f aca="false">O284*$C$340</f>
        <v>0.453413277265503</v>
      </c>
      <c r="Q341" s="1" t="n">
        <f aca="false">P284*$C$340</f>
        <v>0.502231539742723</v>
      </c>
      <c r="R341" s="1" t="n">
        <f aca="false">Q284*$C$340</f>
        <v>0.552522931952132</v>
      </c>
      <c r="S341" s="1" t="n">
        <f aca="false">R284*$C$340</f>
        <v>0.581726669192308</v>
      </c>
      <c r="T341" s="1" t="n">
        <f aca="false">S284*$C$340</f>
        <v>0.595244040035508</v>
      </c>
      <c r="U341" s="1" t="n">
        <f aca="false">T284*$C$340</f>
        <v>0.609334202683214</v>
      </c>
      <c r="V341" s="1" t="n">
        <f aca="false">U284*$C$340</f>
        <v>0.623829856445824</v>
      </c>
      <c r="W341" s="1" t="n">
        <f aca="false">V284*$C$340</f>
        <v>0.638739208452489</v>
      </c>
      <c r="X341" s="1" t="n">
        <f aca="false">W284*$C$340</f>
        <v>0.654113314449494</v>
      </c>
      <c r="Y341" s="1" t="n">
        <f aca="false">X284*$C$340</f>
        <v>0.669956866782804</v>
      </c>
      <c r="Z341" s="1" t="n">
        <f aca="false">Y284*$C$340</f>
        <v>0.686274785300651</v>
      </c>
      <c r="AA341" s="1" t="n">
        <f aca="false">Z284*$C$340</f>
        <v>0.698451643289169</v>
      </c>
      <c r="AB341" s="1" t="n">
        <f aca="false">AA284*$C$340</f>
        <v>0.708708514308478</v>
      </c>
      <c r="AC341" s="1" t="n">
        <f aca="false">AB284*$C$340</f>
        <v>0.718688202079534</v>
      </c>
      <c r="AD341" s="1" t="n">
        <f aca="false">AC284*$C$340</f>
        <v>0.728409829864546</v>
      </c>
      <c r="AE341" s="1" t="n">
        <f aca="false">AD284*$C$340</f>
        <v>0.737886339857063</v>
      </c>
      <c r="AF341" s="1" t="n">
        <f aca="false">AE284*$C$340</f>
        <v>0.74713258070154</v>
      </c>
    </row>
    <row r="342" customFormat="false" ht="14.25" hidden="false" customHeight="true" outlineLevel="0" collapsed="false">
      <c r="B342" s="1" t="s">
        <v>1336</v>
      </c>
      <c r="C342" s="1" t="n">
        <f aca="false">0*$C$340</f>
        <v>0</v>
      </c>
      <c r="D342" s="1" t="n">
        <f aca="false">C289*$C$340</f>
        <v>0.0297124026869837</v>
      </c>
      <c r="E342" s="1" t="n">
        <f aca="false">D289*$C$340</f>
        <v>0.0711375872171498</v>
      </c>
      <c r="F342" s="1" t="n">
        <f aca="false">E289*$C$340</f>
        <v>0.108978143157954</v>
      </c>
      <c r="G342" s="1" t="n">
        <f aca="false">F289*$C$340</f>
        <v>0.124412940477466</v>
      </c>
      <c r="H342" s="1" t="n">
        <f aca="false">G289*$C$340</f>
        <v>0.141385225808876</v>
      </c>
      <c r="I342" s="1" t="n">
        <f aca="false">H289*$C$340</f>
        <v>0.166972356495429</v>
      </c>
      <c r="J342" s="1" t="n">
        <f aca="false">I289*$C$340</f>
        <v>0.198276201623685</v>
      </c>
      <c r="K342" s="1" t="n">
        <f aca="false">J289*$C$340</f>
        <v>0.234741757894057</v>
      </c>
      <c r="L342" s="1" t="n">
        <f aca="false">K289*$C$340</f>
        <v>0.290422969264438</v>
      </c>
      <c r="M342" s="1" t="n">
        <f aca="false">L289*$C$340</f>
        <v>0.34757923892898</v>
      </c>
      <c r="N342" s="1" t="n">
        <f aca="false">M289*$C$340</f>
        <v>0.461622714461162</v>
      </c>
      <c r="O342" s="1" t="n">
        <f aca="false">N289*$C$340</f>
        <v>0.560723923626379</v>
      </c>
      <c r="P342" s="1" t="n">
        <f aca="false">O289*$C$340</f>
        <v>0.626142144795219</v>
      </c>
      <c r="Q342" s="1" t="n">
        <f aca="false">P289*$C$340</f>
        <v>0.693557840597094</v>
      </c>
      <c r="R342" s="1" t="n">
        <f aca="false">Q289*$C$340</f>
        <v>0.763007858410087</v>
      </c>
      <c r="S342" s="1" t="n">
        <f aca="false">R289*$C$340</f>
        <v>0.803336828884615</v>
      </c>
      <c r="T342" s="1" t="n">
        <f aca="false">S289*$C$340</f>
        <v>0.822003674334749</v>
      </c>
      <c r="U342" s="1" t="n">
        <f aca="false">T289*$C$340</f>
        <v>0.841461517991105</v>
      </c>
      <c r="V342" s="1" t="n">
        <f aca="false">U289*$C$340</f>
        <v>0.861479325568043</v>
      </c>
      <c r="W342" s="1" t="n">
        <f aca="false">V289*$C$340</f>
        <v>0.882068430720104</v>
      </c>
      <c r="X342" s="1" t="n">
        <f aca="false">W289*$C$340</f>
        <v>0.903299339001682</v>
      </c>
      <c r="Y342" s="1" t="n">
        <f aca="false">X289*$C$340</f>
        <v>0.92517853031911</v>
      </c>
      <c r="Z342" s="1" t="n">
        <f aca="false">Y289*$C$340</f>
        <v>0.947712798748518</v>
      </c>
      <c r="AA342" s="1" t="n">
        <f aca="false">Z289*$C$340</f>
        <v>0.964528459780282</v>
      </c>
      <c r="AB342" s="1" t="n">
        <f aca="false">AA289*$C$340</f>
        <v>0.978692710235517</v>
      </c>
      <c r="AC342" s="1" t="n">
        <f aca="false">AB289*$C$340</f>
        <v>0.992474183824119</v>
      </c>
      <c r="AD342" s="1" t="n">
        <f aca="false">AC289*$C$340</f>
        <v>1.00589928886056</v>
      </c>
      <c r="AE342" s="1" t="n">
        <f aca="false">AD289*$C$340</f>
        <v>1.01898589789785</v>
      </c>
      <c r="AF342" s="1" t="n">
        <f aca="false">AE289*$C$340</f>
        <v>1.03175451620689</v>
      </c>
    </row>
    <row r="343" customFormat="false" ht="14.25" hidden="false" customHeight="true" outlineLevel="0" collapsed="false">
      <c r="B343" s="1" t="s">
        <v>1337</v>
      </c>
      <c r="C343" s="1" t="n">
        <f aca="false">C341+C342</f>
        <v>0</v>
      </c>
      <c r="D343" s="1" t="n">
        <f aca="false">D341+D342</f>
        <v>0.0512282804947994</v>
      </c>
      <c r="E343" s="1" t="n">
        <f aca="false">E341+E342</f>
        <v>0.122651012443362</v>
      </c>
      <c r="F343" s="1" t="n">
        <f aca="false">F341+F342</f>
        <v>0.187893350272334</v>
      </c>
      <c r="G343" s="1" t="n">
        <f aca="false">G341+G342</f>
        <v>0.214505069788734</v>
      </c>
      <c r="H343" s="1" t="n">
        <f aca="false">H341+H342</f>
        <v>0.243767630704959</v>
      </c>
      <c r="I343" s="1" t="n">
        <f aca="false">I341+I342</f>
        <v>0.287883373267981</v>
      </c>
      <c r="J343" s="1" t="n">
        <f aca="false">J341+J342</f>
        <v>0.341855520040837</v>
      </c>
      <c r="K343" s="1" t="n">
        <f aca="false">K341+K342</f>
        <v>0.404727168782858</v>
      </c>
      <c r="L343" s="1" t="n">
        <f aca="false">L341+L342</f>
        <v>0.500729257352479</v>
      </c>
      <c r="M343" s="1" t="n">
        <f aca="false">M341+M342</f>
        <v>0.599274549877551</v>
      </c>
      <c r="N343" s="1" t="n">
        <f aca="false">N341+N342</f>
        <v>0.79590123182959</v>
      </c>
      <c r="O343" s="1" t="n">
        <f aca="false">O341+O342</f>
        <v>0.966765385562721</v>
      </c>
      <c r="P343" s="1" t="n">
        <f aca="false">P341+P342</f>
        <v>1.07955542206072</v>
      </c>
      <c r="Q343" s="1" t="n">
        <f aca="false">Q341+Q342</f>
        <v>1.19578938033982</v>
      </c>
      <c r="R343" s="1" t="n">
        <f aca="false">R341+R342</f>
        <v>1.31553079036222</v>
      </c>
      <c r="S343" s="1" t="n">
        <f aca="false">S341+S342</f>
        <v>1.38506349807692</v>
      </c>
      <c r="T343" s="1" t="n">
        <f aca="false">T341+T342</f>
        <v>1.41724771437026</v>
      </c>
      <c r="U343" s="1" t="n">
        <f aca="false">U341+U342</f>
        <v>1.45079572067432</v>
      </c>
      <c r="V343" s="1" t="n">
        <f aca="false">V341+V342</f>
        <v>1.48530918201387</v>
      </c>
      <c r="W343" s="1" t="n">
        <f aca="false">W341+W342</f>
        <v>1.52080763917259</v>
      </c>
      <c r="X343" s="1" t="n">
        <f aca="false">X341+X342</f>
        <v>1.55741265345118</v>
      </c>
      <c r="Y343" s="1" t="n">
        <f aca="false">Y341+Y342</f>
        <v>1.59513539710191</v>
      </c>
      <c r="Z343" s="1" t="n">
        <f aca="false">Z341+Z342</f>
        <v>1.63398758404917</v>
      </c>
      <c r="AA343" s="1" t="n">
        <f aca="false">AA341+AA342</f>
        <v>1.66298010306945</v>
      </c>
      <c r="AB343" s="1" t="n">
        <f aca="false">AB341+AB342</f>
        <v>1.68740122454399</v>
      </c>
      <c r="AC343" s="1" t="n">
        <f aca="false">AC341+AC342</f>
        <v>1.71116238590365</v>
      </c>
      <c r="AD343" s="1" t="n">
        <f aca="false">AD341+AD342</f>
        <v>1.73430911872511</v>
      </c>
      <c r="AE343" s="1" t="n">
        <f aca="false">AE341+AE342</f>
        <v>1.75687223775491</v>
      </c>
      <c r="AF343" s="1" t="n">
        <f aca="false">AF341+AF342</f>
        <v>1.77888709690843</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1350</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352</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187.652339662692</v>
      </c>
      <c r="M72" s="116" t="n">
        <f aca="false">IF($C$173="Sí",(M83-M326)+M181,$C$15*L83)</f>
        <v>201.492878723063</v>
      </c>
      <c r="N72" s="116" t="n">
        <f aca="false">IF($C$173="Sí",(N83-N326)+N181,$C$15*M83)</f>
        <v>206.829277243367</v>
      </c>
      <c r="O72" s="116" t="n">
        <f aca="false">IF($C$173="Sí",(O83-O326)+O181,$C$15*N83)</f>
        <v>212.558232271394</v>
      </c>
      <c r="P72" s="116" t="n">
        <f aca="false">IF($C$173="Sí",(P83-P326)+P181,$C$15*O83)</f>
        <v>217.630537405409</v>
      </c>
      <c r="Q72" s="116" t="n">
        <f aca="false">IF($C$173="Sí",(Q83-Q326)+Q181,$C$15*P83)</f>
        <v>222.629726854445</v>
      </c>
      <c r="R72" s="116" t="n">
        <f aca="false">IF($C$173="Sí",(R83-R326)+R181,$C$15*Q83)</f>
        <v>227.748809972758</v>
      </c>
      <c r="S72" s="116" t="n">
        <f aca="false">IF($C$173="Sí",(S83-S326)+S181,$C$15*R83)</f>
        <v>232.98489610812</v>
      </c>
      <c r="T72" s="116" t="n">
        <f aca="false">IF($C$173="Sí",(T83-T326)+T181,$C$15*S83)</f>
        <v>238.341019354479</v>
      </c>
      <c r="U72" s="116" t="n">
        <f aca="false">IF($C$173="Sí",(U83-U326)+U181,$C$15*T83)</f>
        <v>243.819986216626</v>
      </c>
      <c r="V72" s="116" t="n">
        <f aca="false">IF($C$173="Sí",(V83-V326)+V181,$C$15*U83)</f>
        <v>249.424652261082</v>
      </c>
      <c r="W72" s="116" t="n">
        <f aca="false">IF($C$173="Sí",(W83-W326)+W181,$C$15*V83)</f>
        <v>255.156730508175</v>
      </c>
      <c r="X72" s="116" t="n">
        <f aca="false">IF($C$173="Sí",(X83-X326)+X181,$C$15*W83)</f>
        <v>261.019778087828</v>
      </c>
      <c r="Y72" s="116" t="n">
        <f aca="false">IF($C$173="Sí",(Y83-Y326)+Y181,$C$15*X83)</f>
        <v>267.017177200432</v>
      </c>
      <c r="Z72" s="116" t="n">
        <f aca="false">IF($C$173="Sí",(Z83-Z326)+Z181,$C$15*Y83)</f>
        <v>273.152056277433</v>
      </c>
      <c r="AA72" s="116" t="n">
        <f aca="false">IF($C$173="Sí",(AA83-AA326)+AA181,$C$15*Z83)</f>
        <v>279.427615184108</v>
      </c>
      <c r="AB72" s="116" t="n">
        <f aca="false">IF($C$173="Sí",(AB83-AB326)+AB181,$C$15*AA83)</f>
        <v>285.847153400369</v>
      </c>
      <c r="AC72" s="116" t="n">
        <f aca="false">IF($C$173="Sí",(AC83-AC326)+AC181,$C$15*AB83)</f>
        <v>292.414032621873</v>
      </c>
      <c r="AD72" s="116" t="n">
        <f aca="false">IF($C$173="Sí",(AD83-AD326)+AD181,$C$15*AC83)</f>
        <v>299.131684022107</v>
      </c>
      <c r="AE72" s="116" t="n">
        <f aca="false">IF($C$173="Sí",(AE83-AE326)+AE181,$C$15*AD83)</f>
        <v>306.003617221235</v>
      </c>
      <c r="AF72" s="116" t="n">
        <f aca="false">IF($C$173="Sí",(AF83-AF326)+AF181,$C$15*AE83)</f>
        <v>313.033422132787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16.5683017846898</v>
      </c>
      <c r="M73" s="116" t="n">
        <f aca="false">M72-L72</f>
        <v>13.8405390603706</v>
      </c>
      <c r="N73" s="116" t="n">
        <f aca="false">N72-M72</f>
        <v>5.33639852030359</v>
      </c>
      <c r="O73" s="116" t="n">
        <f aca="false">O72-N72</f>
        <v>5.72895502802786</v>
      </c>
      <c r="P73" s="116" t="n">
        <f aca="false">P72-O72</f>
        <v>5.07230513401447</v>
      </c>
      <c r="Q73" s="116" t="n">
        <f aca="false">Q72-P72</f>
        <v>4.99918944903638</v>
      </c>
      <c r="R73" s="116" t="n">
        <f aca="false">R72-Q72</f>
        <v>5.11908311831263</v>
      </c>
      <c r="S73" s="116" t="n">
        <f aca="false">S72-R72</f>
        <v>5.23608613536189</v>
      </c>
      <c r="T73" s="116" t="n">
        <f aca="false">T72-S72</f>
        <v>5.35612324635949</v>
      </c>
      <c r="U73" s="116" t="n">
        <f aca="false">U72-T72</f>
        <v>5.47896686214676</v>
      </c>
      <c r="V73" s="116" t="n">
        <f aca="false">V72-U72</f>
        <v>5.60466604445588</v>
      </c>
      <c r="W73" s="116" t="n">
        <f aca="false">W72-V72</f>
        <v>5.73207824709357</v>
      </c>
      <c r="X73" s="116" t="n">
        <f aca="false">X72-W72</f>
        <v>5.86304757965274</v>
      </c>
      <c r="Y73" s="116" t="n">
        <f aca="false">Y72-X72</f>
        <v>5.99739911260372</v>
      </c>
      <c r="Z73" s="116" t="n">
        <f aca="false">Z72-Y72</f>
        <v>6.1348790770013</v>
      </c>
      <c r="AA73" s="116" t="n">
        <f aca="false">AA72-Z72</f>
        <v>6.27555890667492</v>
      </c>
      <c r="AB73" s="116" t="n">
        <f aca="false">AB72-AA72</f>
        <v>6.41953821626134</v>
      </c>
      <c r="AC73" s="116" t="n">
        <f aca="false">AC72-AB72</f>
        <v>6.56687922150366</v>
      </c>
      <c r="AD73" s="116" t="n">
        <f aca="false">AD72-AC72</f>
        <v>6.71765140023371</v>
      </c>
      <c r="AE73" s="116" t="n">
        <f aca="false">AE72-AD72</f>
        <v>6.87193319912768</v>
      </c>
      <c r="AF73" s="116" t="n">
        <f aca="false">AF72-AE72</f>
        <v>7.02980491155239</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17.4899578012604</v>
      </c>
      <c r="N75" s="116" t="n">
        <f aca="false">$C$19*M81</f>
        <v>18.1209795877884</v>
      </c>
      <c r="O75" s="116" t="n">
        <f aca="false">$C$19*N81</f>
        <v>18.7599215939701</v>
      </c>
      <c r="P75" s="116" t="n">
        <f aca="false">$C$19*O81</f>
        <v>19.3615464878371</v>
      </c>
      <c r="Q75" s="116" t="n">
        <f aca="false">$C$19*P81</f>
        <v>19.8370657350523</v>
      </c>
      <c r="R75" s="116" t="n">
        <f aca="false">$C$19*Q81</f>
        <v>20.3164351145265</v>
      </c>
      <c r="S75" s="116" t="n">
        <f aca="false">$C$19*R81</f>
        <v>20.7944793385244</v>
      </c>
      <c r="T75" s="116" t="n">
        <f aca="false">$C$19*S81</f>
        <v>21.2716476169449</v>
      </c>
      <c r="U75" s="116" t="n">
        <f aca="false">$C$19*T81</f>
        <v>21.7487123922229</v>
      </c>
      <c r="V75" s="116" t="n">
        <f aca="false">$C$19*U81</f>
        <v>22.2264306771067</v>
      </c>
      <c r="W75" s="116" t="n">
        <f aca="false">$C$19*V81</f>
        <v>22.7055557767465</v>
      </c>
      <c r="X75" s="116" t="n">
        <f aca="false">$C$19*W81</f>
        <v>23.1798958229713</v>
      </c>
      <c r="Y75" s="116" t="n">
        <f aca="false">$C$19*X81</f>
        <v>23.6502392094821</v>
      </c>
      <c r="Z75" s="116" t="n">
        <f aca="false">$C$19*Y81</f>
        <v>24.1173803325376</v>
      </c>
      <c r="AA75" s="116" t="n">
        <f aca="false">$C$19*Z81</f>
        <v>24.5821181742141</v>
      </c>
      <c r="AB75" s="116" t="n">
        <f aca="false">$C$19*AA81</f>
        <v>25.0452574970426</v>
      </c>
      <c r="AC75" s="116" t="n">
        <f aca="false">$C$19*AB81</f>
        <v>25.5077615864262</v>
      </c>
      <c r="AD75" s="116" t="n">
        <f aca="false">$C$19*AC81</f>
        <v>25.9705991788595</v>
      </c>
      <c r="AE75" s="116" t="n">
        <f aca="false">$C$19*AD81</f>
        <v>26.4347457450863</v>
      </c>
      <c r="AF75" s="116" t="n">
        <f aca="false">$C$19*AE81</f>
        <v>26.9011847959674</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649.988715964279</v>
      </c>
      <c r="F76" s="116" t="n">
        <f aca="false">(IF($C$173="Sí",(MAX(0,F74-E96)+MAX(0,E276+F53-F75))/F327,F73+MAX(0,F74-E96)+MAX(0,E276+F53-F75)))+IF($C$173="Sí",MAX(0,$C$226*(F70+E121)*0.3/0.55-E227)/F327,0)</f>
        <v>763.012780646039</v>
      </c>
      <c r="G76" s="116" t="n">
        <f aca="false">(IF($C$173="Sí",(MAX(0,G74-F96)+MAX(0,F276+G53-G75))/G327,G73+MAX(0,G74-F96)+MAX(0,F276+G53-G75)))+IF($C$173="Sí",MAX(0,$C$226*(G70+F121)*0.3/0.55-F227)/G327,0)</f>
        <v>16911.3142551436</v>
      </c>
      <c r="H76" s="116" t="n">
        <f aca="false">(IF($C$173="Sí",(MAX(0,H74-G96)+MAX(0,G276+H53-H75))/H327,H73+MAX(0,H74-G96)+MAX(0,G276+H53-H75)))+IF($C$173="Sí",MAX(0,$C$226*(H70+G121)*0.3/0.55-G227)/H327,0)</f>
        <v>840.812729426237</v>
      </c>
      <c r="I76" s="116" t="n">
        <f aca="false">(IF($C$173="Sí",(MAX(0,I74-H96)+MAX(0,H276+I53-I75))/I327,I73+MAX(0,I74-H96)+MAX(0,H276+I53-I75)))+IF($C$173="Sí",MAX(0,$C$226*(I70+H121)*0.3/0.55-H227)/I327,0)</f>
        <v>915.917464721825</v>
      </c>
      <c r="J76" s="116" t="n">
        <f aca="false">(IF($C$173="Sí",(MAX(0,J74-I96)+MAX(0,I276+J53-J75))/J327,J73+MAX(0,J74-I96)+MAX(0,I276+J53-J75)))+IF($C$173="Sí",MAX(0,$C$226*(J70+I121)*0.3/0.55-I227)/J327,0)</f>
        <v>1008.16606044506</v>
      </c>
      <c r="K76" s="116" t="n">
        <f aca="false">(IF($C$173="Sí",(MAX(0,K74-J96)+MAX(0,J276+K53-K75))/K327,K73+MAX(0,K74-J96)+MAX(0,J276+K53-K75)))+IF($C$173="Sí",MAX(0,$C$226*(K70+J121)*0.3/0.55-J227)/K327,0)</f>
        <v>1111.68683636638</v>
      </c>
      <c r="L76" s="116" t="n">
        <f aca="false">(IF($C$173="Sí",(MAX(0,L74-K96)+MAX(0,K276+L53-L75))/L327,L73+MAX(0,L74-K96)+MAX(0,K276+L53-L75)))+IF($C$173="Sí",MAX(0,$C$226*(L70+K121)*0.3/0.55-K227)/L327,0)</f>
        <v>1225.26134695679</v>
      </c>
      <c r="M76" s="116" t="n">
        <f aca="false">(IF($C$173="Sí",(MAX(0,M74-L96)+MAX(0,L276+M53-M75))/M327,M73+MAX(0,M74-L96)+MAX(0,L276+M53-M75)))+IF($C$173="Sí",MAX(0,$C$226*(M70+L121)*0.3/0.55-L227)/M327,0)</f>
        <v>1157.43725141181</v>
      </c>
      <c r="N76" s="116" t="n">
        <f aca="false">(IF($C$173="Sí",(MAX(0,N74-M96)+MAX(0,M276+N53-N75))/N327,N73+MAX(0,N74-M96)+MAX(0,M276+N53-N75)))+IF($C$173="Sí",MAX(0,$C$226*(N70+M121)*0.3/0.55-M227)/N327,0)</f>
        <v>965.716847691652</v>
      </c>
      <c r="O76" s="116" t="n">
        <f aca="false">(IF($C$173="Sí",(MAX(0,O74-N96)+MAX(0,N276+O53-O75))/O327,O73+MAX(0,O74-N96)+MAX(0,N276+O53-O75)))+IF($C$173="Sí",MAX(0,$C$226*(O70+N121)*0.3/0.55-N227)/O327,0)</f>
        <v>880.889873235027</v>
      </c>
      <c r="P76" s="116" t="n">
        <f aca="false">(IF($C$173="Sí",(MAX(0,P74-O96)+MAX(0,O276+P53-P75))/P327,P73+MAX(0,P74-O96)+MAX(0,O276+P53-P75)))+IF($C$173="Sí",MAX(0,$C$226*(P70+O121)*0.3/0.55-O227)/P327,0)</f>
        <v>978.404159238361</v>
      </c>
      <c r="Q76" s="116" t="n">
        <f aca="false">(IF($C$173="Sí",(MAX(0,Q74-P96)+MAX(0,P276+Q53-Q75))/Q327,Q73+MAX(0,Q74-P96)+MAX(0,P276+Q53-Q75)))+IF($C$173="Sí",MAX(0,$C$226*(Q70+P121)*0.3/0.55-P227)/Q327,0)</f>
        <v>978.73725225638</v>
      </c>
      <c r="R76" s="116" t="n">
        <f aca="false">(IF($C$173="Sí",(MAX(0,R74-Q96)+MAX(0,Q276+R53-R75))/R327,R73+MAX(0,R74-Q96)+MAX(0,Q276+R53-R75)))+IF($C$173="Sí",MAX(0,$C$226*(R70+Q121)*0.3/0.55-Q227)/R327,0)</f>
        <v>983.604609900785</v>
      </c>
      <c r="S76" s="116" t="n">
        <f aca="false">(IF($C$173="Sí",(MAX(0,S74-R96)+MAX(0,R276+S53-S75))/S327,S73+MAX(0,S74-R96)+MAX(0,R276+S53-S75)))+IF($C$173="Sí",MAX(0,$C$226*(S70+R121)*0.3/0.55-R227)/S327,0)</f>
        <v>988.466423725296</v>
      </c>
      <c r="T76" s="116" t="n">
        <f aca="false">(IF($C$173="Sí",(MAX(0,T74-S96)+MAX(0,S276+T53-T75))/T327,T73+MAX(0,T74-S96)+MAX(0,S276+T53-T75)))+IF($C$173="Sí",MAX(0,$C$226*(T70+S121)*0.3/0.55-S227)/T327,0)</f>
        <v>993.531955265992</v>
      </c>
      <c r="U76" s="116" t="n">
        <f aca="false">(IF($C$173="Sí",(MAX(0,U74-T96)+MAX(0,T276+U53-U75))/U327,U73+MAX(0,U74-T96)+MAX(0,T276+U53-U75)))+IF($C$173="Sí",MAX(0,$C$226*(U70+T121)*0.3/0.55-T227)/U327,0)</f>
        <v>998.821989294393</v>
      </c>
      <c r="V76" s="116" t="n">
        <f aca="false">(IF($C$173="Sí",(MAX(0,V74-U96)+MAX(0,U276+V53-V75))/V327,V73+MAX(0,V74-U96)+MAX(0,U276+V53-V75)))+IF($C$173="Sí",MAX(0,$C$226*(V70+U121)*0.3/0.55-U227)/V327,0)</f>
        <v>1004.34064132661</v>
      </c>
      <c r="W76" s="116" t="n">
        <f aca="false">(IF($C$173="Sí",(MAX(0,W74-V96)+MAX(0,V276+W53-W75))/W327,W73+MAX(0,W74-V96)+MAX(0,V276+W53-W75)))+IF($C$173="Sí",MAX(0,$C$226*(W70+V121)*0.3/0.55-V227)/W327,0)</f>
        <v>1010.09217005196</v>
      </c>
      <c r="X76" s="116" t="n">
        <f aca="false">(IF($C$173="Sí",(MAX(0,X74-W96)+MAX(0,W276+X53-X75))/X327,X73+MAX(0,X74-W96)+MAX(0,W276+X53-X75)))+IF($C$173="Sí",MAX(0,$C$226*(X70+W121)*0.3/0.55-W227)/X327,0)</f>
        <v>1015.83424012613</v>
      </c>
      <c r="Y76" s="116" t="n">
        <f aca="false">(IF($C$173="Sí",(MAX(0,Y74-X96)+MAX(0,X276+Y53-Y75))/Y327,Y73+MAX(0,Y74-X96)+MAX(0,X276+Y53-Y75)))+IF($C$173="Sí",MAX(0,$C$226*(Y70+X121)*0.3/0.55-X227)/Y327,0)</f>
        <v>1021.85228189091</v>
      </c>
      <c r="Z76" s="116" t="n">
        <f aca="false">(IF($C$173="Sí",(MAX(0,Z74-Y96)+MAX(0,Y276+Z53-Z75))/Z327,Z73+MAX(0,Z74-Y96)+MAX(0,Y276+Z53-Z75)))+IF($C$173="Sí",MAX(0,$C$226*(Z70+Y121)*0.3/0.55-Y227)/Z327,0)</f>
        <v>1028.15433306801</v>
      </c>
      <c r="AA76" s="116" t="n">
        <f aca="false">(IF($C$173="Sí",(MAX(0,AA74-Z96)+MAX(0,Z276+AA53-AA75))/AA327,AA73+MAX(0,AA74-Z96)+MAX(0,Z276+AA53-AA75)))+IF($C$173="Sí",MAX(0,$C$226*(AA70+Z121)*0.3/0.55-Z227)/AA327,0)</f>
        <v>1034.74570231226</v>
      </c>
      <c r="AB76" s="116" t="n">
        <f aca="false">(IF($C$173="Sí",(MAX(0,AB74-AA96)+MAX(0,AA276+AB53-AB75))/AB327,AB73+MAX(0,AB74-AA96)+MAX(0,AA276+AB53-AB75)))+IF($C$173="Sí",MAX(0,$C$226*(AB70+AA121)*0.3/0.55-AA227)/AB327,0)</f>
        <v>1041.6314447809</v>
      </c>
      <c r="AC76" s="116" t="n">
        <f aca="false">(IF($C$173="Sí",(MAX(0,AC74-AB96)+MAX(0,AB276+AC53-AC75))/AC327,AC73+MAX(0,AC74-AB96)+MAX(0,AB276+AC53-AC75)))+IF($C$173="Sí",MAX(0,$C$226*(AC70+AB121)*0.3/0.55-AB227)/AC327,0)</f>
        <v>1048.82119912022</v>
      </c>
      <c r="AD76" s="116" t="n">
        <f aca="false">(IF($C$173="Sí",(MAX(0,AD74-AC96)+MAX(0,AC276+AD53-AD75))/AD327,AD73+MAX(0,AD74-AC96)+MAX(0,AC276+AD53-AD75)))+IF($C$173="Sí",MAX(0,$C$226*(AD70+AC121)*0.3/0.55-AC227)/AD327,0)</f>
        <v>1056.318612771</v>
      </c>
      <c r="AE76" s="116" t="n">
        <f aca="false">(IF($C$173="Sí",(MAX(0,AE74-AD96)+MAX(0,AD276+AE53-AE75))/AE327,AE73+MAX(0,AE74-AD96)+MAX(0,AD276+AE53-AE75)))+IF($C$173="Sí",MAX(0,$C$226*(AE70+AD121)*0.3/0.55-AD227)/AE327,0)</f>
        <v>1064.12707994309</v>
      </c>
      <c r="AF76" s="116" t="n">
        <f aca="false">(IF($C$173="Sí",(MAX(0,AF74-AE96)+MAX(0,AE276+AF53-AF75))/AF327,AF73+MAX(0,AF74-AE96)+MAX(0,AE276+AF53-AF75)))+IF($C$173="Sí",MAX(0,$C$226*(AF70+AE121)*0.3/0.55-AE227)/AF327,0)</f>
        <v>1072.24981801109</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349.799156025208</v>
      </c>
      <c r="M81" s="116" t="n">
        <f aca="false">M69+M80+L121</f>
        <v>362.419591755768</v>
      </c>
      <c r="N81" s="116" t="n">
        <f aca="false">N69+N80+M121</f>
        <v>375.198431879403</v>
      </c>
      <c r="O81" s="116" t="n">
        <f aca="false">O69+O80+N121</f>
        <v>387.230929756743</v>
      </c>
      <c r="P81" s="116" t="n">
        <f aca="false">P69+P80+O121</f>
        <v>396.741314701046</v>
      </c>
      <c r="Q81" s="116" t="n">
        <f aca="false">Q69+Q80+P121</f>
        <v>406.328702290529</v>
      </c>
      <c r="R81" s="116" t="n">
        <f aca="false">R69+R80+Q121</f>
        <v>415.889586770488</v>
      </c>
      <c r="S81" s="116" t="n">
        <f aca="false">S69+S80+R121</f>
        <v>425.432952338897</v>
      </c>
      <c r="T81" s="116" t="n">
        <f aca="false">T69+T80+S121</f>
        <v>434.974247844458</v>
      </c>
      <c r="U81" s="116" t="n">
        <f aca="false">U69+U80+T121</f>
        <v>444.528613542134</v>
      </c>
      <c r="V81" s="116" t="n">
        <f aca="false">V69+V80+U121</f>
        <v>454.111115534929</v>
      </c>
      <c r="W81" s="116" t="n">
        <f aca="false">W69+W80+V121</f>
        <v>463.597916459425</v>
      </c>
      <c r="X81" s="116" t="n">
        <f aca="false">X69+X80+W121</f>
        <v>473.004784189641</v>
      </c>
      <c r="Y81" s="116" t="n">
        <f aca="false">Y69+Y80+X121</f>
        <v>482.347606650751</v>
      </c>
      <c r="Z81" s="116" t="n">
        <f aca="false">Z69+Z80+Y121</f>
        <v>491.642363484281</v>
      </c>
      <c r="AA81" s="116" t="n">
        <f aca="false">AA69+AA80+Z121</f>
        <v>500.905149940852</v>
      </c>
      <c r="AB81" s="116" t="n">
        <f aca="false">AB69+AB80+AA121</f>
        <v>510.155231728525</v>
      </c>
      <c r="AC81" s="116" t="n">
        <f aca="false">AC69+AC80+AB121</f>
        <v>519.411983577191</v>
      </c>
      <c r="AD81" s="116" t="n">
        <f aca="false">AD69+AD80+AC121</f>
        <v>528.694914901726</v>
      </c>
      <c r="AE81" s="116" t="n">
        <f aca="false">AE69+AE80+AD121</f>
        <v>538.023695919348</v>
      </c>
      <c r="AF81" s="116" t="n">
        <f aca="false">AF69+AF80+AE121</f>
        <v>547.418183116313</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41.9758987230249</v>
      </c>
      <c r="M85" s="116" t="n">
        <f aca="false">IF(AND($C$31&gt;0,M$39&gt;10),MIN(M83,MAX(01_Supuestos!$I$137*M81,L85*(1-1/MAX(1,$C$31)))),MIN(IF(M$39&lt;=10,01_Supuestos!$I$136,01_Supuestos!$I$137)*M81,M83))</f>
        <v>33.5807189784199</v>
      </c>
      <c r="N85" s="116" t="n">
        <f aca="false">IF(AND($C$31&gt;0,N$39&gt;10),MIN(N83,MAX(01_Supuestos!$I$137*N81,M85*(1-1/MAX(1,$C$31)))),MIN(IF(N$39&lt;=10,01_Supuestos!$I$136,01_Supuestos!$I$137)*N81,N83))</f>
        <v>28.1398823909552</v>
      </c>
      <c r="O85" s="116" t="n">
        <f aca="false">IF(AND($C$31&gt;0,O$39&gt;10),MIN(O83,MAX(01_Supuestos!$I$137*O81,N85*(1-1/MAX(1,$C$31)))),MIN(IF(O$39&lt;=10,01_Supuestos!$I$136,01_Supuestos!$I$137)*O81,O83))</f>
        <v>29.0423197317557</v>
      </c>
      <c r="P85" s="116" t="n">
        <f aca="false">IF(AND($C$31&gt;0,P$39&gt;10),MIN(P83,MAX(01_Supuestos!$I$137*P81,O85*(1-1/MAX(1,$C$31)))),MIN(IF(P$39&lt;=10,01_Supuestos!$I$136,01_Supuestos!$I$137)*P81,P83))</f>
        <v>29.7555986025785</v>
      </c>
      <c r="Q85" s="116" t="n">
        <f aca="false">IF(AND($C$31&gt;0,Q$39&gt;10),MIN(Q83,MAX(01_Supuestos!$I$137*Q81,P85*(1-1/MAX(1,$C$31)))),MIN(IF(Q$39&lt;=10,01_Supuestos!$I$136,01_Supuestos!$I$137)*Q81,Q83))</f>
        <v>30.4746526717897</v>
      </c>
      <c r="R85" s="116" t="n">
        <f aca="false">IF(AND($C$31&gt;0,R$39&gt;10),MIN(R83,MAX(01_Supuestos!$I$137*R81,Q85*(1-1/MAX(1,$C$31)))),MIN(IF(R$39&lt;=10,01_Supuestos!$I$136,01_Supuestos!$I$137)*R81,R83))</f>
        <v>31.1917190077866</v>
      </c>
      <c r="S85" s="116" t="n">
        <f aca="false">IF(AND($C$31&gt;0,S$39&gt;10),MIN(S83,MAX(01_Supuestos!$I$137*S81,R85*(1-1/MAX(1,$C$31)))),MIN(IF(S$39&lt;=10,01_Supuestos!$I$136,01_Supuestos!$I$137)*S81,S83))</f>
        <v>31.9074714254173</v>
      </c>
      <c r="T85" s="116" t="n">
        <f aca="false">IF(AND($C$31&gt;0,T$39&gt;10),MIN(T83,MAX(01_Supuestos!$I$137*T81,S85*(1-1/MAX(1,$C$31)))),MIN(IF(T$39&lt;=10,01_Supuestos!$I$136,01_Supuestos!$I$137)*T81,T83))</f>
        <v>32.6230685883343</v>
      </c>
      <c r="U85" s="116" t="n">
        <f aca="false">IF(AND($C$31&gt;0,U$39&gt;10),MIN(U83,MAX(01_Supuestos!$I$137*U81,T85*(1-1/MAX(1,$C$31)))),MIN(IF(U$39&lt;=10,01_Supuestos!$I$136,01_Supuestos!$I$137)*U81,U83))</f>
        <v>33.33964601566</v>
      </c>
      <c r="V85" s="116" t="n">
        <f aca="false">IF(AND($C$31&gt;0,V$39&gt;10),MIN(V83,MAX(01_Supuestos!$I$137*V81,U85*(1-1/MAX(1,$C$31)))),MIN(IF(V$39&lt;=10,01_Supuestos!$I$136,01_Supuestos!$I$137)*V81,V83))</f>
        <v>34.0583336651197</v>
      </c>
      <c r="W85" s="116" t="n">
        <f aca="false">IF(AND($C$31&gt;0,W$39&gt;10),MIN(W83,MAX(01_Supuestos!$I$137*W81,V85*(1-1/MAX(1,$C$31)))),MIN(IF(W$39&lt;=10,01_Supuestos!$I$136,01_Supuestos!$I$137)*W81,W83))</f>
        <v>34.7698437344569</v>
      </c>
      <c r="X85" s="116" t="n">
        <f aca="false">IF(AND($C$31&gt;0,X$39&gt;10),MIN(X83,MAX(01_Supuestos!$I$137*X81,W85*(1-1/MAX(1,$C$31)))),MIN(IF(X$39&lt;=10,01_Supuestos!$I$136,01_Supuestos!$I$137)*X81,X83))</f>
        <v>35.4753588142231</v>
      </c>
      <c r="Y85" s="116" t="n">
        <f aca="false">IF(AND($C$31&gt;0,Y$39&gt;10),MIN(Y83,MAX(01_Supuestos!$I$137*Y81,X85*(1-1/MAX(1,$C$31)))),MIN(IF(Y$39&lt;=10,01_Supuestos!$I$136,01_Supuestos!$I$137)*Y81,Y83))</f>
        <v>36.1760704988063</v>
      </c>
      <c r="Z85" s="116" t="n">
        <f aca="false">IF(AND($C$31&gt;0,Z$39&gt;10),MIN(Z83,MAX(01_Supuestos!$I$137*Z81,Y85*(1-1/MAX(1,$C$31)))),MIN(IF(Z$39&lt;=10,01_Supuestos!$I$136,01_Supuestos!$I$137)*Z81,Z83))</f>
        <v>36.8731772613211</v>
      </c>
      <c r="AA85" s="116" t="n">
        <f aca="false">IF(AND($C$31&gt;0,AA$39&gt;10),MIN(AA83,MAX(01_Supuestos!$I$137*AA81,Z85*(1-1/MAX(1,$C$31)))),MIN(IF(AA$39&lt;=10,01_Supuestos!$I$136,01_Supuestos!$I$137)*AA81,AA83))</f>
        <v>37.5678862455639</v>
      </c>
      <c r="AB85" s="116" t="n">
        <f aca="false">IF(AND($C$31&gt;0,AB$39&gt;10),MIN(AB83,MAX(01_Supuestos!$I$137*AB81,AA85*(1-1/MAX(1,$C$31)))),MIN(IF(AB$39&lt;=10,01_Supuestos!$I$136,01_Supuestos!$I$137)*AB81,AB83))</f>
        <v>38.2616423796394</v>
      </c>
      <c r="AC85" s="116" t="n">
        <f aca="false">IF(AND($C$31&gt;0,AC$39&gt;10),MIN(AC83,MAX(01_Supuestos!$I$137*AC81,AB85*(1-1/MAX(1,$C$31)))),MIN(IF(AC$39&lt;=10,01_Supuestos!$I$136,01_Supuestos!$I$137)*AC81,AC83))</f>
        <v>38.9558987682893</v>
      </c>
      <c r="AD85" s="116" t="n">
        <f aca="false">IF(AND($C$31&gt;0,AD$39&gt;10),MIN(AD83,MAX(01_Supuestos!$I$137*AD81,AC85*(1-1/MAX(1,$C$31)))),MIN(IF(AD$39&lt;=10,01_Supuestos!$I$136,01_Supuestos!$I$137)*AD81,AD83))</f>
        <v>39.6521186176294</v>
      </c>
      <c r="AE85" s="116" t="n">
        <f aca="false">IF(AND($C$31&gt;0,AE$39&gt;10),MIN(AE83,MAX(01_Supuestos!$I$137*AE81,AD85*(1-1/MAX(1,$C$31)))),MIN(IF(AE$39&lt;=10,01_Supuestos!$I$136,01_Supuestos!$I$137)*AE81,AE83))</f>
        <v>40.3517771939511</v>
      </c>
      <c r="AF85" s="116" t="n">
        <f aca="false">IF(AND($C$31&gt;0,AF$39&gt;10),MIN(AF83,MAX(01_Supuestos!$I$137*AF81,AE85*(1-1/MAX(1,$C$31)))),MIN(IF(AF$39&lt;=10,01_Supuestos!$I$136,01_Supuestos!$I$137)*AF81,AF83))</f>
        <v>41.0563637337235</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95.1227722265819</v>
      </c>
      <c r="M87" s="116" t="n">
        <f aca="false">M83-M85-M86</f>
        <v>116.937286988959</v>
      </c>
      <c r="N87" s="116" t="n">
        <f aca="false">N83-N85-N86</f>
        <v>125.840037713673</v>
      </c>
      <c r="O87" s="116" t="n">
        <f aca="false">O83-O85-O86</f>
        <v>128.479138535279</v>
      </c>
      <c r="P87" s="116" t="n">
        <f aca="false">P83-P85-P86</f>
        <v>131.388853204598</v>
      </c>
      <c r="Q87" s="116" t="n">
        <f aca="false">Q83-Q85-Q86</f>
        <v>134.376121526952</v>
      </c>
      <c r="R87" s="116" t="n">
        <f aca="false">R83-R85-R86</f>
        <v>137.450622997526</v>
      </c>
      <c r="S87" s="116" t="n">
        <f aca="false">S83-S85-S86</f>
        <v>140.613644446018</v>
      </c>
      <c r="T87" s="116" t="n">
        <f aca="false">T83-T85-T86</f>
        <v>143.866032948144</v>
      </c>
      <c r="U87" s="116" t="n">
        <f aca="false">U83-U85-U86</f>
        <v>147.208704856157</v>
      </c>
      <c r="V87" s="116" t="n">
        <f aca="false">V83-V85-V86</f>
        <v>150.642629276749</v>
      </c>
      <c r="W87" s="116" t="n">
        <f aca="false">W83-W85-W86</f>
        <v>154.179241355075</v>
      </c>
      <c r="X87" s="116" t="n">
        <f aca="false">X83-X85-X86</f>
        <v>157.819555232368</v>
      </c>
      <c r="Y87" s="116" t="n">
        <f aca="false">Y83-Y85-Y86</f>
        <v>161.564626570856</v>
      </c>
      <c r="Z87" s="116" t="n">
        <f aca="false">Z83-Z85-Z86</f>
        <v>165.415555840944</v>
      </c>
      <c r="AA87" s="116" t="n">
        <f aca="false">AA83-AA85-AA86</f>
        <v>169.373487718053</v>
      </c>
      <c r="AB87" s="116" t="n">
        <f aca="false">AB83-AB85-AB86</f>
        <v>173.439383185141</v>
      </c>
      <c r="AC87" s="116" t="n">
        <f aca="false">AC83-AC85-AC86</f>
        <v>177.614250384481</v>
      </c>
      <c r="AD87" s="116" t="n">
        <f aca="false">AD83-AD85-AD86</f>
        <v>181.899143965654</v>
      </c>
      <c r="AE87" s="116" t="n">
        <f aca="false">AE83-AE85-AE86</f>
        <v>186.295164428748</v>
      </c>
      <c r="AF87" s="116" t="n">
        <f aca="false">AF83-AF85-AF86</f>
        <v>190.803457546298</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0.459989099869183</v>
      </c>
      <c r="M90" s="116" t="n">
        <f aca="false">M83-L83-M73+M185-M228</f>
        <v>1.3857873418291</v>
      </c>
      <c r="N90" s="116" t="n">
        <f aca="false">N83-M83-N73+N185-N228</f>
        <v>-0.566251438149159</v>
      </c>
      <c r="O90" s="116" t="n">
        <f aca="false">O83-N83-O73+O185-O228</f>
        <v>-0.849094562983865</v>
      </c>
      <c r="P90" s="116" t="n">
        <f aca="false">P83-O83-P73+P185-P228</f>
        <v>-0.0802078782744147</v>
      </c>
      <c r="Q90" s="116" t="n">
        <f aca="false">Q83-P83-Q73+Q185-Q228</f>
        <v>0.107726043585608</v>
      </c>
      <c r="R90" s="116" t="n">
        <f aca="false">R83-Q83-R73+R185-R228</f>
        <v>0.105291430639667</v>
      </c>
      <c r="S90" s="116" t="n">
        <f aca="false">S83-R83-S73+S185-S228</f>
        <v>0.108449028216384</v>
      </c>
      <c r="T90" s="116" t="n">
        <f aca="false">T83-S83-T73+T185-T228</f>
        <v>0.111336225981049</v>
      </c>
      <c r="U90" s="116" t="n">
        <f aca="false">U83-T83-U73+U185-U228</f>
        <v>0.114244178057596</v>
      </c>
      <c r="V90" s="116" t="n">
        <f aca="false">V83-U83-V73+V185-V228</f>
        <v>0.117188849673227</v>
      </c>
      <c r="W90" s="116" t="n">
        <f aca="false">W83-V83-W73+W185-W228</f>
        <v>0.121379309600421</v>
      </c>
      <c r="X90" s="116" t="n">
        <f aca="false">X83-W83-X73+X185-X228</f>
        <v>0.125039500845247</v>
      </c>
      <c r="Y90" s="116" t="n">
        <f aca="false">Y83-X83-Y73+Y185-Y228</f>
        <v>0.128413970745768</v>
      </c>
      <c r="Z90" s="116" t="n">
        <f aca="false">Z83-Y83-Z73+Z185-Z228</f>
        <v>0.131827707265188</v>
      </c>
      <c r="AA90" s="116" t="n">
        <f aca="false">AA83-Z83-AA73+AA185-AA228</f>
        <v>0.135282133629687</v>
      </c>
      <c r="AB90" s="116" t="n">
        <f aca="false">AB83-AA83-AB73+AB185-AB228</f>
        <v>0.138752167970253</v>
      </c>
      <c r="AC90" s="116" t="n">
        <f aca="false">AC83-AB83-AC73+AC185-AC228</f>
        <v>0.142251841565269</v>
      </c>
      <c r="AD90" s="116" t="n">
        <f aca="false">AD83-AC83-AD73+AD185-AD228</f>
        <v>0.145789677285833</v>
      </c>
      <c r="AE90" s="116" t="n">
        <f aca="false">AE83-AD83-AE73+AE185-AE228</f>
        <v>0.149367023174804</v>
      </c>
      <c r="AF90" s="116" t="n">
        <f aca="false">AF83-AE83-AF73+AF185-AF228</f>
        <v>0.152985215863069</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0.459989099869183</v>
      </c>
      <c r="M92" s="116" t="n">
        <f aca="false">IF(M90&gt;0,IF($C$20="BC",MIN(M90-M91,MAX(0,L276+M53-M75)),MIN(M90,MAX(0,L276+M53-M75))),0)</f>
        <v>1.3857873418291</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0.107726043585608</v>
      </c>
      <c r="R92" s="116" t="n">
        <f aca="false">IF(R90&gt;0,IF($C$20="BC",MIN(R90-R91,MAX(0,Q276+R53-R75)),MIN(R90,MAX(0,Q276+R53-R75))),0)</f>
        <v>0.105291430639667</v>
      </c>
      <c r="S92" s="116" t="n">
        <f aca="false">IF(S90&gt;0,IF($C$20="BC",MIN(S90-S91,MAX(0,R276+S53-S75)),MIN(S90,MAX(0,R276+S53-S75))),0)</f>
        <v>0.108449028216384</v>
      </c>
      <c r="T92" s="116" t="n">
        <f aca="false">IF(T90&gt;0,IF($C$20="BC",MIN(T90-T91,MAX(0,S276+T53-T75)),MIN(T90,MAX(0,S276+T53-T75))),0)</f>
        <v>0.111336225981049</v>
      </c>
      <c r="U92" s="116" t="n">
        <f aca="false">IF(U90&gt;0,IF($C$20="BC",MIN(U90-U91,MAX(0,T276+U53-U75)),MIN(U90,MAX(0,T276+U53-U75))),0)</f>
        <v>0.114244178057596</v>
      </c>
      <c r="V92" s="116" t="n">
        <f aca="false">IF(V90&gt;0,IF($C$20="BC",MIN(V90-V91,MAX(0,U276+V53-V75)),MIN(V90,MAX(0,U276+V53-V75))),0)</f>
        <v>0.117188849673227</v>
      </c>
      <c r="W92" s="116" t="n">
        <f aca="false">IF(W90&gt;0,IF($C$20="BC",MIN(W90-W91,MAX(0,V276+W53-W75)),MIN(W90,MAX(0,V276+W53-W75))),0)</f>
        <v>0.121379309600421</v>
      </c>
      <c r="X92" s="116" t="n">
        <f aca="false">IF(X90&gt;0,IF($C$20="BC",MIN(X90-X91,MAX(0,W276+X53-X75)),MIN(X90,MAX(0,W276+X53-X75))),0)</f>
        <v>0.125039500845247</v>
      </c>
      <c r="Y92" s="116" t="n">
        <f aca="false">IF(Y90&gt;0,IF($C$20="BC",MIN(Y90-Y91,MAX(0,X276+Y53-Y75)),MIN(Y90,MAX(0,X276+Y53-Y75))),0)</f>
        <v>0.128413970745768</v>
      </c>
      <c r="Z92" s="116" t="n">
        <f aca="false">IF(Z90&gt;0,IF($C$20="BC",MIN(Z90-Z91,MAX(0,Y276+Z53-Z75)),MIN(Z90,MAX(0,Y276+Z53-Z75))),0)</f>
        <v>0.131827707265188</v>
      </c>
      <c r="AA92" s="116" t="n">
        <f aca="false">IF(AA90&gt;0,IF($C$20="BC",MIN(AA90-AA91,MAX(0,Z276+AA53-AA75)),MIN(AA90,MAX(0,Z276+AA53-AA75))),0)</f>
        <v>0.135282133629687</v>
      </c>
      <c r="AB92" s="116" t="n">
        <f aca="false">IF(AB90&gt;0,IF($C$20="BC",MIN(AB90-AB91,MAX(0,AA276+AB53-AB75)),MIN(AB90,MAX(0,AA276+AB53-AB75))),0)</f>
        <v>0.138752167970253</v>
      </c>
      <c r="AC92" s="116" t="n">
        <f aca="false">IF(AC90&gt;0,IF($C$20="BC",MIN(AC90-AC91,MAX(0,AB276+AC53-AC75)),MIN(AC90,MAX(0,AB276+AC53-AC75))),0)</f>
        <v>0.142251841565269</v>
      </c>
      <c r="AD92" s="116" t="n">
        <f aca="false">IF(AD90&gt;0,IF($C$20="BC",MIN(AD90-AD91,MAX(0,AC276+AD53-AD75)),MIN(AD90,MAX(0,AC276+AD53-AD75))),0)</f>
        <v>0.145789677285833</v>
      </c>
      <c r="AE92" s="116" t="n">
        <f aca="false">IF(AE90&gt;0,IF($C$20="BC",MIN(AE90-AE91,MAX(0,AD276+AE53-AE75)),MIN(AE90,MAX(0,AD276+AE53-AE75))),0)</f>
        <v>0.149367023174804</v>
      </c>
      <c r="AF92" s="116" t="n">
        <f aca="false">IF(AF90&gt;0,IF($C$20="BC",MIN(AF90-AF91,MAX(0,AE276+AF53-AF75)),MIN(AF90,MAX(0,AE276+AF53-AF75))),0)</f>
        <v>0.152985215863069</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0.566251438149159</v>
      </c>
      <c r="O94" s="116" t="n">
        <f aca="false">IF(O90&lt;0,-O90-O93,0)</f>
        <v>0.849094562983865</v>
      </c>
      <c r="P94" s="116" t="n">
        <f aca="false">IF(P90&lt;0,-P90-P93,0)</f>
        <v>0.0802078782744147</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8.74497890063019</v>
      </c>
      <c r="M100" s="116" t="n">
        <f aca="false">$C$21*$C$22*M81</f>
        <v>9.06048979389419</v>
      </c>
      <c r="N100" s="116" t="n">
        <f aca="false">$C$21*$C$22*N81</f>
        <v>9.37996079698507</v>
      </c>
      <c r="O100" s="116" t="n">
        <f aca="false">$C$21*$C$22*O81</f>
        <v>9.68077324391857</v>
      </c>
      <c r="P100" s="116" t="n">
        <f aca="false">$C$21*$C$22*P81</f>
        <v>9.91853286752615</v>
      </c>
      <c r="Q100" s="116" t="n">
        <f aca="false">$C$21*$C$22*Q81</f>
        <v>10.1582175572632</v>
      </c>
      <c r="R100" s="116" t="n">
        <f aca="false">$C$21*$C$22*R81</f>
        <v>10.3972396692622</v>
      </c>
      <c r="S100" s="116" t="n">
        <f aca="false">$C$21*$C$22*S81</f>
        <v>10.6358238084724</v>
      </c>
      <c r="T100" s="116" t="n">
        <f aca="false">$C$21*$C$22*T81</f>
        <v>10.8743561961114</v>
      </c>
      <c r="U100" s="116" t="n">
        <f aca="false">$C$21*$C$22*U81</f>
        <v>11.1132153385533</v>
      </c>
      <c r="V100" s="116" t="n">
        <f aca="false">$C$21*$C$22*V81</f>
        <v>11.3527778883732</v>
      </c>
      <c r="W100" s="116" t="n">
        <f aca="false">$C$21*$C$22*W81</f>
        <v>11.5899479114856</v>
      </c>
      <c r="X100" s="116" t="n">
        <f aca="false">$C$21*$C$22*X81</f>
        <v>11.825119604741</v>
      </c>
      <c r="Y100" s="116" t="n">
        <f aca="false">$C$21*$C$22*Y81</f>
        <v>12.0586901662688</v>
      </c>
      <c r="Z100" s="116" t="n">
        <f aca="false">$C$21*$C$22*Z81</f>
        <v>12.291059087107</v>
      </c>
      <c r="AA100" s="116" t="n">
        <f aca="false">$C$21*$C$22*AA81</f>
        <v>12.5226287485213</v>
      </c>
      <c r="AB100" s="116" t="n">
        <f aca="false">$C$21*$C$22*AB81</f>
        <v>12.7538807932131</v>
      </c>
      <c r="AC100" s="116" t="n">
        <f aca="false">$C$21*$C$22*AC81</f>
        <v>12.9852995894298</v>
      </c>
      <c r="AD100" s="116" t="n">
        <f aca="false">$C$21*$C$22*AD81</f>
        <v>13.2173728725431</v>
      </c>
      <c r="AE100" s="116" t="n">
        <f aca="false">$C$21*$C$22*AE81</f>
        <v>13.4505923979837</v>
      </c>
      <c r="AF100" s="116" t="n">
        <f aca="false">$C$21*$C$22*AF81</f>
        <v>13.6854545779078</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0.00874497890063019</v>
      </c>
      <c r="N102" s="116" t="n">
        <f aca="false">M104*$C$24</f>
        <v>0.00906048979389419</v>
      </c>
      <c r="O102" s="116" t="n">
        <f aca="false">N104*$C$24</f>
        <v>0.00937996079698507</v>
      </c>
      <c r="P102" s="116" t="n">
        <f aca="false">O104*$C$24</f>
        <v>0.00968077324391857</v>
      </c>
      <c r="Q102" s="116" t="n">
        <f aca="false">P104*$C$24</f>
        <v>0.00991853286752615</v>
      </c>
      <c r="R102" s="116" t="n">
        <f aca="false">Q104*$C$24</f>
        <v>0.0101582175572632</v>
      </c>
      <c r="S102" s="116" t="n">
        <f aca="false">R104*$C$24</f>
        <v>0.0103972396692622</v>
      </c>
      <c r="T102" s="116" t="n">
        <f aca="false">S104*$C$24</f>
        <v>0.0106358238084724</v>
      </c>
      <c r="U102" s="116" t="n">
        <f aca="false">T104*$C$24</f>
        <v>0.0108743561961114</v>
      </c>
      <c r="V102" s="116" t="n">
        <f aca="false">U104*$C$24</f>
        <v>0.0111132153385533</v>
      </c>
      <c r="W102" s="116" t="n">
        <f aca="false">V104*$C$24</f>
        <v>0.0113527778883732</v>
      </c>
      <c r="X102" s="116" t="n">
        <f aca="false">W104*$C$24</f>
        <v>0.0115899479114856</v>
      </c>
      <c r="Y102" s="116" t="n">
        <f aca="false">X104*$C$24</f>
        <v>0.011825119604741</v>
      </c>
      <c r="Z102" s="116" t="n">
        <f aca="false">Y104*$C$24</f>
        <v>0.0120586901662688</v>
      </c>
      <c r="AA102" s="116" t="n">
        <f aca="false">Z104*$C$24</f>
        <v>0.012291059087107</v>
      </c>
      <c r="AB102" s="116" t="n">
        <f aca="false">AA104*$C$24</f>
        <v>0.0125226287485213</v>
      </c>
      <c r="AC102" s="116" t="n">
        <f aca="false">AB104*$C$24</f>
        <v>0.0127538807932131</v>
      </c>
      <c r="AD102" s="116" t="n">
        <f aca="false">AC104*$C$24</f>
        <v>0.0129852995894298</v>
      </c>
      <c r="AE102" s="116" t="n">
        <f aca="false">AD104*$C$24</f>
        <v>0.0132173728725431</v>
      </c>
      <c r="AF102" s="116" t="n">
        <f aca="false">AE104*$C$24</f>
        <v>0.0134505923979837</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0.325045098565004</v>
      </c>
      <c r="M103" s="116" t="n">
        <f aca="false">MIN(MAX(0,M100-L104-M101),MAX(0,L276))</f>
        <v>0.315510893264005</v>
      </c>
      <c r="N103" s="116" t="n">
        <f aca="false">MIN(MAX(0,N100-M104-N101),MAX(0,M276))</f>
        <v>0.319471003090873</v>
      </c>
      <c r="O103" s="116" t="n">
        <f aca="false">MIN(MAX(0,O100-N104-O101),MAX(0,N276))</f>
        <v>0.300812446933506</v>
      </c>
      <c r="P103" s="116" t="n">
        <f aca="false">MIN(MAX(0,P100-O104-P101),MAX(0,O276))</f>
        <v>0.237759623607582</v>
      </c>
      <c r="Q103" s="116" t="n">
        <f aca="false">MIN(MAX(0,Q100-P104-Q101),MAX(0,P276))</f>
        <v>0.239684689737075</v>
      </c>
      <c r="R103" s="116" t="n">
        <f aca="false">MIN(MAX(0,R100-Q104-R101),MAX(0,Q276))</f>
        <v>0.239022111998978</v>
      </c>
      <c r="S103" s="116" t="n">
        <f aca="false">MIN(MAX(0,S100-R104-S101),MAX(0,R276))</f>
        <v>0.238584139210221</v>
      </c>
      <c r="T103" s="116" t="n">
        <f aca="false">MIN(MAX(0,T100-S104-T101),MAX(0,S276))</f>
        <v>0.238532387639017</v>
      </c>
      <c r="U103" s="116" t="n">
        <f aca="false">MIN(MAX(0,U100-T104-U101),MAX(0,T276))</f>
        <v>0.238859142441903</v>
      </c>
      <c r="V103" s="116" t="n">
        <f aca="false">MIN(MAX(0,V100-U104-V101),MAX(0,U276))</f>
        <v>0.239562549819881</v>
      </c>
      <c r="W103" s="116" t="n">
        <f aca="false">MIN(MAX(0,W100-V104-W101),MAX(0,V276))</f>
        <v>0.237170023112398</v>
      </c>
      <c r="X103" s="116" t="n">
        <f aca="false">MIN(MAX(0,X100-W104-X101),MAX(0,W276))</f>
        <v>0.235171693255397</v>
      </c>
      <c r="Y103" s="116" t="n">
        <f aca="false">MIN(MAX(0,Y100-X104-Y101),MAX(0,X276))</f>
        <v>0.233570561527754</v>
      </c>
      <c r="Z103" s="116" t="n">
        <f aca="false">MIN(MAX(0,Z100-Y104-Z101),MAX(0,Y276))</f>
        <v>0.232368920838251</v>
      </c>
      <c r="AA103" s="116" t="n">
        <f aca="false">MIN(MAX(0,AA100-Z104-AA101),MAX(0,Z276))</f>
        <v>0.23156966141427</v>
      </c>
      <c r="AB103" s="116" t="n">
        <f aca="false">MIN(MAX(0,AB100-AA104-AB101),MAX(0,AA276))</f>
        <v>0.231252044691821</v>
      </c>
      <c r="AC103" s="116" t="n">
        <f aca="false">MIN(MAX(0,AC100-AB104-AC101),MAX(0,AB276))</f>
        <v>0.231418796216644</v>
      </c>
      <c r="AD103" s="116" t="n">
        <f aca="false">MIN(MAX(0,AD100-AC104-AD101),MAX(0,AC276))</f>
        <v>0.232073283113381</v>
      </c>
      <c r="AE103" s="116" t="n">
        <f aca="false">MIN(MAX(0,AE100-AD104-AE101),MAX(0,AD276))</f>
        <v>0.23321952544056</v>
      </c>
      <c r="AF103" s="116" t="n">
        <f aca="false">MIN(MAX(0,AF100-AE104-AF101),MAX(0,AE276))</f>
        <v>0.234862179924116</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8.74497890063019</v>
      </c>
      <c r="M104" s="136" t="n">
        <f aca="false">L104+M101+M103</f>
        <v>9.06048979389419</v>
      </c>
      <c r="N104" s="136" t="n">
        <f aca="false">M104+N101+N103</f>
        <v>9.37996079698507</v>
      </c>
      <c r="O104" s="136" t="n">
        <f aca="false">N104+O101+O103</f>
        <v>9.68077324391857</v>
      </c>
      <c r="P104" s="136" t="n">
        <f aca="false">O104+P101+P103</f>
        <v>9.91853286752615</v>
      </c>
      <c r="Q104" s="136" t="n">
        <f aca="false">P104+Q101+Q103</f>
        <v>10.1582175572632</v>
      </c>
      <c r="R104" s="136" t="n">
        <f aca="false">Q104+R101+R103</f>
        <v>10.3972396692622</v>
      </c>
      <c r="S104" s="136" t="n">
        <f aca="false">R104+S101+S103</f>
        <v>10.6358238084724</v>
      </c>
      <c r="T104" s="136" t="n">
        <f aca="false">S104+T101+T103</f>
        <v>10.8743561961114</v>
      </c>
      <c r="U104" s="136" t="n">
        <f aca="false">T104+U101+U103</f>
        <v>11.1132153385533</v>
      </c>
      <c r="V104" s="136" t="n">
        <f aca="false">U104+V101+V103</f>
        <v>11.3527778883732</v>
      </c>
      <c r="W104" s="136" t="n">
        <f aca="false">V104+W101+W103</f>
        <v>11.5899479114856</v>
      </c>
      <c r="X104" s="136" t="n">
        <f aca="false">W104+X101+X103</f>
        <v>11.825119604741</v>
      </c>
      <c r="Y104" s="136" t="n">
        <f aca="false">X104+Y101+Y103</f>
        <v>12.0586901662688</v>
      </c>
      <c r="Z104" s="136" t="n">
        <f aca="false">Y104+Z101+Z103</f>
        <v>12.291059087107</v>
      </c>
      <c r="AA104" s="136" t="n">
        <f aca="false">Z104+AA101+AA103</f>
        <v>12.5226287485213</v>
      </c>
      <c r="AB104" s="136" t="n">
        <f aca="false">AA104+AB101+AB103</f>
        <v>12.7538807932131</v>
      </c>
      <c r="AC104" s="136" t="n">
        <f aca="false">AB104+AC101+AC103</f>
        <v>12.9852995894298</v>
      </c>
      <c r="AD104" s="136" t="n">
        <f aca="false">AC104+AD101+AD103</f>
        <v>13.2173728725431</v>
      </c>
      <c r="AE104" s="136" t="n">
        <f aca="false">AD104+AE101+AE103</f>
        <v>13.4505923979837</v>
      </c>
      <c r="AF104" s="136" t="n">
        <f aca="false">AE104+AF101+AF103</f>
        <v>13.6854545779078</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68.0979582039688</v>
      </c>
      <c r="M105" s="139" t="n">
        <f aca="false">M104/($C$36*(1+$C$23)^(M$39-1))</f>
        <v>70.5548706638538</v>
      </c>
      <c r="N105" s="139" t="n">
        <f aca="false">N104/($C$36*(1+$C$23)^(N$39-1))</f>
        <v>73.0426208646341</v>
      </c>
      <c r="O105" s="139" t="n">
        <f aca="false">O104/($C$36*(1+$C$23)^(O$39-1))</f>
        <v>75.3850751656999</v>
      </c>
      <c r="P105" s="139" t="n">
        <f aca="false">P104/($C$36*(1+$C$23)^(P$39-1))</f>
        <v>77.2365313092766</v>
      </c>
      <c r="Q105" s="139" t="n">
        <f aca="false">Q104/($C$36*(1+$C$23)^(Q$39-1))</f>
        <v>79.1029781205629</v>
      </c>
      <c r="R105" s="139" t="n">
        <f aca="false">R104/($C$36*(1+$C$23)^(R$39-1))</f>
        <v>80.9642653778206</v>
      </c>
      <c r="S105" s="139" t="n">
        <f aca="false">S104/($C$36*(1+$C$23)^(S$39-1))</f>
        <v>82.8221421005302</v>
      </c>
      <c r="T105" s="139" t="n">
        <f aca="false">T104/($C$36*(1+$C$23)^(T$39-1))</f>
        <v>84.6796158289762</v>
      </c>
      <c r="U105" s="139" t="n">
        <f aca="false">U104/($C$36*(1+$C$23)^(U$39-1))</f>
        <v>86.5396340272445</v>
      </c>
      <c r="V105" s="139" t="n">
        <f aca="false">V104/($C$36*(1+$C$23)^(V$39-1))</f>
        <v>88.4051297237172</v>
      </c>
      <c r="W105" s="139" t="n">
        <f aca="false">W104/($C$36*(1+$C$23)^(W$39-1))</f>
        <v>90.2519945937947</v>
      </c>
      <c r="X105" s="139" t="n">
        <f aca="false">X104/($C$36*(1+$C$23)^(X$39-1))</f>
        <v>92.0832982847514</v>
      </c>
      <c r="Y105" s="139" t="n">
        <f aca="false">Y104/($C$36*(1+$C$23)^(Y$39-1))</f>
        <v>93.9021338150976</v>
      </c>
      <c r="Z105" s="139" t="n">
        <f aca="false">Z104/($C$36*(1+$C$23)^(Z$39-1))</f>
        <v>95.7116120584361</v>
      </c>
      <c r="AA105" s="139" t="n">
        <f aca="false">AA104/($C$36*(1+$C$23)^(AA$39-1))</f>
        <v>97.5148663948371</v>
      </c>
      <c r="AB105" s="139" t="n">
        <f aca="false">AB104/($C$36*(1+$C$23)^(AB$39-1))</f>
        <v>99.3156474204918</v>
      </c>
      <c r="AC105" s="139" t="n">
        <f aca="false">AC104/($C$36*(1+$C$23)^(AC$39-1))</f>
        <v>101.117726955668</v>
      </c>
      <c r="AD105" s="139" t="n">
        <f aca="false">AD104/($C$36*(1+$C$23)^(AD$39-1))</f>
        <v>102.924903040744</v>
      </c>
      <c r="AE105" s="139" t="n">
        <f aca="false">AE104/($C$36*(1+$C$23)^(AE$39-1))</f>
        <v>104.741005020665</v>
      </c>
      <c r="AF105" s="139" t="n">
        <f aca="false">AF104/($C$36*(1+$C$23)^(AF$39-1))</f>
        <v>106.569898502731</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5.80581329777888</v>
      </c>
      <c r="M107" s="116" t="n">
        <f aca="false">M87*(1-$C$340)*$C$175+M85*01_Supuestos!$I$126+M55*M88</f>
        <v>6.41106504808816</v>
      </c>
      <c r="N107" s="116" t="n">
        <f aca="false">N87*(1-$C$340)*$C$175+N85*01_Supuestos!$I$126+N55*N88</f>
        <v>6.57689195626177</v>
      </c>
      <c r="O107" s="116" t="n">
        <f aca="false">O87*(1-$C$340)*$C$175+O85*01_Supuestos!$I$126+O55*O88</f>
        <v>6.72740578558033</v>
      </c>
      <c r="P107" s="116" t="n">
        <f aca="false">P87*(1-$C$340)*$C$175+P85*01_Supuestos!$I$126+P55*P88</f>
        <v>6.88200215023493</v>
      </c>
      <c r="Q107" s="116" t="n">
        <f aca="false">Q87*(1-$C$340)*$C$175+Q85*01_Supuestos!$I$126+Q55*Q88</f>
        <v>7.04018566482423</v>
      </c>
      <c r="R107" s="116" t="n">
        <f aca="false">R87*(1-$C$340)*$C$175+R85*01_Supuestos!$I$126+R55*R88</f>
        <v>7.20206218156251</v>
      </c>
      <c r="S107" s="116" t="n">
        <f aca="false">S87*(1-$C$340)*$C$175+S85*01_Supuestos!$I$126+S55*S88</f>
        <v>7.36771451184095</v>
      </c>
      <c r="T107" s="116" t="n">
        <f aca="false">T87*(1-$C$340)*$C$175+T85*01_Supuestos!$I$126+T55*T88</f>
        <v>7.53722598384166</v>
      </c>
      <c r="U107" s="116" t="n">
        <f aca="false">U87*(1-$C$340)*$C$175+U85*01_Supuestos!$I$126+U55*U88</f>
        <v>7.71068198953518</v>
      </c>
      <c r="V107" s="116" t="n">
        <f aca="false">V87*(1-$C$340)*$C$175+V85*01_Supuestos!$I$126+V55*V88</f>
        <v>7.88816997858021</v>
      </c>
      <c r="W107" s="116" t="n">
        <f aca="false">W87*(1-$C$340)*$C$175+W85*01_Supuestos!$I$126+W55*W88</f>
        <v>8.06981029414342</v>
      </c>
      <c r="X107" s="116" t="n">
        <f aca="false">X87*(1-$C$340)*$C$175+X85*01_Supuestos!$I$126+X55*X88</f>
        <v>8.25569445466007</v>
      </c>
      <c r="Y107" s="116" t="n">
        <f aca="false">Y87*(1-$C$340)*$C$175+Y85*01_Supuestos!$I$126+Y55*Y88</f>
        <v>8.44591613729426</v>
      </c>
      <c r="Z107" s="116" t="n">
        <f aca="false">Z87*(1-$C$340)*$C$175+Z85*01_Supuestos!$I$126+Z55*Z88</f>
        <v>8.64057123448596</v>
      </c>
      <c r="AA107" s="116" t="n">
        <f aca="false">AA87*(1-$C$340)*$C$175+AA85*01_Supuestos!$I$126+AA55*AA88</f>
        <v>8.83975790007145</v>
      </c>
      <c r="AB107" s="116" t="n">
        <f aca="false">AB87*(1-$C$340)*$C$175+AB85*01_Supuestos!$I$126+AB55*AB88</f>
        <v>9.04357592439608</v>
      </c>
      <c r="AC107" s="116" t="n">
        <f aca="false">AC87*(1-$C$340)*$C$175+AC85*01_Supuestos!$I$126+AC55*AC88</f>
        <v>9.25212746707583</v>
      </c>
      <c r="AD107" s="116" t="n">
        <f aca="false">AD87*(1-$C$340)*$C$175+AD85*01_Supuestos!$I$126+AD55*AD88</f>
        <v>9.4655171063552</v>
      </c>
      <c r="AE107" s="116" t="n">
        <f aca="false">AE87*(1-$C$340)*$C$175+AE85*01_Supuestos!$I$126+AE55*AE88</f>
        <v>9.68385188963049</v>
      </c>
      <c r="AF107" s="116" t="n">
        <f aca="false">AF87*(1-$C$340)*$C$175+AF85*01_Supuestos!$I$126+AF55*AF88</f>
        <v>9.90724138541263</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2.28439055019087</v>
      </c>
      <c r="M109" s="116" t="n">
        <f aca="false">(M70+L121)*(0.3*$C$5+0.25*01_Supuestos!$I$134)/0.55-L227*$C$5</f>
        <v>2.39630679976982</v>
      </c>
      <c r="N109" s="116" t="n">
        <f aca="false">(N70+M121)*(0.3*$C$5+0.25*01_Supuestos!$I$134)/0.55-M227*$C$5</f>
        <v>2.53692517910237</v>
      </c>
      <c r="O109" s="116" t="n">
        <f aca="false">(O70+N121)*(0.3*$C$5+0.25*01_Supuestos!$I$134)/0.55-N227*$C$5</f>
        <v>2.68068818589129</v>
      </c>
      <c r="P109" s="116" t="n">
        <f aca="false">(P70+O121)*(0.3*$C$5+0.25*01_Supuestos!$I$134)/0.55-O227*$C$5</f>
        <v>2.82769405637166</v>
      </c>
      <c r="Q109" s="116" t="n">
        <f aca="false">(Q70+P121)*(0.3*$C$5+0.25*01_Supuestos!$I$134)/0.55-P227*$C$5</f>
        <v>2.97354364581574</v>
      </c>
      <c r="R109" s="116" t="n">
        <f aca="false">(R70+Q121)*(0.3*$C$5+0.25*01_Supuestos!$I$134)/0.55-Q227*$C$5</f>
        <v>3.11800526245209</v>
      </c>
      <c r="S109" s="116" t="n">
        <f aca="false">(S70+R121)*(0.3*$C$5+0.25*01_Supuestos!$I$134)/0.55-R227*$C$5</f>
        <v>3.26135859834583</v>
      </c>
      <c r="T109" s="116" t="n">
        <f aca="false">(T70+S121)*(0.3*$C$5+0.25*01_Supuestos!$I$134)/0.55-S227*$C$5</f>
        <v>3.40403414852721</v>
      </c>
      <c r="U109" s="116" t="n">
        <f aca="false">(U70+T121)*(0.3*$C$5+0.25*01_Supuestos!$I$134)/0.55-T227*$C$5</f>
        <v>3.5464531069105</v>
      </c>
      <c r="V109" s="116" t="n">
        <f aca="false">(V70+U121)*(0.3*$C$5+0.25*01_Supuestos!$I$134)/0.55-U227*$C$5</f>
        <v>3.68903289685027</v>
      </c>
      <c r="W109" s="116" t="n">
        <f aca="false">(W70+V121)*(0.3*$C$5+0.25*01_Supuestos!$I$134)/0.55-V227*$C$5</f>
        <v>3.83218781230921</v>
      </c>
      <c r="X109" s="116" t="n">
        <f aca="false">(X70+W121)*(0.3*$C$5+0.25*01_Supuestos!$I$134)/0.55-W227*$C$5</f>
        <v>3.97633386097113</v>
      </c>
      <c r="Y109" s="116" t="n">
        <f aca="false">(Y70+X121)*(0.3*$C$5+0.25*01_Supuestos!$I$134)/0.55-X227*$C$5</f>
        <v>4.12188755473355</v>
      </c>
      <c r="Z109" s="116" t="n">
        <f aca="false">(Z70+Y121)*(0.3*$C$5+0.25*01_Supuestos!$I$134)/0.55-Y227*$C$5</f>
        <v>4.26926521693111</v>
      </c>
      <c r="AA109" s="116" t="n">
        <f aca="false">(AA70+Z121)*(0.3*$C$5+0.25*01_Supuestos!$I$134)/0.55-Z227*$C$5</f>
        <v>4.4188835225027</v>
      </c>
      <c r="AB109" s="116" t="n">
        <f aca="false">(AB70+AA121)*(0.3*$C$5+0.25*01_Supuestos!$I$134)/0.55-AA227*$C$5</f>
        <v>4.57115993560115</v>
      </c>
      <c r="AC109" s="116" t="n">
        <f aca="false">(AC70+AB121)*(0.3*$C$5+0.25*01_Supuestos!$I$134)/0.55-AB227*$C$5</f>
        <v>4.72651329433184</v>
      </c>
      <c r="AD109" s="116" t="n">
        <f aca="false">(AD70+AC121)*(0.3*$C$5+0.25*01_Supuestos!$I$134)/0.55-AC227*$C$5</f>
        <v>4.88536441610081</v>
      </c>
      <c r="AE109" s="116" t="n">
        <f aca="false">(AE70+AD121)*(0.3*$C$5+0.25*01_Supuestos!$I$134)/0.55-AD227*$C$5</f>
        <v>5.04813671285349</v>
      </c>
      <c r="AF109" s="116" t="n">
        <f aca="false">(AF70+AE121)*(0.3*$C$5+0.25*01_Supuestos!$I$134)/0.55-AE227*$C$5</f>
        <v>5.21525679012664</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1.2286350843469</v>
      </c>
      <c r="F110" s="116" t="n">
        <f aca="false">E120*$C$10</f>
        <v>1.85752021492381</v>
      </c>
      <c r="G110" s="116" t="n">
        <f aca="false">F120*$C$10</f>
        <v>2.16515359000362</v>
      </c>
      <c r="H110" s="116" t="n">
        <f aca="false">G120*$C$10</f>
        <v>2.54956750465803</v>
      </c>
      <c r="I110" s="116" t="n">
        <f aca="false">H120*$C$10</f>
        <v>2.99211665248276</v>
      </c>
      <c r="J110" s="116" t="n">
        <f aca="false">I120*$C$10</f>
        <v>3.49600720239699</v>
      </c>
      <c r="K110" s="116" t="n">
        <f aca="false">J120*$C$10</f>
        <v>4.0464219473949</v>
      </c>
      <c r="L110" s="116" t="n">
        <f aca="false">K120*$C$10</f>
        <v>4.64192118986067</v>
      </c>
      <c r="M110" s="116" t="n">
        <f aca="false">L120*$C$10</f>
        <v>5.23867896028262</v>
      </c>
      <c r="N110" s="116" t="n">
        <f aca="false">M120*$C$10</f>
        <v>5.22707268823451</v>
      </c>
      <c r="O110" s="116" t="n">
        <f aca="false">N120*$C$10</f>
        <v>5.28484764879621</v>
      </c>
      <c r="P110" s="116" t="n">
        <f aca="false">O120*$C$10</f>
        <v>5.354403609326</v>
      </c>
      <c r="Q110" s="116" t="n">
        <f aca="false">P120*$C$10</f>
        <v>5.40051453686906</v>
      </c>
      <c r="R110" s="116" t="n">
        <f aca="false">Q120*$C$10</f>
        <v>5.44127103079824</v>
      </c>
      <c r="S110" s="116" t="n">
        <f aca="false">R120*$C$10</f>
        <v>5.48345882314124</v>
      </c>
      <c r="T110" s="116" t="n">
        <f aca="false">S120*$C$10</f>
        <v>5.52690739777504</v>
      </c>
      <c r="U110" s="116" t="n">
        <f aca="false">T120*$C$10</f>
        <v>5.57164660017942</v>
      </c>
      <c r="V110" s="116" t="n">
        <f aca="false">U120*$C$10</f>
        <v>5.61769720294005</v>
      </c>
      <c r="W110" s="116" t="n">
        <f aca="false">V120*$C$10</f>
        <v>5.66508035341035</v>
      </c>
      <c r="X110" s="116" t="n">
        <f aca="false">W120*$C$10</f>
        <v>5.71389731245428</v>
      </c>
      <c r="Y110" s="116" t="n">
        <f aca="false">X120*$C$10</f>
        <v>5.76419026099185</v>
      </c>
      <c r="Z110" s="116" t="n">
        <f aca="false">Y120*$C$10</f>
        <v>5.81599365120165</v>
      </c>
      <c r="AA110" s="116" t="n">
        <f aca="false">Z120*$C$10</f>
        <v>5.86933143927839</v>
      </c>
      <c r="AB110" s="116" t="n">
        <f aca="false">AA120*$C$10</f>
        <v>5.92422841326372</v>
      </c>
      <c r="AC110" s="116" t="n">
        <f aca="false">AB120*$C$10</f>
        <v>5.98070847230271</v>
      </c>
      <c r="AD110" s="116" t="n">
        <f aca="false">AC120*$C$10</f>
        <v>6.03879596162456</v>
      </c>
      <c r="AE110" s="116" t="n">
        <f aca="false">AD120*$C$10</f>
        <v>6.09851586869592</v>
      </c>
      <c r="AF110" s="116" t="n">
        <f aca="false">AE120*$C$10</f>
        <v>6.15989407794683</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0.349799156025208</v>
      </c>
      <c r="M112" s="116" t="n">
        <f aca="false">M81*$C$7</f>
        <v>0.362419591755768</v>
      </c>
      <c r="N112" s="116" t="n">
        <f aca="false">N81*$C$7</f>
        <v>0.375198431879403</v>
      </c>
      <c r="O112" s="116" t="n">
        <f aca="false">O81*$C$7</f>
        <v>0.387230929756743</v>
      </c>
      <c r="P112" s="116" t="n">
        <f aca="false">P81*$C$7</f>
        <v>0.396741314701046</v>
      </c>
      <c r="Q112" s="116" t="n">
        <f aca="false">Q81*$C$7</f>
        <v>0.406328702290529</v>
      </c>
      <c r="R112" s="116" t="n">
        <f aca="false">R81*$C$7</f>
        <v>0.415889586770488</v>
      </c>
      <c r="S112" s="116" t="n">
        <f aca="false">S81*$C$7</f>
        <v>0.425432952338897</v>
      </c>
      <c r="T112" s="116" t="n">
        <f aca="false">T81*$C$7</f>
        <v>0.434974247844458</v>
      </c>
      <c r="U112" s="116" t="n">
        <f aca="false">U81*$C$7</f>
        <v>0.444528613542134</v>
      </c>
      <c r="V112" s="116" t="n">
        <f aca="false">V81*$C$7</f>
        <v>0.454111115534929</v>
      </c>
      <c r="W112" s="116" t="n">
        <f aca="false">W81*$C$7</f>
        <v>0.463597916459425</v>
      </c>
      <c r="X112" s="116" t="n">
        <f aca="false">X81*$C$7</f>
        <v>0.473004784189641</v>
      </c>
      <c r="Y112" s="116" t="n">
        <f aca="false">Y81*$C$7</f>
        <v>0.482347606650751</v>
      </c>
      <c r="Z112" s="116" t="n">
        <f aca="false">Z81*$C$7</f>
        <v>0.491642363484281</v>
      </c>
      <c r="AA112" s="116" t="n">
        <f aca="false">AA81*$C$7</f>
        <v>0.500905149940852</v>
      </c>
      <c r="AB112" s="116" t="n">
        <f aca="false">AB81*$C$7</f>
        <v>0.510155231728525</v>
      </c>
      <c r="AC112" s="116" t="n">
        <f aca="false">AC81*$C$7</f>
        <v>0.519411983577191</v>
      </c>
      <c r="AD112" s="116" t="n">
        <f aca="false">AD81*$C$7</f>
        <v>0.528694914901726</v>
      </c>
      <c r="AE112" s="116" t="n">
        <f aca="false">AE81*$C$7</f>
        <v>0.538023695919348</v>
      </c>
      <c r="AF112" s="116" t="n">
        <f aca="false">AF81*$C$7</f>
        <v>0.547418183116313</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-2.47949637376709</v>
      </c>
      <c r="F113" s="136" t="n">
        <f aca="false">F107+F109+F110-F111-F112-F108-F97-F98-F102+F184-F190-F229-F265-F268-F274</f>
        <v>-6.30123517222942</v>
      </c>
      <c r="G113" s="136" t="n">
        <f aca="false">G107+G109+G110-G111-G112-G108-G97-G98-G102+G184-G190-G229-G265-G268-G274</f>
        <v>-4.97591948674164</v>
      </c>
      <c r="H113" s="136" t="n">
        <f aca="false">H107+H109+H110-H111-H112-H108-H97-H98-H102+H184-H190-H229-H265-H268-H274</f>
        <v>-3.78573367514692</v>
      </c>
      <c r="I113" s="136" t="n">
        <f aca="false">I107+I109+I110-I111-I112-I108-I97-I98-I102+I184-I190-I229-I265-I268-I274</f>
        <v>-2.54618059436743</v>
      </c>
      <c r="J113" s="136" t="n">
        <f aca="false">J107+J109+J110-J111-J112-J108-J97-J98-J102+J184-J190-J229-J265-J268-J274</f>
        <v>-1.25210463335795</v>
      </c>
      <c r="K113" s="136" t="n">
        <f aca="false">K107+K109+K110-K111-K112-K108-K97-K98-K102+K184-K190-K229-K265-K268-K274</f>
        <v>0.0833046933371094</v>
      </c>
      <c r="L113" s="136" t="n">
        <f aca="false">L107+L109+L110-L111-L112-L108-L97-L98-L102+L184-L190-L229-L265-L268-L274</f>
        <v>1.46201448326148</v>
      </c>
      <c r="M113" s="136" t="n">
        <f aca="false">M107+M109+M110-M111-M112-M108-M97-M98-M102+M184-M190-M229-M265-M268-M274</f>
        <v>2.62494433983946</v>
      </c>
      <c r="N113" s="136" t="n">
        <f aca="false">N107+N109+N110-N111-N112-N108-N97-N98-N102+N184-N190-N229-N265-N268-N274</f>
        <v>2.70574328743183</v>
      </c>
      <c r="O113" s="136" t="n">
        <f aca="false">O107+O109+O110-O111-O112-O108-O97-O98-O102+O184-O190-O229-O265-O268-O274</f>
        <v>2.78983077546357</v>
      </c>
      <c r="P113" s="136" t="n">
        <f aca="false">P107+P109+P110-P111-P112-P108-P97-P98-P102+P184-P190-P229-P265-P268-P274</f>
        <v>2.6869170159464</v>
      </c>
      <c r="Q113" s="136" t="n">
        <f aca="false">Q107+Q109+Q110-Q111-Q112-Q108-Q97-Q98-Q102+Q184-Q190-Q229-Q265-Q268-Q274</f>
        <v>2.57330100394646</v>
      </c>
      <c r="R113" s="136" t="n">
        <f aca="false">R107+R109+R110-R111-R112-R108-R97-R98-R102+R184-R190-R229-R265-R268-R274</f>
        <v>2.47060153399999</v>
      </c>
      <c r="S113" s="136" t="n">
        <f aca="false">S107+S109+S110-S111-S112-S108-S97-S98-S102+S184-S190-S229-S265-S268-S274</f>
        <v>2.38518169381038</v>
      </c>
      <c r="T113" s="136" t="n">
        <f aca="false">T107+T109+T110-T111-T112-T108-T97-T98-T102+T184-T190-T229-T265-T268-T274</f>
        <v>2.31663056520944</v>
      </c>
      <c r="U113" s="136" t="n">
        <f aca="false">U107+U109+U110-U111-U112-U108-U97-U98-U102+U184-U190-U229-U265-U268-U274</f>
        <v>2.26477083376559</v>
      </c>
      <c r="V113" s="136" t="n">
        <f aca="false">V107+V109+V110-V111-V112-V108-V97-V98-V102+V184-V190-V229-V265-V268-V274</f>
        <v>2.22945192007046</v>
      </c>
      <c r="W113" s="136" t="n">
        <f aca="false">W107+W109+W110-W111-W112-W108-W97-W98-W102+W184-W190-W229-W265-W268-W274</f>
        <v>2.21072774408502</v>
      </c>
      <c r="X113" s="136" t="n">
        <f aca="false">X107+X109+X110-X111-X112-X108-X97-X98-X102+X184-X190-X229-X265-X268-X274</f>
        <v>2.20860064216628</v>
      </c>
      <c r="Y113" s="136" t="n">
        <f aca="false">Y107+Y109+Y110-Y111-Y112-Y108-Y97-Y98-Y102+Y184-Y190-Y229-Y265-Y268-Y274</f>
        <v>2.22304321786284</v>
      </c>
      <c r="Z113" s="136" t="n">
        <f aca="false">Z107+Z109+Z110-Z111-Z112-Z108-Z97-Z98-Z102+Z184-Z190-Z229-Z265-Z268-Z274</f>
        <v>2.25405049369984</v>
      </c>
      <c r="AA113" s="136" t="n">
        <f aca="false">AA107+AA109+AA110-AA111-AA112-AA108-AA97-AA98-AA102+AA184-AA190-AA229-AA265-AA268-AA274</f>
        <v>2.30163556064884</v>
      </c>
      <c r="AB113" s="136" t="n">
        <f aca="false">AB107+AB109+AB110-AB111-AB112-AB108-AB97-AB98-AB102+AB184-AB190-AB229-AB265-AB268-AB274</f>
        <v>2.36583579090453</v>
      </c>
      <c r="AC113" s="136" t="n">
        <f aca="false">AC107+AC109+AC110-AC111-AC112-AC108-AC97-AC98-AC102+AC184-AC190-AC229-AC265-AC268-AC274</f>
        <v>2.4467136975439</v>
      </c>
      <c r="AD113" s="136" t="n">
        <f aca="false">AD107+AD109+AD110-AD111-AD112-AD108-AD97-AD98-AD102+AD184-AD190-AD229-AD265-AD268-AD274</f>
        <v>2.5443573403303</v>
      </c>
      <c r="AE113" s="136" t="n">
        <f aca="false">AE107+AE109+AE110-AE111-AE112-AE108-AE97-AE98-AE102+AE184-AE190-AE229-AE265-AE268-AE274</f>
        <v>2.65887962784884</v>
      </c>
      <c r="AF113" s="136" t="n">
        <f aca="false">AF107+AF109+AF110-AF111-AF112-AF108-AF97-AF98-AF102+AF184-AF190-AF229-AF265-AF268-AF274</f>
        <v>2.79041776356799</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35.1038595527686</v>
      </c>
      <c r="E114" s="116" t="n">
        <f aca="false">D120+E53+E56-E57+(E58-E65)+E113-E92+E94-E95-E103+E60-E245</f>
        <v>53.0720061406802</v>
      </c>
      <c r="F114" s="116" t="n">
        <f aca="false">E120+F53+F56-F57+(F58-F65)+F113-F92+F94-F95-F103+F60-F245</f>
        <v>61.8615311429605</v>
      </c>
      <c r="G114" s="116" t="n">
        <f aca="false">F120+G53+G56-G57+(G58-G65)+G113-G92+G94-G95-G103+G60-G245</f>
        <v>72.8447858473724</v>
      </c>
      <c r="H114" s="116" t="n">
        <f aca="false">G120+H53+H56-H57+(H58-H65)+H113-H92+H94-H95-H103+H60-H245</f>
        <v>85.489047213793</v>
      </c>
      <c r="I114" s="116" t="n">
        <f aca="false">H120+I53+I56-I57+(I58-I65)+I113-I92+I94-I95-I103+I60-I245</f>
        <v>99.8859200684854</v>
      </c>
      <c r="J114" s="116" t="n">
        <f aca="false">I120+J53+J56-J57+(J58-J65)+J113-J92+J94-J95-J103+J60-J245</f>
        <v>115.612055639854</v>
      </c>
      <c r="K114" s="116" t="n">
        <f aca="false">J120+K53+K56-K57+(K58-K65)+K113-K92+K94-K95-K103+K60-K245</f>
        <v>132.709624403642</v>
      </c>
      <c r="L114" s="116" t="n">
        <f aca="false">K120+L53+L56-L57+(L58-L65)+L113-L92+L94-L95-L103+L60-L245</f>
        <v>151.138556205622</v>
      </c>
      <c r="M114" s="116" t="n">
        <f aca="false">L120+M53+M56-M57+(M58-M65)+M113-M92+M94-M95-M103+M60-M245</f>
        <v>151.969878289397</v>
      </c>
      <c r="N114" s="116" t="n">
        <f aca="false">M120+N53+N56-N57+(N58-N65)+N113-N92+N94-N95-N103+N60-N245</f>
        <v>153.701390395895</v>
      </c>
      <c r="O114" s="116" t="n">
        <f aca="false">N120+O53+O56-O57+(O58-O65)+O113-O92+O94-O95-O103+O60-O245</f>
        <v>155.772791041921</v>
      </c>
      <c r="P114" s="116" t="n">
        <f aca="false">O120+P53+P56-P57+(P58-P65)+P113-P92+P94-P95-P103+P60-P245</f>
        <v>156.987332355062</v>
      </c>
      <c r="Q114" s="116" t="n">
        <f aca="false">P120+Q53+Q56-Q57+(Q58-Q65)+Q113-Q92+Q94-Q95-Q103+Q60-Q245</f>
        <v>158.038187598182</v>
      </c>
      <c r="R114" s="116" t="n">
        <f aca="false">Q120+R53+R56-R57+(R58-R65)+R113-R92+R94-R95-R103+R60-R245</f>
        <v>159.14085362375</v>
      </c>
      <c r="S114" s="116" t="n">
        <f aca="false">R120+S53+S56-S57+(S58-S65)+S113-S92+S94-S95-S103+S60-S245</f>
        <v>160.29682163024</v>
      </c>
      <c r="T114" s="116" t="n">
        <f aca="false">S120+T53+T56-T57+(T58-T65)+T113-T92+T94-T95-T103+T60-T245</f>
        <v>161.506533427479</v>
      </c>
      <c r="U114" s="116" t="n">
        <f aca="false">T120+U53+U56-U57+(U58-U65)+U113-U92+U94-U95-U103+U60-U245</f>
        <v>162.770405203481</v>
      </c>
      <c r="V114" s="116" t="n">
        <f aca="false">U120+V53+V56-V57+(V58-V65)+V113-V92+V94-V95-V103+V60-V245</f>
        <v>164.088890588938</v>
      </c>
      <c r="W114" s="116" t="n">
        <f aca="false">V120+W53+W56-W57+(W58-W65)+W113-W92+W94-W95-W103+W60-W245</f>
        <v>165.46493667135</v>
      </c>
      <c r="X114" s="116" t="n">
        <f aca="false">W120+X53+X56-X57+(X58-X65)+X113-X92+X94-X95-X103+X60-X245</f>
        <v>166.899750956219</v>
      </c>
      <c r="Y114" s="116" t="n">
        <f aca="false">X120+Y53+Y56-Y57+(Y58-Y65)+Y113-Y92+Y94-Y95-Y103+Y60-Y245</f>
        <v>168.394290395053</v>
      </c>
      <c r="Z114" s="116" t="n">
        <f aca="false">Y120+Z53+Z56-Z57+(Z58-Z65)+Z113-Z92+Z94-Z95-Z103+Z60-Z245</f>
        <v>169.949234473082</v>
      </c>
      <c r="AA114" s="116" t="n">
        <f aca="false">Z120+AA53+AA56-AA57+(AA58-AA65)+AA113-AA92+AA94-AA95-AA103+AA60-AA245</f>
        <v>171.565304511041</v>
      </c>
      <c r="AB114" s="116" t="n">
        <f aca="false">AA120+AB53+AB56-AB57+(AB58-AB65)+AB113-AB92+AB94-AB95-AB103+AB60-AB245</f>
        <v>173.243220713839</v>
      </c>
      <c r="AC114" s="116" t="n">
        <f aca="false">AB120+AC53+AC56-AC57+(AC58-AC65)+AC113-AC92+AC94-AC95-AC103+AC60-AC245</f>
        <v>174.983741172531</v>
      </c>
      <c r="AD114" s="116" t="n">
        <f aca="false">AC120+AD53+AD56-AD57+(AD58-AD65)+AD113-AD92+AD94-AD95-AD103+AD60-AD245</f>
        <v>176.787667874499</v>
      </c>
      <c r="AE114" s="116" t="n">
        <f aca="false">AD120+AE53+AE56-AE57+(AE58-AE65)+AE113-AE92+AE94-AE95-AE103+AE60-AE245</f>
        <v>178.655853283473</v>
      </c>
      <c r="AF114" s="116" t="n">
        <f aca="false">AE120+AF53+AF56-AF57+(AF58-AF65)+AF113-AF92+AF94-AF95-AF103+AF60-AF245</f>
        <v>180.589199935227</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0.0833046933371094</v>
      </c>
      <c r="L115" s="116" t="n">
        <f aca="false">IF(L113&gt;0,MIN(L113,01_Supuestos!$I$106*L81),0)</f>
        <v>1.46201448326148</v>
      </c>
      <c r="M115" s="116" t="n">
        <f aca="false">IF(M113&gt;0,MIN(M113,01_Supuestos!$I$106*M81),0)</f>
        <v>2.62494433983946</v>
      </c>
      <c r="N115" s="116" t="n">
        <f aca="false">IF(N113&gt;0,MIN(N113,01_Supuestos!$I$106*N81),0)</f>
        <v>2.70574328743183</v>
      </c>
      <c r="O115" s="116" t="n">
        <f aca="false">IF(O113&gt;0,MIN(O113,01_Supuestos!$I$106*O81),0)</f>
        <v>2.78983077546357</v>
      </c>
      <c r="P115" s="116" t="n">
        <f aca="false">IF(P113&gt;0,MIN(P113,01_Supuestos!$I$106*P81),0)</f>
        <v>2.6869170159464</v>
      </c>
      <c r="Q115" s="116" t="n">
        <f aca="false">IF(Q113&gt;0,MIN(Q113,01_Supuestos!$I$106*Q81),0)</f>
        <v>2.57330100394646</v>
      </c>
      <c r="R115" s="116" t="n">
        <f aca="false">IF(R113&gt;0,MIN(R113,01_Supuestos!$I$106*R81),0)</f>
        <v>2.47060153399999</v>
      </c>
      <c r="S115" s="116" t="n">
        <f aca="false">IF(S113&gt;0,MIN(S113,01_Supuestos!$I$106*S81),0)</f>
        <v>2.38518169381038</v>
      </c>
      <c r="T115" s="116" t="n">
        <f aca="false">IF(T113&gt;0,MIN(T113,01_Supuestos!$I$106*T81),0)</f>
        <v>2.31663056520944</v>
      </c>
      <c r="U115" s="116" t="n">
        <f aca="false">IF(U113&gt;0,MIN(U113,01_Supuestos!$I$106*U81),0)</f>
        <v>2.26477083376559</v>
      </c>
      <c r="V115" s="116" t="n">
        <f aca="false">IF(V113&gt;0,MIN(V113,01_Supuestos!$I$106*V81),0)</f>
        <v>2.22945192007046</v>
      </c>
      <c r="W115" s="116" t="n">
        <f aca="false">IF(W113&gt;0,MIN(W113,01_Supuestos!$I$106*W81),0)</f>
        <v>2.21072774408502</v>
      </c>
      <c r="X115" s="116" t="n">
        <f aca="false">IF(X113&gt;0,MIN(X113,01_Supuestos!$I$106*X81),0)</f>
        <v>2.20860064216628</v>
      </c>
      <c r="Y115" s="116" t="n">
        <f aca="false">IF(Y113&gt;0,MIN(Y113,01_Supuestos!$I$106*Y81),0)</f>
        <v>2.22304321786284</v>
      </c>
      <c r="Z115" s="116" t="n">
        <f aca="false">IF(Z113&gt;0,MIN(Z113,01_Supuestos!$I$106*Z81),0)</f>
        <v>2.25405049369984</v>
      </c>
      <c r="AA115" s="116" t="n">
        <f aca="false">IF(AA113&gt;0,MIN(AA113,01_Supuestos!$I$106*AA81),0)</f>
        <v>2.30163556064884</v>
      </c>
      <c r="AB115" s="116" t="n">
        <f aca="false">IF(AB113&gt;0,MIN(AB113,01_Supuestos!$I$106*AB81),0)</f>
        <v>2.36583579090453</v>
      </c>
      <c r="AC115" s="116" t="n">
        <f aca="false">IF(AC113&gt;0,MIN(AC113,01_Supuestos!$I$106*AC81),0)</f>
        <v>2.4467136975439</v>
      </c>
      <c r="AD115" s="116" t="n">
        <f aca="false">IF(AD113&gt;0,MIN(AD113,01_Supuestos!$I$106*AD81),0)</f>
        <v>2.5443573403303</v>
      </c>
      <c r="AE115" s="116" t="n">
        <f aca="false">IF(AE113&gt;0,MIN(AE113,01_Supuestos!$I$106*AE81),0)</f>
        <v>2.65887962784884</v>
      </c>
      <c r="AF115" s="116" t="n">
        <f aca="false">IF(AF113&gt;0,MIN(AF113,01_Supuestos!$I$106*AF81),0)</f>
        <v>2.79041776356799</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35.1038595527686</v>
      </c>
      <c r="E120" s="136" t="n">
        <f aca="false">E114-E115+E118+E119</f>
        <v>53.0720061406802</v>
      </c>
      <c r="F120" s="136" t="n">
        <f aca="false">F114-F115+F118+F119</f>
        <v>61.8615311429605</v>
      </c>
      <c r="G120" s="136" t="n">
        <f aca="false">G114-G115+G118+G119</f>
        <v>72.8447858473724</v>
      </c>
      <c r="H120" s="136" t="n">
        <f aca="false">H114-H115+H118+H119</f>
        <v>85.489047213793</v>
      </c>
      <c r="I120" s="136" t="n">
        <f aca="false">I114-I115+I118+I119</f>
        <v>99.8859200684854</v>
      </c>
      <c r="J120" s="136" t="n">
        <f aca="false">J114-J115+J118+J119</f>
        <v>115.612055639854</v>
      </c>
      <c r="K120" s="136" t="n">
        <f aca="false">K114-K115+K118+K119</f>
        <v>132.626319710305</v>
      </c>
      <c r="L120" s="136" t="n">
        <f aca="false">L114-L115+L118+L119</f>
        <v>149.676541722361</v>
      </c>
      <c r="M120" s="136" t="n">
        <f aca="false">M114-M115+M118+M119</f>
        <v>149.344933949558</v>
      </c>
      <c r="N120" s="136" t="n">
        <f aca="false">N114-N115+N118+N119</f>
        <v>150.995647108463</v>
      </c>
      <c r="O120" s="136" t="n">
        <f aca="false">O114-O115+O118+O119</f>
        <v>152.982960266457</v>
      </c>
      <c r="P120" s="136" t="n">
        <f aca="false">P114-P115+P118+P119</f>
        <v>154.300415339116</v>
      </c>
      <c r="Q120" s="136" t="n">
        <f aca="false">Q114-Q115+Q118+Q119</f>
        <v>155.464886594235</v>
      </c>
      <c r="R120" s="136" t="n">
        <f aca="false">R114-R115+R118+R119</f>
        <v>156.67025208975</v>
      </c>
      <c r="S120" s="136" t="n">
        <f aca="false">S114-S115+S118+S119</f>
        <v>157.91163993643</v>
      </c>
      <c r="T120" s="136" t="n">
        <f aca="false">T114-T115+T118+T119</f>
        <v>159.189902862269</v>
      </c>
      <c r="U120" s="136" t="n">
        <f aca="false">U114-U115+U118+U119</f>
        <v>160.505634369716</v>
      </c>
      <c r="V120" s="136" t="n">
        <f aca="false">V114-V115+V118+V119</f>
        <v>161.859438668867</v>
      </c>
      <c r="W120" s="136" t="n">
        <f aca="false">W114-W115+W118+W119</f>
        <v>163.254208927265</v>
      </c>
      <c r="X120" s="136" t="n">
        <f aca="false">X114-X115+X118+X119</f>
        <v>164.691150314053</v>
      </c>
      <c r="Y120" s="136" t="n">
        <f aca="false">Y114-Y115+Y118+Y119</f>
        <v>166.17124717719</v>
      </c>
      <c r="Z120" s="136" t="n">
        <f aca="false">Z114-Z115+Z118+Z119</f>
        <v>167.695183979383</v>
      </c>
      <c r="AA120" s="136" t="n">
        <f aca="false">AA114-AA115+AA118+AA119</f>
        <v>169.263668950392</v>
      </c>
      <c r="AB120" s="136" t="n">
        <f aca="false">AB114-AB115+AB118+AB119</f>
        <v>170.877384922935</v>
      </c>
      <c r="AC120" s="136" t="n">
        <f aca="false">AC114-AC115+AC118+AC119</f>
        <v>172.537027474988</v>
      </c>
      <c r="AD120" s="136" t="n">
        <f aca="false">AD114-AD115+AD118+AD119</f>
        <v>174.243310534169</v>
      </c>
      <c r="AE120" s="136" t="n">
        <f aca="false">AE114-AE115+AE118+AE119</f>
        <v>175.996973655624</v>
      </c>
      <c r="AF120" s="136" t="n">
        <f aca="false">AF114-AF115+AF118+AF119</f>
        <v>177.798782171659</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0.0833046933371094</v>
      </c>
      <c r="L121" s="116" t="n">
        <f aca="false">K121+L115</f>
        <v>1.54531917659859</v>
      </c>
      <c r="M121" s="116" t="n">
        <f aca="false">L121+M115</f>
        <v>4.17026351643805</v>
      </c>
      <c r="N121" s="116" t="n">
        <f aca="false">M121+N115</f>
        <v>6.87600680386988</v>
      </c>
      <c r="O121" s="116" t="n">
        <f aca="false">N121+O115</f>
        <v>9.66583757933345</v>
      </c>
      <c r="P121" s="116" t="n">
        <f aca="false">O121+P115</f>
        <v>12.3527545952799</v>
      </c>
      <c r="Q121" s="116" t="n">
        <f aca="false">P121+Q115</f>
        <v>14.9260555992263</v>
      </c>
      <c r="R121" s="116" t="n">
        <f aca="false">Q121+R115</f>
        <v>17.3966571332263</v>
      </c>
      <c r="S121" s="116" t="n">
        <f aca="false">R121+S115</f>
        <v>19.7818388270367</v>
      </c>
      <c r="T121" s="116" t="n">
        <f aca="false">S121+T115</f>
        <v>22.0984693922461</v>
      </c>
      <c r="U121" s="116" t="n">
        <f aca="false">T121+U115</f>
        <v>24.3632402260117</v>
      </c>
      <c r="V121" s="116" t="n">
        <f aca="false">U121+V115</f>
        <v>26.5926921460822</v>
      </c>
      <c r="W121" s="116" t="n">
        <f aca="false">V121+W115</f>
        <v>28.8034198901672</v>
      </c>
      <c r="X121" s="116" t="n">
        <f aca="false">W121+X115</f>
        <v>31.0120205323335</v>
      </c>
      <c r="Y121" s="116" t="n">
        <f aca="false">X121+Y115</f>
        <v>33.2350637501963</v>
      </c>
      <c r="Z121" s="116" t="n">
        <f aca="false">Y121+Z115</f>
        <v>35.4891142438961</v>
      </c>
      <c r="AA121" s="116" t="n">
        <f aca="false">Z121+AA115</f>
        <v>37.790749804545</v>
      </c>
      <c r="AB121" s="116" t="n">
        <f aca="false">AA121+AB115</f>
        <v>40.1565855954495</v>
      </c>
      <c r="AC121" s="116" t="n">
        <f aca="false">AB121+AC115</f>
        <v>42.6032992929934</v>
      </c>
      <c r="AD121" s="116" t="n">
        <f aca="false">AC121+AD115</f>
        <v>45.1476566333237</v>
      </c>
      <c r="AE121" s="116" t="n">
        <f aca="false">AD121+AE115</f>
        <v>47.8065362611725</v>
      </c>
      <c r="AF121" s="116" t="n">
        <f aca="false">AE121+AF115</f>
        <v>50.5969540247405</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0.340687329426486</v>
      </c>
      <c r="E122" s="87" t="n">
        <f aca="false">E276/(E81+E115)</f>
        <v>0.381737198412432</v>
      </c>
      <c r="F122" s="87" t="n">
        <f aca="false">F276/(F81+F115)</f>
        <v>0.226719564465731</v>
      </c>
      <c r="G122" s="87" t="n">
        <f aca="false">G276/(G81+G115)</f>
        <v>0.255097769127962</v>
      </c>
      <c r="H122" s="87" t="n">
        <f aca="false">H276/(H81+H115)</f>
        <v>0.286586063531629</v>
      </c>
      <c r="I122" s="87" t="n">
        <f aca="false">I276/(I81+I115)</f>
        <v>0.321083568129139</v>
      </c>
      <c r="J122" s="87" t="n">
        <f aca="false">J276/(J81+J115)</f>
        <v>0.356913160169047</v>
      </c>
      <c r="K122" s="87" t="n">
        <f aca="false">K276/(K81+K115)</f>
        <v>0.393689328973593</v>
      </c>
      <c r="L122" s="87" t="n">
        <f aca="false">L276/(L81+L115)</f>
        <v>0.42611183440998</v>
      </c>
      <c r="M122" s="87" t="n">
        <f aca="false">M276/(M81+M115)</f>
        <v>0.409114283826572</v>
      </c>
      <c r="N122" s="87" t="n">
        <f aca="false">N276/(N81+N115)</f>
        <v>0.399560674453524</v>
      </c>
      <c r="O122" s="87" t="n">
        <f aca="false">O276/(O81+O115)</f>
        <v>0.392243120744913</v>
      </c>
      <c r="P122" s="87" t="n">
        <f aca="false">P276/(P81+P115)</f>
        <v>0.386303228181534</v>
      </c>
      <c r="Q122" s="87" t="n">
        <f aca="false">Q276/(Q81+Q115)</f>
        <v>0.380200843580303</v>
      </c>
      <c r="R122" s="87" t="n">
        <f aca="false">R276/(R81+R115)</f>
        <v>0.37448652254579</v>
      </c>
      <c r="S122" s="87" t="n">
        <f aca="false">S276/(S81+S115)</f>
        <v>0.369109271848578</v>
      </c>
      <c r="T122" s="87" t="n">
        <f aca="false">T276/(T81+T115)</f>
        <v>0.364036641791406</v>
      </c>
      <c r="U122" s="87" t="n">
        <f aca="false">U276/(U81+U115)</f>
        <v>0.359239057655066</v>
      </c>
      <c r="V122" s="87" t="n">
        <f aca="false">V276/(V81+V115)</f>
        <v>0.354690006131941</v>
      </c>
      <c r="W122" s="87" t="n">
        <f aca="false">W276/(W81+W115)</f>
        <v>0.35047483759434</v>
      </c>
      <c r="X122" s="87" t="n">
        <f aca="false">X276/(X81+X115)</f>
        <v>0.346562524480118</v>
      </c>
      <c r="Y122" s="87" t="n">
        <f aca="false">Y276/(Y81+Y115)</f>
        <v>0.342924705039906</v>
      </c>
      <c r="Z122" s="87" t="n">
        <f aca="false">Z276/(Z81+Z115)</f>
        <v>0.339535131726749</v>
      </c>
      <c r="AA122" s="87" t="n">
        <f aca="false">AA276/(AA81+AA115)</f>
        <v>0.336370004990497</v>
      </c>
      <c r="AB122" s="87" t="n">
        <f aca="false">AB276/(AB81+AB115)</f>
        <v>0.333405582232884</v>
      </c>
      <c r="AC122" s="87" t="n">
        <f aca="false">AC276/(AC81+AC115)</f>
        <v>0.330620201169426</v>
      </c>
      <c r="AD122" s="87" t="n">
        <f aca="false">AD276/(AD81+AD115)</f>
        <v>0.327994031387755</v>
      </c>
      <c r="AE122" s="87" t="n">
        <f aca="false">AE276/(AE81+AE115)</f>
        <v>0.325508869002309</v>
      </c>
      <c r="AF122" s="87" t="n">
        <f aca="false">AF276/(AF81+AF115)</f>
        <v>0.323147951317604</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2.47949637376709</v>
      </c>
      <c r="F127" s="116" t="n">
        <f aca="false">MAX(0,-F113)</f>
        <v>6.30123517222942</v>
      </c>
      <c r="G127" s="116" t="n">
        <f aca="false">MAX(0,-G113)</f>
        <v>4.97591948674164</v>
      </c>
      <c r="H127" s="116" t="n">
        <f aca="false">MAX(0,-H113)</f>
        <v>3.78573367514692</v>
      </c>
      <c r="I127" s="116" t="n">
        <f aca="false">MAX(0,-I113)</f>
        <v>2.54618059436743</v>
      </c>
      <c r="J127" s="116" t="n">
        <f aca="false">MAX(0,-J113)</f>
        <v>1.25210463335795</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4.73640836108542</v>
      </c>
      <c r="D128" s="116" t="n">
        <f aca="false">IF(AVERAGE(E127:I127)&gt;0,D120/AVERAGE(E127:I127),99)</f>
        <v>8.73727392289992</v>
      </c>
      <c r="E128" s="116" t="n">
        <f aca="false">IF(AVERAGE(F127:J127)&gt;0,E120/AVERAGE(F127:J127),99)</f>
        <v>14.0691155740294</v>
      </c>
      <c r="F128" s="116" t="n">
        <f aca="false">IF(AVERAGE(G127:K127)&gt;0,F120/AVERAGE(G127:K127),99)</f>
        <v>24.626526509921</v>
      </c>
      <c r="G128" s="116" t="n">
        <f aca="false">IF(AVERAGE(H127:L127)&gt;0,G120/AVERAGE(H127:L127),99)</f>
        <v>48.0251874239025</v>
      </c>
      <c r="H128" s="116" t="n">
        <f aca="false">IF(AVERAGE(I127:M127)&gt;0,H120/AVERAGE(I127:M127),99)</f>
        <v>112.536371136336</v>
      </c>
      <c r="I128" s="116" t="n">
        <f aca="false">IF(AVERAGE(J127:N127)&gt;0,I120/AVERAGE(J127:N127),99)</f>
        <v>398.872096657796</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-17.8977098596176</v>
      </c>
      <c r="G140" s="116" t="n">
        <f aca="false">SUM(G133:G139)</f>
        <v>-17.9084533563974</v>
      </c>
      <c r="H140" s="116" t="n">
        <f aca="false">SUM(H133:H139)</f>
        <v>-17.9169020879832</v>
      </c>
      <c r="I140" s="116" t="n">
        <f aca="false">SUM(I133:I139)</f>
        <v>-17.9232027289801</v>
      </c>
      <c r="J140" s="116" t="n">
        <f aca="false">SUM(J133:J139)</f>
        <v>-17.9274924714095</v>
      </c>
      <c r="K140" s="116" t="n">
        <f aca="false">SUM(K133:K139)</f>
        <v>-17.9298996395416</v>
      </c>
      <c r="L140" s="116" t="n">
        <f aca="false">SUM(L133:L139)</f>
        <v>-17.9305442652544</v>
      </c>
      <c r="M140" s="116" t="n">
        <f aca="false">SUM(M133:M139)</f>
        <v>2.67413164707173</v>
      </c>
      <c r="N140" s="116" t="n">
        <f aca="false">SUM(N133:N139)</f>
        <v>2.65791430162299</v>
      </c>
      <c r="O140" s="116" t="n">
        <f aca="false">SUM(O133:O139)</f>
        <v>2.64625849627186</v>
      </c>
      <c r="P140" s="116" t="n">
        <f aca="false">SUM(P133:P139)</f>
        <v>2.65459820436939</v>
      </c>
      <c r="Q140" s="116" t="n">
        <f aca="false">SUM(Q133:Q139)</f>
        <v>2.66098965287782</v>
      </c>
      <c r="R140" s="116" t="n">
        <f aca="false">SUM(R133:R139)</f>
        <v>2.66504396132128</v>
      </c>
      <c r="S140" s="116" t="n">
        <f aca="false">SUM(S133:S139)</f>
        <v>2.6668209497267</v>
      </c>
      <c r="T140" s="116" t="n">
        <f aca="false">SUM(T133:T139)</f>
        <v>2.66637559194396</v>
      </c>
      <c r="U140" s="116" t="n">
        <f aca="false">SUM(U133:U139)</f>
        <v>2.66375829993186</v>
      </c>
      <c r="V140" s="116" t="n">
        <f aca="false">SUM(V133:V139)</f>
        <v>2.65901518891845</v>
      </c>
      <c r="W140" s="116" t="n">
        <f aca="false">SUM(W133:W139)</f>
        <v>2.65218832464956</v>
      </c>
      <c r="X140" s="116" t="n">
        <f aca="false">SUM(X133:X139)</f>
        <v>2.64331595385981</v>
      </c>
      <c r="Y140" s="116" t="n">
        <f aca="false">SUM(Y133:Y139)</f>
        <v>2.63243271902708</v>
      </c>
      <c r="Z140" s="116" t="n">
        <f aca="false">SUM(Z133:Z139)</f>
        <v>2.61956985840173</v>
      </c>
      <c r="AA140" s="116" t="n">
        <f aca="false">SUM(AA133:AA139)</f>
        <v>2.60475539223768</v>
      </c>
      <c r="AB140" s="116" t="n">
        <f aca="false">SUM(AB133:AB139)</f>
        <v>2.58801429609159</v>
      </c>
      <c r="AC140" s="116" t="n">
        <f aca="false">SUM(AC133:AC139)</f>
        <v>2.56936866199988</v>
      </c>
      <c r="AD140" s="116" t="n">
        <f aca="false">SUM(AD133:AD139)</f>
        <v>2.54883784829035</v>
      </c>
      <c r="AE140" s="116" t="n">
        <f aca="false">SUM(AE133:AE139)</f>
        <v>2.52643861873554</v>
      </c>
      <c r="AF140" s="116" t="n">
        <f aca="false">SUM(AF133:AF139)</f>
        <v>2.5021852717086</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-1.679035948921</v>
      </c>
      <c r="M141" s="116" t="n">
        <f aca="false">-M85*01_Supuestos!$I$126</f>
        <v>-1.3432287591368</v>
      </c>
      <c r="N141" s="116" t="n">
        <f aca="false">-N85*01_Supuestos!$I$126</f>
        <v>-1.12559529563821</v>
      </c>
      <c r="O141" s="116" t="n">
        <f aca="false">-O85*01_Supuestos!$I$126</f>
        <v>-1.16169278927023</v>
      </c>
      <c r="P141" s="116" t="n">
        <f aca="false">-P85*01_Supuestos!$I$126</f>
        <v>-1.19022394410314</v>
      </c>
      <c r="Q141" s="116" t="n">
        <f aca="false">-Q85*01_Supuestos!$I$126</f>
        <v>-1.21898610687159</v>
      </c>
      <c r="R141" s="116" t="n">
        <f aca="false">-R85*01_Supuestos!$I$126</f>
        <v>-1.24766876031146</v>
      </c>
      <c r="S141" s="116" t="n">
        <f aca="false">-S85*01_Supuestos!$I$126</f>
        <v>-1.27629885701669</v>
      </c>
      <c r="T141" s="116" t="n">
        <f aca="false">-T85*01_Supuestos!$I$126</f>
        <v>-1.30492274353337</v>
      </c>
      <c r="U141" s="116" t="n">
        <f aca="false">-U85*01_Supuestos!$I$126</f>
        <v>-1.3335858406264</v>
      </c>
      <c r="V141" s="116" t="n">
        <f aca="false">-V85*01_Supuestos!$I$126</f>
        <v>-1.36233334660479</v>
      </c>
      <c r="W141" s="116" t="n">
        <f aca="false">-W85*01_Supuestos!$I$126</f>
        <v>-1.39079374937828</v>
      </c>
      <c r="X141" s="116" t="n">
        <f aca="false">-X85*01_Supuestos!$I$126</f>
        <v>-1.41901435256892</v>
      </c>
      <c r="Y141" s="116" t="n">
        <f aca="false">-Y85*01_Supuestos!$I$126</f>
        <v>-1.44704281995225</v>
      </c>
      <c r="Z141" s="116" t="n">
        <f aca="false">-Z85*01_Supuestos!$I$126</f>
        <v>-1.47492709045284</v>
      </c>
      <c r="AA141" s="116" t="n">
        <f aca="false">-AA85*01_Supuestos!$I$126</f>
        <v>-1.50271544982256</v>
      </c>
      <c r="AB141" s="116" t="n">
        <f aca="false">-AB85*01_Supuestos!$I$126</f>
        <v>-1.53046569518557</v>
      </c>
      <c r="AC141" s="116" t="n">
        <f aca="false">-AC85*01_Supuestos!$I$126</f>
        <v>-1.55823595073157</v>
      </c>
      <c r="AD141" s="116" t="n">
        <f aca="false">-AD85*01_Supuestos!$I$126</f>
        <v>-1.58608474470518</v>
      </c>
      <c r="AE141" s="116" t="n">
        <f aca="false">-AE85*01_Supuestos!$I$126</f>
        <v>-1.61407108775804</v>
      </c>
      <c r="AF141" s="116" t="n">
        <f aca="false">-AF85*01_Supuestos!$I$126</f>
        <v>-1.64225454934894</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1.13334926552167</v>
      </c>
      <c r="M142" s="116" t="n">
        <f aca="false">M85*01_Supuestos!$I$101</f>
        <v>0.906679412417338</v>
      </c>
      <c r="N142" s="116" t="n">
        <f aca="false">N85*01_Supuestos!$I$101</f>
        <v>0.75977682455579</v>
      </c>
      <c r="O142" s="116" t="n">
        <f aca="false">O85*01_Supuestos!$I$101</f>
        <v>0.784142632757404</v>
      </c>
      <c r="P142" s="116" t="n">
        <f aca="false">P85*01_Supuestos!$I$101</f>
        <v>0.803401162269618</v>
      </c>
      <c r="Q142" s="116" t="n">
        <f aca="false">Q85*01_Supuestos!$I$101</f>
        <v>0.822815622138322</v>
      </c>
      <c r="R142" s="116" t="n">
        <f aca="false">R85*01_Supuestos!$I$101</f>
        <v>0.842176413210239</v>
      </c>
      <c r="S142" s="116" t="n">
        <f aca="false">S85*01_Supuestos!$I$101</f>
        <v>0.861501728486267</v>
      </c>
      <c r="T142" s="116" t="n">
        <f aca="false">T85*01_Supuestos!$I$101</f>
        <v>0.880822851885027</v>
      </c>
      <c r="U142" s="116" t="n">
        <f aca="false">U85*01_Supuestos!$I$101</f>
        <v>0.900170442422821</v>
      </c>
      <c r="V142" s="116" t="n">
        <f aca="false">V85*01_Supuestos!$I$101</f>
        <v>0.919575008958231</v>
      </c>
      <c r="W142" s="116" t="n">
        <f aca="false">W85*01_Supuestos!$I$101</f>
        <v>0.938785780830336</v>
      </c>
      <c r="X142" s="116" t="n">
        <f aca="false">X85*01_Supuestos!$I$101</f>
        <v>0.957834687984023</v>
      </c>
      <c r="Y142" s="116" t="n">
        <f aca="false">Y85*01_Supuestos!$I$101</f>
        <v>0.976753903467771</v>
      </c>
      <c r="Z142" s="116" t="n">
        <f aca="false">Z85*01_Supuestos!$I$101</f>
        <v>0.995575786055669</v>
      </c>
      <c r="AA142" s="116" t="n">
        <f aca="false">AA85*01_Supuestos!$I$101</f>
        <v>1.01433292863023</v>
      </c>
      <c r="AB142" s="116" t="n">
        <f aca="false">AB85*01_Supuestos!$I$101</f>
        <v>1.03306434425026</v>
      </c>
      <c r="AC142" s="116" t="n">
        <f aca="false">AC85*01_Supuestos!$I$101</f>
        <v>1.05180926674381</v>
      </c>
      <c r="AD142" s="116" t="n">
        <f aca="false">AD85*01_Supuestos!$I$101</f>
        <v>1.07060720267599</v>
      </c>
      <c r="AE142" s="116" t="n">
        <f aca="false">AE85*01_Supuestos!$I$101</f>
        <v>1.08949798423668</v>
      </c>
      <c r="AF142" s="116" t="n">
        <f aca="false">AF85*01_Supuestos!$I$101</f>
        <v>1.10852182081053</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-18.32336341453</v>
      </c>
      <c r="G148" s="136" t="n">
        <f aca="false">G140+G141+G142+G144+G145+G146+G147</f>
        <v>-18.3539212501793</v>
      </c>
      <c r="H148" s="136" t="n">
        <f aca="false">H140+H141+H142+H144+H145+H146+H147</f>
        <v>-18.3822523984975</v>
      </c>
      <c r="I148" s="136" t="n">
        <f aca="false">I140+I141+I142+I144+I145+I146+I147</f>
        <v>-18.4085032886281</v>
      </c>
      <c r="J148" s="136" t="n">
        <f aca="false">J140+J141+J142+J144+J145+J146+J147</f>
        <v>-18.4328109267804</v>
      </c>
      <c r="K148" s="136" t="n">
        <f aca="false">K140+K141+K142+K144+K145+K146+K147</f>
        <v>-18.4553035087905</v>
      </c>
      <c r="L148" s="136" t="n">
        <f aca="false">L140+L141+L142+L144+L145+L146+L147</f>
        <v>-18.4762309486537</v>
      </c>
      <c r="M148" s="136" t="n">
        <f aca="false">M140+M141+M142+M144+M145+M146+M147</f>
        <v>2.23758230035227</v>
      </c>
      <c r="N148" s="136" t="n">
        <f aca="false">N140+N141+N142+N144+N145+N146+N147</f>
        <v>2.29209583054057</v>
      </c>
      <c r="O148" s="136" t="n">
        <f aca="false">O140+O141+O142+O144+O145+O146+O147</f>
        <v>2.26870833975904</v>
      </c>
      <c r="P148" s="136" t="n">
        <f aca="false">P140+P141+P142+P144+P145+P146+P147</f>
        <v>2.26777542253587</v>
      </c>
      <c r="Q148" s="136" t="n">
        <f aca="false">Q140+Q141+Q142+Q144+Q145+Q146+Q147</f>
        <v>2.26481916814456</v>
      </c>
      <c r="R148" s="136" t="n">
        <f aca="false">R140+R141+R142+R144+R145+R146+R147</f>
        <v>2.25955161422006</v>
      </c>
      <c r="S148" s="136" t="n">
        <f aca="false">S140+S141+S142+S144+S145+S146+S147</f>
        <v>2.25202382119627</v>
      </c>
      <c r="T148" s="136" t="n">
        <f aca="false">T140+T141+T142+T144+T145+T146+T147</f>
        <v>2.24227570029562</v>
      </c>
      <c r="U148" s="136" t="n">
        <f aca="false">U140+U141+U142+U144+U145+U146+U147</f>
        <v>2.23034290172828</v>
      </c>
      <c r="V148" s="136" t="n">
        <f aca="false">V140+V141+V142+V144+V145+V146+V147</f>
        <v>2.21625685127189</v>
      </c>
      <c r="W148" s="136" t="n">
        <f aca="false">W140+W141+W142+W144+W145+W146+W147</f>
        <v>2.20018035610162</v>
      </c>
      <c r="X148" s="136" t="n">
        <f aca="false">X140+X141+X142+X144+X145+X146+X147</f>
        <v>2.18213628927491</v>
      </c>
      <c r="Y148" s="136" t="n">
        <f aca="false">Y140+Y141+Y142+Y144+Y145+Y146+Y147</f>
        <v>2.1621438025426</v>
      </c>
      <c r="Z148" s="136" t="n">
        <f aca="false">Z140+Z141+Z142+Z144+Z145+Z146+Z147</f>
        <v>2.14021855400455</v>
      </c>
      <c r="AA148" s="136" t="n">
        <f aca="false">AA140+AA141+AA142+AA144+AA145+AA146+AA147</f>
        <v>2.11637287104535</v>
      </c>
      <c r="AB148" s="136" t="n">
        <f aca="false">AB140+AB141+AB142+AB144+AB145+AB146+AB147</f>
        <v>2.09061294515628</v>
      </c>
      <c r="AC148" s="136" t="n">
        <f aca="false">AC140+AC141+AC142+AC144+AC145+AC146+AC147</f>
        <v>2.06294197801212</v>
      </c>
      <c r="AD148" s="136" t="n">
        <f aca="false">AD140+AD141+AD142+AD144+AD145+AD146+AD147</f>
        <v>2.03336030626117</v>
      </c>
      <c r="AE148" s="136" t="n">
        <f aca="false">AE140+AE141+AE142+AE144+AE145+AE146+AE147</f>
        <v>2.00186551521418</v>
      </c>
      <c r="AF148" s="136" t="n">
        <f aca="false">AF140+AF141+AF142+AF144+AF145+AF146+AF147</f>
        <v>1.9684525431702</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-74.9602655252644</v>
      </c>
      <c r="G149" s="138" t="n">
        <f aca="false">F149+G148</f>
        <v>-93.3141867754437</v>
      </c>
      <c r="H149" s="138" t="n">
        <f aca="false">G149+H148</f>
        <v>-111.696439173941</v>
      </c>
      <c r="I149" s="138" t="n">
        <f aca="false">H149+I148</f>
        <v>-130.104942462569</v>
      </c>
      <c r="J149" s="138" t="n">
        <f aca="false">I149+J148</f>
        <v>-148.53775338935</v>
      </c>
      <c r="K149" s="138" t="n">
        <f aca="false">J149+K148</f>
        <v>-166.99305689814</v>
      </c>
      <c r="L149" s="138" t="n">
        <f aca="false">K149+L148</f>
        <v>-185.469287846794</v>
      </c>
      <c r="M149" s="138" t="n">
        <f aca="false">L149+M148</f>
        <v>-183.231705546442</v>
      </c>
      <c r="N149" s="138" t="n">
        <f aca="false">M149+N148</f>
        <v>-180.939609715901</v>
      </c>
      <c r="O149" s="138" t="n">
        <f aca="false">N149+O148</f>
        <v>-178.670901376142</v>
      </c>
      <c r="P149" s="138" t="n">
        <f aca="false">O149+P148</f>
        <v>-176.403125953606</v>
      </c>
      <c r="Q149" s="138" t="n">
        <f aca="false">P149+Q148</f>
        <v>-174.138306785462</v>
      </c>
      <c r="R149" s="138" t="n">
        <f aca="false">Q149+R148</f>
        <v>-171.878755171241</v>
      </c>
      <c r="S149" s="138" t="n">
        <f aca="false">R149+S148</f>
        <v>-169.626731350045</v>
      </c>
      <c r="T149" s="138" t="n">
        <f aca="false">S149+T148</f>
        <v>-167.38445564975</v>
      </c>
      <c r="U149" s="138" t="n">
        <f aca="false">T149+U148</f>
        <v>-165.154112748021</v>
      </c>
      <c r="V149" s="138" t="n">
        <f aca="false">U149+V148</f>
        <v>-162.937855896749</v>
      </c>
      <c r="W149" s="138" t="n">
        <f aca="false">V149+W148</f>
        <v>-160.737675540648</v>
      </c>
      <c r="X149" s="138" t="n">
        <f aca="false">W149+X148</f>
        <v>-158.555539251373</v>
      </c>
      <c r="Y149" s="138" t="n">
        <f aca="false">X149+Y148</f>
        <v>-156.39339544883</v>
      </c>
      <c r="Z149" s="138" t="n">
        <f aca="false">Y149+Z148</f>
        <v>-154.253176894826</v>
      </c>
      <c r="AA149" s="138" t="n">
        <f aca="false">Z149+AA148</f>
        <v>-152.13680402378</v>
      </c>
      <c r="AB149" s="138" t="n">
        <f aca="false">AA149+AB148</f>
        <v>-150.046191078624</v>
      </c>
      <c r="AC149" s="138" t="n">
        <f aca="false">AB149+AC148</f>
        <v>-147.983249100612</v>
      </c>
      <c r="AD149" s="138" t="n">
        <f aca="false">AC149+AD148</f>
        <v>-145.949888794351</v>
      </c>
      <c r="AE149" s="138" t="n">
        <f aca="false">AD149+AE148</f>
        <v>-143.948023279137</v>
      </c>
      <c r="AF149" s="138" t="n">
        <f aca="false">AE149+AF148</f>
        <v>-141.979570735966</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35.1038595527686</v>
      </c>
      <c r="E153" s="116" t="n">
        <f aca="false">E120</f>
        <v>53.0720061406802</v>
      </c>
      <c r="F153" s="116" t="n">
        <f aca="false">F120</f>
        <v>61.8615311429605</v>
      </c>
      <c r="G153" s="116" t="n">
        <f aca="false">G120</f>
        <v>72.8447858473724</v>
      </c>
      <c r="H153" s="116" t="n">
        <f aca="false">H120</f>
        <v>85.489047213793</v>
      </c>
      <c r="I153" s="116" t="n">
        <f aca="false">I120</f>
        <v>99.8859200684854</v>
      </c>
      <c r="J153" s="116" t="n">
        <f aca="false">J120</f>
        <v>115.612055639854</v>
      </c>
      <c r="K153" s="116" t="n">
        <f aca="false">K120</f>
        <v>132.626319710305</v>
      </c>
      <c r="L153" s="116" t="n">
        <f aca="false">L120</f>
        <v>149.676541722361</v>
      </c>
      <c r="M153" s="116" t="n">
        <f aca="false">M120</f>
        <v>149.344933949558</v>
      </c>
      <c r="N153" s="116" t="n">
        <f aca="false">N120</f>
        <v>150.995647108463</v>
      </c>
      <c r="O153" s="116" t="n">
        <f aca="false">O120</f>
        <v>152.982960266457</v>
      </c>
      <c r="P153" s="116" t="n">
        <f aca="false">P120</f>
        <v>154.300415339116</v>
      </c>
      <c r="Q153" s="116" t="n">
        <f aca="false">Q120</f>
        <v>155.464886594235</v>
      </c>
      <c r="R153" s="116" t="n">
        <f aca="false">R120</f>
        <v>156.67025208975</v>
      </c>
      <c r="S153" s="116" t="n">
        <f aca="false">S120</f>
        <v>157.91163993643</v>
      </c>
      <c r="T153" s="116" t="n">
        <f aca="false">T120</f>
        <v>159.189902862269</v>
      </c>
      <c r="U153" s="116" t="n">
        <f aca="false">U120</f>
        <v>160.505634369716</v>
      </c>
      <c r="V153" s="116" t="n">
        <f aca="false">V120</f>
        <v>161.859438668867</v>
      </c>
      <c r="W153" s="116" t="n">
        <f aca="false">W120</f>
        <v>163.254208927265</v>
      </c>
      <c r="X153" s="116" t="n">
        <f aca="false">X120</f>
        <v>164.691150314053</v>
      </c>
      <c r="Y153" s="116" t="n">
        <f aca="false">Y120</f>
        <v>166.17124717719</v>
      </c>
      <c r="Z153" s="116" t="n">
        <f aca="false">Z120</f>
        <v>167.695183979383</v>
      </c>
      <c r="AA153" s="116" t="n">
        <f aca="false">AA120</f>
        <v>169.263668950392</v>
      </c>
      <c r="AB153" s="116" t="n">
        <f aca="false">AB120</f>
        <v>170.877384922935</v>
      </c>
      <c r="AC153" s="116" t="n">
        <f aca="false">AC120</f>
        <v>172.537027474988</v>
      </c>
      <c r="AD153" s="116" t="n">
        <f aca="false">AD120</f>
        <v>174.243310534169</v>
      </c>
      <c r="AE153" s="116" t="n">
        <f aca="false">AE120</f>
        <v>175.996973655624</v>
      </c>
      <c r="AF153" s="116" t="n">
        <f aca="false">AF120</f>
        <v>177.798782171659</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8.74497890063019</v>
      </c>
      <c r="M154" s="116" t="n">
        <f aca="false">M104</f>
        <v>9.06048979389419</v>
      </c>
      <c r="N154" s="116" t="n">
        <f aca="false">N104</f>
        <v>9.37996079698507</v>
      </c>
      <c r="O154" s="116" t="n">
        <f aca="false">O104</f>
        <v>9.68077324391857</v>
      </c>
      <c r="P154" s="116" t="n">
        <f aca="false">P104</f>
        <v>9.91853286752615</v>
      </c>
      <c r="Q154" s="116" t="n">
        <f aca="false">Q104</f>
        <v>10.1582175572632</v>
      </c>
      <c r="R154" s="116" t="n">
        <f aca="false">R104</f>
        <v>10.3972396692622</v>
      </c>
      <c r="S154" s="116" t="n">
        <f aca="false">S104</f>
        <v>10.6358238084724</v>
      </c>
      <c r="T154" s="116" t="n">
        <f aca="false">T104</f>
        <v>10.8743561961114</v>
      </c>
      <c r="U154" s="116" t="n">
        <f aca="false">U104</f>
        <v>11.1132153385533</v>
      </c>
      <c r="V154" s="116" t="n">
        <f aca="false">V104</f>
        <v>11.3527778883732</v>
      </c>
      <c r="W154" s="116" t="n">
        <f aca="false">W104</f>
        <v>11.5899479114856</v>
      </c>
      <c r="X154" s="116" t="n">
        <f aca="false">X104</f>
        <v>11.825119604741</v>
      </c>
      <c r="Y154" s="116" t="n">
        <f aca="false">Y104</f>
        <v>12.0586901662688</v>
      </c>
      <c r="Z154" s="116" t="n">
        <f aca="false">Z104</f>
        <v>12.291059087107</v>
      </c>
      <c r="AA154" s="116" t="n">
        <f aca="false">AA104</f>
        <v>12.5226287485213</v>
      </c>
      <c r="AB154" s="116" t="n">
        <f aca="false">AB104</f>
        <v>12.7538807932131</v>
      </c>
      <c r="AC154" s="116" t="n">
        <f aca="false">AC104</f>
        <v>12.9852995894298</v>
      </c>
      <c r="AD154" s="116" t="n">
        <f aca="false">AD104</f>
        <v>13.2173728725431</v>
      </c>
      <c r="AE154" s="116" t="n">
        <f aca="false">AE104</f>
        <v>13.4505923979837</v>
      </c>
      <c r="AF154" s="116" t="n">
        <f aca="false">AF104</f>
        <v>13.6854545779078</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89.3239159395288</v>
      </c>
      <c r="L155" s="116" t="n">
        <f aca="false">L70+L121-L227</f>
        <v>98.1093069913369</v>
      </c>
      <c r="M155" s="116" t="n">
        <f aca="false">M70+M121-M227</f>
        <v>104.007155099332</v>
      </c>
      <c r="N155" s="116" t="n">
        <f aca="false">N70+N121-N227</f>
        <v>110.037193172532</v>
      </c>
      <c r="O155" s="116" t="n">
        <f aca="false">O70+O121-O227</f>
        <v>116.203561717018</v>
      </c>
      <c r="P155" s="116" t="n">
        <f aca="false">P70+P121-P227</f>
        <v>122.320127093209</v>
      </c>
      <c r="Q155" s="116" t="n">
        <f aca="false">Q70+Q121-Q227</f>
        <v>128.377070634612</v>
      </c>
      <c r="R155" s="116" t="n">
        <f aca="false">R70+R121-R227</f>
        <v>134.386208791589</v>
      </c>
      <c r="S155" s="116" t="n">
        <f aca="false">S70+S121-S227</f>
        <v>140.365737777672</v>
      </c>
      <c r="T155" s="116" t="n">
        <f aca="false">T70+T121-T227</f>
        <v>146.333459925976</v>
      </c>
      <c r="U155" s="116" t="n">
        <f aca="false">U70+U121-U227</f>
        <v>152.307017664594</v>
      </c>
      <c r="V155" s="116" t="n">
        <f aca="false">V70+V121-V227</f>
        <v>158.303920632966</v>
      </c>
      <c r="W155" s="116" t="n">
        <f aca="false">W70+W121-W227</f>
        <v>164.341750572552</v>
      </c>
      <c r="X155" s="116" t="n">
        <f aca="false">X70+X121-X227</f>
        <v>170.438110144791</v>
      </c>
      <c r="Y155" s="116" t="n">
        <f aca="false">Y70+Y121-Y227</f>
        <v>176.610593610436</v>
      </c>
      <c r="Z155" s="116" t="n">
        <f aca="false">Z70+Z121-Z227</f>
        <v>182.876809671554</v>
      </c>
      <c r="AA155" s="116" t="n">
        <f aca="false">AA70+AA121-AA227</f>
        <v>189.254399974225</v>
      </c>
      <c r="AB155" s="116" t="n">
        <f aca="false">AB70+AB121-AB227</f>
        <v>195.761063835568</v>
      </c>
      <c r="AC155" s="116" t="n">
        <f aca="false">AC70+AC121-AC227</f>
        <v>202.414583842352</v>
      </c>
      <c r="AD155" s="116" t="n">
        <f aca="false">AD70+AD121-AD227</f>
        <v>209.232851867672</v>
      </c>
      <c r="AE155" s="116" t="n">
        <f aca="false">AE70+AE121-AE227</f>
        <v>216.233894402419</v>
      </c>
      <c r="AF155" s="116" t="n">
        <f aca="false">AF70+AF121-AF227</f>
        <v>223.435897345849</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79.95545280556</v>
      </c>
      <c r="E156" s="136" t="n">
        <f aca="false">SUM(E152:E155)+E187</f>
        <v>120.991004323071</v>
      </c>
      <c r="F156" s="136" t="n">
        <f aca="false">SUM(F152:F155)+F187</f>
        <v>209.017221261074</v>
      </c>
      <c r="G156" s="136" t="n">
        <f aca="false">SUM(G152:G155)+G187</f>
        <v>251.029805243165</v>
      </c>
      <c r="H156" s="136" t="n">
        <f aca="false">SUM(H152:H155)+H187</f>
        <v>286.734520809523</v>
      </c>
      <c r="I156" s="136" t="n">
        <f aca="false">SUM(I152:I155)+I187</f>
        <v>324.582149440378</v>
      </c>
      <c r="J156" s="136" t="n">
        <f aca="false">SUM(J152:J155)+J187</f>
        <v>364.158038396588</v>
      </c>
      <c r="K156" s="136" t="n">
        <f aca="false">SUM(K152:K155)+K187</f>
        <v>405.513251389247</v>
      </c>
      <c r="L156" s="136" t="n">
        <f aca="false">SUM(L152:L155)+L187</f>
        <v>448.702200436235</v>
      </c>
      <c r="M156" s="136" t="n">
        <f aca="false">SUM(M152:M155)+M187</f>
        <v>469.810278066891</v>
      </c>
      <c r="N156" s="136" t="n">
        <f aca="false">SUM(N152:N155)+N187</f>
        <v>482.580647384242</v>
      </c>
      <c r="O156" s="136" t="n">
        <f aca="false">SUM(O152:O155)+O187</f>
        <v>495.915001998699</v>
      </c>
      <c r="P156" s="136" t="n">
        <f aca="false">SUM(P152:P155)+P187</f>
        <v>508.578879326897</v>
      </c>
      <c r="Q156" s="136" t="n">
        <f aca="false">SUM(Q152:Q155)+Q187</f>
        <v>521.146894305779</v>
      </c>
      <c r="R156" s="136" t="n">
        <f aca="false">SUM(R152:R155)+R187</f>
        <v>533.82479461922</v>
      </c>
      <c r="S156" s="136" t="n">
        <f aca="false">SUM(S152:S155)+S187</f>
        <v>546.628830754773</v>
      </c>
      <c r="T156" s="136" t="n">
        <f aca="false">SUM(T152:T155)+T187</f>
        <v>559.580807688895</v>
      </c>
      <c r="U156" s="136" t="n">
        <f aca="false">SUM(U152:U155)+U187</f>
        <v>572.702167117606</v>
      </c>
      <c r="V156" s="136" t="n">
        <f aca="false">SUM(V152:V155)+V187</f>
        <v>586.014291829079</v>
      </c>
      <c r="W156" s="136" t="n">
        <f aca="false">SUM(W152:W155)+W187</f>
        <v>599.537519606869</v>
      </c>
      <c r="X156" s="136" t="n">
        <f aca="false">SUM(X152:X155)+X187</f>
        <v>613.294079339649</v>
      </c>
      <c r="Y156" s="136" t="n">
        <f aca="false">SUM(Y152:Y155)+Y187</f>
        <v>627.306043313309</v>
      </c>
      <c r="Z156" s="136" t="n">
        <f aca="false">SUM(Z152:Z155)+Z187</f>
        <v>641.595271881724</v>
      </c>
      <c r="AA156" s="136" t="n">
        <f aca="false">SUM(AA152:AA155)+AA187</f>
        <v>656.183757857123</v>
      </c>
      <c r="AB156" s="136" t="n">
        <f aca="false">SUM(AB152:AB155)+AB187</f>
        <v>671.093680119932</v>
      </c>
      <c r="AC156" s="136" t="n">
        <f aca="false">SUM(AC152:AC155)+AC187</f>
        <v>686.347392538055</v>
      </c>
      <c r="AD156" s="136" t="n">
        <f aca="false">SUM(AD152:AD155)+AD187</f>
        <v>701.967457983189</v>
      </c>
      <c r="AE156" s="136" t="n">
        <f aca="false">SUM(AE152:AE155)+AE187</f>
        <v>717.976683387134</v>
      </c>
      <c r="AF156" s="136" t="n">
        <f aca="false">SUM(AF152:AF155)+AF187</f>
        <v>734.398147153938</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336.880656775944</v>
      </c>
      <c r="L157" s="116" t="n">
        <f aca="false">L69+L80+L121</f>
        <v>351.261170508469</v>
      </c>
      <c r="M157" s="116" t="n">
        <f aca="false">M69+M80+M121</f>
        <v>365.044536095607</v>
      </c>
      <c r="N157" s="116" t="n">
        <f aca="false">N69+N80+N121</f>
        <v>377.904175166834</v>
      </c>
      <c r="O157" s="116" t="n">
        <f aca="false">O69+O80+O121</f>
        <v>390.020760532206</v>
      </c>
      <c r="P157" s="116" t="n">
        <f aca="false">P69+P80+P121</f>
        <v>399.428231716992</v>
      </c>
      <c r="Q157" s="116" t="n">
        <f aca="false">Q69+Q80+Q121</f>
        <v>408.902003294476</v>
      </c>
      <c r="R157" s="116" t="n">
        <f aca="false">R69+R80+R121</f>
        <v>418.360188304488</v>
      </c>
      <c r="S157" s="116" t="n">
        <f aca="false">S69+S80+S121</f>
        <v>427.818134032707</v>
      </c>
      <c r="T157" s="116" t="n">
        <f aca="false">T69+T80+T121</f>
        <v>437.290878409667</v>
      </c>
      <c r="U157" s="116" t="n">
        <f aca="false">U69+U80+U121</f>
        <v>446.7933843759</v>
      </c>
      <c r="V157" s="116" t="n">
        <f aca="false">V69+V80+V121</f>
        <v>456.340567455</v>
      </c>
      <c r="W157" s="116" t="n">
        <f aca="false">W69+W80+W121</f>
        <v>465.80864420351</v>
      </c>
      <c r="X157" s="116" t="n">
        <f aca="false">X69+X80+X121</f>
        <v>475.213384831807</v>
      </c>
      <c r="Y157" s="116" t="n">
        <f aca="false">Y69+Y80+Y121</f>
        <v>484.570649868614</v>
      </c>
      <c r="Z157" s="116" t="n">
        <f aca="false">Z69+Z80+Z121</f>
        <v>493.896413977981</v>
      </c>
      <c r="AA157" s="116" t="n">
        <f aca="false">AA69+AA80+AA121</f>
        <v>503.206785501501</v>
      </c>
      <c r="AB157" s="116" t="n">
        <f aca="false">AB69+AB80+AB121</f>
        <v>512.521067519429</v>
      </c>
      <c r="AC157" s="116" t="n">
        <f aca="false">AC69+AC80+AC121</f>
        <v>521.858697274735</v>
      </c>
      <c r="AD157" s="116" t="n">
        <f aca="false">AD69+AD80+AD121</f>
        <v>531.239272242056</v>
      </c>
      <c r="AE157" s="116" t="n">
        <f aca="false">AE69+AE80+AE121</f>
        <v>540.682575547197</v>
      </c>
      <c r="AF157" s="116" t="n">
        <f aca="false">AF69+AF80+AF121</f>
        <v>550.208600879881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187.652339662692</v>
      </c>
      <c r="M159" s="116" t="n">
        <f aca="false">M72</f>
        <v>201.492878723063</v>
      </c>
      <c r="N159" s="116" t="n">
        <f aca="false">N72</f>
        <v>206.829277243367</v>
      </c>
      <c r="O159" s="116" t="n">
        <f aca="false">O72</f>
        <v>212.558232271394</v>
      </c>
      <c r="P159" s="116" t="n">
        <f aca="false">P72</f>
        <v>217.630537405409</v>
      </c>
      <c r="Q159" s="116" t="n">
        <f aca="false">Q72</f>
        <v>222.629726854445</v>
      </c>
      <c r="R159" s="116" t="n">
        <f aca="false">R72</f>
        <v>227.748809972758</v>
      </c>
      <c r="S159" s="116" t="n">
        <f aca="false">S72</f>
        <v>232.98489610812</v>
      </c>
      <c r="T159" s="116" t="n">
        <f aca="false">T72</f>
        <v>238.341019354479</v>
      </c>
      <c r="U159" s="116" t="n">
        <f aca="false">U72</f>
        <v>243.819986216626</v>
      </c>
      <c r="V159" s="116" t="n">
        <f aca="false">V72</f>
        <v>249.424652261082</v>
      </c>
      <c r="W159" s="116" t="n">
        <f aca="false">W72</f>
        <v>255.156730508175</v>
      </c>
      <c r="X159" s="116" t="n">
        <f aca="false">X72</f>
        <v>261.019778087828</v>
      </c>
      <c r="Y159" s="116" t="n">
        <f aca="false">Y72</f>
        <v>267.017177200432</v>
      </c>
      <c r="Z159" s="116" t="n">
        <f aca="false">Z72</f>
        <v>273.152056277433</v>
      </c>
      <c r="AA159" s="116" t="n">
        <f aca="false">AA72</f>
        <v>279.427615184108</v>
      </c>
      <c r="AB159" s="116" t="n">
        <f aca="false">AB72</f>
        <v>285.847153400369</v>
      </c>
      <c r="AC159" s="116" t="n">
        <f aca="false">AC72</f>
        <v>292.414032621873</v>
      </c>
      <c r="AD159" s="116" t="n">
        <f aca="false">AD72</f>
        <v>299.131684022107</v>
      </c>
      <c r="AE159" s="116" t="n">
        <f aca="false">AE72</f>
        <v>306.003617221235</v>
      </c>
      <c r="AF159" s="116" t="n">
        <f aca="false">AF72</f>
        <v>313.033422132787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507.964694653947</v>
      </c>
      <c r="L160" s="136" t="n">
        <f aca="false">SUM(L157:L159)</f>
        <v>538.913510171161</v>
      </c>
      <c r="M160" s="136" t="n">
        <f aca="false">SUM(M157:M159)</f>
        <v>566.53741481867</v>
      </c>
      <c r="N160" s="136" t="n">
        <f aca="false">SUM(N157:N159)</f>
        <v>584.733452410201</v>
      </c>
      <c r="O160" s="136" t="n">
        <f aca="false">SUM(O157:O159)</f>
        <v>602.578992803601</v>
      </c>
      <c r="P160" s="136" t="n">
        <f aca="false">SUM(P157:P159)</f>
        <v>617.058769122401</v>
      </c>
      <c r="Q160" s="136" t="n">
        <f aca="false">SUM(Q157:Q159)</f>
        <v>631.531730148921</v>
      </c>
      <c r="R160" s="136" t="n">
        <f aca="false">SUM(R157:R159)</f>
        <v>646.108998277246</v>
      </c>
      <c r="S160" s="136" t="n">
        <f aca="false">SUM(S157:S159)</f>
        <v>660.803030140827</v>
      </c>
      <c r="T160" s="136" t="n">
        <f aca="false">SUM(T157:T159)</f>
        <v>675.631897764146</v>
      </c>
      <c r="U160" s="136" t="n">
        <f aca="false">SUM(U157:U159)</f>
        <v>690.613370592526</v>
      </c>
      <c r="V160" s="136" t="n">
        <f aca="false">SUM(V157:V159)</f>
        <v>705.765219716081</v>
      </c>
      <c r="W160" s="136" t="n">
        <f aca="false">SUM(W157:W159)</f>
        <v>720.965374711685</v>
      </c>
      <c r="X160" s="136" t="n">
        <f aca="false">SUM(X157:X159)</f>
        <v>736.233162919635</v>
      </c>
      <c r="Y160" s="136" t="n">
        <f aca="false">SUM(Y157:Y159)</f>
        <v>751.587827069046</v>
      </c>
      <c r="Z160" s="136" t="n">
        <f aca="false">SUM(Z157:Z159)</f>
        <v>767.048470255414</v>
      </c>
      <c r="AA160" s="136" t="n">
        <f aca="false">SUM(AA157:AA159)</f>
        <v>782.634400685609</v>
      </c>
      <c r="AB160" s="136" t="n">
        <f aca="false">SUM(AB157:AB159)</f>
        <v>798.368220919799</v>
      </c>
      <c r="AC160" s="136" t="n">
        <f aca="false">SUM(AC157:AC159)</f>
        <v>814.272729896608</v>
      </c>
      <c r="AD160" s="136" t="n">
        <f aca="false">SUM(AD157:AD159)</f>
        <v>830.370956264163</v>
      </c>
      <c r="AE160" s="136" t="n">
        <f aca="false">SUM(AE157:AE159)</f>
        <v>846.686192768432</v>
      </c>
      <c r="AF160" s="136" t="n">
        <f aca="false">SUM(AF157:AF159)</f>
        <v>863.242023012668</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-58.2803884221606</v>
      </c>
      <c r="E161" s="138" t="n">
        <f aca="false">E156-E160</f>
        <v>-72.8220340547052</v>
      </c>
      <c r="F161" s="138" t="n">
        <f aca="false">F156-F160</f>
        <v>-150.53882087251</v>
      </c>
      <c r="G161" s="138" t="n">
        <f aca="false">G156-G160</f>
        <v>-143.453546630034</v>
      </c>
      <c r="H161" s="138" t="n">
        <f aca="false">H156-H160</f>
        <v>-135.14560929965</v>
      </c>
      <c r="I161" s="138" t="n">
        <f aca="false">I156-I160</f>
        <v>-125.563981380522</v>
      </c>
      <c r="J161" s="138" t="n">
        <f aca="false">J156-J160</f>
        <v>-114.652485747762</v>
      </c>
      <c r="K161" s="138" t="n">
        <f aca="false">K156-K160</f>
        <v>-102.4514432647</v>
      </c>
      <c r="L161" s="138" t="n">
        <f aca="false">L156-L160</f>
        <v>-90.2113097349264</v>
      </c>
      <c r="M161" s="138" t="n">
        <f aca="false">M156-M160</f>
        <v>-96.7271367517795</v>
      </c>
      <c r="N161" s="138" t="n">
        <f aca="false">N156-N160</f>
        <v>-102.152805025959</v>
      </c>
      <c r="O161" s="138" t="n">
        <f aca="false">O156-O160</f>
        <v>-106.663990804902</v>
      </c>
      <c r="P161" s="138" t="n">
        <f aca="false">P156-P160</f>
        <v>-108.479889795504</v>
      </c>
      <c r="Q161" s="138" t="n">
        <f aca="false">Q156-Q160</f>
        <v>-110.384835843142</v>
      </c>
      <c r="R161" s="138" t="n">
        <f aca="false">R156-R160</f>
        <v>-112.284203658026</v>
      </c>
      <c r="S161" s="138" t="n">
        <f aca="false">S156-S160</f>
        <v>-114.174199386054</v>
      </c>
      <c r="T161" s="138" t="n">
        <f aca="false">T156-T160</f>
        <v>-116.051090075251</v>
      </c>
      <c r="U161" s="138" t="n">
        <f aca="false">U156-U160</f>
        <v>-117.911203474919</v>
      </c>
      <c r="V161" s="138" t="n">
        <f aca="false">V156-V160</f>
        <v>-119.750927887003</v>
      </c>
      <c r="W161" s="138" t="n">
        <f aca="false">W156-W160</f>
        <v>-121.427855104817</v>
      </c>
      <c r="X161" s="138" t="n">
        <f aca="false">X156-X160</f>
        <v>-122.939083579986</v>
      </c>
      <c r="Y161" s="138" t="n">
        <f aca="false">Y156-Y160</f>
        <v>-124.281783755737</v>
      </c>
      <c r="Z161" s="138" t="n">
        <f aca="false">Z156-Z160</f>
        <v>-125.45319837369</v>
      </c>
      <c r="AA161" s="138" t="n">
        <f aca="false">AA156-AA160</f>
        <v>-126.450642828486</v>
      </c>
      <c r="AB161" s="138" t="n">
        <f aca="false">AB156-AB160</f>
        <v>-127.274540799866</v>
      </c>
      <c r="AC161" s="138" t="n">
        <f aca="false">AC156-AC160</f>
        <v>-127.925337358553</v>
      </c>
      <c r="AD161" s="138" t="n">
        <f aca="false">AD156-AD160</f>
        <v>-128.403498280974</v>
      </c>
      <c r="AE161" s="138" t="n">
        <f aca="false">AE156-AE160</f>
        <v>-128.709509381298</v>
      </c>
      <c r="AF161" s="138" t="n">
        <f aca="false">AF156-AF160</f>
        <v>-128.84387585873</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-58.2803884221606</v>
      </c>
      <c r="E163" s="116" t="n">
        <f aca="false">D163+E53+E56+E58+E118+E119+E60+E113+E101-E115-E162</f>
        <v>-72.8220340547052</v>
      </c>
      <c r="F163" s="116" t="n">
        <f aca="false">E163+F53+F56+F58+F118+F119+F60+F113+F101-F115-F162</f>
        <v>-150.53882087251</v>
      </c>
      <c r="G163" s="116" t="n">
        <f aca="false">F163+G53+G56+G58+G118+G119+G60+G113+G101-G115-G162</f>
        <v>-143.453546630034</v>
      </c>
      <c r="H163" s="116" t="n">
        <f aca="false">G163+H53+H56+H58+H118+H119+H60+H113+H101-H115-H162</f>
        <v>-135.14560929965</v>
      </c>
      <c r="I163" s="116" t="n">
        <f aca="false">H163+I53+I56+I58+I118+I119+I60+I113+I101-I115-I162</f>
        <v>-125.563981380522</v>
      </c>
      <c r="J163" s="116" t="n">
        <f aca="false">I163+J53+J56+J58+J118+J119+J60+J113+J101-J115-J162</f>
        <v>-114.652485747762</v>
      </c>
      <c r="K163" s="116" t="n">
        <f aca="false">J163+K53+K56+K58+K118+K119+K60+K113+K101-K115-K162</f>
        <v>-102.4514432647</v>
      </c>
      <c r="L163" s="116" t="n">
        <f aca="false">K163+L53+L56+L58+L118+L119+L60+L113+L101-L115-L162</f>
        <v>-90.2113097349265</v>
      </c>
      <c r="M163" s="116" t="n">
        <f aca="false">L163+M53+M56+M58+M118+M119+M60+M113+M101-M115-M162</f>
        <v>-96.7271367517796</v>
      </c>
      <c r="N163" s="116" t="n">
        <f aca="false">M163+N53+N56+N58+N118+N119+N60+N113+N101-N115-N162</f>
        <v>-102.152805025959</v>
      </c>
      <c r="O163" s="116" t="n">
        <f aca="false">N163+O53+O56+O58+O118+O119+O60+O113+O101-O115-O162</f>
        <v>-106.663990804902</v>
      </c>
      <c r="P163" s="116" t="n">
        <f aca="false">O163+P53+P56+P58+P118+P119+P60+P113+P101-P115-P162</f>
        <v>-108.479889795505</v>
      </c>
      <c r="Q163" s="116" t="n">
        <f aca="false">P163+Q53+Q56+Q58+Q118+Q119+Q60+Q113+Q101-Q115-Q162</f>
        <v>-110.384835843142</v>
      </c>
      <c r="R163" s="116" t="n">
        <f aca="false">Q163+R53+R56+R58+R118+R119+R60+R113+R101-R115-R162</f>
        <v>-112.284203658026</v>
      </c>
      <c r="S163" s="116" t="n">
        <f aca="false">R163+S53+S56+S58+S118+S119+S60+S113+S101-S115-S162</f>
        <v>-114.174199386055</v>
      </c>
      <c r="T163" s="116" t="n">
        <f aca="false">S163+T53+T56+T58+T118+T119+T60+T113+T101-T115-T162</f>
        <v>-116.051090075251</v>
      </c>
      <c r="U163" s="116" t="n">
        <f aca="false">T163+U53+U56+U58+U118+U119+U60+U113+U101-U115-U162</f>
        <v>-117.911203474919</v>
      </c>
      <c r="V163" s="116" t="n">
        <f aca="false">U163+V53+V56+V58+V118+V119+V60+V113+V101-V115-V162</f>
        <v>-119.750927887003</v>
      </c>
      <c r="W163" s="116" t="n">
        <f aca="false">V163+W53+W56+W58+W118+W119+W60+W113+W101-W115-W162</f>
        <v>-121.427855104817</v>
      </c>
      <c r="X163" s="116" t="n">
        <f aca="false">W163+X53+X56+X58+X118+X119+X60+X113+X101-X115-X162</f>
        <v>-122.939083579986</v>
      </c>
      <c r="Y163" s="116" t="n">
        <f aca="false">X163+Y53+Y56+Y58+Y118+Y119+Y60+Y113+Y101-Y115-Y162</f>
        <v>-124.281783755737</v>
      </c>
      <c r="Z163" s="116" t="n">
        <f aca="false">Y163+Z53+Z56+Z58+Z118+Z119+Z60+Z113+Z101-Z115-Z162</f>
        <v>-125.45319837369</v>
      </c>
      <c r="AA163" s="116" t="n">
        <f aca="false">Z163+AA53+AA56+AA58+AA118+AA119+AA60+AA113+AA101-AA115-AA162</f>
        <v>-126.450642828486</v>
      </c>
      <c r="AB163" s="116" t="n">
        <f aca="false">AA163+AB53+AB56+AB58+AB118+AB119+AB60+AB113+AB101-AB115-AB162</f>
        <v>-127.274540799866</v>
      </c>
      <c r="AC163" s="116" t="n">
        <f aca="false">AB163+AC53+AC56+AC58+AC118+AC119+AC60+AC113+AC101-AC115-AC162</f>
        <v>-127.925337358553</v>
      </c>
      <c r="AD163" s="116" t="n">
        <f aca="false">AC163+AD53+AD56+AD58+AD118+AD119+AD60+AD113+AD101-AD115-AD162</f>
        <v>-128.403498280974</v>
      </c>
      <c r="AE163" s="116" t="n">
        <f aca="false">AD163+AE53+AE56+AE58+AE118+AE119+AE60+AE113+AE101-AE115-AE162</f>
        <v>-128.709509381298</v>
      </c>
      <c r="AF163" s="116" t="n">
        <f aca="false">AE163+AF53+AF56+AF58+AF118+AF119+AF60+AF113+AF101-AF115-AF162</f>
        <v>-128.84387585873</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-78.2974655252644</v>
      </c>
      <c r="G192" s="142" t="n">
        <f aca="false">G149-SUM($C$191:G191)</f>
        <v>-98.8761867754437</v>
      </c>
      <c r="H192" s="142" t="n">
        <f aca="false">H149-SUM($C$191:H191)</f>
        <v>-120.039439173941</v>
      </c>
      <c r="I192" s="142" t="n">
        <f aca="false">I149-SUM($C$191:I191)</f>
        <v>-141.785142462569</v>
      </c>
      <c r="J192" s="142" t="n">
        <f aca="false">J149-SUM($C$191:J191)</f>
        <v>-164.11135338935</v>
      </c>
      <c r="K192" s="142" t="n">
        <f aca="false">K149-SUM($C$191:K191)</f>
        <v>-187.01625689814</v>
      </c>
      <c r="L192" s="142" t="n">
        <f aca="false">L149-SUM($C$191:L191)</f>
        <v>-210.498287846794</v>
      </c>
      <c r="M192" s="142" t="n">
        <f aca="false">M149-SUM($C$191:M191)</f>
        <v>-213.822705546442</v>
      </c>
      <c r="N192" s="142" t="n">
        <f aca="false">N149-SUM($C$191:N191)</f>
        <v>-217.092609715901</v>
      </c>
      <c r="O192" s="142" t="n">
        <f aca="false">O149-SUM($C$191:O191)</f>
        <v>-220.385901376142</v>
      </c>
      <c r="P192" s="142" t="n">
        <f aca="false">P149-SUM($C$191:P191)</f>
        <v>-223.680125953606</v>
      </c>
      <c r="Q192" s="142" t="n">
        <f aca="false">Q149-SUM($C$191:Q191)</f>
        <v>-226.977306785462</v>
      </c>
      <c r="R192" s="142" t="n">
        <f aca="false">R149-SUM($C$191:R191)</f>
        <v>-230.279755171241</v>
      </c>
      <c r="S192" s="142" t="n">
        <f aca="false">S149-SUM($C$191:S191)</f>
        <v>-233.589731350045</v>
      </c>
      <c r="T192" s="142" t="n">
        <f aca="false">T149-SUM($C$191:T191)</f>
        <v>-236.90945564975</v>
      </c>
      <c r="U192" s="142" t="n">
        <f aca="false">U149-SUM($C$191:U191)</f>
        <v>-240.241112748021</v>
      </c>
      <c r="V192" s="142" t="n">
        <f aca="false">V149-SUM($C$191:V191)</f>
        <v>-243.586855896749</v>
      </c>
      <c r="W192" s="142" t="n">
        <f aca="false">W149-SUM($C$191:W191)</f>
        <v>-246.948675540648</v>
      </c>
      <c r="X192" s="142" t="n">
        <f aca="false">X149-SUM($C$191:X191)</f>
        <v>-250.328539251373</v>
      </c>
      <c r="Y192" s="142" t="n">
        <f aca="false">Y149-SUM($C$191:Y191)</f>
        <v>-253.72839544883</v>
      </c>
      <c r="Z192" s="142" t="n">
        <f aca="false">Z149-SUM($C$191:Z191)</f>
        <v>-257.150176894826</v>
      </c>
      <c r="AA192" s="142" t="n">
        <f aca="false">AA149-SUM($C$191:AA191)</f>
        <v>-260.59580402378</v>
      </c>
      <c r="AB192" s="142" t="n">
        <f aca="false">AB149-SUM($C$191:AB191)</f>
        <v>-264.067191078624</v>
      </c>
      <c r="AC192" s="142" t="n">
        <f aca="false">AC149-SUM($C$191:AC191)</f>
        <v>-267.566249100612</v>
      </c>
      <c r="AD192" s="142" t="n">
        <f aca="false">AD149-SUM($C$191:AD191)</f>
        <v>-271.094888794351</v>
      </c>
      <c r="AE192" s="142" t="n">
        <f aca="false">AE149-SUM($C$191:AE191)</f>
        <v>-274.655023279137</v>
      </c>
      <c r="AF192" s="142" t="n">
        <f aca="false">AF149-SUM($C$191:AF191)</f>
        <v>-278.248570735966</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0.349799156025208</v>
      </c>
      <c r="M221" s="116" t="n">
        <f aca="false">M112</f>
        <v>0.362419591755768</v>
      </c>
      <c r="N221" s="116" t="n">
        <f aca="false">N112</f>
        <v>0.375198431879403</v>
      </c>
      <c r="O221" s="116" t="n">
        <f aca="false">O112</f>
        <v>0.387230929756743</v>
      </c>
      <c r="P221" s="116" t="n">
        <f aca="false">P112</f>
        <v>0.396741314701046</v>
      </c>
      <c r="Q221" s="116" t="n">
        <f aca="false">Q112</f>
        <v>0.406328702290529</v>
      </c>
      <c r="R221" s="116" t="n">
        <f aca="false">R112</f>
        <v>0.415889586770488</v>
      </c>
      <c r="S221" s="116" t="n">
        <f aca="false">S112</f>
        <v>0.425432952338897</v>
      </c>
      <c r="T221" s="116" t="n">
        <f aca="false">T112</f>
        <v>0.434974247844458</v>
      </c>
      <c r="U221" s="116" t="n">
        <f aca="false">U112</f>
        <v>0.444528613542134</v>
      </c>
      <c r="V221" s="116" t="n">
        <f aca="false">V112</f>
        <v>0.454111115534929</v>
      </c>
      <c r="W221" s="116" t="n">
        <f aca="false">W112</f>
        <v>0.463597916459425</v>
      </c>
      <c r="X221" s="116" t="n">
        <f aca="false">X112</f>
        <v>0.473004784189641</v>
      </c>
      <c r="Y221" s="116" t="n">
        <f aca="false">Y112</f>
        <v>0.482347606650751</v>
      </c>
      <c r="Z221" s="116" t="n">
        <f aca="false">Z112</f>
        <v>0.491642363484281</v>
      </c>
      <c r="AA221" s="116" t="n">
        <f aca="false">AA112</f>
        <v>0.500905149940852</v>
      </c>
      <c r="AB221" s="116" t="n">
        <f aca="false">AB112</f>
        <v>0.510155231728525</v>
      </c>
      <c r="AC221" s="116" t="n">
        <f aca="false">AC112</f>
        <v>0.519411983577191</v>
      </c>
      <c r="AD221" s="116" t="n">
        <f aca="false">AD112</f>
        <v>0.528694914901726</v>
      </c>
      <c r="AE221" s="116" t="n">
        <f aca="false">AE112</f>
        <v>0.538023695919348</v>
      </c>
      <c r="AF221" s="116" t="n">
        <f aca="false">AF112</f>
        <v>0.547418183116313</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7.39838392993862</v>
      </c>
      <c r="M222" s="87" t="n">
        <f aca="false">IF(M221&gt;0,M220/M221,0)</f>
        <v>7.53612816243275</v>
      </c>
      <c r="N222" s="87" t="n">
        <f aca="false">IF(N221&gt;0,N220/N221,0)</f>
        <v>7.48647671890607</v>
      </c>
      <c r="O222" s="87" t="n">
        <f aca="false">IF(O221&gt;0,O220/O221,0)</f>
        <v>7.31768765715383</v>
      </c>
      <c r="P222" s="87" t="n">
        <f aca="false">IF(P221&gt;0,P220/P221,0)</f>
        <v>6.68164678788126</v>
      </c>
      <c r="Q222" s="87" t="n">
        <f aca="false">IF(Q221&gt;0,Q220/Q221,0)</f>
        <v>6.10324038070963</v>
      </c>
      <c r="R222" s="87" t="n">
        <f aca="false">IF(R221&gt;0,R220/R221,0)</f>
        <v>5.57836547806344</v>
      </c>
      <c r="S222" s="87" t="n">
        <f aca="false">IF(S221&gt;0,S220/S221,0)</f>
        <v>5.10153558024717</v>
      </c>
      <c r="T222" s="87" t="n">
        <f aca="false">IF(T221&gt;0,T220/T221,0)</f>
        <v>4.66783541054135</v>
      </c>
      <c r="U222" s="87" t="n">
        <f aca="false">IF(U221&gt;0,U220/U221,0)</f>
        <v>4.27293605525467</v>
      </c>
      <c r="V222" s="87" t="n">
        <f aca="false">IF(V221&gt;0,V220/V221,0)</f>
        <v>3.9130105305011</v>
      </c>
      <c r="W222" s="87" t="n">
        <f aca="false">IF(W221&gt;0,W220/W221,0)</f>
        <v>3.58573927611913</v>
      </c>
      <c r="X222" s="87" t="n">
        <f aca="false">IF(X221&gt;0,X220/X221,0)</f>
        <v>3.28777194176873</v>
      </c>
      <c r="Y222" s="87" t="n">
        <f aca="false">IF(Y221&gt;0,Y220/Y221,0)</f>
        <v>3.01615825504195</v>
      </c>
      <c r="Z222" s="87" t="n">
        <f aca="false">IF(Z221&gt;0,Z220/Z221,0)</f>
        <v>2.76829258544398</v>
      </c>
      <c r="AA222" s="87" t="n">
        <f aca="false">IF(AA221&gt;0,AA220/AA221,0)</f>
        <v>2.54186701256118</v>
      </c>
      <c r="AB222" s="87" t="n">
        <f aca="false">IF(AB221&gt;0,AB220/AB221,0)</f>
        <v>2.33481788618025</v>
      </c>
      <c r="AC222" s="87" t="n">
        <f aca="false">IF(AC221&gt;0,AC220/AC221,0)</f>
        <v>2.14531182067987</v>
      </c>
      <c r="AD222" s="87" t="n">
        <f aca="false">IF(AD221&gt;0,AD220/AD221,0)</f>
        <v>1.97171568917599</v>
      </c>
      <c r="AE222" s="87" t="n">
        <f aca="false">IF(AE221&gt;0,AE220/AE221,0)</f>
        <v>1.81257112199963</v>
      </c>
      <c r="AF222" s="87" t="n">
        <f aca="false">IF(AF221&gt;0,AF220/AF221,0)</f>
        <v>1.66657274702371</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2.23814929861778</v>
      </c>
      <c r="M223" s="88" t="n">
        <f aca="false">M220-M221</f>
        <v>2.36882090029225</v>
      </c>
      <c r="N223" s="88" t="n">
        <f aca="false">N220-N221</f>
        <v>2.43371589335581</v>
      </c>
      <c r="O223" s="88" t="n">
        <f aca="false">O220-O221</f>
        <v>2.44640406539237</v>
      </c>
      <c r="P223" s="88" t="n">
        <f aca="false">P220-P221</f>
        <v>2.25414401629099</v>
      </c>
      <c r="Q223" s="88" t="n">
        <f aca="false">Q220-Q221</f>
        <v>2.07359304137037</v>
      </c>
      <c r="R223" s="88" t="n">
        <f aca="false">R220-R221</f>
        <v>1.90409452675607</v>
      </c>
      <c r="S223" s="88" t="n">
        <f aca="false">S220-S221</f>
        <v>1.74492839102759</v>
      </c>
      <c r="T223" s="88" t="n">
        <f aca="false">T220-T221</f>
        <v>1.59541394891749</v>
      </c>
      <c r="U223" s="88" t="n">
        <f aca="false">U220-U221</f>
        <v>1.45491372685442</v>
      </c>
      <c r="V223" s="88" t="n">
        <f aca="false">V220-V221</f>
        <v>1.32283046157085</v>
      </c>
      <c r="W223" s="88" t="n">
        <f aca="false">W220-W221</f>
        <v>1.19874334091613</v>
      </c>
      <c r="X223" s="88" t="n">
        <f aca="false">X220-X221</f>
        <v>1.08212707359143</v>
      </c>
      <c r="Y223" s="88" t="n">
        <f aca="false">Y220-Y221</f>
        <v>0.972489108948641</v>
      </c>
      <c r="Z223" s="88" t="n">
        <f aca="false">Z220-Z221</f>
        <v>0.869367546039408</v>
      </c>
      <c r="AA223" s="88" t="n">
        <f aca="false">AA220-AA221</f>
        <v>0.772329127115809</v>
      </c>
      <c r="AB223" s="88" t="n">
        <f aca="false">AB220-AB221</f>
        <v>0.680964328039664</v>
      </c>
      <c r="AC223" s="88" t="n">
        <f aca="false">AC220-AC221</f>
        <v>0.594888684593735</v>
      </c>
      <c r="AD223" s="88" t="n">
        <f aca="false">AD220-AD221</f>
        <v>0.513741143597574</v>
      </c>
      <c r="AE223" s="88" t="n">
        <f aca="false">AE220-AE221</f>
        <v>0.437182518255575</v>
      </c>
      <c r="AF223" s="88" t="n">
        <f aca="false">AF220-AF221</f>
        <v>0.364894042090568</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0.0353755274227365</v>
      </c>
      <c r="F233" s="1" t="n">
        <f aca="false">IF(E81&gt;0,(F107+F109+F110+F184-F108-F229)/E81,0)</f>
        <v>0.046240631504257</v>
      </c>
      <c r="G233" s="1" t="n">
        <f aca="false">IF(F81&gt;0,(G107+G109+G110+G184-G108-G229)/F81,0)</f>
        <v>0.026948009554355</v>
      </c>
      <c r="H233" s="1" t="n">
        <f aca="false">IF(G81&gt;0,(H107+H109+H110+H184-H108-H229)/G81,0)</f>
        <v>0.0298571010358753</v>
      </c>
      <c r="I233" s="1" t="n">
        <f aca="false">IF(H81&gt;0,(I107+I109+I110+I184-I108-I229)/H81,0)</f>
        <v>0.0327590448602859</v>
      </c>
      <c r="J233" s="1" t="n">
        <f aca="false">IF(I81&gt;0,(J107+J109+J110+J184-J108-J229)/I81,0)</f>
        <v>0.0356649182099065</v>
      </c>
      <c r="K233" s="1" t="n">
        <f aca="false">IF(J81&gt;0,(K107+K109+K110+K184-K108-K229)/J81,0)</f>
        <v>0.0385284326396078</v>
      </c>
      <c r="L233" s="1" t="n">
        <f aca="false">IF(K81&gt;0,(L107+L109+L110+L184-L108-L229)/K81,0)</f>
        <v>0.0413558761980113</v>
      </c>
      <c r="M233" s="1" t="n">
        <f aca="false">IF(L81&gt;0,(M107+M109+M110+M184-M108-M229)/L81,0)</f>
        <v>0.043653601984696</v>
      </c>
      <c r="N233" s="1" t="n">
        <f aca="false">IF(M81&gt;0,(N107+N109+N110+N184-N108-N229)/M81,0)</f>
        <v>0.0430246685756301</v>
      </c>
      <c r="O233" s="1" t="n">
        <f aca="false">IF(N81&gt;0,(O107+O109+O110+O184-O108-O229)/N81,0)</f>
        <v>0.0425743590563347</v>
      </c>
      <c r="P233" s="1" t="n">
        <f aca="false">IF(O81&gt;0,(P107+P109+P110+P184-P108-P229)/O81,0)</f>
        <v>0.0422860112395598</v>
      </c>
      <c r="Q233" s="1" t="n">
        <f aca="false">IF(P81&gt;0,(Q107+Q109+Q110+Q184-Q108-Q229)/P81,0)</f>
        <v>0.042230876760939</v>
      </c>
      <c r="R233" s="1" t="n">
        <f aca="false">IF(Q81&gt;0,(R107+R109+R110+R184-R108-R229)/Q81,0)</f>
        <v>0.0421645317236719</v>
      </c>
      <c r="S233" s="1" t="n">
        <f aca="false">IF(R81&gt;0,(S107+S109+S110+S184-S108-S229)/R81,0)</f>
        <v>0.042115488957316</v>
      </c>
      <c r="T233" s="1" t="n">
        <f aca="false">IF(S81&gt;0,(T107+T109+T110+T184-T108-T229)/S81,0)</f>
        <v>0.0420825293595549</v>
      </c>
      <c r="U233" s="1" t="n">
        <f aca="false">IF(T81&gt;0,(U107+U109+U110+U184-U108-U229)/T81,0)</f>
        <v>0.0420643679241969</v>
      </c>
      <c r="V233" s="1" t="n">
        <f aca="false">IF(U81&gt;0,(V107+V109+V110+V184-V108-V229)/U81,0)</f>
        <v>0.0420598398357212</v>
      </c>
      <c r="W233" s="1" t="n">
        <f aca="false">IF(V81&gt;0,(W107+W109+W110+W184-W108-W229)/V81,0)</f>
        <v>0.0420679515800608</v>
      </c>
      <c r="X233" s="1" t="n">
        <f aca="false">IF(W81&gt;0,(X107+X109+X110+X184-X108-X229)/W81,0)</f>
        <v>0.0421005124325474</v>
      </c>
      <c r="Y233" s="1" t="n">
        <f aca="false">IF(X81&gt;0,(Y107+Y109+Y110+Y184-Y108-Y229)/X81,0)</f>
        <v>0.0421558721476815</v>
      </c>
      <c r="Z233" s="1" t="n">
        <f aca="false">IF(Y81&gt;0,(Z107+Z109+Z110+Z184-Z108-Z229)/Y81,0)</f>
        <v>0.0422325053283469</v>
      </c>
      <c r="AA233" s="1" t="n">
        <f aca="false">IF(Z81&gt;0,(AA107+AA109+AA110+AA184-AA108-AA229)/Z81,0)</f>
        <v>0.0423289880643006</v>
      </c>
      <c r="AB233" s="1" t="n">
        <f aca="false">IF(AA81&gt;0,(AB107+AB109+AB110+AB184-AB108-AB229)/AA81,0)</f>
        <v>0.0424440004656591</v>
      </c>
      <c r="AC233" s="1" t="n">
        <f aca="false">IF(AB81&gt;0,(AC107+AC109+AC110+AC184-AC108-AC229)/AB81,0)</f>
        <v>0.0425760542521735</v>
      </c>
      <c r="AD233" s="1" t="n">
        <f aca="false">IF(AC81&gt;0,(AD107+AD109+AD110+AD184-AD108-AD229)/AC81,0)</f>
        <v>0.042723752762112</v>
      </c>
      <c r="AE233" s="1" t="n">
        <f aca="false">IF(AD81&gt;0,(AE107+AE109+AE110+AE184-AE108-AE229)/AD81,0)</f>
        <v>0.0428857762856955</v>
      </c>
      <c r="AF233" s="1" t="n">
        <f aca="false">IF(AE81&gt;0,(AF107+AF109+AF110+AF184-AF108-AF229)/AE81,0)</f>
        <v>0.0430608698305567</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0.230355790038912</v>
      </c>
      <c r="F234" s="1" t="n">
        <f aca="false">(F232+E232)/2*F233</f>
        <v>0.558656712324482</v>
      </c>
      <c r="G234" s="1" t="n">
        <f aca="false">(G232+F232)/2*G233</f>
        <v>0.521466710721946</v>
      </c>
      <c r="H234" s="1" t="n">
        <f aca="false">(H232+G232)/2*H233</f>
        <v>0.780803624544456</v>
      </c>
      <c r="I234" s="1" t="n">
        <f aca="false">(I232+H232)/2*I233</f>
        <v>1.06510398583486</v>
      </c>
      <c r="J234" s="1" t="n">
        <f aca="false">(J232+I232)/2*J233</f>
        <v>1.37184770154413</v>
      </c>
      <c r="K234" s="1" t="n">
        <f aca="false">(K232+J232)/2*K233</f>
        <v>1.69651063438852</v>
      </c>
      <c r="L234" s="1" t="n">
        <f aca="false">(L232+K232)/2*L233</f>
        <v>2.03642110532199</v>
      </c>
      <c r="M234" s="1" t="n">
        <f aca="false">(M232+L232)/2*M233</f>
        <v>2.32201757160244</v>
      </c>
      <c r="N234" s="1" t="n">
        <f aca="false">(N232+M232)/2*N233</f>
        <v>2.38363324871292</v>
      </c>
      <c r="O234" s="1" t="n">
        <f aca="false">(O232+N232)/2*O233</f>
        <v>2.4022792075912</v>
      </c>
      <c r="P234" s="1" t="n">
        <f aca="false">(P232+O232)/2*P233</f>
        <v>2.31918488154799</v>
      </c>
      <c r="Q234" s="1" t="n">
        <f aca="false">(Q232+P232)/2*Q233</f>
        <v>2.16678481253822</v>
      </c>
      <c r="R234" s="1" t="n">
        <f aca="false">(R232+Q232)/2*R233</f>
        <v>2.02385782786019</v>
      </c>
      <c r="S234" s="1" t="n">
        <f aca="false">(S232+R232)/2*S233</f>
        <v>1.89113094504313</v>
      </c>
      <c r="T234" s="1" t="n">
        <f aca="false">(T232+S232)/2*T233</f>
        <v>1.76778165854591</v>
      </c>
      <c r="U234" s="1" t="n">
        <f aca="false">(U232+T232)/2*U233</f>
        <v>1.65305837594779</v>
      </c>
      <c r="V234" s="1" t="n">
        <f aca="false">(V232+U232)/2*V233</f>
        <v>1.54628118744769</v>
      </c>
      <c r="W234" s="1" t="n">
        <f aca="false">(W232+V232)/2*W233</f>
        <v>1.44683583751095</v>
      </c>
      <c r="X234" s="1" t="n">
        <f aca="false">(X232+W232)/2*X233</f>
        <v>1.35457266886039</v>
      </c>
      <c r="Y234" s="1" t="n">
        <f aca="false">(Y232+X232)/2*Y233</f>
        <v>1.26887850347966</v>
      </c>
      <c r="Z234" s="1" t="n">
        <f aca="false">(Z232+Y232)/2*Z233</f>
        <v>1.18920257599318</v>
      </c>
      <c r="AA234" s="1" t="n">
        <f aca="false">(AA232+Z232)/2*AA233</f>
        <v>1.11504890732213</v>
      </c>
      <c r="AB234" s="1" t="n">
        <f aca="false">(AB232+AA232)/2*AB233</f>
        <v>1.04597035397743</v>
      </c>
      <c r="AC234" s="1" t="n">
        <f aca="false">(AC232+AB232)/2*AC233</f>
        <v>0.981556966987939</v>
      </c>
      <c r="AD234" s="1" t="n">
        <f aca="false">(AD232+AC232)/2*AD233</f>
        <v>0.921438866832255</v>
      </c>
      <c r="AE234" s="1" t="n">
        <f aca="false">(AE232+AD232)/2*AE233</f>
        <v>0.865281551304689</v>
      </c>
      <c r="AF234" s="1" t="n">
        <f aca="false">(AF232+AE232)/2*AF233</f>
        <v>0.812781858209954</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0.188727116952576</v>
      </c>
      <c r="F236" s="1" t="n">
        <f aca="false">MAX(0,F234-F235)</f>
        <v>0.479470272348824</v>
      </c>
      <c r="G236" s="1" t="n">
        <f aca="false">MAX(0,G234-G235)</f>
        <v>0.407144717479139</v>
      </c>
      <c r="H236" s="1" t="n">
        <f aca="false">MAX(0,H234-H235)</f>
        <v>0.63361207579728</v>
      </c>
      <c r="I236" s="1" t="n">
        <f aca="false">MAX(0,I234-I235)</f>
        <v>0.887162738318464</v>
      </c>
      <c r="J236" s="1" t="n">
        <f aca="false">MAX(0,J234-J235)</f>
        <v>1.16513989604151</v>
      </c>
      <c r="K236" s="1" t="n">
        <f aca="false">MAX(0,K234-K235)</f>
        <v>1.46289151295447</v>
      </c>
      <c r="L236" s="1" t="n">
        <f aca="false">MAX(0,L234-L235)</f>
        <v>1.77762625985769</v>
      </c>
      <c r="M236" s="1" t="n">
        <f aca="false">MAX(0,M234-M235)</f>
        <v>2.04889352239763</v>
      </c>
      <c r="N236" s="1" t="n">
        <f aca="false">MAX(0,N234-N235)</f>
        <v>2.10274181618939</v>
      </c>
      <c r="O236" s="1" t="n">
        <f aca="false">MAX(0,O234-O235)</f>
        <v>2.11891570807629</v>
      </c>
      <c r="P236" s="1" t="n">
        <f aca="false">MAX(0,P234-P235)</f>
        <v>2.05409634844879</v>
      </c>
      <c r="Q236" s="1" t="n">
        <f aca="false">MAX(0,Q234-Q235)</f>
        <v>1.91879263817213</v>
      </c>
      <c r="R236" s="1" t="n">
        <f aca="false">MAX(0,R234-R235)</f>
        <v>1.79185941650754</v>
      </c>
      <c r="S236" s="1" t="n">
        <f aca="false">MAX(0,S234-S235)</f>
        <v>1.67409481070648</v>
      </c>
      <c r="T236" s="1" t="n">
        <f aca="false">MAX(0,T234-T235)</f>
        <v>1.56474283886972</v>
      </c>
      <c r="U236" s="1" t="n">
        <f aca="false">MAX(0,U234-U235)</f>
        <v>1.46311414190814</v>
      </c>
      <c r="V236" s="1" t="n">
        <f aca="false">MAX(0,V234-V235)</f>
        <v>1.36858702973712</v>
      </c>
      <c r="W236" s="1" t="n">
        <f aca="false">MAX(0,W234-W235)</f>
        <v>1.28060171177339</v>
      </c>
      <c r="X236" s="1" t="n">
        <f aca="false">MAX(0,X234-X235)</f>
        <v>1.19905948308228</v>
      </c>
      <c r="Y236" s="1" t="n">
        <f aca="false">MAX(0,Y234-Y235)</f>
        <v>1.12339483191972</v>
      </c>
      <c r="Z236" s="1" t="n">
        <f aca="false">MAX(0,Z234-Z235)</f>
        <v>1.05310158504081</v>
      </c>
      <c r="AA236" s="1" t="n">
        <f aca="false">MAX(0,AA234-AA235)</f>
        <v>0.987725479616462</v>
      </c>
      <c r="AB236" s="1" t="n">
        <f aca="false">MAX(0,AB234-AB235)</f>
        <v>0.926858398000608</v>
      </c>
      <c r="AC236" s="1" t="n">
        <f aca="false">MAX(0,AC234-AC235)</f>
        <v>0.870126900170847</v>
      </c>
      <c r="AD236" s="1" t="n">
        <f aca="false">MAX(0,AD234-AD235)</f>
        <v>0.817195260982325</v>
      </c>
      <c r="AE236" s="1" t="n">
        <f aca="false">MAX(0,AE234-AE235)</f>
        <v>0.767760929887197</v>
      </c>
      <c r="AF236" s="1" t="n">
        <f aca="false">MAX(0,AF234-AF235)</f>
        <v>0.721550635689266</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0.739838392993862</v>
      </c>
      <c r="M238" s="1" t="n">
        <f aca="false">IF(M112&gt;0,M235/M112,0)</f>
        <v>0.753612816243275</v>
      </c>
      <c r="N238" s="1" t="n">
        <f aca="false">IF(N112&gt;0,N235/N112,0)</f>
        <v>0.748647671890606</v>
      </c>
      <c r="O238" s="1" t="n">
        <f aca="false">IF(O112&gt;0,O235/O112,0)</f>
        <v>0.731768765715383</v>
      </c>
      <c r="P238" s="1" t="n">
        <f aca="false">IF(P112&gt;0,P235/P112,0)</f>
        <v>0.668164678788126</v>
      </c>
      <c r="Q238" s="1" t="n">
        <f aca="false">IF(Q112&gt;0,Q235/Q112,0)</f>
        <v>0.610324038070963</v>
      </c>
      <c r="R238" s="1" t="n">
        <f aca="false">IF(R112&gt;0,R235/R112,0)</f>
        <v>0.557836547806344</v>
      </c>
      <c r="S238" s="1" t="n">
        <f aca="false">IF(S112&gt;0,S235/S112,0)</f>
        <v>0.510153558024717</v>
      </c>
      <c r="T238" s="1" t="n">
        <f aca="false">IF(T112&gt;0,T235/T112,0)</f>
        <v>0.466783541054135</v>
      </c>
      <c r="U238" s="1" t="n">
        <f aca="false">IF(U112&gt;0,U235/U112,0)</f>
        <v>0.427293605525467</v>
      </c>
      <c r="V238" s="1" t="n">
        <f aca="false">IF(V112&gt;0,V235/V112,0)</f>
        <v>0.39130105305011</v>
      </c>
      <c r="W238" s="1" t="n">
        <f aca="false">IF(W112&gt;0,W235/W112,0)</f>
        <v>0.358573927611913</v>
      </c>
      <c r="X238" s="1" t="n">
        <f aca="false">IF(X112&gt;0,X235/X112,0)</f>
        <v>0.328777194176873</v>
      </c>
      <c r="Y238" s="1" t="n">
        <f aca="false">IF(Y112&gt;0,Y235/Y112,0)</f>
        <v>0.301615825504195</v>
      </c>
      <c r="Z238" s="1" t="n">
        <f aca="false">IF(Z112&gt;0,Z235/Z112,0)</f>
        <v>0.276829258544398</v>
      </c>
      <c r="AA238" s="1" t="n">
        <f aca="false">IF(AA112&gt;0,AA235/AA112,0)</f>
        <v>0.254186701256118</v>
      </c>
      <c r="AB238" s="1" t="n">
        <f aca="false">IF(AB112&gt;0,AB235/AB112,0)</f>
        <v>0.233481788618025</v>
      </c>
      <c r="AC238" s="1" t="n">
        <f aca="false">IF(AC112&gt;0,AC235/AC112,0)</f>
        <v>0.214531182067987</v>
      </c>
      <c r="AD238" s="1" t="n">
        <f aca="false">IF(AD112&gt;0,AD235/AD112,0)</f>
        <v>0.197171568917599</v>
      </c>
      <c r="AE238" s="1" t="n">
        <f aca="false">IF(AE112&gt;0,AE235/AE112,0)</f>
        <v>0.181257112199963</v>
      </c>
      <c r="AF238" s="1" t="n">
        <f aca="false">IF(AF112&gt;0,AF235/AF112,0)</f>
        <v>0.166657274702371</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0.188727116952576</v>
      </c>
      <c r="F243" s="1" t="n">
        <f aca="false">F236</f>
        <v>0.479470272348824</v>
      </c>
      <c r="G243" s="1" t="n">
        <f aca="false">G236</f>
        <v>0.407144717479139</v>
      </c>
      <c r="H243" s="1" t="n">
        <f aca="false">H236</f>
        <v>0.63361207579728</v>
      </c>
      <c r="I243" s="1" t="n">
        <f aca="false">I236</f>
        <v>0.887162738318464</v>
      </c>
      <c r="J243" s="1" t="n">
        <f aca="false">J236</f>
        <v>1.16513989604151</v>
      </c>
      <c r="K243" s="1" t="n">
        <f aca="false">K236</f>
        <v>1.46289151295447</v>
      </c>
      <c r="L243" s="1" t="n">
        <f aca="false">L236</f>
        <v>1.77762625985769</v>
      </c>
      <c r="M243" s="1" t="n">
        <f aca="false">M236</f>
        <v>2.04889352239763</v>
      </c>
      <c r="N243" s="1" t="n">
        <f aca="false">N236</f>
        <v>2.10274181618939</v>
      </c>
      <c r="O243" s="1" t="n">
        <f aca="false">O236</f>
        <v>2.11891570807629</v>
      </c>
      <c r="P243" s="1" t="n">
        <f aca="false">P236</f>
        <v>2.05409634844879</v>
      </c>
      <c r="Q243" s="1" t="n">
        <f aca="false">Q236</f>
        <v>1.91879263817213</v>
      </c>
      <c r="R243" s="1" t="n">
        <f aca="false">R236</f>
        <v>1.79185941650754</v>
      </c>
      <c r="S243" s="1" t="n">
        <f aca="false">S236</f>
        <v>1.67409481070648</v>
      </c>
      <c r="T243" s="1" t="n">
        <f aca="false">T236</f>
        <v>1.56474283886972</v>
      </c>
      <c r="U243" s="1" t="n">
        <f aca="false">U236</f>
        <v>1.46311414190814</v>
      </c>
      <c r="V243" s="1" t="n">
        <f aca="false">V236</f>
        <v>1.36858702973712</v>
      </c>
      <c r="W243" s="1" t="n">
        <f aca="false">W236</f>
        <v>1.28060171177339</v>
      </c>
      <c r="X243" s="1" t="n">
        <f aca="false">X236</f>
        <v>1.19905948308228</v>
      </c>
      <c r="Y243" s="1" t="n">
        <f aca="false">Y236</f>
        <v>1.12339483191972</v>
      </c>
      <c r="Z243" s="1" t="n">
        <f aca="false">Z236</f>
        <v>1.05310158504081</v>
      </c>
      <c r="AA243" s="1" t="n">
        <f aca="false">AA236</f>
        <v>0.987725479616462</v>
      </c>
      <c r="AB243" s="1" t="n">
        <f aca="false">AB236</f>
        <v>0.926858398000608</v>
      </c>
      <c r="AC243" s="1" t="n">
        <f aca="false">AC236</f>
        <v>0.870126900170847</v>
      </c>
      <c r="AD243" s="1" t="n">
        <f aca="false">AD236</f>
        <v>0.817195260982325</v>
      </c>
      <c r="AE243" s="1" t="n">
        <f aca="false">AE236</f>
        <v>0.767760929887197</v>
      </c>
      <c r="AF243" s="1" t="n">
        <f aca="false">AF236</f>
        <v>0.721550635689266</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0.283849755680774</v>
      </c>
      <c r="F247" s="1" t="n">
        <f aca="false">MAX(0,E248+F243-F244-F245-F246)</f>
        <v>0.763320028029599</v>
      </c>
      <c r="G247" s="1" t="n">
        <f aca="false">MAX(0,F248+G243-G244-G245-G246)</f>
        <v>1.17046474550874</v>
      </c>
      <c r="H247" s="1" t="n">
        <f aca="false">MAX(0,G248+H243-H244-H245-H246)</f>
        <v>1.80407682130602</v>
      </c>
      <c r="I247" s="1" t="n">
        <f aca="false">MAX(0,H248+I243-I244-I245-I246)</f>
        <v>2.69123955962448</v>
      </c>
      <c r="J247" s="1" t="n">
        <f aca="false">MAX(0,I248+J243-J244-J245-J246)</f>
        <v>3.85637945566599</v>
      </c>
      <c r="K247" s="1" t="n">
        <f aca="false">MAX(0,J248+K243-K244-K245-K246)</f>
        <v>5.31927096862046</v>
      </c>
      <c r="L247" s="1" t="n">
        <f aca="false">MAX(0,K248+L243-L244-L245-L246)</f>
        <v>7.09689722847815</v>
      </c>
      <c r="M247" s="1" t="n">
        <f aca="false">MAX(0,L248+M243-M244-M245-M246)</f>
        <v>9.14579075087578</v>
      </c>
      <c r="N247" s="1" t="n">
        <f aca="false">MAX(0,M248+N243-N244-N245-N246)</f>
        <v>11.2485325670652</v>
      </c>
      <c r="O247" s="1" t="n">
        <f aca="false">MAX(0,N248+O243-O244-O245-O246)</f>
        <v>13.3674482751415</v>
      </c>
      <c r="P247" s="1" t="n">
        <f aca="false">MAX(0,O248+P243-P244-P245-P246)</f>
        <v>15.4215446235902</v>
      </c>
      <c r="Q247" s="1" t="n">
        <f aca="false">MAX(0,P248+Q243-Q244-Q245-Q246)</f>
        <v>17.3403372617624</v>
      </c>
      <c r="R247" s="1" t="n">
        <f aca="false">MAX(0,Q248+R243-R244-R245-R246)</f>
        <v>19.1321966782699</v>
      </c>
      <c r="S247" s="1" t="n">
        <f aca="false">MAX(0,R248+S243-S244-S245-S246)</f>
        <v>20.8062914889764</v>
      </c>
      <c r="T247" s="1" t="n">
        <f aca="false">MAX(0,S248+T243-T244-T245-T246)</f>
        <v>22.3710343278461</v>
      </c>
      <c r="U247" s="1" t="n">
        <f aca="false">MAX(0,T248+U243-U244-U245-U246)</f>
        <v>23.8341484697543</v>
      </c>
      <c r="V247" s="1" t="n">
        <f aca="false">MAX(0,U248+V243-V244-V245-V246)</f>
        <v>25.2027354994914</v>
      </c>
      <c r="W247" s="1" t="n">
        <f aca="false">MAX(0,V248+W243-W244-W245-W246)</f>
        <v>26.4833372112648</v>
      </c>
      <c r="X247" s="1" t="n">
        <f aca="false">MAX(0,W248+X243-X244-X245-X246)</f>
        <v>27.682396694347</v>
      </c>
      <c r="Y247" s="1" t="n">
        <f aca="false">MAX(0,X248+Y243-Y244-Y245-Y246)</f>
        <v>28.8057915262668</v>
      </c>
      <c r="Z247" s="1" t="n">
        <f aca="false">MAX(0,Y248+Z243-Z244-Z245-Z246)</f>
        <v>29.8588931113076</v>
      </c>
      <c r="AA247" s="1" t="n">
        <f aca="false">MAX(0,Z248+AA243-AA244-AA245-AA246)</f>
        <v>30.846618590924</v>
      </c>
      <c r="AB247" s="1" t="n">
        <f aca="false">MAX(0,AA248+AB243-AB244-AB245-AB246)</f>
        <v>31.7734769889247</v>
      </c>
      <c r="AC247" s="1" t="n">
        <f aca="false">MAX(0,AB248+AC243-AC244-AC245-AC246)</f>
        <v>32.6436038890955</v>
      </c>
      <c r="AD247" s="1" t="n">
        <f aca="false">MAX(0,AC248+AD243-AD244-AD245-AD246)</f>
        <v>33.4607991500778</v>
      </c>
      <c r="AE247" s="1" t="n">
        <f aca="false">MAX(0,AD248+AE243-AE244-AE245-AE246)</f>
        <v>34.228560079965</v>
      </c>
      <c r="AF247" s="1" t="n">
        <f aca="false">MAX(0,AE248+AF243-AF244-AF245-AF246)</f>
        <v>34.9501107156543</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0.283849755680774</v>
      </c>
      <c r="F248" s="1" t="n">
        <f aca="false">MIN(F247,MAX(0,F276))</f>
        <v>0.763320028029599</v>
      </c>
      <c r="G248" s="1" t="n">
        <f aca="false">MIN(G247,MAX(0,G276))</f>
        <v>1.17046474550874</v>
      </c>
      <c r="H248" s="1" t="n">
        <f aca="false">MIN(H247,MAX(0,H276))</f>
        <v>1.80407682130602</v>
      </c>
      <c r="I248" s="1" t="n">
        <f aca="false">MIN(I247,MAX(0,I276))</f>
        <v>2.69123955962448</v>
      </c>
      <c r="J248" s="1" t="n">
        <f aca="false">MIN(J247,MAX(0,J276))</f>
        <v>3.85637945566599</v>
      </c>
      <c r="K248" s="1" t="n">
        <f aca="false">MIN(K247,MAX(0,K276))</f>
        <v>5.31927096862046</v>
      </c>
      <c r="L248" s="1" t="n">
        <f aca="false">MIN(L247,MAX(0,L276))</f>
        <v>7.09689722847815</v>
      </c>
      <c r="M248" s="1" t="n">
        <f aca="false">MIN(M247,MAX(0,M276))</f>
        <v>9.14579075087578</v>
      </c>
      <c r="N248" s="1" t="n">
        <f aca="false">MIN(N247,MAX(0,N276))</f>
        <v>11.2485325670652</v>
      </c>
      <c r="O248" s="1" t="n">
        <f aca="false">MIN(O247,MAX(0,O276))</f>
        <v>13.3674482751415</v>
      </c>
      <c r="P248" s="1" t="n">
        <f aca="false">MIN(P247,MAX(0,P276))</f>
        <v>15.4215446235902</v>
      </c>
      <c r="Q248" s="1" t="n">
        <f aca="false">MIN(Q247,MAX(0,Q276))</f>
        <v>17.3403372617624</v>
      </c>
      <c r="R248" s="1" t="n">
        <f aca="false">MIN(R247,MAX(0,R276))</f>
        <v>19.1321966782699</v>
      </c>
      <c r="S248" s="1" t="n">
        <f aca="false">MIN(S247,MAX(0,S276))</f>
        <v>20.8062914889764</v>
      </c>
      <c r="T248" s="1" t="n">
        <f aca="false">MIN(T247,MAX(0,T276))</f>
        <v>22.3710343278461</v>
      </c>
      <c r="U248" s="1" t="n">
        <f aca="false">MIN(U247,MAX(0,U276))</f>
        <v>23.8341484697543</v>
      </c>
      <c r="V248" s="1" t="n">
        <f aca="false">MIN(V247,MAX(0,V276))</f>
        <v>25.2027354994914</v>
      </c>
      <c r="W248" s="1" t="n">
        <f aca="false">MIN(W247,MAX(0,W276))</f>
        <v>26.4833372112648</v>
      </c>
      <c r="X248" s="1" t="n">
        <f aca="false">MIN(X247,MAX(0,X276))</f>
        <v>27.682396694347</v>
      </c>
      <c r="Y248" s="1" t="n">
        <f aca="false">MIN(Y247,MAX(0,Y276))</f>
        <v>28.8057915262668</v>
      </c>
      <c r="Z248" s="1" t="n">
        <f aca="false">MIN(Z247,MAX(0,Z276))</f>
        <v>29.8588931113076</v>
      </c>
      <c r="AA248" s="1" t="n">
        <f aca="false">MIN(AA247,MAX(0,AA276))</f>
        <v>30.846618590924</v>
      </c>
      <c r="AB248" s="1" t="n">
        <f aca="false">MIN(AB247,MAX(0,AB276))</f>
        <v>31.7734769889247</v>
      </c>
      <c r="AC248" s="1" t="n">
        <f aca="false">MIN(AC247,MAX(0,AC276))</f>
        <v>32.6436038890955</v>
      </c>
      <c r="AD248" s="1" t="n">
        <f aca="false">MIN(AD247,MAX(0,AD276))</f>
        <v>33.4607991500778</v>
      </c>
      <c r="AE248" s="1" t="n">
        <f aca="false">MIN(AE247,MAX(0,AE276))</f>
        <v>34.228560079965</v>
      </c>
      <c r="AF248" s="1" t="n">
        <f aca="false">MIN(AF247,MAX(0,AF276))</f>
        <v>34.9501107156543</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35.0087369140404</v>
      </c>
      <c r="E250" s="1" t="n">
        <f aca="false">E120-E248</f>
        <v>52.7881563849995</v>
      </c>
      <c r="F250" s="1" t="n">
        <f aca="false">F120-F248</f>
        <v>61.0982111149309</v>
      </c>
      <c r="G250" s="1" t="n">
        <f aca="false">G120-G248</f>
        <v>71.6743211018636</v>
      </c>
      <c r="H250" s="1" t="n">
        <f aca="false">H120-H248</f>
        <v>83.684970392487</v>
      </c>
      <c r="I250" s="1" t="n">
        <f aca="false">I120-I248</f>
        <v>97.1946805088609</v>
      </c>
      <c r="J250" s="1" t="n">
        <f aca="false">J120-J248</f>
        <v>111.755676184188</v>
      </c>
      <c r="K250" s="1" t="n">
        <f aca="false">K120-K248</f>
        <v>127.307048741684</v>
      </c>
      <c r="L250" s="1" t="n">
        <f aca="false">L120-L248</f>
        <v>142.579644493882</v>
      </c>
      <c r="M250" s="1" t="n">
        <f aca="false">M120-M248</f>
        <v>140.199143198682</v>
      </c>
      <c r="N250" s="1" t="n">
        <f aca="false">N120-N248</f>
        <v>139.747114541398</v>
      </c>
      <c r="O250" s="1" t="n">
        <f aca="false">O120-O248</f>
        <v>139.615511991316</v>
      </c>
      <c r="P250" s="1" t="n">
        <f aca="false">P120-P248</f>
        <v>138.878870715526</v>
      </c>
      <c r="Q250" s="1" t="n">
        <f aca="false">Q120-Q248</f>
        <v>138.124549332473</v>
      </c>
      <c r="R250" s="1" t="n">
        <f aca="false">R120-R248</f>
        <v>137.53805541148</v>
      </c>
      <c r="S250" s="1" t="n">
        <f aca="false">S120-S248</f>
        <v>137.105348447453</v>
      </c>
      <c r="T250" s="1" t="n">
        <f aca="false">T120-T248</f>
        <v>136.818868534423</v>
      </c>
      <c r="U250" s="1" t="n">
        <f aca="false">U120-U248</f>
        <v>136.671485899961</v>
      </c>
      <c r="V250" s="1" t="n">
        <f aca="false">V120-V248</f>
        <v>136.656703169376</v>
      </c>
      <c r="W250" s="1" t="n">
        <f aca="false">W120-W248</f>
        <v>136.770871716</v>
      </c>
      <c r="X250" s="1" t="n">
        <f aca="false">X120-X248</f>
        <v>137.008753619706</v>
      </c>
      <c r="Y250" s="1" t="n">
        <f aca="false">Y120-Y248</f>
        <v>137.365455650923</v>
      </c>
      <c r="Z250" s="1" t="n">
        <f aca="false">Z120-Z248</f>
        <v>137.836290868075</v>
      </c>
      <c r="AA250" s="1" t="n">
        <f aca="false">AA120-AA248</f>
        <v>138.417050359468</v>
      </c>
      <c r="AB250" s="1" t="n">
        <f aca="false">AB120-AB248</f>
        <v>139.10390793401</v>
      </c>
      <c r="AC250" s="1" t="n">
        <f aca="false">AC120-AC248</f>
        <v>139.893423585892</v>
      </c>
      <c r="AD250" s="1" t="n">
        <f aca="false">AD120-AD248</f>
        <v>140.782511384091</v>
      </c>
      <c r="AE250" s="1" t="n">
        <f aca="false">AE120-AE248</f>
        <v>141.768413575659</v>
      </c>
      <c r="AF250" s="1" t="n">
        <f aca="false">AF120-AF248</f>
        <v>142.848671456004</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0.00270974872678057</v>
      </c>
      <c r="E252" s="1" t="n">
        <f aca="false">IF(E120&gt;0,E248/E120,0)</f>
        <v>0.00534838941132848</v>
      </c>
      <c r="F252" s="1" t="n">
        <f aca="false">IF(F120&gt;0,F248/F120,0)</f>
        <v>0.0123391712737531</v>
      </c>
      <c r="G252" s="1" t="n">
        <f aca="false">IF(G120&gt;0,G248/G120,0)</f>
        <v>0.0160679276065297</v>
      </c>
      <c r="H252" s="1" t="n">
        <f aca="false">IF(H120&gt;0,H248/H120,0)</f>
        <v>0.0211030170542706</v>
      </c>
      <c r="I252" s="1" t="n">
        <f aca="false">IF(I120&gt;0,I248/I120,0)</f>
        <v>0.0269431323031241</v>
      </c>
      <c r="J252" s="1" t="n">
        <f aca="false">IF(J120&gt;0,J248/J120,0)</f>
        <v>0.033356205235889</v>
      </c>
      <c r="K252" s="1" t="n">
        <f aca="false">IF(K120&gt;0,K248/K120,0)</f>
        <v>0.0401072048160525</v>
      </c>
      <c r="L252" s="1" t="n">
        <f aca="false">IF(L120&gt;0,L248/L120,0)</f>
        <v>0.0474148931209434</v>
      </c>
      <c r="M252" s="1" t="n">
        <f aca="false">IF(M120&gt;0,M248/M120,0)</f>
        <v>0.0612393772524272</v>
      </c>
      <c r="N252" s="1" t="n">
        <f aca="false">IF(N120&gt;0,N248/N120,0)</f>
        <v>0.0744957406552596</v>
      </c>
      <c r="O252" s="1" t="n">
        <f aca="false">IF(O120&gt;0,O248/O120,0)</f>
        <v>0.0873786744083053</v>
      </c>
      <c r="P252" s="1" t="n">
        <f aca="false">IF(P120&gt;0,P248/P120,0)</f>
        <v>0.0999449326801702</v>
      </c>
      <c r="Q252" s="1" t="n">
        <f aca="false">IF(Q120&gt;0,Q248/Q120,0)</f>
        <v>0.111538609403298</v>
      </c>
      <c r="R252" s="1" t="n">
        <f aca="false">IF(R120&gt;0,R248/R120,0)</f>
        <v>0.122117609584938</v>
      </c>
      <c r="S252" s="1" t="n">
        <f aca="false">IF(S120&gt;0,S248/S120,0)</f>
        <v>0.131759074235138</v>
      </c>
      <c r="T252" s="1" t="n">
        <f aca="false">IF(T120&gt;0,T248/T120,0)</f>
        <v>0.140530485449203</v>
      </c>
      <c r="U252" s="1" t="n">
        <f aca="false">IF(U120&gt;0,U248/U120,0)</f>
        <v>0.148494154509577</v>
      </c>
      <c r="V252" s="1" t="n">
        <f aca="false">IF(V120&gt;0,V248/V120,0)</f>
        <v>0.15570754295677</v>
      </c>
      <c r="W252" s="1" t="n">
        <f aca="false">IF(W120&gt;0,W248/W120,0)</f>
        <v>0.162221466664078</v>
      </c>
      <c r="X252" s="1" t="n">
        <f aca="false">IF(X120&gt;0,X248/X120,0)</f>
        <v>0.168086728652747</v>
      </c>
      <c r="Y252" s="1" t="n">
        <f aca="false">IF(Y120&gt;0,Y248/Y120,0)</f>
        <v>0.17335003507286</v>
      </c>
      <c r="Z252" s="1" t="n">
        <f aca="false">IF(Z120&gt;0,Z248/Z120,0)</f>
        <v>0.178054565448812</v>
      </c>
      <c r="AA252" s="1" t="n">
        <f aca="false">IF(AA120&gt;0,AA248/AA120,0)</f>
        <v>0.182240044672343</v>
      </c>
      <c r="AB252" s="1" t="n">
        <f aca="false">IF(AB120&gt;0,AB248/AB120,0)</f>
        <v>0.185943136964874</v>
      </c>
      <c r="AC252" s="1" t="n">
        <f aca="false">IF(AC120&gt;0,AC248/AC120,0)</f>
        <v>0.189197671750939</v>
      </c>
      <c r="AD252" s="1" t="n">
        <f aca="false">IF(AD120&gt;0,AD248/AD120,0)</f>
        <v>0.192034913980334</v>
      </c>
      <c r="AE252" s="1" t="n">
        <f aca="false">IF(AE120&gt;0,AE248/AE120,0)</f>
        <v>0.194483799175664</v>
      </c>
      <c r="AF252" s="1" t="n">
        <f aca="false">IF(AF120&gt;0,AF248/AF120,0)</f>
        <v>0.196571147950334</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0.349799156025208</v>
      </c>
      <c r="M254" s="116" t="n">
        <f aca="false">M112</f>
        <v>0.362419591755768</v>
      </c>
      <c r="N254" s="116" t="n">
        <f aca="false">N112</f>
        <v>0.375198431879403</v>
      </c>
      <c r="O254" s="116" t="n">
        <f aca="false">O112</f>
        <v>0.387230929756743</v>
      </c>
      <c r="P254" s="116" t="n">
        <f aca="false">P112</f>
        <v>0.396741314701046</v>
      </c>
      <c r="Q254" s="116" t="n">
        <f aca="false">Q112</f>
        <v>0.406328702290529</v>
      </c>
      <c r="R254" s="116" t="n">
        <f aca="false">R112</f>
        <v>0.415889586770488</v>
      </c>
      <c r="S254" s="116" t="n">
        <f aca="false">S112</f>
        <v>0.425432952338897</v>
      </c>
      <c r="T254" s="116" t="n">
        <f aca="false">T112</f>
        <v>0.434974247844458</v>
      </c>
      <c r="U254" s="116" t="n">
        <f aca="false">U112</f>
        <v>0.444528613542134</v>
      </c>
      <c r="V254" s="116" t="n">
        <f aca="false">V112</f>
        <v>0.454111115534929</v>
      </c>
      <c r="W254" s="116" t="n">
        <f aca="false">W112</f>
        <v>0.463597916459425</v>
      </c>
      <c r="X254" s="116" t="n">
        <f aca="false">X112</f>
        <v>0.473004784189641</v>
      </c>
      <c r="Y254" s="116" t="n">
        <f aca="false">Y112</f>
        <v>0.482347606650751</v>
      </c>
      <c r="Z254" s="116" t="n">
        <f aca="false">Z112</f>
        <v>0.491642363484281</v>
      </c>
      <c r="AA254" s="116" t="n">
        <f aca="false">AA112</f>
        <v>0.500905149940852</v>
      </c>
      <c r="AB254" s="116" t="n">
        <f aca="false">AB112</f>
        <v>0.510155231728525</v>
      </c>
      <c r="AC254" s="116" t="n">
        <f aca="false">AC112</f>
        <v>0.519411983577191</v>
      </c>
      <c r="AD254" s="116" t="n">
        <f aca="false">AD112</f>
        <v>0.528694914901726</v>
      </c>
      <c r="AE254" s="116" t="n">
        <f aca="false">AE112</f>
        <v>0.538023695919348</v>
      </c>
      <c r="AF254" s="116" t="n">
        <f aca="false">AF112</f>
        <v>0.547418183116313</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0.0910043105609089</v>
      </c>
      <c r="M256" s="1" t="n">
        <f aca="false">MIN(M254-M255,MAX(0,M107-M108+M109+M110+M184-M229-M235))</f>
        <v>0.0892955425509657</v>
      </c>
      <c r="N256" s="1" t="n">
        <f aca="false">MIN(N254-N255,MAX(0,N107-N108+N109+N110+N184-N229-N235))</f>
        <v>0.0943069993558816</v>
      </c>
      <c r="O256" s="1" t="n">
        <f aca="false">MIN(O254-O255,MAX(0,O107-O108+O109+O110+O184-O229-O235))</f>
        <v>0.103867430241831</v>
      </c>
      <c r="P256" s="1" t="n">
        <f aca="false">MIN(P254-P255,MAX(0,P107-P108+P109+P110+P184-P229-P235))</f>
        <v>0.131652781601843</v>
      </c>
      <c r="Q256" s="1" t="n">
        <f aca="false">MIN(Q254-Q255,MAX(0,Q107-Q108+Q109+Q110+Q184-Q229-Q235))</f>
        <v>0.158336527924439</v>
      </c>
      <c r="R256" s="1" t="n">
        <f aca="false">MIN(R254-R255,MAX(0,R107-R108+R109+R110+R184-R229-R235))</f>
        <v>0.183891175417832</v>
      </c>
      <c r="S256" s="1" t="n">
        <f aca="false">MIN(S254-S255,MAX(0,S107-S108+S109+S110+S184-S229-S235))</f>
        <v>0.208396818002249</v>
      </c>
      <c r="T256" s="1" t="n">
        <f aca="false">MIN(T254-T255,MAX(0,T107-T108+T109+T110+T184-T229-T235))</f>
        <v>0.231935428168263</v>
      </c>
      <c r="U256" s="1" t="n">
        <f aca="false">MIN(U254-U255,MAX(0,U107-U108+U109+U110+U184-U229-U235))</f>
        <v>0.254584379502479</v>
      </c>
      <c r="V256" s="1" t="n">
        <f aca="false">MIN(V254-V255,MAX(0,V107-V108+V109+V110+V184-V229-V235))</f>
        <v>0.276416957824351</v>
      </c>
      <c r="W256" s="1" t="n">
        <f aca="false">MIN(W254-W255,MAX(0,W107-W108+W109+W110+W184-W229-W235))</f>
        <v>0.297363790721869</v>
      </c>
      <c r="X256" s="1" t="n">
        <f aca="false">MIN(X254-X255,MAX(0,X107-X108+X109+X110+X184-X229-X235))</f>
        <v>0.317491598411533</v>
      </c>
      <c r="Y256" s="1" t="n">
        <f aca="false">MIN(Y254-Y255,MAX(0,Y107-Y108+Y109+Y110+Y184-Y229-Y235))</f>
        <v>0.336863935090812</v>
      </c>
      <c r="Z256" s="1" t="n">
        <f aca="false">MIN(Z254-Z255,MAX(0,Z107-Z108+Z109+Z110+Z184-Z229-Z235))</f>
        <v>0.355541372531912</v>
      </c>
      <c r="AA256" s="1" t="n">
        <f aca="false">MIN(AA254-AA255,MAX(0,AA107-AA108+AA109+AA110+AA184-AA229-AA235))</f>
        <v>0.373581722235186</v>
      </c>
      <c r="AB256" s="1" t="n">
        <f aca="false">MIN(AB254-AB255,MAX(0,AB107-AB108+AB109+AB110+AB184-AB229-AB235))</f>
        <v>0.391043275751706</v>
      </c>
      <c r="AC256" s="1" t="n">
        <f aca="false">MIN(AC254-AC255,MAX(0,AC107-AC108+AC109+AC110+AC184-AC229-AC235))</f>
        <v>0.407981916760098</v>
      </c>
      <c r="AD256" s="1" t="n">
        <f aca="false">MIN(AD254-AD255,MAX(0,AD107-AD108+AD109+AD110+AD184-AD229-AD235))</f>
        <v>0.424451309051796</v>
      </c>
      <c r="AE256" s="1" t="n">
        <f aca="false">MIN(AE254-AE255,MAX(0,AE107-AE108+AE109+AE110+AE184-AE229-AE235))</f>
        <v>0.440503074501856</v>
      </c>
      <c r="AF256" s="1" t="n">
        <f aca="false">MIN(AF254-AF255,MAX(0,AF107-AF108+AF109+AF110+AF184-AF229-AF235))</f>
        <v>0.456186960595625</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187.652339662692</v>
      </c>
      <c r="M261" s="1" t="n">
        <f aca="false">(M83-M326)+M181</f>
        <v>201.492878723063</v>
      </c>
      <c r="N261" s="1" t="n">
        <f aca="false">(N83-N326)+N181</f>
        <v>206.829277243367</v>
      </c>
      <c r="O261" s="1" t="n">
        <f aca="false">(O83-O326)+O181</f>
        <v>212.558232271394</v>
      </c>
      <c r="P261" s="1" t="n">
        <f aca="false">(P83-P326)+P181</f>
        <v>217.630537405409</v>
      </c>
      <c r="Q261" s="1" t="n">
        <f aca="false">(Q83-Q326)+Q181</f>
        <v>222.629726854445</v>
      </c>
      <c r="R261" s="1" t="n">
        <f aca="false">(R83-R326)+R181</f>
        <v>227.748809972758</v>
      </c>
      <c r="S261" s="1" t="n">
        <f aca="false">(S83-S326)+S181</f>
        <v>232.98489610812</v>
      </c>
      <c r="T261" s="1" t="n">
        <f aca="false">(T83-T326)+T181</f>
        <v>238.341019354479</v>
      </c>
      <c r="U261" s="1" t="n">
        <f aca="false">(U83-U326)+U181</f>
        <v>243.819986216626</v>
      </c>
      <c r="V261" s="1" t="n">
        <f aca="false">(V83-V326)+V181</f>
        <v>249.424652261082</v>
      </c>
      <c r="W261" s="1" t="n">
        <f aca="false">(W83-W326)+W181</f>
        <v>255.156730508175</v>
      </c>
      <c r="X261" s="1" t="n">
        <f aca="false">(X83-X326)+X181</f>
        <v>261.019778087828</v>
      </c>
      <c r="Y261" s="1" t="n">
        <f aca="false">(Y83-Y326)+Y181</f>
        <v>267.017177200432</v>
      </c>
      <c r="Z261" s="1" t="n">
        <f aca="false">(Z83-Z326)+Z181</f>
        <v>273.152056277433</v>
      </c>
      <c r="AA261" s="1" t="n">
        <f aca="false">(AA83-AA326)+AA181</f>
        <v>279.427615184108</v>
      </c>
      <c r="AB261" s="1" t="n">
        <f aca="false">(AB83-AB326)+AB181</f>
        <v>285.847153400369</v>
      </c>
      <c r="AC261" s="1" t="n">
        <f aca="false">(AC83-AC326)+AC181</f>
        <v>292.414032621873</v>
      </c>
      <c r="AD261" s="1" t="n">
        <f aca="false">(AD83-AD326)+AD181</f>
        <v>299.131684022107</v>
      </c>
      <c r="AE261" s="1" t="n">
        <f aca="false">(AE83-AE326)+AE181</f>
        <v>306.003617221235</v>
      </c>
      <c r="AF261" s="1" t="n">
        <f aca="false">(AF83-AF326)+AF181</f>
        <v>313.033422132787</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9.38261698313461</v>
      </c>
      <c r="M262" s="1" t="n">
        <f aca="false">$C$260*M261</f>
        <v>10.0746439361531</v>
      </c>
      <c r="N262" s="1" t="n">
        <f aca="false">$C$260*N261</f>
        <v>10.3414638621683</v>
      </c>
      <c r="O262" s="1" t="n">
        <f aca="false">$C$260*O261</f>
        <v>10.6279116135697</v>
      </c>
      <c r="P262" s="1" t="n">
        <f aca="false">$C$260*P261</f>
        <v>10.8815268702704</v>
      </c>
      <c r="Q262" s="1" t="n">
        <f aca="false">$C$260*Q261</f>
        <v>11.1314863427223</v>
      </c>
      <c r="R262" s="1" t="n">
        <f aca="false">$C$260*R261</f>
        <v>11.3874404986379</v>
      </c>
      <c r="S262" s="1" t="n">
        <f aca="false">$C$260*S261</f>
        <v>11.649244805406</v>
      </c>
      <c r="T262" s="1" t="n">
        <f aca="false">$C$260*T261</f>
        <v>11.917050967724</v>
      </c>
      <c r="U262" s="1" t="n">
        <f aca="false">$C$260*U261</f>
        <v>12.1909993108313</v>
      </c>
      <c r="V262" s="1" t="n">
        <f aca="false">$C$260*V261</f>
        <v>12.4712326130541</v>
      </c>
      <c r="W262" s="1" t="n">
        <f aca="false">$C$260*W261</f>
        <v>12.7578365254088</v>
      </c>
      <c r="X262" s="1" t="n">
        <f aca="false">$C$260*X261</f>
        <v>13.0509889043914</v>
      </c>
      <c r="Y262" s="1" t="n">
        <f aca="false">$C$260*Y261</f>
        <v>13.3508588600216</v>
      </c>
      <c r="Z262" s="1" t="n">
        <f aca="false">$C$260*Z261</f>
        <v>13.6576028138717</v>
      </c>
      <c r="AA262" s="1" t="n">
        <f aca="false">$C$260*AA261</f>
        <v>13.9713807592054</v>
      </c>
      <c r="AB262" s="1" t="n">
        <f aca="false">$C$260*AB261</f>
        <v>14.2923576700185</v>
      </c>
      <c r="AC262" s="1" t="n">
        <f aca="false">$C$260*AC261</f>
        <v>14.6207016310937</v>
      </c>
      <c r="AD262" s="1" t="n">
        <f aca="false">$C$260*AD261</f>
        <v>14.9565842011053</v>
      </c>
      <c r="AE262" s="1" t="n">
        <f aca="false">$C$260*AE261</f>
        <v>15.3001808610617</v>
      </c>
      <c r="AF262" s="1" t="n">
        <f aca="false">$C$260*AF261</f>
        <v>15.6516711066393</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43.9305875036706</v>
      </c>
      <c r="M263" s="1" t="n">
        <f aca="false">MAX(0,(M70+L121-L227)*0.25/0.55)</f>
        <v>46.0828230724965</v>
      </c>
      <c r="N263" s="1" t="n">
        <f aca="false">MAX(0,(N70+M121-M227)*0.25/0.55)</f>
        <v>48.7870226750456</v>
      </c>
      <c r="O263" s="1" t="n">
        <f aca="false">MAX(0,(O70+N121-N227)*0.25/0.55)</f>
        <v>51.5516958825247</v>
      </c>
      <c r="P263" s="1" t="n">
        <f aca="false">MAX(0,(P70+O121-O227)*0.25/0.55)</f>
        <v>54.3787318533012</v>
      </c>
      <c r="Q263" s="1" t="n">
        <f aca="false">MAX(0,(Q70+P121-P227)*0.25/0.55)</f>
        <v>57.1835316503027</v>
      </c>
      <c r="R263" s="1" t="n">
        <f aca="false">MAX(0,(R70+Q121-Q227)*0.25/0.55)</f>
        <v>59.9616396625403</v>
      </c>
      <c r="S263" s="1" t="n">
        <f aca="false">MAX(0,(S70+R121-R227)*0.25/0.55)</f>
        <v>62.7184345835736</v>
      </c>
      <c r="T263" s="1" t="n">
        <f aca="false">MAX(0,(T70+S121-S227)*0.25/0.55)</f>
        <v>65.4621951639849</v>
      </c>
      <c r="U263" s="1" t="n">
        <f aca="false">MAX(0,(U70+T121-T227)*0.25/0.55)</f>
        <v>68.2010212867403</v>
      </c>
      <c r="V263" s="1" t="n">
        <f aca="false">MAX(0,(V70+U121-U227)*0.25/0.55)</f>
        <v>70.9429403240436</v>
      </c>
      <c r="W263" s="1" t="n">
        <f aca="false">MAX(0,(W70+V121-V227)*0.25/0.55)</f>
        <v>73.6959194674849</v>
      </c>
      <c r="X263" s="1" t="n">
        <f aca="false">MAX(0,(X70+W121-W227)*0.25/0.55)</f>
        <v>76.4679588648295</v>
      </c>
      <c r="Y263" s="1" t="n">
        <f aca="false">MAX(0,(Y70+X121-X227)*0.25/0.55)</f>
        <v>79.2670683602605</v>
      </c>
      <c r="Z263" s="1" t="n">
        <f aca="false">MAX(0,(Z70+Y121-Y227)*0.25/0.55)</f>
        <v>82.1012541717521</v>
      </c>
      <c r="AA263" s="1" t="n">
        <f aca="false">MAX(0,(AA70+Z121-Z227)*0.25/0.55)</f>
        <v>84.9785292788982</v>
      </c>
      <c r="AB263" s="1" t="n">
        <f aca="false">MAX(0,(AB70+AA121-AA227)*0.25/0.55)</f>
        <v>87.9069218384836</v>
      </c>
      <c r="AC263" s="1" t="n">
        <f aca="false">MAX(0,(AC70+AB121-AB227)*0.25/0.55)</f>
        <v>90.8944864294584</v>
      </c>
      <c r="AD263" s="1" t="n">
        <f aca="false">MAX(0,(AD70+AC121-AC227)*0.25/0.55)</f>
        <v>93.9493156942463</v>
      </c>
      <c r="AE263" s="1" t="n">
        <f aca="false">MAX(0,(AE70+AD121-AD227)*0.25/0.55)</f>
        <v>97.0795521702593</v>
      </c>
      <c r="AF263" s="1" t="n">
        <f aca="false">MAX(0,(AF70+AE121-AE227)*0.25/0.55)</f>
        <v>100.293399810128</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0.213578226841393</v>
      </c>
      <c r="M266" s="1" t="n">
        <f aca="false">IF(M263&gt;0,M262/M263,0)</f>
        <v>0.218620372287174</v>
      </c>
      <c r="N266" s="1" t="n">
        <f aca="false">IF(N263&gt;0,N262/N263,0)</f>
        <v>0.211971612431639</v>
      </c>
      <c r="O266" s="1" t="n">
        <f aca="false">IF(O263&gt;0,O262/O263,0)</f>
        <v>0.206160271386386</v>
      </c>
      <c r="P266" s="1" t="n">
        <f aca="false">IF(P263&gt;0,P262/P263,0)</f>
        <v>0.200106300743198</v>
      </c>
      <c r="Q266" s="1" t="n">
        <f aca="false">IF(Q263&gt;0,Q262/Q263,0)</f>
        <v>0.19466244951073</v>
      </c>
      <c r="R266" s="1" t="n">
        <f aca="false">IF(R263&gt;0,R262/R263,0)</f>
        <v>0.189912093176997</v>
      </c>
      <c r="S266" s="1" t="n">
        <f aca="false">IF(S263&gt;0,S262/S263,0)</f>
        <v>0.185738768557483</v>
      </c>
      <c r="T266" s="1" t="n">
        <f aca="false">IF(T263&gt;0,T262/T263,0)</f>
        <v>0.182044780775704</v>
      </c>
      <c r="U266" s="1" t="n">
        <f aca="false">IF(U263&gt;0,U262/U263,0)</f>
        <v>0.178750978809778</v>
      </c>
      <c r="V266" s="1" t="n">
        <f aca="false">IF(V263&gt;0,V262/V263,0)</f>
        <v>0.17579244046116</v>
      </c>
      <c r="W266" s="1" t="n">
        <f aca="false">IF(W263&gt;0,W262/W263,0)</f>
        <v>0.173114558005313</v>
      </c>
      <c r="X266" s="1" t="n">
        <f aca="false">IF(X263&gt;0,X262/X263,0)</f>
        <v>0.17067264640163</v>
      </c>
      <c r="Y266" s="1" t="n">
        <f aca="false">IF(Y263&gt;0,Y262/Y263,0)</f>
        <v>0.168428820898779</v>
      </c>
      <c r="Z266" s="1" t="n">
        <f aca="false">IF(Z263&gt;0,Z262/Z263,0)</f>
        <v>0.166350720846488</v>
      </c>
      <c r="AA266" s="1" t="n">
        <f aca="false">IF(AA263&gt;0,AA262/AA263,0)</f>
        <v>0.164410715009571</v>
      </c>
      <c r="AB266" s="1" t="n">
        <f aca="false">IF(AB263&gt;0,AB262/AB263,0)</f>
        <v>0.162585122662794</v>
      </c>
      <c r="AC266" s="1" t="n">
        <f aca="false">IF(AC263&gt;0,AC262/AC263,0)</f>
        <v>0.160853558949811</v>
      </c>
      <c r="AD266" s="1" t="n">
        <f aca="false">IF(AD263&gt;0,AD262/AD263,0)</f>
        <v>0.15919843684419</v>
      </c>
      <c r="AE266" s="1" t="n">
        <f aca="false">IF(AE263&gt;0,AE262/AE263,0)</f>
        <v>0.157604567790219</v>
      </c>
      <c r="AF266" s="1" t="n">
        <f aca="false">IF(AF263&gt;0,AF262/AF263,0)</f>
        <v>0.156058834741574</v>
      </c>
    </row>
    <row r="267" customFormat="false" ht="14.25" hidden="false" customHeight="true" outlineLevel="0" collapsed="false">
      <c r="B267" s="1" t="s">
        <v>1262</v>
      </c>
      <c r="C267" s="1" t="n">
        <f aca="false">C120-C264</f>
        <v>17.9458778419531</v>
      </c>
      <c r="D267" s="1" t="n">
        <f aca="false">D120-D264</f>
        <v>33.1280169060563</v>
      </c>
      <c r="E267" s="1" t="n">
        <f aca="false">E120-E264</f>
        <v>50.0498831427186</v>
      </c>
      <c r="F267" s="1" t="n">
        <f aca="false">F120-F264</f>
        <v>61.8615311429605</v>
      </c>
      <c r="G267" s="1" t="n">
        <f aca="false">G120-G264</f>
        <v>72.8447858473724</v>
      </c>
      <c r="H267" s="1" t="n">
        <f aca="false">H120-H264</f>
        <v>85.489047213793</v>
      </c>
      <c r="I267" s="1" t="n">
        <f aca="false">I120-I264</f>
        <v>99.8859200684854</v>
      </c>
      <c r="J267" s="1" t="n">
        <f aca="false">J120-J264</f>
        <v>115.612055639854</v>
      </c>
      <c r="K267" s="1" t="n">
        <f aca="false">K120-K264</f>
        <v>132.626319710305</v>
      </c>
      <c r="L267" s="1" t="n">
        <f aca="false">L120-L264</f>
        <v>149.676541722361</v>
      </c>
      <c r="M267" s="1" t="n">
        <f aca="false">M120-M264</f>
        <v>149.344933949558</v>
      </c>
      <c r="N267" s="1" t="n">
        <f aca="false">N120-N264</f>
        <v>150.995647108463</v>
      </c>
      <c r="O267" s="1" t="n">
        <f aca="false">O120-O264</f>
        <v>152.982960266457</v>
      </c>
      <c r="P267" s="1" t="n">
        <f aca="false">P120-P264</f>
        <v>154.300415339116</v>
      </c>
      <c r="Q267" s="1" t="n">
        <f aca="false">Q120-Q264</f>
        <v>155.464886594235</v>
      </c>
      <c r="R267" s="1" t="n">
        <f aca="false">R120-R264</f>
        <v>156.67025208975</v>
      </c>
      <c r="S267" s="1" t="n">
        <f aca="false">S120-S264</f>
        <v>157.91163993643</v>
      </c>
      <c r="T267" s="1" t="n">
        <f aca="false">T120-T264</f>
        <v>159.189902862269</v>
      </c>
      <c r="U267" s="1" t="n">
        <f aca="false">U120-U264</f>
        <v>160.505634369716</v>
      </c>
      <c r="V267" s="1" t="n">
        <f aca="false">V120-V264</f>
        <v>161.859438668867</v>
      </c>
      <c r="W267" s="1" t="n">
        <f aca="false">W120-W264</f>
        <v>163.254208927265</v>
      </c>
      <c r="X267" s="1" t="n">
        <f aca="false">X120-X264</f>
        <v>164.691150314053</v>
      </c>
      <c r="Y267" s="1" t="n">
        <f aca="false">Y120-Y264</f>
        <v>166.17124717719</v>
      </c>
      <c r="Z267" s="1" t="n">
        <f aca="false">Z120-Z264</f>
        <v>167.695183979383</v>
      </c>
      <c r="AA267" s="1" t="n">
        <f aca="false">AA120-AA264</f>
        <v>169.263668950392</v>
      </c>
      <c r="AB267" s="1" t="n">
        <f aca="false">AB120-AB264</f>
        <v>170.877384922935</v>
      </c>
      <c r="AC267" s="1" t="n">
        <f aca="false">AC120-AC264</f>
        <v>172.537027474988</v>
      </c>
      <c r="AD267" s="1" t="n">
        <f aca="false">AD120-AD264</f>
        <v>174.243310534169</v>
      </c>
      <c r="AE267" s="1" t="n">
        <f aca="false">AE120-AE264</f>
        <v>175.996973655624</v>
      </c>
      <c r="AF267" s="1" t="n">
        <f aca="false">AF120-AF264</f>
        <v>177.798782171659</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9.38261698313461</v>
      </c>
      <c r="M270" s="1" t="n">
        <f aca="false">01_Supuestos!$C$173*M261</f>
        <v>10.0746439361531</v>
      </c>
      <c r="N270" s="1" t="n">
        <f aca="false">01_Supuestos!$C$173*N261</f>
        <v>10.3414638621683</v>
      </c>
      <c r="O270" s="1" t="n">
        <f aca="false">01_Supuestos!$C$173*O261</f>
        <v>10.6279116135697</v>
      </c>
      <c r="P270" s="1" t="n">
        <f aca="false">01_Supuestos!$C$173*P261</f>
        <v>10.8815268702704</v>
      </c>
      <c r="Q270" s="1" t="n">
        <f aca="false">01_Supuestos!$C$173*Q261</f>
        <v>11.1314863427223</v>
      </c>
      <c r="R270" s="1" t="n">
        <f aca="false">01_Supuestos!$C$173*R261</f>
        <v>11.3874404986379</v>
      </c>
      <c r="S270" s="1" t="n">
        <f aca="false">01_Supuestos!$C$173*S261</f>
        <v>11.649244805406</v>
      </c>
      <c r="T270" s="1" t="n">
        <f aca="false">01_Supuestos!$C$173*T261</f>
        <v>11.917050967724</v>
      </c>
      <c r="U270" s="1" t="n">
        <f aca="false">01_Supuestos!$C$173*U261</f>
        <v>12.1909993108313</v>
      </c>
      <c r="V270" s="1" t="n">
        <f aca="false">01_Supuestos!$C$173*V261</f>
        <v>12.4712326130541</v>
      </c>
      <c r="W270" s="1" t="n">
        <f aca="false">01_Supuestos!$C$173*W261</f>
        <v>12.7578365254088</v>
      </c>
      <c r="X270" s="1" t="n">
        <f aca="false">01_Supuestos!$C$173*X261</f>
        <v>13.0509889043914</v>
      </c>
      <c r="Y270" s="1" t="n">
        <f aca="false">01_Supuestos!$C$173*Y261</f>
        <v>13.3508588600216</v>
      </c>
      <c r="Z270" s="1" t="n">
        <f aca="false">01_Supuestos!$C$173*Z261</f>
        <v>13.6576028138717</v>
      </c>
      <c r="AA270" s="1" t="n">
        <f aca="false">01_Supuestos!$C$173*AA261</f>
        <v>13.9713807592054</v>
      </c>
      <c r="AB270" s="1" t="n">
        <f aca="false">01_Supuestos!$C$173*AB261</f>
        <v>14.2923576700185</v>
      </c>
      <c r="AC270" s="1" t="n">
        <f aca="false">01_Supuestos!$C$173*AC261</f>
        <v>14.6207016310937</v>
      </c>
      <c r="AD270" s="1" t="n">
        <f aca="false">01_Supuestos!$C$173*AD261</f>
        <v>14.9565842011053</v>
      </c>
      <c r="AE270" s="1" t="n">
        <f aca="false">01_Supuestos!$C$173*AE261</f>
        <v>15.3001808610617</v>
      </c>
      <c r="AF270" s="1" t="n">
        <f aca="false">01_Supuestos!$C$173*AF261</f>
        <v>15.6516711066393</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9.38261698313461</v>
      </c>
      <c r="M271" s="1" t="n">
        <f aca="false">MIN(M270,M263)</f>
        <v>10.0746439361531</v>
      </c>
      <c r="N271" s="1" t="n">
        <f aca="false">MIN(N270,N263)</f>
        <v>10.3414638621683</v>
      </c>
      <c r="O271" s="1" t="n">
        <f aca="false">MIN(O270,O263)</f>
        <v>10.6279116135697</v>
      </c>
      <c r="P271" s="1" t="n">
        <f aca="false">MIN(P270,P263)</f>
        <v>10.8815268702704</v>
      </c>
      <c r="Q271" s="1" t="n">
        <f aca="false">MIN(Q270,Q263)</f>
        <v>11.1314863427223</v>
      </c>
      <c r="R271" s="1" t="n">
        <f aca="false">MIN(R270,R263)</f>
        <v>11.3874404986379</v>
      </c>
      <c r="S271" s="1" t="n">
        <f aca="false">MIN(S270,S263)</f>
        <v>11.649244805406</v>
      </c>
      <c r="T271" s="1" t="n">
        <f aca="false">MIN(T270,T263)</f>
        <v>11.917050967724</v>
      </c>
      <c r="U271" s="1" t="n">
        <f aca="false">MIN(U270,U263)</f>
        <v>12.1909993108313</v>
      </c>
      <c r="V271" s="1" t="n">
        <f aca="false">MIN(V270,V263)</f>
        <v>12.4712326130541</v>
      </c>
      <c r="W271" s="1" t="n">
        <f aca="false">MIN(W270,W263)</f>
        <v>12.7578365254088</v>
      </c>
      <c r="X271" s="1" t="n">
        <f aca="false">MIN(X270,X263)</f>
        <v>13.0509889043914</v>
      </c>
      <c r="Y271" s="1" t="n">
        <f aca="false">MIN(Y270,Y263)</f>
        <v>13.3508588600216</v>
      </c>
      <c r="Z271" s="1" t="n">
        <f aca="false">MIN(Z270,Z263)</f>
        <v>13.6576028138717</v>
      </c>
      <c r="AA271" s="1" t="n">
        <f aca="false">MIN(AA270,AA263)</f>
        <v>13.9713807592054</v>
      </c>
      <c r="AB271" s="1" t="n">
        <f aca="false">MIN(AB270,AB263)</f>
        <v>14.2923576700185</v>
      </c>
      <c r="AC271" s="1" t="n">
        <f aca="false">MIN(AC270,AC263)</f>
        <v>14.6207016310937</v>
      </c>
      <c r="AD271" s="1" t="n">
        <f aca="false">MIN(AD270,AD263)</f>
        <v>14.9565842011053</v>
      </c>
      <c r="AE271" s="1" t="n">
        <f aca="false">MIN(AE270,AE263)</f>
        <v>15.3001808610617</v>
      </c>
      <c r="AF271" s="1" t="n">
        <f aca="false">MIN(AF270,AF263)</f>
        <v>15.6516711066393</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0.0938261698313462</v>
      </c>
      <c r="M274" s="1" t="n">
        <f aca="false">IF(01_Supuestos!$C$174="Sí",01_Supuestos!$C$172*M271,01_Supuestos!$I$134*(M271+MIN(MIN(M270-M271,MAX(0,L120)),M264))+$C$10*MAX(0,MIN(M270-M271,MAX(0,L120))-M264))</f>
        <v>0.100746439361531</v>
      </c>
      <c r="N274" s="1" t="n">
        <f aca="false">IF(01_Supuestos!$C$174="Sí",01_Supuestos!$C$172*N271,01_Supuestos!$I$134*(N271+MIN(MIN(N270-N271,MAX(0,M120)),N264))+$C$10*MAX(0,MIN(N270-N271,MAX(0,M120))-N264))</f>
        <v>0.103414638621683</v>
      </c>
      <c r="O274" s="1" t="n">
        <f aca="false">IF(01_Supuestos!$C$174="Sí",01_Supuestos!$C$172*O271,01_Supuestos!$I$134*(O271+MIN(MIN(O270-O271,MAX(0,N120)),O264))+$C$10*MAX(0,MIN(O270-O271,MAX(0,N120))-O264))</f>
        <v>0.106279116135697</v>
      </c>
      <c r="P274" s="1" t="n">
        <f aca="false">IF(01_Supuestos!$C$174="Sí",01_Supuestos!$C$172*P271,01_Supuestos!$I$134*(P271+MIN(MIN(P270-P271,MAX(0,O120)),P264))+$C$10*MAX(0,MIN(P270-P271,MAX(0,O120))-P264))</f>
        <v>0.108815268702704</v>
      </c>
      <c r="Q274" s="1" t="n">
        <f aca="false">IF(01_Supuestos!$C$174="Sí",01_Supuestos!$C$172*Q271,01_Supuestos!$I$134*(Q271+MIN(MIN(Q270-Q271,MAX(0,P120)),Q264))+$C$10*MAX(0,MIN(Q270-Q271,MAX(0,P120))-Q264))</f>
        <v>0.111314863427223</v>
      </c>
      <c r="R274" s="1" t="n">
        <f aca="false">IF(01_Supuestos!$C$174="Sí",01_Supuestos!$C$172*R271,01_Supuestos!$I$134*(R271+MIN(MIN(R270-R271,MAX(0,Q120)),R264))+$C$10*MAX(0,MIN(R270-R271,MAX(0,Q120))-R264))</f>
        <v>0.113874404986379</v>
      </c>
      <c r="S274" s="1" t="n">
        <f aca="false">IF(01_Supuestos!$C$174="Sí",01_Supuestos!$C$172*S271,01_Supuestos!$I$134*(S271+MIN(MIN(S270-S271,MAX(0,R120)),S264))+$C$10*MAX(0,MIN(S270-S271,MAX(0,R120))-S264))</f>
        <v>0.11649244805406</v>
      </c>
      <c r="T274" s="1" t="n">
        <f aca="false">IF(01_Supuestos!$C$174="Sí",01_Supuestos!$C$172*T271,01_Supuestos!$I$134*(T271+MIN(MIN(T270-T271,MAX(0,S120)),T264))+$C$10*MAX(0,MIN(T270-T271,MAX(0,S120))-T264))</f>
        <v>0.11917050967724</v>
      </c>
      <c r="U274" s="1" t="n">
        <f aca="false">IF(01_Supuestos!$C$174="Sí",01_Supuestos!$C$172*U271,01_Supuestos!$I$134*(U271+MIN(MIN(U270-U271,MAX(0,T120)),U264))+$C$10*MAX(0,MIN(U270-U271,MAX(0,T120))-U264))</f>
        <v>0.121909993108313</v>
      </c>
      <c r="V274" s="1" t="n">
        <f aca="false">IF(01_Supuestos!$C$174="Sí",01_Supuestos!$C$172*V271,01_Supuestos!$I$134*(V271+MIN(MIN(V270-V271,MAX(0,U120)),V264))+$C$10*MAX(0,MIN(V270-V271,MAX(0,U120))-V264))</f>
        <v>0.124712326130541</v>
      </c>
      <c r="W274" s="1" t="n">
        <f aca="false">IF(01_Supuestos!$C$174="Sí",01_Supuestos!$C$172*W271,01_Supuestos!$I$134*(W271+MIN(MIN(W270-W271,MAX(0,V120)),W264))+$C$10*MAX(0,MIN(W270-W271,MAX(0,V120))-W264))</f>
        <v>0.127578365254088</v>
      </c>
      <c r="X274" s="1" t="n">
        <f aca="false">IF(01_Supuestos!$C$174="Sí",01_Supuestos!$C$172*X271,01_Supuestos!$I$134*(X271+MIN(MIN(X270-X271,MAX(0,W120)),X264))+$C$10*MAX(0,MIN(X270-X271,MAX(0,W120))-X264))</f>
        <v>0.130509889043914</v>
      </c>
      <c r="Y274" s="1" t="n">
        <f aca="false">IF(01_Supuestos!$C$174="Sí",01_Supuestos!$C$172*Y271,01_Supuestos!$I$134*(Y271+MIN(MIN(Y270-Y271,MAX(0,X120)),Y264))+$C$10*MAX(0,MIN(Y270-Y271,MAX(0,X120))-Y264))</f>
        <v>0.133508588600216</v>
      </c>
      <c r="Z274" s="1" t="n">
        <f aca="false">IF(01_Supuestos!$C$174="Sí",01_Supuestos!$C$172*Z271,01_Supuestos!$I$134*(Z271+MIN(MIN(Z270-Z271,MAX(0,Y120)),Z264))+$C$10*MAX(0,MIN(Z270-Z271,MAX(0,Y120))-Z264))</f>
        <v>0.136576028138717</v>
      </c>
      <c r="AA274" s="1" t="n">
        <f aca="false">IF(01_Supuestos!$C$174="Sí",01_Supuestos!$C$172*AA271,01_Supuestos!$I$134*(AA271+MIN(MIN(AA270-AA271,MAX(0,Z120)),AA264))+$C$10*MAX(0,MIN(AA270-AA271,MAX(0,Z120))-AA264))</f>
        <v>0.139713807592054</v>
      </c>
      <c r="AB274" s="1" t="n">
        <f aca="false">IF(01_Supuestos!$C$174="Sí",01_Supuestos!$C$172*AB271,01_Supuestos!$I$134*(AB271+MIN(MIN(AB270-AB271,MAX(0,AA120)),AB264))+$C$10*MAX(0,MIN(AB270-AB271,MAX(0,AA120))-AB264))</f>
        <v>0.142923576700185</v>
      </c>
      <c r="AC274" s="1" t="n">
        <f aca="false">IF(01_Supuestos!$C$174="Sí",01_Supuestos!$C$172*AC271,01_Supuestos!$I$134*(AC271+MIN(MIN(AC270-AC271,MAX(0,AB120)),AC264))+$C$10*MAX(0,MIN(AC270-AC271,MAX(0,AB120))-AC264))</f>
        <v>0.146207016310937</v>
      </c>
      <c r="AD274" s="1" t="n">
        <f aca="false">IF(01_Supuestos!$C$174="Sí",01_Supuestos!$C$172*AD271,01_Supuestos!$I$134*(AD271+MIN(MIN(AD270-AD271,MAX(0,AC120)),AD264))+$C$10*MAX(0,MIN(AD270-AD271,MAX(0,AC120))-AD264))</f>
        <v>0.149565842011053</v>
      </c>
      <c r="AE274" s="1" t="n">
        <f aca="false">IF(01_Supuestos!$C$174="Sí",01_Supuestos!$C$172*AE271,01_Supuestos!$I$134*(AE271+MIN(MIN(AE270-AE271,MAX(0,AD120)),AE264))+$C$10*MAX(0,MIN(AE270-AE271,MAX(0,AD120))-AE264))</f>
        <v>0.153001808610617</v>
      </c>
      <c r="AF274" s="1" t="n">
        <f aca="false">IF(01_Supuestos!$C$174="Sí",01_Supuestos!$C$172*AF271,01_Supuestos!$I$134*(AF271+MIN(MIN(AF270-AF271,MAX(0,AE120)),AF264))+$C$10*MAX(0,MIN(AF270-AF271,MAX(0,AE120))-AF264))</f>
        <v>0.156516711066393</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33.1280169060563</v>
      </c>
      <c r="E276" s="1" t="n">
        <f aca="false">E120-MAX(E264,E272)</f>
        <v>50.0498831427186</v>
      </c>
      <c r="F276" s="1" t="n">
        <f aca="false">F120-MAX(F264,F272)</f>
        <v>61.8615311429605</v>
      </c>
      <c r="G276" s="1" t="n">
        <f aca="false">G120-MAX(G264,G272)</f>
        <v>72.8447858473724</v>
      </c>
      <c r="H276" s="1" t="n">
        <f aca="false">H120-MAX(H264,H272)</f>
        <v>85.489047213793</v>
      </c>
      <c r="I276" s="1" t="n">
        <f aca="false">I120-MAX(I264,I272)</f>
        <v>99.8859200684854</v>
      </c>
      <c r="J276" s="1" t="n">
        <f aca="false">J120-MAX(J264,J272)</f>
        <v>115.612055639854</v>
      </c>
      <c r="K276" s="1" t="n">
        <f aca="false">K120-MAX(K264,K272)</f>
        <v>132.626319710305</v>
      </c>
      <c r="L276" s="1" t="n">
        <f aca="false">L120-MAX(L264,L272)</f>
        <v>149.676541722361</v>
      </c>
      <c r="M276" s="1" t="n">
        <f aca="false">M120-MAX(M264,M272)</f>
        <v>149.344933949558</v>
      </c>
      <c r="N276" s="1" t="n">
        <f aca="false">N120-MAX(N264,N272)</f>
        <v>150.995647108463</v>
      </c>
      <c r="O276" s="1" t="n">
        <f aca="false">O120-MAX(O264,O272)</f>
        <v>152.982960266457</v>
      </c>
      <c r="P276" s="1" t="n">
        <f aca="false">P120-MAX(P264,P272)</f>
        <v>154.300415339116</v>
      </c>
      <c r="Q276" s="1" t="n">
        <f aca="false">Q120-MAX(Q264,Q272)</f>
        <v>155.464886594235</v>
      </c>
      <c r="R276" s="1" t="n">
        <f aca="false">R120-MAX(R264,R272)</f>
        <v>156.67025208975</v>
      </c>
      <c r="S276" s="1" t="n">
        <f aca="false">S120-MAX(S264,S272)</f>
        <v>157.91163993643</v>
      </c>
      <c r="T276" s="1" t="n">
        <f aca="false">T120-MAX(T264,T272)</f>
        <v>159.189902862269</v>
      </c>
      <c r="U276" s="1" t="n">
        <f aca="false">U120-MAX(U264,U272)</f>
        <v>160.505634369716</v>
      </c>
      <c r="V276" s="1" t="n">
        <f aca="false">V120-MAX(V264,V272)</f>
        <v>161.859438668867</v>
      </c>
      <c r="W276" s="1" t="n">
        <f aca="false">W120-MAX(W264,W272)</f>
        <v>163.254208927265</v>
      </c>
      <c r="X276" s="1" t="n">
        <f aca="false">X120-MAX(X264,X272)</f>
        <v>164.691150314053</v>
      </c>
      <c r="Y276" s="1" t="n">
        <f aca="false">Y120-MAX(Y264,Y272)</f>
        <v>166.17124717719</v>
      </c>
      <c r="Z276" s="1" t="n">
        <f aca="false">Z120-MAX(Z264,Z272)</f>
        <v>167.695183979383</v>
      </c>
      <c r="AA276" s="1" t="n">
        <f aca="false">AA120-MAX(AA264,AA272)</f>
        <v>169.263668950392</v>
      </c>
      <c r="AB276" s="1" t="n">
        <f aca="false">AB120-MAX(AB264,AB272)</f>
        <v>170.877384922935</v>
      </c>
      <c r="AC276" s="1" t="n">
        <f aca="false">AC120-MAX(AC264,AC272)</f>
        <v>172.537027474988</v>
      </c>
      <c r="AD276" s="1" t="n">
        <f aca="false">AD120-MAX(AD264,AD272)</f>
        <v>174.243310534169</v>
      </c>
      <c r="AE276" s="1" t="n">
        <f aca="false">AE120-MAX(AE264,AE272)</f>
        <v>175.996973655624</v>
      </c>
      <c r="AF276" s="1" t="n">
        <f aca="false">AF120-MAX(AF264,AF272)</f>
        <v>177.798782171659</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39.9515643351644</v>
      </c>
      <c r="M284" s="1" t="n">
        <f aca="false">$C$279*M87</f>
        <v>49.1136605353627</v>
      </c>
      <c r="N284" s="1" t="n">
        <f aca="false">$C$279*N87</f>
        <v>52.8528158397428</v>
      </c>
      <c r="O284" s="1" t="n">
        <f aca="false">$C$279*O87</f>
        <v>53.9612381848173</v>
      </c>
      <c r="P284" s="1" t="n">
        <f aca="false">$C$279*P87</f>
        <v>55.1833183459313</v>
      </c>
      <c r="Q284" s="1" t="n">
        <f aca="false">$C$279*Q87</f>
        <v>56.4379710413199</v>
      </c>
      <c r="R284" s="1" t="n">
        <f aca="false">$C$279*R87</f>
        <v>57.729261658961</v>
      </c>
      <c r="S284" s="1" t="n">
        <f aca="false">$C$279*S87</f>
        <v>59.0577306673275</v>
      </c>
      <c r="T284" s="1" t="n">
        <f aca="false">$C$279*T87</f>
        <v>60.4237338382204</v>
      </c>
      <c r="U284" s="1" t="n">
        <f aca="false">$C$279*U87</f>
        <v>61.8276560395859</v>
      </c>
      <c r="V284" s="1" t="n">
        <f aca="false">$C$279*V87</f>
        <v>63.2699042962346</v>
      </c>
      <c r="W284" s="1" t="n">
        <f aca="false">$C$279*W87</f>
        <v>64.7552813691315</v>
      </c>
      <c r="X284" s="1" t="n">
        <f aca="false">$C$279*X87</f>
        <v>66.2842131975945</v>
      </c>
      <c r="Y284" s="1" t="n">
        <f aca="false">$C$279*Y87</f>
        <v>67.8571431597596</v>
      </c>
      <c r="Z284" s="1" t="n">
        <f aca="false">$C$279*Z87</f>
        <v>69.4745334531963</v>
      </c>
      <c r="AA284" s="1" t="n">
        <f aca="false">$C$279*AA87</f>
        <v>71.1368648415822</v>
      </c>
      <c r="AB284" s="1" t="n">
        <f aca="false">$C$279*AB87</f>
        <v>72.8445409377591</v>
      </c>
      <c r="AC284" s="1" t="n">
        <f aca="false">$C$279*AC87</f>
        <v>74.5979851614819</v>
      </c>
      <c r="AD284" s="1" t="n">
        <f aca="false">$C$279*AD87</f>
        <v>76.3976404655748</v>
      </c>
      <c r="AE284" s="1" t="n">
        <f aca="false">$C$279*AE87</f>
        <v>78.2439690600742</v>
      </c>
      <c r="AF284" s="1" t="n">
        <f aca="false">$C$279*AF87</f>
        <v>80.1374521694451</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1.99558063854146</v>
      </c>
      <c r="N285" s="1" t="n">
        <f aca="false">MAX(M284*(1-$C$340)/$C$280,M284-N341-N284)</f>
        <v>2.45322734374137</v>
      </c>
      <c r="O285" s="1" t="n">
        <f aca="false">MAX(N284*(1-$C$340)/$C$280,N284-O341-O284)</f>
        <v>2.63999815119515</v>
      </c>
      <c r="P285" s="1" t="n">
        <f aca="false">MAX(O284*(1-$C$340)/$C$280,O284-P341-P284)</f>
        <v>2.69536384733162</v>
      </c>
      <c r="Q285" s="1" t="n">
        <f aca="false">MAX(P284*(1-$C$340)/$C$280,P284-Q341-Q284)</f>
        <v>2.75640675137927</v>
      </c>
      <c r="R285" s="1" t="n">
        <f aca="false">MAX(Q284*(1-$C$340)/$C$280,Q284-R341-R284)</f>
        <v>2.81907665351393</v>
      </c>
      <c r="S285" s="1" t="n">
        <f aca="false">MAX(R284*(1-$C$340)/$C$280,R284-S341-S284)</f>
        <v>2.8835766198651</v>
      </c>
      <c r="T285" s="1" t="n">
        <f aca="false">MAX(S284*(1-$C$340)/$C$280,S284-T341-T284)</f>
        <v>2.94993364683301</v>
      </c>
      <c r="U285" s="1" t="n">
        <f aca="false">MAX(T284*(1-$C$340)/$C$280,T284-U341-U284)</f>
        <v>3.01816550521911</v>
      </c>
      <c r="V285" s="1" t="n">
        <f aca="false">MAX(U284*(1-$C$340)/$C$280,U284-V341-V284)</f>
        <v>3.08829141917732</v>
      </c>
      <c r="W285" s="1" t="n">
        <f aca="false">MAX(V284*(1-$C$340)/$C$280,V284-W341-W284)</f>
        <v>3.16033171959692</v>
      </c>
      <c r="X285" s="1" t="n">
        <f aca="false">MAX(W284*(1-$C$340)/$C$280,W284-X341-X284)</f>
        <v>3.23452630438812</v>
      </c>
      <c r="Y285" s="1" t="n">
        <f aca="false">MAX(X284*(1-$C$340)/$C$280,X284-Y341-Y284)</f>
        <v>3.31089644921985</v>
      </c>
      <c r="Z285" s="1" t="n">
        <f aca="false">MAX(Y284*(1-$C$340)/$C$280,Y284-Z341-Z284)</f>
        <v>3.38946430082999</v>
      </c>
      <c r="AA285" s="1" t="n">
        <f aca="false">MAX(Z284*(1-$C$340)/$C$280,Z284-AA341-AA284)</f>
        <v>3.47025294598716</v>
      </c>
      <c r="AB285" s="1" t="n">
        <f aca="false">MAX(AA284*(1-$C$340)/$C$280,AA284-AB341-AB284)</f>
        <v>3.55328639883703</v>
      </c>
      <c r="AC285" s="1" t="n">
        <f aca="false">MAX(AB284*(1-$C$340)/$C$280,AB284-AC341-AC284)</f>
        <v>3.63858481984107</v>
      </c>
      <c r="AD285" s="1" t="n">
        <f aca="false">MAX(AC284*(1-$C$340)/$C$280,AC284-AD341-AD284)</f>
        <v>3.72616935881602</v>
      </c>
      <c r="AE285" s="1" t="n">
        <f aca="false">MAX(AD284*(1-$C$340)/$C$280,AD284-AE341-AE284)</f>
        <v>3.81606214125546</v>
      </c>
      <c r="AF285" s="1" t="n">
        <f aca="false">MAX(AE284*(1-$C$340)/$C$280,AE284-AF341-AF284)</f>
        <v>3.90828625455071</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7.45431134650823</v>
      </c>
      <c r="M286" s="1" t="n">
        <f aca="false">M284-L284+M285+M341</f>
        <v>11.197628403075</v>
      </c>
      <c r="N286" s="1" t="n">
        <f aca="false">N284-M284+N285+N341</f>
        <v>6.2414963086568</v>
      </c>
      <c r="O286" s="1" t="n">
        <f aca="false">O284-N284+O285+O341</f>
        <v>3.80127331210938</v>
      </c>
      <c r="P286" s="1" t="n">
        <f aca="false">P284-O284+P285+P341</f>
        <v>3.97140524663045</v>
      </c>
      <c r="Q286" s="1" t="n">
        <f aca="false">Q284-P284+Q285+Q341</f>
        <v>4.06624276511379</v>
      </c>
      <c r="R286" s="1" t="n">
        <f aca="false">R284-Q284+R285+R341</f>
        <v>4.16680524219637</v>
      </c>
      <c r="S286" s="1" t="n">
        <f aca="false">S284-R284+S285+S341</f>
        <v>4.26977488989052</v>
      </c>
      <c r="T286" s="1" t="n">
        <f aca="false">T284-S284+T285+T341</f>
        <v>4.37499454839323</v>
      </c>
      <c r="U286" s="1" t="n">
        <f aca="false">U284-T284+U285+U341</f>
        <v>4.4825114404229</v>
      </c>
      <c r="V286" s="1" t="n">
        <f aca="false">V284-U284+V285+V341</f>
        <v>4.59236733186561</v>
      </c>
      <c r="W286" s="1" t="n">
        <f aca="false">W284-V284+W285+W341</f>
        <v>4.70897869678996</v>
      </c>
      <c r="X286" s="1" t="n">
        <f aca="false">X284-W284+X285+X341</f>
        <v>4.82821341422031</v>
      </c>
      <c r="Y286" s="1" t="n">
        <f aca="false">Y284-X284+Y285+Y341</f>
        <v>4.95011062458256</v>
      </c>
      <c r="Z286" s="1" t="n">
        <f aca="false">Z284-Y284+Z285+Z341</f>
        <v>5.07471173742647</v>
      </c>
      <c r="AA286" s="1" t="n">
        <f aca="false">AA284-Z284+AA285+AA341</f>
        <v>5.20205886782625</v>
      </c>
      <c r="AB286" s="1" t="n">
        <f aca="false">AB284-AA284+AB285+AB341</f>
        <v>5.33209935985546</v>
      </c>
      <c r="AC286" s="1" t="n">
        <f aca="false">AC284-AB284+AC285+AC341</f>
        <v>5.46487358450161</v>
      </c>
      <c r="AD286" s="1" t="n">
        <f aca="false">AD284-AC284+AD285+AD341</f>
        <v>5.6004226480704</v>
      </c>
      <c r="AE286" s="1" t="n">
        <f aca="false">AE284-AD284+AE285+AE341</f>
        <v>5.73878837622045</v>
      </c>
      <c r="AF286" s="1" t="n">
        <f aca="false">AF284-AE284+AF285+AF341</f>
        <v>5.88001333298167</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1.71619934914566</v>
      </c>
      <c r="M287" s="1" t="n">
        <f aca="false">M284*(1-$C$340)*$C$175</f>
        <v>2.10977551561758</v>
      </c>
      <c r="N287" s="1" t="n">
        <f aca="false">N284*(1-$C$340)*$C$175</f>
        <v>2.27039841002783</v>
      </c>
      <c r="O287" s="1" t="n">
        <f aca="false">O284*(1-$C$340)*$C$175</f>
        <v>2.3180129087052</v>
      </c>
      <c r="P287" s="1" t="n">
        <f aca="false">P284*(1-$C$340)*$C$175</f>
        <v>2.37050980618617</v>
      </c>
      <c r="Q287" s="1" t="n">
        <f aca="false">Q284*(1-$C$340)*$C$175</f>
        <v>2.42440592202198</v>
      </c>
      <c r="R287" s="1" t="n">
        <f aca="false">R284*(1-$C$340)*$C$175</f>
        <v>2.47987589308399</v>
      </c>
      <c r="S287" s="1" t="n">
        <f aca="false">S284*(1-$C$340)*$C$175</f>
        <v>2.53694293627639</v>
      </c>
      <c r="T287" s="1" t="n">
        <f aca="false">T284*(1-$C$340)*$C$175</f>
        <v>2.59562233448843</v>
      </c>
      <c r="U287" s="1" t="n">
        <f aca="false">U284*(1-$C$340)*$C$175</f>
        <v>2.65593062049249</v>
      </c>
      <c r="V287" s="1" t="n">
        <f aca="false">V284*(1-$C$340)*$C$175</f>
        <v>2.71788527885335</v>
      </c>
      <c r="W287" s="1" t="n">
        <f aca="false">W284*(1-$C$340)*$C$175</f>
        <v>2.78169262177378</v>
      </c>
      <c r="X287" s="1" t="n">
        <f aca="false">X284*(1-$C$340)*$C$175</f>
        <v>2.84737094632907</v>
      </c>
      <c r="Y287" s="1" t="n">
        <f aca="false">Y284*(1-$C$340)*$C$175</f>
        <v>2.91493929871379</v>
      </c>
      <c r="Z287" s="1" t="n">
        <f aca="false">Z284*(1-$C$340)*$C$175</f>
        <v>2.98441753354896</v>
      </c>
      <c r="AA287" s="1" t="n">
        <f aca="false">AA284*(1-$C$340)*$C$175</f>
        <v>3.05582630299985</v>
      </c>
      <c r="AB287" s="1" t="n">
        <f aca="false">AB284*(1-$C$340)*$C$175</f>
        <v>3.12918294506332</v>
      </c>
      <c r="AC287" s="1" t="n">
        <f aca="false">AC284*(1-$C$340)*$C$175</f>
        <v>3.20450564858178</v>
      </c>
      <c r="AD287" s="1" t="n">
        <f aca="false">AD284*(1-$C$340)*$C$175</f>
        <v>3.28181344147969</v>
      </c>
      <c r="AE287" s="1" t="n">
        <f aca="false">AE284*(1-$C$340)*$C$175</f>
        <v>3.36112617891361</v>
      </c>
      <c r="AF287" s="1" t="n">
        <f aca="false">AF284*(1-$C$340)*$C$175</f>
        <v>3.44246453284285</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55.1712078914175</v>
      </c>
      <c r="M289" s="1" t="n">
        <f aca="false">(1-$C$279)*M87</f>
        <v>67.8236264535962</v>
      </c>
      <c r="N289" s="1" t="n">
        <f aca="false">(1-$C$279)*N87</f>
        <v>72.9872218739306</v>
      </c>
      <c r="O289" s="1" t="n">
        <f aca="false">(1-$C$279)*O87</f>
        <v>74.517900350462</v>
      </c>
      <c r="P289" s="1" t="n">
        <f aca="false">(1-$C$279)*P87</f>
        <v>76.2055348586671</v>
      </c>
      <c r="Q289" s="1" t="n">
        <f aca="false">(1-$C$279)*Q87</f>
        <v>77.9381504856322</v>
      </c>
      <c r="R289" s="1" t="n">
        <f aca="false">(1-$C$279)*R87</f>
        <v>79.7213613385652</v>
      </c>
      <c r="S289" s="1" t="n">
        <f aca="false">(1-$C$279)*S87</f>
        <v>81.5559137786903</v>
      </c>
      <c r="T289" s="1" t="n">
        <f aca="false">(1-$C$279)*T87</f>
        <v>83.4422991099234</v>
      </c>
      <c r="U289" s="1" t="n">
        <f aca="false">(1-$C$279)*U87</f>
        <v>85.3810488165711</v>
      </c>
      <c r="V289" s="1" t="n">
        <f aca="false">(1-$C$279)*V87</f>
        <v>87.3727249805145</v>
      </c>
      <c r="W289" s="1" t="n">
        <f aca="false">(1-$C$279)*W87</f>
        <v>89.4239599859434</v>
      </c>
      <c r="X289" s="1" t="n">
        <f aca="false">(1-$C$279)*X87</f>
        <v>91.5353420347734</v>
      </c>
      <c r="Y289" s="1" t="n">
        <f aca="false">(1-$C$279)*Y87</f>
        <v>93.7074834110967</v>
      </c>
      <c r="Z289" s="1" t="n">
        <f aca="false">(1-$C$279)*Z87</f>
        <v>95.9410223877474</v>
      </c>
      <c r="AA289" s="1" t="n">
        <f aca="false">(1-$C$279)*AA87</f>
        <v>98.2366228764707</v>
      </c>
      <c r="AB289" s="1" t="n">
        <f aca="false">(1-$C$279)*AB87</f>
        <v>100.594842247382</v>
      </c>
      <c r="AC289" s="1" t="n">
        <f aca="false">(1-$C$279)*AC87</f>
        <v>103.016265222999</v>
      </c>
      <c r="AD289" s="1" t="n">
        <f aca="false">(1-$C$279)*AD87</f>
        <v>105.501503500079</v>
      </c>
      <c r="AE289" s="1" t="n">
        <f aca="false">(1-$C$279)*AE87</f>
        <v>108.051195368674</v>
      </c>
      <c r="AF289" s="1" t="n">
        <f aca="false">(1-$C$279)*AF87</f>
        <v>110.666005376853</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11.0232073367052</v>
      </c>
      <c r="N290" s="1" t="n">
        <f aca="false">MAX(M289*(1-$C$340)/$C$281+IF(AND(01_Supuestos!$C$189&gt;0,N$39=01_Supuestos!$C$189),01_Supuestos!$C$190*M289*(1-$C$340)*(1-1/$C$281),0),M289-N342-N289)</f>
        <v>13.5511605654285</v>
      </c>
      <c r="O290" s="1" t="n">
        <f aca="false">MAX(N289*(1-$C$340)/$C$281+IF(AND(01_Supuestos!$C$189&gt;0,O$39=01_Supuestos!$C$189),01_Supuestos!$C$190*N289*(1-$C$340)*(1-1/$C$281),0),N289-O342-O289)</f>
        <v>14.5828469304113</v>
      </c>
      <c r="P290" s="1" t="n">
        <f aca="false">MAX(O289*(1-$C$340)/$C$281+IF(AND(01_Supuestos!$C$189&gt;0,P$39=01_Supuestos!$C$189),01_Supuestos!$C$190*O289*(1-$C$340)*(1-1/$C$281),0),O289-P342-P289)</f>
        <v>14.8886764900223</v>
      </c>
      <c r="Q290" s="1" t="n">
        <f aca="false">MAX(P289*(1-$C$340)/$C$281+IF(AND(01_Supuestos!$C$189&gt;0,Q$39=01_Supuestos!$C$189),01_Supuestos!$C$190*P289*(1-$C$340)*(1-1/$C$281),0),P289-Q342-Q289)</f>
        <v>15.2258658647617</v>
      </c>
      <c r="R290" s="1" t="n">
        <f aca="false">MAX(Q289*(1-$C$340)/$C$281+IF(AND(01_Supuestos!$C$189&gt;0,R$39=01_Supuestos!$C$189),01_Supuestos!$C$190*Q289*(1-$C$340)*(1-1/$C$281),0),Q289-R342-R289)</f>
        <v>15.5720424670293</v>
      </c>
      <c r="S290" s="1" t="n">
        <f aca="false">MAX(R289*(1-$C$340)/$C$281+IF(AND(01_Supuestos!$C$189&gt;0,S$39=01_Supuestos!$C$189),01_Supuestos!$C$190*R289*(1-$C$340)*(1-1/$C$281),0),R289-S342-S289)</f>
        <v>15.9283279954453</v>
      </c>
      <c r="T290" s="1" t="n">
        <f aca="false">MAX(S289*(1-$C$340)/$C$281+IF(AND(01_Supuestos!$C$189&gt;0,T$39=01_Supuestos!$C$189),01_Supuestos!$C$190*S289*(1-$C$340)*(1-1/$C$281),0),S289-T342-T289)</f>
        <v>16.2948715729823</v>
      </c>
      <c r="U290" s="1" t="n">
        <f aca="false">MAX(T289*(1-$C$340)/$C$281+IF(AND(01_Supuestos!$C$189&gt;0,U$39=01_Supuestos!$C$189),01_Supuestos!$C$190*T289*(1-$C$340)*(1-1/$C$281),0),T289-U342-U289)</f>
        <v>16.6717713621627</v>
      </c>
      <c r="V290" s="1" t="n">
        <f aca="false">MAX(U289*(1-$C$340)/$C$281+IF(AND(01_Supuestos!$C$189&gt;0,V$39=01_Supuestos!$C$189),01_Supuestos!$C$190*U289*(1-$C$340)*(1-1/$C$281),0),U289-V342-V289)</f>
        <v>17.0591335535509</v>
      </c>
      <c r="W290" s="1" t="n">
        <f aca="false">MAX(V289*(1-$C$340)/$C$281+IF(AND(01_Supuestos!$C$189&gt;0,W$39=01_Supuestos!$C$189),01_Supuestos!$C$190*V289*(1-$C$340)*(1-1/$C$281),0),V289-W342-W289)</f>
        <v>17.4570704511068</v>
      </c>
      <c r="X290" s="1" t="n">
        <f aca="false">MAX(W289*(1-$C$340)/$C$281+IF(AND(01_Supuestos!$C$189&gt;0,X$39=01_Supuestos!$C$189),01_Supuestos!$C$190*W289*(1-$C$340)*(1-1/$C$281),0),W289-X342-X289)</f>
        <v>17.8669072051915</v>
      </c>
      <c r="Y290" s="1" t="n">
        <f aca="false">MAX(X289*(1-$C$340)/$C$281+IF(AND(01_Supuestos!$C$189&gt;0,Y$39=01_Supuestos!$C$189),01_Supuestos!$C$190*X289*(1-$C$340)*(1-1/$C$281),0),X289-Y342-Y289)</f>
        <v>18.2887613385477</v>
      </c>
      <c r="Z290" s="1" t="n">
        <f aca="false">MAX(Y289*(1-$C$340)/$C$281+IF(AND(01_Supuestos!$C$189&gt;0,Z$39=01_Supuestos!$C$189),01_Supuestos!$C$190*Y289*(1-$C$340)*(1-1/$C$281),0),Y289-Z342-Z289)</f>
        <v>18.7227551855371</v>
      </c>
      <c r="AA290" s="1" t="n">
        <f aca="false">MAX(Z289*(1-$C$340)/$C$281+IF(AND(01_Supuestos!$C$189&gt;0,AA$39=01_Supuestos!$C$189),01_Supuestos!$C$190*Z289*(1-$C$340)*(1-1/$C$281),0),Z289-AA342-AA289)</f>
        <v>19.1690162730719</v>
      </c>
      <c r="AB290" s="1" t="n">
        <f aca="false">MAX(AA289*(1-$C$340)/$C$281+IF(AND(01_Supuestos!$C$189&gt;0,AB$39=01_Supuestos!$C$189),01_Supuestos!$C$190*AA289*(1-$C$340)*(1-1/$C$281),0),AA289-AB342-AB289)</f>
        <v>19.6276772507189</v>
      </c>
      <c r="AC290" s="1" t="n">
        <f aca="false">MAX(AB289*(1-$C$340)/$C$281+IF(AND(01_Supuestos!$C$189&gt;0,AC$39=01_Supuestos!$C$189),01_Supuestos!$C$190*AB289*(1-$C$340)*(1-1/$C$281),0),AB289-AC342-AC289)</f>
        <v>20.0988494810268</v>
      </c>
      <c r="AD290" s="1" t="n">
        <f aca="false">MAX(AC289*(1-$C$340)/$C$281+IF(AND(01_Supuestos!$C$189&gt;0,AD$39=01_Supuestos!$C$189),01_Supuestos!$C$190*AC289*(1-$C$340)*(1-1/$C$281),0),AC289-AD342-AD289)</f>
        <v>20.5826497915552</v>
      </c>
      <c r="AE290" s="1" t="n">
        <f aca="false">MAX(AD289*(1-$C$340)/$C$281+IF(AND(01_Supuestos!$C$189&gt;0,AE$39=01_Supuestos!$C$189),01_Supuestos!$C$190*AD289*(1-$C$340)*(1-1/$C$281),0),AD289-AE342-AE289)</f>
        <v>21.0792003993159</v>
      </c>
      <c r="AF290" s="1" t="n">
        <f aca="false">MAX(AE289*(1-$C$340)/$C$281+IF(AND(01_Supuestos!$C$189&gt;0,AF$39=01_Supuestos!$C$189),01_Supuestos!$C$190*AE289*(1-$C$340)*(1-1/$C$281),0),AE289-AF342-AF289)</f>
        <v>21.588628834661</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17.3799161953361</v>
      </c>
      <c r="M291" s="1" t="n">
        <f aca="false">M289-L289+M290+M342</f>
        <v>23.7307971067753</v>
      </c>
      <c r="N291" s="1" t="n">
        <f aca="false">N289-M289+N290+N342</f>
        <v>18.7825796122165</v>
      </c>
      <c r="O291" s="1" t="n">
        <f aca="false">O289-N289+O290+O342</f>
        <v>16.1865126288167</v>
      </c>
      <c r="P291" s="1" t="n">
        <f aca="false">P289-O289+P290+P342</f>
        <v>16.6508288985778</v>
      </c>
      <c r="Q291" s="1" t="n">
        <f aca="false">Q289-P289+Q290+Q342</f>
        <v>17.0346870265855</v>
      </c>
      <c r="R291" s="1" t="n">
        <f aca="false">R289-Q289+R290+R342</f>
        <v>17.4331914704479</v>
      </c>
      <c r="S291" s="1" t="n">
        <f aca="false">S289-R289+S290+S342</f>
        <v>17.842601796909</v>
      </c>
      <c r="T291" s="1" t="n">
        <f aca="false">T289-S289+T290+T342</f>
        <v>18.2628128179941</v>
      </c>
      <c r="U291" s="1" t="n">
        <f aca="false">U289-T289+U290+U342</f>
        <v>18.6939633679203</v>
      </c>
      <c r="V291" s="1" t="n">
        <f aca="false">V289-U289+V290+V342</f>
        <v>19.1361907663109</v>
      </c>
      <c r="W291" s="1" t="n">
        <f aca="false">W289-V289+W290+W342</f>
        <v>19.5956781815162</v>
      </c>
      <c r="X291" s="1" t="n">
        <f aca="false">X289-W289+X290+X342</f>
        <v>20.0677132140074</v>
      </c>
      <c r="Y291" s="1" t="n">
        <f aca="false">Y289-X289+Y290+Y342</f>
        <v>20.5524380569058</v>
      </c>
      <c r="Z291" s="1" t="n">
        <f aca="false">Z289-Y289+Z290+Z342</f>
        <v>21.0500016455989</v>
      </c>
      <c r="AA291" s="1" t="n">
        <f aca="false">AA289-Z289+AA290+AA342</f>
        <v>21.5605577841831</v>
      </c>
      <c r="AB291" s="1" t="n">
        <f aca="false">AB289-AA289+AB290+AB342</f>
        <v>22.0841332445062</v>
      </c>
      <c r="AC291" s="1" t="n">
        <f aca="false">AC289-AB289+AC290+AC342</f>
        <v>22.6208672988914</v>
      </c>
      <c r="AD291" s="1" t="n">
        <f aca="false">AD289-AC289+AD290+AD342</f>
        <v>23.1709043338588</v>
      </c>
      <c r="AE291" s="1" t="n">
        <f aca="false">AE289-AD289+AE290+AE342</f>
        <v>23.7343937714104</v>
      </c>
      <c r="AF291" s="1" t="n">
        <f aca="false">AF289-AE289+AF290+AF342</f>
        <v>24.3114900382086</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2.36998957739162</v>
      </c>
      <c r="M292" s="1" t="n">
        <f aca="false">M289*(1-$C$340)*$C$175</f>
        <v>2.91349952156713</v>
      </c>
      <c r="N292" s="1" t="n">
        <f aca="false">N289*(1-$C$340)*$C$175</f>
        <v>3.13531209003843</v>
      </c>
      <c r="O292" s="1" t="n">
        <f aca="false">O289*(1-$C$340)*$C$175</f>
        <v>3.2010654453548</v>
      </c>
      <c r="P292" s="1" t="n">
        <f aca="false">P289*(1-$C$340)*$C$175</f>
        <v>3.27356116092376</v>
      </c>
      <c r="Q292" s="1" t="n">
        <f aca="false">Q289*(1-$C$340)*$C$175</f>
        <v>3.3479891304113</v>
      </c>
      <c r="R292" s="1" t="n">
        <f aca="false">R289*(1-$C$340)*$C$175</f>
        <v>3.42459051902075</v>
      </c>
      <c r="S292" s="1" t="n">
        <f aca="false">S289*(1-$C$340)*$C$175</f>
        <v>3.5033973881912</v>
      </c>
      <c r="T292" s="1" t="n">
        <f aca="false">T289*(1-$C$340)*$C$175</f>
        <v>3.58443084286498</v>
      </c>
      <c r="U292" s="1" t="n">
        <f aca="false">U289*(1-$C$340)*$C$175</f>
        <v>3.66771371401344</v>
      </c>
      <c r="V292" s="1" t="n">
        <f aca="false">V289*(1-$C$340)*$C$175</f>
        <v>3.75327014698796</v>
      </c>
      <c r="W292" s="1" t="n">
        <f aca="false">W289*(1-$C$340)*$C$175</f>
        <v>3.84138504911617</v>
      </c>
      <c r="X292" s="1" t="n">
        <f aca="false">X289*(1-$C$340)*$C$175</f>
        <v>3.93208368778776</v>
      </c>
      <c r="Y292" s="1" t="n">
        <f aca="false">Y289*(1-$C$340)*$C$175</f>
        <v>4.02539236489048</v>
      </c>
      <c r="Z292" s="1" t="n">
        <f aca="false">Z289*(1-$C$340)*$C$175</f>
        <v>4.12133849871046</v>
      </c>
      <c r="AA292" s="1" t="n">
        <f aca="false">AA289*(1-$C$340)*$C$175</f>
        <v>4.21995060890455</v>
      </c>
      <c r="AB292" s="1" t="n">
        <f aca="false">AB289*(1-$C$340)*$C$175</f>
        <v>4.32125263842077</v>
      </c>
      <c r="AC292" s="1" t="n">
        <f aca="false">AC289*(1-$C$340)*$C$175</f>
        <v>4.42526970518436</v>
      </c>
      <c r="AD292" s="1" t="n">
        <f aca="false">AD289*(1-$C$340)*$C$175</f>
        <v>4.53202808585291</v>
      </c>
      <c r="AE292" s="1" t="n">
        <f aca="false">AE289*(1-$C$340)*$C$175</f>
        <v>4.64155519945212</v>
      </c>
      <c r="AF292" s="1" t="n">
        <f aca="false">AF289*(1-$C$340)*$C$175</f>
        <v>4.75387959297346</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41.9758987230249</v>
      </c>
      <c r="M294" s="116" t="n">
        <f aca="false">M85</f>
        <v>33.5807189784199</v>
      </c>
      <c r="N294" s="116" t="n">
        <f aca="false">N85</f>
        <v>28.1398823909552</v>
      </c>
      <c r="O294" s="116" t="n">
        <f aca="false">O85</f>
        <v>29.0423197317557</v>
      </c>
      <c r="P294" s="116" t="n">
        <f aca="false">P85</f>
        <v>29.7555986025785</v>
      </c>
      <c r="Q294" s="116" t="n">
        <f aca="false">Q85</f>
        <v>30.4746526717897</v>
      </c>
      <c r="R294" s="116" t="n">
        <f aca="false">R85</f>
        <v>31.1917190077866</v>
      </c>
      <c r="S294" s="116" t="n">
        <f aca="false">S85</f>
        <v>31.9074714254173</v>
      </c>
      <c r="T294" s="116" t="n">
        <f aca="false">T85</f>
        <v>32.6230685883343</v>
      </c>
      <c r="U294" s="116" t="n">
        <f aca="false">U85</f>
        <v>33.33964601566</v>
      </c>
      <c r="V294" s="116" t="n">
        <f aca="false">V85</f>
        <v>34.0583336651197</v>
      </c>
      <c r="W294" s="116" t="n">
        <f aca="false">W85</f>
        <v>34.7698437344569</v>
      </c>
      <c r="X294" s="116" t="n">
        <f aca="false">X85</f>
        <v>35.4753588142231</v>
      </c>
      <c r="Y294" s="116" t="n">
        <f aca="false">Y85</f>
        <v>36.1760704988063</v>
      </c>
      <c r="Z294" s="116" t="n">
        <f aca="false">Z85</f>
        <v>36.8731772613211</v>
      </c>
      <c r="AA294" s="116" t="n">
        <f aca="false">AA85</f>
        <v>37.5678862455639</v>
      </c>
      <c r="AB294" s="116" t="n">
        <f aca="false">AB85</f>
        <v>38.2616423796394</v>
      </c>
      <c r="AC294" s="116" t="n">
        <f aca="false">AC85</f>
        <v>38.9558987682893</v>
      </c>
      <c r="AD294" s="116" t="n">
        <f aca="false">AD85</f>
        <v>39.6521186176294</v>
      </c>
      <c r="AE294" s="116" t="n">
        <f aca="false">AE85</f>
        <v>40.3517771939511</v>
      </c>
      <c r="AF294" s="116" t="n">
        <f aca="false">AF85</f>
        <v>41.0563637337235</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8.39517974460498</v>
      </c>
      <c r="N295" s="1" t="n">
        <f aca="false">MAX(M294/$C$282,M294-N294)</f>
        <v>5.44083658746472</v>
      </c>
      <c r="O295" s="1" t="n">
        <f aca="false">MAX(N294/$C$282,N294-O294)</f>
        <v>2.81398823909552</v>
      </c>
      <c r="P295" s="1" t="n">
        <f aca="false">MAX(O294/$C$282,O294-P294)</f>
        <v>2.90423197317557</v>
      </c>
      <c r="Q295" s="1" t="n">
        <f aca="false">MAX(P294/$C$282,P294-Q294)</f>
        <v>2.97555986025785</v>
      </c>
      <c r="R295" s="1" t="n">
        <f aca="false">MAX(Q294/$C$282,Q294-R294)</f>
        <v>3.04746526717897</v>
      </c>
      <c r="S295" s="1" t="n">
        <f aca="false">MAX(R294/$C$282,R294-S294)</f>
        <v>3.11917190077866</v>
      </c>
      <c r="T295" s="1" t="n">
        <f aca="false">MAX(S294/$C$282,S294-T294)</f>
        <v>3.19074714254173</v>
      </c>
      <c r="U295" s="1" t="n">
        <f aca="false">MAX(T294/$C$282,T294-U294)</f>
        <v>3.26230685883343</v>
      </c>
      <c r="V295" s="1" t="n">
        <f aca="false">MAX(U294/$C$282,U294-V294)</f>
        <v>3.333964601566</v>
      </c>
      <c r="W295" s="1" t="n">
        <f aca="false">MAX(V294/$C$282,V294-W294)</f>
        <v>3.40583336651197</v>
      </c>
      <c r="X295" s="1" t="n">
        <f aca="false">MAX(W294/$C$282,W294-X294)</f>
        <v>3.47698437344569</v>
      </c>
      <c r="Y295" s="1" t="n">
        <f aca="false">MAX(X294/$C$282,X294-Y294)</f>
        <v>3.54753588142231</v>
      </c>
      <c r="Z295" s="1" t="n">
        <f aca="false">MAX(Y294/$C$282,Y294-Z294)</f>
        <v>3.61760704988063</v>
      </c>
      <c r="AA295" s="1" t="n">
        <f aca="false">MAX(Z294/$C$282,Z294-AA294)</f>
        <v>3.68731772613211</v>
      </c>
      <c r="AB295" s="1" t="n">
        <f aca="false">MAX(AA294/$C$282,AA294-AB294)</f>
        <v>3.75678862455639</v>
      </c>
      <c r="AC295" s="1" t="n">
        <f aca="false">MAX(AB294/$C$282,AB294-AC294)</f>
        <v>3.82616423796394</v>
      </c>
      <c r="AD295" s="1" t="n">
        <f aca="false">MAX(AC294/$C$282,AC294-AD294)</f>
        <v>3.89558987682893</v>
      </c>
      <c r="AE295" s="1" t="n">
        <f aca="false">MAX(AD294/$C$282,AD294-AE294)</f>
        <v>3.96521186176294</v>
      </c>
      <c r="AF295" s="1" t="n">
        <f aca="false">MAX(AE294/$C$282,AE294-AF294)</f>
        <v>4.03517771939511</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5.60178469810331</v>
      </c>
      <c r="M296" s="1" t="n">
        <f aca="false">M294-L294+M295</f>
        <v>0</v>
      </c>
      <c r="N296" s="1" t="n">
        <f aca="false">N294-M294+N295</f>
        <v>0</v>
      </c>
      <c r="O296" s="1" t="n">
        <f aca="false">O294-N294+O295</f>
        <v>3.71642557989603</v>
      </c>
      <c r="P296" s="1" t="n">
        <f aca="false">P294-O294+P295</f>
        <v>3.61751084399832</v>
      </c>
      <c r="Q296" s="1" t="n">
        <f aca="false">Q294-P294+Q295</f>
        <v>3.69461392946908</v>
      </c>
      <c r="R296" s="1" t="n">
        <f aca="false">R294-Q294+R295</f>
        <v>3.7645316031759</v>
      </c>
      <c r="S296" s="1" t="n">
        <f aca="false">S294-R294+S295</f>
        <v>3.83492431840932</v>
      </c>
      <c r="T296" s="1" t="n">
        <f aca="false">T294-S294+T295</f>
        <v>3.90634430545878</v>
      </c>
      <c r="U296" s="1" t="n">
        <f aca="false">U294-T294+U295</f>
        <v>3.97888428615914</v>
      </c>
      <c r="V296" s="1" t="n">
        <f aca="false">V294-U294+V295</f>
        <v>4.05265225102565</v>
      </c>
      <c r="W296" s="1" t="n">
        <f aca="false">W294-V294+W295</f>
        <v>4.11734343584916</v>
      </c>
      <c r="X296" s="1" t="n">
        <f aca="false">X294-W294+X295</f>
        <v>4.18249945321188</v>
      </c>
      <c r="Y296" s="1" t="n">
        <f aca="false">Y294-X294+Y295</f>
        <v>4.24824756600557</v>
      </c>
      <c r="Z296" s="1" t="n">
        <f aca="false">Z294-Y294+Z295</f>
        <v>4.31471381239539</v>
      </c>
      <c r="AA296" s="1" t="n">
        <f aca="false">AA294-Z294+AA295</f>
        <v>4.38202671037491</v>
      </c>
      <c r="AB296" s="1" t="n">
        <f aca="false">AB294-AA294+AB295</f>
        <v>4.45054475863185</v>
      </c>
      <c r="AC296" s="1" t="n">
        <f aca="false">AC294-AB294+AC295</f>
        <v>4.52042062661387</v>
      </c>
      <c r="AD296" s="1" t="n">
        <f aca="false">AD294-AC294+AD295</f>
        <v>4.59180972616908</v>
      </c>
      <c r="AE296" s="1" t="n">
        <f aca="false">AE294-AD294+AE295</f>
        <v>4.66487043808463</v>
      </c>
      <c r="AF296" s="1" t="n">
        <f aca="false">AF294-AE294+AF295</f>
        <v>4.73976425916746</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1.679035948921</v>
      </c>
      <c r="M297" s="1" t="n">
        <f aca="false">M294*01_Supuestos!$I$126</f>
        <v>1.3432287591368</v>
      </c>
      <c r="N297" s="1" t="n">
        <f aca="false">N294*01_Supuestos!$I$126</f>
        <v>1.12559529563821</v>
      </c>
      <c r="O297" s="1" t="n">
        <f aca="false">O294*01_Supuestos!$I$126</f>
        <v>1.16169278927023</v>
      </c>
      <c r="P297" s="1" t="n">
        <f aca="false">P294*01_Supuestos!$I$126</f>
        <v>1.19022394410314</v>
      </c>
      <c r="Q297" s="1" t="n">
        <f aca="false">Q294*01_Supuestos!$I$126</f>
        <v>1.21898610687159</v>
      </c>
      <c r="R297" s="1" t="n">
        <f aca="false">R294*01_Supuestos!$I$126</f>
        <v>1.24766876031146</v>
      </c>
      <c r="S297" s="1" t="n">
        <f aca="false">S294*01_Supuestos!$I$126</f>
        <v>1.27629885701669</v>
      </c>
      <c r="T297" s="1" t="n">
        <f aca="false">T294*01_Supuestos!$I$126</f>
        <v>1.30492274353337</v>
      </c>
      <c r="U297" s="1" t="n">
        <f aca="false">U294*01_Supuestos!$I$126</f>
        <v>1.3335858406264</v>
      </c>
      <c r="V297" s="1" t="n">
        <f aca="false">V294*01_Supuestos!$I$126</f>
        <v>1.36233334660479</v>
      </c>
      <c r="W297" s="1" t="n">
        <f aca="false">W294*01_Supuestos!$I$126</f>
        <v>1.39079374937828</v>
      </c>
      <c r="X297" s="1" t="n">
        <f aca="false">X294*01_Supuestos!$I$126</f>
        <v>1.41901435256892</v>
      </c>
      <c r="Y297" s="1" t="n">
        <f aca="false">Y294*01_Supuestos!$I$126</f>
        <v>1.44704281995225</v>
      </c>
      <c r="Z297" s="1" t="n">
        <f aca="false">Z294*01_Supuestos!$I$126</f>
        <v>1.47492709045284</v>
      </c>
      <c r="AA297" s="1" t="n">
        <f aca="false">AA294*01_Supuestos!$I$126</f>
        <v>1.50271544982256</v>
      </c>
      <c r="AB297" s="1" t="n">
        <f aca="false">AB294*01_Supuestos!$I$126</f>
        <v>1.53046569518557</v>
      </c>
      <c r="AC297" s="1" t="n">
        <f aca="false">AC294*01_Supuestos!$I$126</f>
        <v>1.55823595073157</v>
      </c>
      <c r="AD297" s="1" t="n">
        <f aca="false">AD294*01_Supuestos!$I$126</f>
        <v>1.58608474470518</v>
      </c>
      <c r="AE297" s="1" t="n">
        <f aca="false">AE294*01_Supuestos!$I$126</f>
        <v>1.61407108775804</v>
      </c>
      <c r="AF297" s="1" t="n">
        <f aca="false">AF294*01_Supuestos!$I$126</f>
        <v>1.64225454934894</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34.9284255098503</v>
      </c>
      <c r="N299" s="1" t="n">
        <f aca="false">N286+N291+N296</f>
        <v>25.0240759208733</v>
      </c>
      <c r="O299" s="1" t="n">
        <f aca="false">O286+O291+O296</f>
        <v>23.7042115208221</v>
      </c>
      <c r="P299" s="1" t="n">
        <f aca="false">P286+P291+P296</f>
        <v>24.2397449892066</v>
      </c>
      <c r="Q299" s="1" t="n">
        <f aca="false">Q286+Q291+Q296</f>
        <v>24.7955437211684</v>
      </c>
      <c r="R299" s="1" t="n">
        <f aca="false">R286+R291+R296</f>
        <v>25.3645283158202</v>
      </c>
      <c r="S299" s="1" t="n">
        <f aca="false">S286+S291+S296</f>
        <v>25.9473010052088</v>
      </c>
      <c r="T299" s="1" t="n">
        <f aca="false">T286+T291+T296</f>
        <v>26.5441516718461</v>
      </c>
      <c r="U299" s="1" t="n">
        <f aca="false">U286+U291+U296</f>
        <v>27.1553590945024</v>
      </c>
      <c r="V299" s="1" t="n">
        <f aca="false">V286+V291+V296</f>
        <v>27.7812103492022</v>
      </c>
      <c r="W299" s="1" t="n">
        <f aca="false">W286+W291+W296</f>
        <v>28.4220003141554</v>
      </c>
      <c r="X299" s="1" t="n">
        <f aca="false">X286+X291+X296</f>
        <v>29.0784260814396</v>
      </c>
      <c r="Y299" s="1" t="n">
        <f aca="false">Y286+Y291+Y296</f>
        <v>29.7507962474939</v>
      </c>
      <c r="Z299" s="1" t="n">
        <f aca="false">Z286+Z291+Z296</f>
        <v>30.4394271954208</v>
      </c>
      <c r="AA299" s="1" t="n">
        <f aca="false">AA286+AA291+AA296</f>
        <v>31.1446433623842</v>
      </c>
      <c r="AB299" s="1" t="n">
        <f aca="false">AB286+AB291+AB296</f>
        <v>31.8667773629935</v>
      </c>
      <c r="AC299" s="1" t="n">
        <f aca="false">AC286+AC291+AC296</f>
        <v>32.6061615100069</v>
      </c>
      <c r="AD299" s="1" t="n">
        <f aca="false">AD286+AD291+AD296</f>
        <v>33.3631367080983</v>
      </c>
      <c r="AE299" s="1" t="n">
        <f aca="false">AE286+AE291+AE296</f>
        <v>34.1380525857155</v>
      </c>
      <c r="AF299" s="1" t="n">
        <f aca="false">AF286+AF291+AF296</f>
        <v>34.9312676303577</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21.4139677198517</v>
      </c>
      <c r="N300" s="1" t="n">
        <f aca="false">N285+N290+N295</f>
        <v>21.4452244966346</v>
      </c>
      <c r="O300" s="1" t="n">
        <f aca="false">O285+O290+O295</f>
        <v>20.036833320702</v>
      </c>
      <c r="P300" s="1" t="n">
        <f aca="false">P285+P290+P295</f>
        <v>20.4882723105295</v>
      </c>
      <c r="Q300" s="1" t="n">
        <f aca="false">Q285+Q290+Q295</f>
        <v>20.9578324763988</v>
      </c>
      <c r="R300" s="1" t="n">
        <f aca="false">R285+R290+R295</f>
        <v>21.4385843877222</v>
      </c>
      <c r="S300" s="1" t="n">
        <f aca="false">S285+S290+S295</f>
        <v>21.9310765160891</v>
      </c>
      <c r="T300" s="1" t="n">
        <f aca="false">T285+T290+T295</f>
        <v>22.4355523623571</v>
      </c>
      <c r="U300" s="1" t="n">
        <f aca="false">U285+U290+U295</f>
        <v>22.9522437262152</v>
      </c>
      <c r="V300" s="1" t="n">
        <f aca="false">V285+V290+V295</f>
        <v>23.4813895742942</v>
      </c>
      <c r="W300" s="1" t="n">
        <f aca="false">W285+W290+W295</f>
        <v>24.0232355372157</v>
      </c>
      <c r="X300" s="1" t="n">
        <f aca="false">X285+X290+X295</f>
        <v>24.5784178830253</v>
      </c>
      <c r="Y300" s="1" t="n">
        <f aca="false">Y285+Y290+Y295</f>
        <v>25.1471936691899</v>
      </c>
      <c r="Z300" s="1" t="n">
        <f aca="false">Z285+Z290+Z295</f>
        <v>25.7298265362477</v>
      </c>
      <c r="AA300" s="1" t="n">
        <f aca="false">AA285+AA290+AA295</f>
        <v>26.3265869451912</v>
      </c>
      <c r="AB300" s="1" t="n">
        <f aca="false">AB285+AB290+AB295</f>
        <v>26.9377522741123</v>
      </c>
      <c r="AC300" s="1" t="n">
        <f aca="false">AC285+AC290+AC295</f>
        <v>27.5635985388318</v>
      </c>
      <c r="AD300" s="1" t="n">
        <f aca="false">AD285+AD290+AD295</f>
        <v>28.2044090272001</v>
      </c>
      <c r="AE300" s="1" t="n">
        <f aca="false">AE285+AE290+AE295</f>
        <v>28.8604744023343</v>
      </c>
      <c r="AF300" s="1" t="n">
        <f aca="false">AF285+AF290+AF295</f>
        <v>29.5320928086069</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5.76522487545828</v>
      </c>
      <c r="M302" s="1" t="n">
        <f aca="false">M287+M292+M297</f>
        <v>6.3665037963215</v>
      </c>
      <c r="N302" s="1" t="n">
        <f aca="false">N287+N292+N297</f>
        <v>6.53130579570447</v>
      </c>
      <c r="O302" s="1" t="n">
        <f aca="false">O287+O292+O297</f>
        <v>6.68077114333022</v>
      </c>
      <c r="P302" s="1" t="n">
        <f aca="false">P287+P292+P297</f>
        <v>6.83429491121307</v>
      </c>
      <c r="Q302" s="1" t="n">
        <f aca="false">Q287+Q292+Q297</f>
        <v>6.99138115930487</v>
      </c>
      <c r="R302" s="1" t="n">
        <f aca="false">R287+R292+R297</f>
        <v>7.1521351724162</v>
      </c>
      <c r="S302" s="1" t="n">
        <f aca="false">S287+S292+S297</f>
        <v>7.31663918148428</v>
      </c>
      <c r="T302" s="1" t="n">
        <f aca="false">T287+T292+T297</f>
        <v>7.48497592088678</v>
      </c>
      <c r="U302" s="1" t="n">
        <f aca="false">U287+U292+U297</f>
        <v>7.65723017513234</v>
      </c>
      <c r="V302" s="1" t="n">
        <f aca="false">V287+V292+V297</f>
        <v>7.8334887724461</v>
      </c>
      <c r="W302" s="1" t="n">
        <f aca="false">W287+W292+W297</f>
        <v>8.01387142026823</v>
      </c>
      <c r="X302" s="1" t="n">
        <f aca="false">X287+X292+X297</f>
        <v>8.19846898668575</v>
      </c>
      <c r="Y302" s="1" t="n">
        <f aca="false">Y287+Y292+Y297</f>
        <v>8.38737448355653</v>
      </c>
      <c r="Z302" s="1" t="n">
        <f aca="false">Z287+Z292+Z297</f>
        <v>8.58068312271226</v>
      </c>
      <c r="AA302" s="1" t="n">
        <f aca="false">AA287+AA292+AA297</f>
        <v>8.77849236172696</v>
      </c>
      <c r="AB302" s="1" t="n">
        <f aca="false">AB287+AB292+AB297</f>
        <v>8.98090127866966</v>
      </c>
      <c r="AC302" s="1" t="n">
        <f aca="false">AC287+AC292+AC297</f>
        <v>9.18801130449771</v>
      </c>
      <c r="AD302" s="1" t="n">
        <f aca="false">AD287+AD292+AD297</f>
        <v>9.39992627203778</v>
      </c>
      <c r="AE302" s="1" t="n">
        <f aca="false">AE287+AE292+AE297</f>
        <v>9.61675246612377</v>
      </c>
      <c r="AF302" s="1" t="n">
        <f aca="false">AF287+AF292+AF297</f>
        <v>9.83859867516525</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349.799156025208</v>
      </c>
      <c r="M307" s="116" t="n">
        <f aca="false">M81</f>
        <v>362.419591755768</v>
      </c>
      <c r="N307" s="116" t="n">
        <f aca="false">N81</f>
        <v>375.198431879403</v>
      </c>
      <c r="O307" s="116" t="n">
        <f aca="false">O81</f>
        <v>387.230929756743</v>
      </c>
      <c r="P307" s="116" t="n">
        <f aca="false">P81</f>
        <v>396.741314701046</v>
      </c>
      <c r="Q307" s="116" t="n">
        <f aca="false">Q81</f>
        <v>406.328702290529</v>
      </c>
      <c r="R307" s="116" t="n">
        <f aca="false">R81</f>
        <v>415.889586770488</v>
      </c>
      <c r="S307" s="116" t="n">
        <f aca="false">S81</f>
        <v>425.432952338897</v>
      </c>
      <c r="T307" s="116" t="n">
        <f aca="false">T81</f>
        <v>434.974247844458</v>
      </c>
      <c r="U307" s="116" t="n">
        <f aca="false">U81</f>
        <v>444.528613542134</v>
      </c>
      <c r="V307" s="116" t="n">
        <f aca="false">V81</f>
        <v>454.111115534929</v>
      </c>
      <c r="W307" s="116" t="n">
        <f aca="false">W81</f>
        <v>463.597916459425</v>
      </c>
      <c r="X307" s="116" t="n">
        <f aca="false">X81</f>
        <v>473.004784189641</v>
      </c>
      <c r="Y307" s="116" t="n">
        <f aca="false">Y81</f>
        <v>482.347606650751</v>
      </c>
      <c r="Z307" s="116" t="n">
        <f aca="false">Z81</f>
        <v>491.642363484281</v>
      </c>
      <c r="AA307" s="116" t="n">
        <f aca="false">AA81</f>
        <v>500.905149940852</v>
      </c>
      <c r="AB307" s="116" t="n">
        <f aca="false">AB81</f>
        <v>510.155231728525</v>
      </c>
      <c r="AC307" s="116" t="n">
        <f aca="false">AC81</f>
        <v>519.411983577191</v>
      </c>
      <c r="AD307" s="116" t="n">
        <f aca="false">AD81</f>
        <v>528.694914901726</v>
      </c>
      <c r="AE307" s="116" t="n">
        <f aca="false">AE81</f>
        <v>538.023695919348</v>
      </c>
      <c r="AF307" s="116" t="n">
        <f aca="false">AF81</f>
        <v>547.418183116313</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212.700485075601</v>
      </c>
      <c r="M309" s="1" t="n">
        <f aca="false">M307-M308</f>
        <v>211.901585788389</v>
      </c>
      <c r="N309" s="1" t="n">
        <f aca="false">N307-N308</f>
        <v>221.218511774774</v>
      </c>
      <c r="O309" s="1" t="n">
        <f aca="false">O307-O308</f>
        <v>229.709471489708</v>
      </c>
      <c r="P309" s="1" t="n">
        <f aca="false">P307-P308</f>
        <v>235.596862893869</v>
      </c>
      <c r="Q309" s="1" t="n">
        <f aca="false">Q307-Q308</f>
        <v>241.477928091787</v>
      </c>
      <c r="R309" s="1" t="n">
        <f aca="false">R307-R308</f>
        <v>247.247244765175</v>
      </c>
      <c r="S309" s="1" t="n">
        <f aca="false">S307-S308</f>
        <v>252.911836467462</v>
      </c>
      <c r="T309" s="1" t="n">
        <f aca="false">T307-T308</f>
        <v>258.48514630798</v>
      </c>
      <c r="U309" s="1" t="n">
        <f aca="false">U307-U308</f>
        <v>263.980262670317</v>
      </c>
      <c r="V309" s="1" t="n">
        <f aca="false">V307-V308</f>
        <v>269.41015259306</v>
      </c>
      <c r="W309" s="1" t="n">
        <f aca="false">W307-W308</f>
        <v>274.648831369893</v>
      </c>
      <c r="X309" s="1" t="n">
        <f aca="false">X307-X308</f>
        <v>279.70987014305</v>
      </c>
      <c r="Y309" s="1" t="n">
        <f aca="false">Y307-Y308</f>
        <v>284.606909581089</v>
      </c>
      <c r="Z309" s="1" t="n">
        <f aca="false">Z307-Z308</f>
        <v>289.353630382016</v>
      </c>
      <c r="AA309" s="1" t="n">
        <f aca="false">AA307-AA308</f>
        <v>293.963775977235</v>
      </c>
      <c r="AB309" s="1" t="n">
        <f aca="false">AB307-AB308</f>
        <v>298.454206163745</v>
      </c>
      <c r="AC309" s="1" t="n">
        <f aca="false">AC307-AC308</f>
        <v>302.841834424421</v>
      </c>
      <c r="AD309" s="1" t="n">
        <f aca="false">AD307-AD308</f>
        <v>307.143652318442</v>
      </c>
      <c r="AE309" s="1" t="n">
        <f aca="false">AE307-AE308</f>
        <v>311.376754296649</v>
      </c>
      <c r="AF309" s="1" t="n">
        <f aca="false">AF307-AF308</f>
        <v>315.558361836292</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39.1935396607209</v>
      </c>
      <c r="M310" s="1" t="n">
        <f aca="false">IF(M307&gt;0,100*M308/M307,0)</f>
        <v>41.5314208699876</v>
      </c>
      <c r="N310" s="1" t="n">
        <f aca="false">IF(N307&gt;0,100*N308/N307,0)</f>
        <v>41.0395958568721</v>
      </c>
      <c r="O310" s="1" t="n">
        <f aca="false">IF(O307&gt;0,100*O308/O307,0)</f>
        <v>40.6789453430255</v>
      </c>
      <c r="P310" s="1" t="n">
        <f aca="false">IF(P307&gt;0,100*P308/P307,0)</f>
        <v>40.6170080695032</v>
      </c>
      <c r="Q310" s="1" t="n">
        <f aca="false">IF(Q307&gt;0,100*Q308/Q307,0)</f>
        <v>40.5707923829786</v>
      </c>
      <c r="R310" s="1" t="n">
        <f aca="false">IF(R307&gt;0,100*R308/R307,0)</f>
        <v>40.5497870997139</v>
      </c>
      <c r="S310" s="1" t="n">
        <f aca="false">IF(S307&gt;0,100*S308/S307,0)</f>
        <v>40.5518930592866</v>
      </c>
      <c r="T310" s="1" t="n">
        <f aca="false">IF(T307&gt;0,100*T308/T307,0)</f>
        <v>40.5746092811427</v>
      </c>
      <c r="U310" s="1" t="n">
        <f aca="false">IF(U307&gt;0,100*U308/U307,0)</f>
        <v>40.6156871282492</v>
      </c>
      <c r="V310" s="1" t="n">
        <f aca="false">IF(V307&gt;0,100*V308/V307,0)</f>
        <v>40.6730768358966</v>
      </c>
      <c r="W310" s="1" t="n">
        <f aca="false">IF(W307&gt;0,100*W308/W307,0)</f>
        <v>40.7571040294071</v>
      </c>
      <c r="X310" s="1" t="n">
        <f aca="false">IF(X307&gt;0,100*X308/X307,0)</f>
        <v>40.8653190216134</v>
      </c>
      <c r="Y310" s="1" t="n">
        <f aca="false">IF(Y307&gt;0,100*Y308/Y307,0)</f>
        <v>40.9954759478757</v>
      </c>
      <c r="Z310" s="1" t="n">
        <f aca="false">IF(Z307&gt;0,100*Z308/Z307,0)</f>
        <v>41.1455049700436</v>
      </c>
      <c r="AA310" s="1" t="n">
        <f aca="false">IF(AA307&gt;0,100*AA308/AA307,0)</f>
        <v>41.3134849957228</v>
      </c>
      <c r="AB310" s="1" t="n">
        <f aca="false">IF(AB307&gt;0,100*AB308/AB307,0)</f>
        <v>41.4973742104903</v>
      </c>
      <c r="AC310" s="1" t="n">
        <f aca="false">IF(AC307&gt;0,100*AC308/AC307,0)</f>
        <v>41.6952546341444</v>
      </c>
      <c r="AD310" s="1" t="n">
        <f aca="false">IF(AD307&gt;0,100*AD308/AD307,0)</f>
        <v>41.9053136957948</v>
      </c>
      <c r="AE310" s="1" t="n">
        <f aca="false">IF(AE307&gt;0,100*AE308/AE307,0)</f>
        <v>42.1258289071109</v>
      </c>
      <c r="AF310" s="1" t="n">
        <f aca="false">IF(AF307&gt;0,100*AF308/AF307,0)</f>
        <v>42.3551552416659</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5.76522487545828</v>
      </c>
      <c r="M314" s="1" t="n">
        <f aca="false">M302</f>
        <v>6.3665037963215</v>
      </c>
      <c r="N314" s="1" t="n">
        <f aca="false">N302</f>
        <v>6.53130579570447</v>
      </c>
      <c r="O314" s="1" t="n">
        <f aca="false">O302</f>
        <v>6.68077114333022</v>
      </c>
      <c r="P314" s="1" t="n">
        <f aca="false">P302</f>
        <v>6.83429491121307</v>
      </c>
      <c r="Q314" s="1" t="n">
        <f aca="false">Q302</f>
        <v>6.99138115930487</v>
      </c>
      <c r="R314" s="1" t="n">
        <f aca="false">R302</f>
        <v>7.1521351724162</v>
      </c>
      <c r="S314" s="1" t="n">
        <f aca="false">S302</f>
        <v>7.31663918148428</v>
      </c>
      <c r="T314" s="1" t="n">
        <f aca="false">T302</f>
        <v>7.48497592088678</v>
      </c>
      <c r="U314" s="1" t="n">
        <f aca="false">U302</f>
        <v>7.65723017513234</v>
      </c>
      <c r="V314" s="1" t="n">
        <f aca="false">V302</f>
        <v>7.8334887724461</v>
      </c>
      <c r="W314" s="1" t="n">
        <f aca="false">W302</f>
        <v>8.01387142026823</v>
      </c>
      <c r="X314" s="1" t="n">
        <f aca="false">X302</f>
        <v>8.19846898668575</v>
      </c>
      <c r="Y314" s="1" t="n">
        <f aca="false">Y302</f>
        <v>8.38737448355653</v>
      </c>
      <c r="Z314" s="1" t="n">
        <f aca="false">Z302</f>
        <v>8.58068312271226</v>
      </c>
      <c r="AA314" s="1" t="n">
        <f aca="false">AA302</f>
        <v>8.77849236172696</v>
      </c>
      <c r="AB314" s="1" t="n">
        <f aca="false">AB302</f>
        <v>8.98090127866966</v>
      </c>
      <c r="AC314" s="1" t="n">
        <f aca="false">AC302</f>
        <v>9.18801130449771</v>
      </c>
      <c r="AD314" s="1" t="n">
        <f aca="false">AD302</f>
        <v>9.39992627203778</v>
      </c>
      <c r="AE314" s="1" t="n">
        <f aca="false">AE302</f>
        <v>9.61675246612377</v>
      </c>
      <c r="AF314" s="1" t="n">
        <f aca="false">AF302</f>
        <v>9.83859867516525</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57.066429452404</v>
      </c>
      <c r="D316" s="1" t="n">
        <f aca="false">IF(D313&gt;0,100*(D314+D315)/D313,0)</f>
        <v>48.8274483834642</v>
      </c>
      <c r="E316" s="1" t="n">
        <f aca="false">IF(E313&gt;0,100*(E314+E315)/E313,0)</f>
        <v>47.6514402741486</v>
      </c>
      <c r="F316" s="1" t="n">
        <f aca="false">IF(F313&gt;0,100*(F314+F315)/F313,0)</f>
        <v>26.9990174466285</v>
      </c>
      <c r="G316" s="1" t="n">
        <f aca="false">IF(G313&gt;0,100*(G314+G315)/G313,0)</f>
        <v>32.191742531</v>
      </c>
      <c r="H316" s="1" t="n">
        <f aca="false">IF(H313&gt;0,100*(H314+H315)/H313,0)</f>
        <v>37.4787778154359</v>
      </c>
      <c r="I316" s="1" t="n">
        <f aca="false">IF(I313&gt;0,100*(I314+I315)/I313,0)</f>
        <v>42.8359936611859</v>
      </c>
      <c r="J316" s="1" t="n">
        <f aca="false">IF(J313&gt;0,100*(J314+J315)/J313,0)</f>
        <v>48.2405150894827</v>
      </c>
      <c r="K316" s="1" t="n">
        <f aca="false">IF(K313&gt;0,100*(K314+K315)/K313,0)</f>
        <v>53.671045735849</v>
      </c>
      <c r="L316" s="1" t="n">
        <f aca="false">IF(L313&gt;0,100*(L314+L315)/L313,0)</f>
        <v>59.1078634200925</v>
      </c>
      <c r="M316" s="1" t="n">
        <f aca="false">IF(M313&gt;0,100*(M314+M315)/M313,0)</f>
        <v>63.551357072015</v>
      </c>
      <c r="N316" s="1" t="n">
        <f aca="false">IF(N313&gt;0,100*(N314+N315)/N313,0)</f>
        <v>63.9960990320742</v>
      </c>
      <c r="O316" s="1" t="n">
        <f aca="false">IF(O313&gt;0,100*(O314+O315)/O313,0)</f>
        <v>64.0306796587466</v>
      </c>
      <c r="P316" s="1" t="n">
        <f aca="false">IF(P313&gt;0,100*(P314+P315)/P313,0)</f>
        <v>63.0816453777093</v>
      </c>
      <c r="Q316" s="1" t="n">
        <f aca="false">IF(Q313&gt;0,100*(Q314+Q315)/Q313,0)</f>
        <v>62.2773093519876</v>
      </c>
      <c r="R316" s="1" t="n">
        <f aca="false">IF(R313&gt;0,100*(R314+R315)/R313,0)</f>
        <v>61.6182593510983</v>
      </c>
      <c r="S316" s="1" t="n">
        <f aca="false">IF(S313&gt;0,100*(S314+S315)/S313,0)</f>
        <v>61.0860750609037</v>
      </c>
      <c r="T316" s="1" t="n">
        <f aca="false">IF(T313&gt;0,100*(T314+T315)/T313,0)</f>
        <v>60.6655445268979</v>
      </c>
      <c r="U316" s="1" t="n">
        <f aca="false">IF(U313&gt;0,100*(U314+U315)/U313,0)</f>
        <v>60.3440037282172</v>
      </c>
      <c r="V316" s="1" t="n">
        <f aca="false">IF(V313&gt;0,100*(V314+V315)/V313,0)</f>
        <v>60.1108256348885</v>
      </c>
      <c r="W316" s="1" t="n">
        <f aca="false">IF(W313&gt;0,100*(W314+W315)/W313,0)</f>
        <v>59.9572164267193</v>
      </c>
      <c r="X316" s="1" t="n">
        <f aca="false">IF(X313&gt;0,100*(X314+X315)/X313,0)</f>
        <v>59.8755170953836</v>
      </c>
      <c r="Y316" s="1" t="n">
        <f aca="false">IF(Y313&gt;0,100*(Y314+Y315)/Y313,0)</f>
        <v>59.8591688356263</v>
      </c>
      <c r="Z316" s="1" t="n">
        <f aca="false">IF(Z313&gt;0,100*(Z314+Z315)/Z313,0)</f>
        <v>59.9025222430617</v>
      </c>
      <c r="AA316" s="1" t="n">
        <f aca="false">IF(AA313&gt;0,100*(AA314+AA315)/AA313,0)</f>
        <v>60.0006845397831</v>
      </c>
      <c r="AB316" s="1" t="n">
        <f aca="false">IF(AB313&gt;0,100*(AB314+AB315)/AB313,0)</f>
        <v>60.1493926074987</v>
      </c>
      <c r="AC316" s="1" t="n">
        <f aca="false">IF(AC313&gt;0,100*(AC314+AC315)/AC313,0)</f>
        <v>60.3449167911734</v>
      </c>
      <c r="AD316" s="1" t="n">
        <f aca="false">IF(AD313&gt;0,100*(AD314+AD315)/AD313,0)</f>
        <v>60.5839787630126</v>
      </c>
      <c r="AE316" s="1" t="n">
        <f aca="false">IF(AE313&gt;0,100*(AE314+AE315)/AE313,0)</f>
        <v>60.8636838068923</v>
      </c>
      <c r="AF316" s="1" t="n">
        <f aca="false">IF(AF313&gt;0,100*(AF314+AF315)/AF313,0)</f>
        <v>61.1814646395472</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11.5866107968908</v>
      </c>
      <c r="M317" s="1" t="n">
        <f aca="false">$C$329*M291</f>
        <v>15.8205314045169</v>
      </c>
      <c r="N317" s="1" t="n">
        <f aca="false">$C$329*N291</f>
        <v>12.5217197414777</v>
      </c>
      <c r="O317" s="1" t="n">
        <f aca="false">$C$329*O291</f>
        <v>10.7910084192111</v>
      </c>
      <c r="P317" s="1" t="n">
        <f aca="false">$C$329*P291</f>
        <v>11.1005525990519</v>
      </c>
      <c r="Q317" s="1" t="n">
        <f aca="false">$C$329*Q291</f>
        <v>11.3564580177237</v>
      </c>
      <c r="R317" s="1" t="n">
        <f aca="false">$C$329*R291</f>
        <v>11.6221276469653</v>
      </c>
      <c r="S317" s="1" t="n">
        <f aca="false">$C$329*S291</f>
        <v>11.895067864606</v>
      </c>
      <c r="T317" s="1" t="n">
        <f aca="false">$C$329*T291</f>
        <v>12.1752085453294</v>
      </c>
      <c r="U317" s="1" t="n">
        <f aca="false">$C$329*U291</f>
        <v>12.4626422452802</v>
      </c>
      <c r="V317" s="1" t="n">
        <f aca="false">$C$329*V291</f>
        <v>12.757460510874</v>
      </c>
      <c r="W317" s="1" t="n">
        <f aca="false">$C$329*W291</f>
        <v>13.0637854543442</v>
      </c>
      <c r="X317" s="1" t="n">
        <f aca="false">$C$329*X291</f>
        <v>13.3784754760049</v>
      </c>
      <c r="Y317" s="1" t="n">
        <f aca="false">$C$329*Y291</f>
        <v>13.7016253712705</v>
      </c>
      <c r="Z317" s="1" t="n">
        <f aca="false">$C$329*Z291</f>
        <v>14.0333344303993</v>
      </c>
      <c r="AA317" s="1" t="n">
        <f aca="false">$C$329*AA291</f>
        <v>14.3737051894554</v>
      </c>
      <c r="AB317" s="1" t="n">
        <f aca="false">$C$329*AB291</f>
        <v>14.7227554963375</v>
      </c>
      <c r="AC317" s="1" t="n">
        <f aca="false">$C$329*AC291</f>
        <v>15.0805781992609</v>
      </c>
      <c r="AD317" s="1" t="n">
        <f aca="false">$C$329*AD291</f>
        <v>15.4472695559059</v>
      </c>
      <c r="AE317" s="1" t="n">
        <f aca="false">$C$329*AE291</f>
        <v>15.8229291809403</v>
      </c>
      <c r="AF317" s="1" t="n">
        <f aca="false">$C$329*AF291</f>
        <v>16.2076600254724</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7.38558569639776</v>
      </c>
      <c r="N318" s="1" t="n">
        <f aca="false">$C$329*(N290+(1-$C$279)*N332)</f>
        <v>9.07932279458808</v>
      </c>
      <c r="O318" s="1" t="n">
        <f aca="false">$C$329*(O290+(1-$C$279)*O332)</f>
        <v>9.77055610152351</v>
      </c>
      <c r="P318" s="1" t="n">
        <f aca="false">$C$329*(P290+(1-$C$279)*P332)</f>
        <v>9.97546292691518</v>
      </c>
      <c r="Q318" s="1" t="n">
        <f aca="false">$C$329*(Q290+(1-$C$279)*Q332)</f>
        <v>10.2013809330802</v>
      </c>
      <c r="R318" s="1" t="n">
        <f aca="false">$C$329*(R290+(1-$C$279)*R332)</f>
        <v>10.4333204116766</v>
      </c>
      <c r="S318" s="1" t="n">
        <f aca="false">$C$329*(S290+(1-$C$279)*S332)</f>
        <v>10.6720329045226</v>
      </c>
      <c r="T318" s="1" t="n">
        <f aca="false">$C$329*(T290+(1-$C$279)*T332)</f>
        <v>10.9176183245073</v>
      </c>
      <c r="U318" s="1" t="n">
        <f aca="false">$C$329*(U290+(1-$C$279)*U332)</f>
        <v>11.1701424408484</v>
      </c>
      <c r="V318" s="1" t="n">
        <f aca="false">$C$329*(V290+(1-$C$279)*V332)</f>
        <v>11.4296764015783</v>
      </c>
      <c r="W318" s="1" t="n">
        <f aca="false">$C$329*(W290+(1-$C$279)*W332)</f>
        <v>11.6962954507249</v>
      </c>
      <c r="X318" s="1" t="n">
        <f aca="false">$C$329*(X290+(1-$C$279)*X332)</f>
        <v>11.9708874434516</v>
      </c>
      <c r="Y318" s="1" t="n">
        <f aca="false">$C$329*(Y290+(1-$C$279)*Y332)</f>
        <v>12.2535311203883</v>
      </c>
      <c r="Z318" s="1" t="n">
        <f aca="false">$C$329*(Z290+(1-$C$279)*Z332)</f>
        <v>12.5443084459655</v>
      </c>
      <c r="AA318" s="1" t="n">
        <f aca="false">$C$329*(AA290+(1-$C$279)*AA332)</f>
        <v>12.8433048636398</v>
      </c>
      <c r="AB318" s="1" t="n">
        <f aca="false">$C$329*(AB290+(1-$C$279)*AB332)</f>
        <v>13.1506092490636</v>
      </c>
      <c r="AC318" s="1" t="n">
        <f aca="false">$C$329*(AC290+(1-$C$279)*AC332)</f>
        <v>13.4662962155162</v>
      </c>
      <c r="AD318" s="1" t="n">
        <f aca="false">$C$329*(AD290+(1-$C$279)*AD332)</f>
        <v>13.7904440378521</v>
      </c>
      <c r="AE318" s="1" t="n">
        <f aca="false">$C$329*(AE290+(1-$C$279)*AE332)</f>
        <v>14.1231346018773</v>
      </c>
      <c r="AF318" s="1" t="n">
        <f aca="false">$C$329*(AF290+(1-$C$279)*AF332)</f>
        <v>14.4644533533531</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4.51903315921503</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5.90482050104414</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5.33856906289498</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4.4894744999111</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4.40926662163668</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4.51699266522229</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4.62228409586196</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4.73073312407833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4.84206935005941</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4.956313528117</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5.07350237779021</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5.19488168739064</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5.31992118823589</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5.44833515898164</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5.58016286624683</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5.71544499987654</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5.85419716784677</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5.99644900941203</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6.14223868669786</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6.29160570987267</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6.44459092573574</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3.47598323906723</v>
      </c>
      <c r="M320" s="1" t="n">
        <f aca="false">01_Supuestos!$C$185*M317</f>
        <v>4.74615942135506</v>
      </c>
      <c r="N320" s="1" t="n">
        <f aca="false">01_Supuestos!$C$185*N317</f>
        <v>3.7565159224433</v>
      </c>
      <c r="O320" s="1" t="n">
        <f aca="false">01_Supuestos!$C$185*O317</f>
        <v>3.23730252576334</v>
      </c>
      <c r="P320" s="1" t="n">
        <f aca="false">01_Supuestos!$C$185*P317</f>
        <v>3.33016577971557</v>
      </c>
      <c r="Q320" s="1" t="n">
        <f aca="false">01_Supuestos!$C$185*Q317</f>
        <v>3.40693740531711</v>
      </c>
      <c r="R320" s="1" t="n">
        <f aca="false">01_Supuestos!$C$185*R317</f>
        <v>3.48663829408959</v>
      </c>
      <c r="S320" s="1" t="n">
        <f aca="false">01_Supuestos!$C$185*S317</f>
        <v>3.5685203593818</v>
      </c>
      <c r="T320" s="1" t="n">
        <f aca="false">01_Supuestos!$C$185*T317</f>
        <v>3.65256256359881</v>
      </c>
      <c r="U320" s="1" t="n">
        <f aca="false">01_Supuestos!$C$185*U317</f>
        <v>3.73879267358406</v>
      </c>
      <c r="V320" s="1" t="n">
        <f aca="false">01_Supuestos!$C$185*V317</f>
        <v>3.82723815326219</v>
      </c>
      <c r="W320" s="1" t="n">
        <f aca="false">01_Supuestos!$C$185*W317</f>
        <v>3.91913563630325</v>
      </c>
      <c r="X320" s="1" t="n">
        <f aca="false">01_Supuestos!$C$185*X317</f>
        <v>4.01354264280148</v>
      </c>
      <c r="Y320" s="1" t="n">
        <f aca="false">01_Supuestos!$C$185*Y317</f>
        <v>4.11048761138115</v>
      </c>
      <c r="Z320" s="1" t="n">
        <f aca="false">01_Supuestos!$C$185*Z317</f>
        <v>4.21000032911978</v>
      </c>
      <c r="AA320" s="1" t="n">
        <f aca="false">01_Supuestos!$C$185*AA317</f>
        <v>4.31211155683661</v>
      </c>
      <c r="AB320" s="1" t="n">
        <f aca="false">01_Supuestos!$C$185*AB317</f>
        <v>4.41682664890124</v>
      </c>
      <c r="AC320" s="1" t="n">
        <f aca="false">01_Supuestos!$C$185*AC317</f>
        <v>4.52417345977828</v>
      </c>
      <c r="AD320" s="1" t="n">
        <f aca="false">01_Supuestos!$C$185*AD317</f>
        <v>4.63418086677176</v>
      </c>
      <c r="AE320" s="1" t="n">
        <f aca="false">01_Supuestos!$C$185*AE317</f>
        <v>4.74687875428208</v>
      </c>
      <c r="AF320" s="1" t="n">
        <f aca="false">01_Supuestos!$C$185*AF317</f>
        <v>4.86229800764171</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4.51903315921503</v>
      </c>
      <c r="M321" s="1" t="n">
        <f aca="false">L321+M320-M323</f>
        <v>5.90482050104414</v>
      </c>
      <c r="N321" s="1" t="n">
        <f aca="false">M321+N320-N323</f>
        <v>5.33856906289498</v>
      </c>
      <c r="O321" s="1" t="n">
        <f aca="false">N321+O320-O323</f>
        <v>4.4894744999111</v>
      </c>
      <c r="P321" s="1" t="n">
        <f aca="false">O321+P320-P323</f>
        <v>4.40926662163668</v>
      </c>
      <c r="Q321" s="1" t="n">
        <f aca="false">P321+Q320-Q323</f>
        <v>4.51699266522229</v>
      </c>
      <c r="R321" s="1" t="n">
        <f aca="false">Q321+R320-R323</f>
        <v>4.62228409586196</v>
      </c>
      <c r="S321" s="1" t="n">
        <f aca="false">R321+S320-S323</f>
        <v>4.73073312407833</v>
      </c>
      <c r="T321" s="1" t="n">
        <f aca="false">S321+T320-T323</f>
        <v>4.84206935005941</v>
      </c>
      <c r="U321" s="1" t="n">
        <f aca="false">T321+U320-U323</f>
        <v>4.956313528117</v>
      </c>
      <c r="V321" s="1" t="n">
        <f aca="false">U321+V320-V323</f>
        <v>5.07350237779021</v>
      </c>
      <c r="W321" s="1" t="n">
        <f aca="false">V321+W320-W323</f>
        <v>5.19488168739064</v>
      </c>
      <c r="X321" s="1" t="n">
        <f aca="false">W321+X320-X323</f>
        <v>5.31992118823589</v>
      </c>
      <c r="Y321" s="1" t="n">
        <f aca="false">X321+Y320-Y323</f>
        <v>5.44833515898164</v>
      </c>
      <c r="Z321" s="1" t="n">
        <f aca="false">Y321+Z320-Z323</f>
        <v>5.58016286624683</v>
      </c>
      <c r="AA321" s="1" t="n">
        <f aca="false">Z321+AA320-AA323</f>
        <v>5.71544499987654</v>
      </c>
      <c r="AB321" s="1" t="n">
        <f aca="false">AA321+AB320-AB323</f>
        <v>5.85419716784677</v>
      </c>
      <c r="AC321" s="1" t="n">
        <f aca="false">AB321+AC320-AC323</f>
        <v>5.99644900941203</v>
      </c>
      <c r="AD321" s="1" t="n">
        <f aca="false">AC321+AD320-AD323</f>
        <v>6.14223868669786</v>
      </c>
      <c r="AE321" s="1" t="n">
        <f aca="false">AD321+AE320-AE323</f>
        <v>6.29160570987267</v>
      </c>
      <c r="AF321" s="1" t="n">
        <f aca="false">AE321+AF320-AF323</f>
        <v>6.44459092573574</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3.36037207952595</v>
      </c>
      <c r="N323" s="1" t="n">
        <f aca="false">MAX(0,MIN(N318,M321+N320,M321+N320-N319))</f>
        <v>4.32276736059245</v>
      </c>
      <c r="O323" s="1" t="n">
        <f aca="false">MAX(0,MIN(O318,N321+O320,N321+O320-O319))</f>
        <v>4.08639708874722</v>
      </c>
      <c r="P323" s="1" t="n">
        <f aca="false">MAX(0,MIN(P318,O321+P320,O321+P320-P319))</f>
        <v>3.41037365798999</v>
      </c>
      <c r="Q323" s="1" t="n">
        <f aca="false">MAX(0,MIN(Q318,P321+Q320,P321+Q320-Q319))</f>
        <v>3.29921136173149</v>
      </c>
      <c r="R323" s="1" t="n">
        <f aca="false">MAX(0,MIN(R318,Q321+R320,Q321+R320-R319))</f>
        <v>3.38134686344993</v>
      </c>
      <c r="S323" s="1" t="n">
        <f aca="false">MAX(0,MIN(S318,R321+S320,R321+S320-S319))</f>
        <v>3.46007133116543</v>
      </c>
      <c r="T323" s="1" t="n">
        <f aca="false">MAX(0,MIN(T318,S321+T320,S321+T320-T319))</f>
        <v>3.54122633761773</v>
      </c>
      <c r="U323" s="1" t="n">
        <f aca="false">MAX(0,MIN(U318,T321+U320,T321+U320-U319))</f>
        <v>3.62454849552647</v>
      </c>
      <c r="V323" s="1" t="n">
        <f aca="false">MAX(0,MIN(V318,U321+V320,U321+V320-V319))</f>
        <v>3.71004930358898</v>
      </c>
      <c r="W323" s="1" t="n">
        <f aca="false">MAX(0,MIN(W318,V321+W320,V321+W320-W319))</f>
        <v>3.79775632670281</v>
      </c>
      <c r="X323" s="1" t="n">
        <f aca="false">MAX(0,MIN(X318,W321+X320,W321+X320-X319))</f>
        <v>3.88850314195623</v>
      </c>
      <c r="Y323" s="1" t="n">
        <f aca="false">MAX(0,MIN(Y318,X321+Y320,X321+Y320-Y319))</f>
        <v>3.9820736406354</v>
      </c>
      <c r="Z323" s="1" t="n">
        <f aca="false">MAX(0,MIN(Z318,Y321+Z320,Y321+Z320-Z319))</f>
        <v>4.07817262185459</v>
      </c>
      <c r="AA323" s="1" t="n">
        <f aca="false">MAX(0,MIN(AA318,Z321+AA320,Z321+AA320-AA319))</f>
        <v>4.17682942320691</v>
      </c>
      <c r="AB323" s="1" t="n">
        <f aca="false">MAX(0,MIN(AB318,AA321+AB320,AA321+AB320-AB319))</f>
        <v>4.278074480931</v>
      </c>
      <c r="AC323" s="1" t="n">
        <f aca="false">MAX(0,MIN(AC318,AB321+AC320,AB321+AC320-AC319))</f>
        <v>4.38192161821303</v>
      </c>
      <c r="AD323" s="1" t="n">
        <f aca="false">MAX(0,MIN(AD318,AC321+AD320,AC321+AD320-AD319))</f>
        <v>4.48839118948593</v>
      </c>
      <c r="AE323" s="1" t="n">
        <f aca="false">MAX(0,MIN(AE318,AD321+AE320,AD321+AE320-AE319))</f>
        <v>4.59751173110727</v>
      </c>
      <c r="AF323" s="1" t="n">
        <f aca="false">MAX(0,MIN(AF318,AE321+AF320,AE321+AF320-AF319))</f>
        <v>4.70931279177864</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4.51903315921503</v>
      </c>
      <c r="M326" s="1" t="n">
        <f aca="false">IF(01_Supuestos!$C$184="Sí",M321,$C$172*M83)</f>
        <v>5.90482050104414</v>
      </c>
      <c r="N326" s="1" t="n">
        <f aca="false">IF(01_Supuestos!$C$184="Sí",N321,$C$172*N83)</f>
        <v>5.33856906289498</v>
      </c>
      <c r="O326" s="1" t="n">
        <f aca="false">IF(01_Supuestos!$C$184="Sí",O321,$C$172*O83)</f>
        <v>4.4894744999111</v>
      </c>
      <c r="P326" s="1" t="n">
        <f aca="false">IF(01_Supuestos!$C$184="Sí",P321,$C$172*P83)</f>
        <v>4.40926662163668</v>
      </c>
      <c r="Q326" s="1" t="n">
        <f aca="false">IF(01_Supuestos!$C$184="Sí",Q321,$C$172*Q83)</f>
        <v>4.51699266522229</v>
      </c>
      <c r="R326" s="1" t="n">
        <f aca="false">IF(01_Supuestos!$C$184="Sí",R321,$C$172*R83)</f>
        <v>4.62228409586196</v>
      </c>
      <c r="S326" s="1" t="n">
        <f aca="false">IF(01_Supuestos!$C$184="Sí",S321,$C$172*S83)</f>
        <v>4.73073312407833</v>
      </c>
      <c r="T326" s="1" t="n">
        <f aca="false">IF(01_Supuestos!$C$184="Sí",T321,$C$172*T83)</f>
        <v>4.84206935005941</v>
      </c>
      <c r="U326" s="1" t="n">
        <f aca="false">IF(01_Supuestos!$C$184="Sí",U321,$C$172*U83)</f>
        <v>4.956313528117</v>
      </c>
      <c r="V326" s="1" t="n">
        <f aca="false">IF(01_Supuestos!$C$184="Sí",V321,$C$172*V83)</f>
        <v>5.07350237779021</v>
      </c>
      <c r="W326" s="1" t="n">
        <f aca="false">IF(01_Supuestos!$C$184="Sí",W321,$C$172*W83)</f>
        <v>5.19488168739064</v>
      </c>
      <c r="X326" s="1" t="n">
        <f aca="false">IF(01_Supuestos!$C$184="Sí",X321,$C$172*X83)</f>
        <v>5.31992118823589</v>
      </c>
      <c r="Y326" s="1" t="n">
        <f aca="false">IF(01_Supuestos!$C$184="Sí",Y321,$C$172*Y83)</f>
        <v>5.44833515898164</v>
      </c>
      <c r="Z326" s="1" t="n">
        <f aca="false">IF(01_Supuestos!$C$184="Sí",Z321,$C$172*Z83)</f>
        <v>5.58016286624683</v>
      </c>
      <c r="AA326" s="1" t="n">
        <f aca="false">IF(01_Supuestos!$C$184="Sí",AA321,$C$172*AA83)</f>
        <v>5.71544499987654</v>
      </c>
      <c r="AB326" s="1" t="n">
        <f aca="false">IF(01_Supuestos!$C$184="Sí",AB321,$C$172*AB83)</f>
        <v>5.85419716784677</v>
      </c>
      <c r="AC326" s="1" t="n">
        <f aca="false">IF(01_Supuestos!$C$184="Sí",AC321,$C$172*AC83)</f>
        <v>5.99644900941203</v>
      </c>
      <c r="AD326" s="1" t="n">
        <f aca="false">IF(01_Supuestos!$C$184="Sí",AD321,$C$172*AD83)</f>
        <v>6.14223868669786</v>
      </c>
      <c r="AE326" s="1" t="n">
        <f aca="false">IF(01_Supuestos!$C$184="Sí",AE321,$C$172*AE83)</f>
        <v>6.29160570987267</v>
      </c>
      <c r="AF326" s="1" t="n">
        <f aca="false">IF(01_Supuestos!$C$184="Sí",AF321,$C$172*AF83)</f>
        <v>6.44459092573574</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0.114206263674219</v>
      </c>
      <c r="N327" s="1" t="n">
        <f aca="false">IF(01_Supuestos!$C$184="Sí",MAX(0.001,IF(M299&gt;0,M320/M299,$C$328*(1-$C$279))),$C$172)</f>
        <v>0.135882432490883</v>
      </c>
      <c r="O327" s="1" t="n">
        <f aca="false">IF(01_Supuestos!$C$184="Sí",MAX(0.001,IF(N299&gt;0,N320/N299,$C$328*(1-$C$279))),$C$172)</f>
        <v>0.150116069593199</v>
      </c>
      <c r="P327" s="1" t="n">
        <f aca="false">IF(01_Supuestos!$C$184="Sí",MAX(0.001,IF(O299&gt;0,O320/O299,$C$328*(1-$C$279))),$C$172)</f>
        <v>0.136570774476917</v>
      </c>
      <c r="Q327" s="1" t="n">
        <f aca="false">IF(01_Supuestos!$C$184="Sí",MAX(0.001,IF(P299&gt;0,P320/P299,$C$328*(1-$C$279))),$C$172)</f>
        <v>0.13738452204008</v>
      </c>
      <c r="R327" s="1" t="n">
        <f aca="false">IF(01_Supuestos!$C$184="Sí",MAX(0.001,IF(Q299&gt;0,Q320/Q299,$C$328*(1-$C$279))),$C$172)</f>
        <v>0.137401197716368</v>
      </c>
      <c r="S327" s="1" t="n">
        <f aca="false">IF(01_Supuestos!$C$184="Sí",MAX(0.001,IF(R299&gt;0,R320/R299,$C$328*(1-$C$279))),$C$172)</f>
        <v>0.137461191892732</v>
      </c>
      <c r="T327" s="1" t="n">
        <f aca="false">IF(01_Supuestos!$C$184="Sí",MAX(0.001,IF(S299&gt;0,S320/S299,$C$328*(1-$C$279))),$C$172)</f>
        <v>0.137529539533435</v>
      </c>
      <c r="U327" s="1" t="n">
        <f aca="false">IF(01_Supuestos!$C$184="Sí",MAX(0.001,IF(T299&gt;0,T320/T299,$C$328*(1-$C$279))),$C$172)</f>
        <v>0.137603288617164</v>
      </c>
      <c r="V327" s="1" t="n">
        <f aca="false">IF(01_Supuestos!$C$184="Sí",MAX(0.001,IF(U299&gt;0,U320/U299,$C$328*(1-$C$279))),$C$172)</f>
        <v>0.13768157734806</v>
      </c>
      <c r="W327" s="1" t="n">
        <f aca="false">IF(01_Supuestos!$C$184="Sí",MAX(0.001,IF(V299&gt;0,V320/V299,$C$328*(1-$C$279))),$C$172)</f>
        <v>0.137763549721371</v>
      </c>
      <c r="X327" s="1" t="n">
        <f aca="false">IF(01_Supuestos!$C$184="Sí",MAX(0.001,IF(W299&gt;0,W320/W299,$C$328*(1-$C$279))),$C$172)</f>
        <v>0.137890915241154</v>
      </c>
      <c r="Y327" s="1" t="n">
        <f aca="false">IF(01_Supuestos!$C$184="Sí",MAX(0.001,IF(X299&gt;0,X320/X299,$C$328*(1-$C$279))),$C$172)</f>
        <v>0.138024755245033</v>
      </c>
      <c r="Z327" s="1" t="n">
        <f aca="false">IF(01_Supuestos!$C$184="Sí",MAX(0.001,IF(Y299&gt;0,Y320/Y299,$C$328*(1-$C$279))),$C$172)</f>
        <v>0.138163952896804</v>
      </c>
      <c r="AA327" s="1" t="n">
        <f aca="false">IF(01_Supuestos!$C$184="Sí",MAX(0.001,IF(Z299&gt;0,Z320/Z299,$C$328*(1-$C$279))),$C$172)</f>
        <v>0.138307475436106</v>
      </c>
      <c r="AB327" s="1" t="n">
        <f aca="false">IF(01_Supuestos!$C$184="Sí",MAX(0.001,IF(AA299&gt;0,AA320/AA299,$C$328*(1-$C$279))),$C$172)</f>
        <v>0.138454356553804</v>
      </c>
      <c r="AC327" s="1" t="n">
        <f aca="false">IF(01_Supuestos!$C$184="Sí",MAX(0.001,IF(AB299&gt;0,AB320/AB299,$C$328*(1-$C$279))),$C$172)</f>
        <v>0.138602865253342</v>
      </c>
      <c r="AD327" s="1" t="n">
        <f aca="false">IF(01_Supuestos!$C$184="Sí",MAX(0.001,IF(AC299&gt;0,AC320/AC299,$C$328*(1-$C$279))),$C$172)</f>
        <v>0.138752102371504</v>
      </c>
      <c r="AE327" s="1" t="n">
        <f aca="false">IF(01_Supuestos!$C$184="Sí",MAX(0.001,IF(AD299&gt;0,AD320/AD299,$C$328*(1-$C$279))),$C$172)</f>
        <v>0.138901234236975</v>
      </c>
      <c r="AF327" s="1" t="n">
        <f aca="false">IF(01_Supuestos!$C$184="Sí",MAX(0.001,IF(AE299&gt;0,AE320/AE299,$C$328*(1-$C$279))),$C$172)</f>
        <v>0.139049488612843</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0.0951227722265819</v>
      </c>
      <c r="N330" s="1" t="n">
        <f aca="false">N343</f>
        <v>0.116937286988959</v>
      </c>
      <c r="O330" s="1" t="n">
        <f aca="false">O343</f>
        <v>0.125840037713673</v>
      </c>
      <c r="P330" s="1" t="n">
        <f aca="false">P343</f>
        <v>0.128479138535279</v>
      </c>
      <c r="Q330" s="1" t="n">
        <f aca="false">Q343</f>
        <v>0.131388853204598</v>
      </c>
      <c r="R330" s="1" t="n">
        <f aca="false">R343</f>
        <v>0.134376121526952</v>
      </c>
      <c r="S330" s="1" t="n">
        <f aca="false">S343</f>
        <v>0.137450622997526</v>
      </c>
      <c r="T330" s="1" t="n">
        <f aca="false">T343</f>
        <v>0.140613644446018</v>
      </c>
      <c r="U330" s="1" t="n">
        <f aca="false">U343</f>
        <v>0.143866032948144</v>
      </c>
      <c r="V330" s="1" t="n">
        <f aca="false">V343</f>
        <v>0.147208704856157</v>
      </c>
      <c r="W330" s="1" t="n">
        <f aca="false">W343</f>
        <v>0.150642629276749</v>
      </c>
      <c r="X330" s="1" t="n">
        <f aca="false">X343</f>
        <v>0.154179241355075</v>
      </c>
      <c r="Y330" s="1" t="n">
        <f aca="false">Y343</f>
        <v>0.157819555232368</v>
      </c>
      <c r="Z330" s="1" t="n">
        <f aca="false">Z343</f>
        <v>0.161564626570856</v>
      </c>
      <c r="AA330" s="1" t="n">
        <f aca="false">AA343</f>
        <v>0.165415555840944</v>
      </c>
      <c r="AB330" s="1" t="n">
        <f aca="false">AB343</f>
        <v>0.169373487718053</v>
      </c>
      <c r="AC330" s="1" t="n">
        <f aca="false">AC343</f>
        <v>0.173439383185141</v>
      </c>
      <c r="AD330" s="1" t="n">
        <f aca="false">AD343</f>
        <v>0.177614250384481</v>
      </c>
      <c r="AE330" s="1" t="n">
        <f aca="false">AE343</f>
        <v>0.181899143965654</v>
      </c>
      <c r="AF330" s="1" t="n">
        <f aca="false">AF343</f>
        <v>0.186295164428748</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0.0951227722265819</v>
      </c>
      <c r="N331" s="1" t="n">
        <f aca="false">N330*$C$338</f>
        <v>0.116937286988959</v>
      </c>
      <c r="O331" s="1" t="n">
        <f aca="false">O330*$C$338</f>
        <v>0.125840037713673</v>
      </c>
      <c r="P331" s="1" t="n">
        <f aca="false">P330*$C$338</f>
        <v>0.128479138535279</v>
      </c>
      <c r="Q331" s="1" t="n">
        <f aca="false">Q330*$C$338</f>
        <v>0.131388853204598</v>
      </c>
      <c r="R331" s="1" t="n">
        <f aca="false">R330*$C$338</f>
        <v>0.134376121526952</v>
      </c>
      <c r="S331" s="1" t="n">
        <f aca="false">S330*$C$338</f>
        <v>0.137450622997526</v>
      </c>
      <c r="T331" s="1" t="n">
        <f aca="false">T330*$C$338</f>
        <v>0.140613644446018</v>
      </c>
      <c r="U331" s="1" t="n">
        <f aca="false">U330*$C$338</f>
        <v>0.143866032948144</v>
      </c>
      <c r="V331" s="1" t="n">
        <f aca="false">V330*$C$338</f>
        <v>0.147208704856157</v>
      </c>
      <c r="W331" s="1" t="n">
        <f aca="false">W330*$C$338</f>
        <v>0.150642629276749</v>
      </c>
      <c r="X331" s="1" t="n">
        <f aca="false">X330*$C$338</f>
        <v>0.154179241355075</v>
      </c>
      <c r="Y331" s="1" t="n">
        <f aca="false">Y330*$C$338</f>
        <v>0.157819555232368</v>
      </c>
      <c r="Z331" s="1" t="n">
        <f aca="false">Z330*$C$338</f>
        <v>0.161564626570856</v>
      </c>
      <c r="AA331" s="1" t="n">
        <f aca="false">AA330*$C$338</f>
        <v>0.165415555840944</v>
      </c>
      <c r="AB331" s="1" t="n">
        <f aca="false">AB330*$C$338</f>
        <v>0.169373487718053</v>
      </c>
      <c r="AC331" s="1" t="n">
        <f aca="false">AC330*$C$338</f>
        <v>0.173439383185141</v>
      </c>
      <c r="AD331" s="1" t="n">
        <f aca="false">AD330*$C$338</f>
        <v>0.177614250384481</v>
      </c>
      <c r="AE331" s="1" t="n">
        <f aca="false">AE330*$C$338</f>
        <v>0.181899143965654</v>
      </c>
      <c r="AF331" s="1" t="n">
        <f aca="false">AF330*$C$338</f>
        <v>0.186295164428748</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0.0951227722265819</v>
      </c>
      <c r="N332" s="1" t="n">
        <f aca="false">IF($C$339&lt;=0,N331,IF($C$339=1,M331,L331))</f>
        <v>0.116937286988959</v>
      </c>
      <c r="O332" s="1" t="n">
        <f aca="false">IF($C$339&lt;=0,O331,IF($C$339=1,N331,M331))</f>
        <v>0.125840037713673</v>
      </c>
      <c r="P332" s="1" t="n">
        <f aca="false">IF($C$339&lt;=0,P331,IF($C$339=1,O331,N331))</f>
        <v>0.128479138535279</v>
      </c>
      <c r="Q332" s="1" t="n">
        <f aca="false">IF($C$339&lt;=0,Q331,IF($C$339=1,P331,O331))</f>
        <v>0.131388853204598</v>
      </c>
      <c r="R332" s="1" t="n">
        <f aca="false">IF($C$339&lt;=0,R331,IF($C$339=1,Q331,P331))</f>
        <v>0.134376121526952</v>
      </c>
      <c r="S332" s="1" t="n">
        <f aca="false">IF($C$339&lt;=0,S331,IF($C$339=1,R331,Q331))</f>
        <v>0.137450622997526</v>
      </c>
      <c r="T332" s="1" t="n">
        <f aca="false">IF($C$339&lt;=0,T331,IF($C$339=1,S331,R331))</f>
        <v>0.140613644446018</v>
      </c>
      <c r="U332" s="1" t="n">
        <f aca="false">IF($C$339&lt;=0,U331,IF($C$339=1,T331,S331))</f>
        <v>0.143866032948144</v>
      </c>
      <c r="V332" s="1" t="n">
        <f aca="false">IF($C$339&lt;=0,V331,IF($C$339=1,U331,T331))</f>
        <v>0.147208704856157</v>
      </c>
      <c r="W332" s="1" t="n">
        <f aca="false">IF($C$339&lt;=0,W331,IF($C$339=1,V331,U331))</f>
        <v>0.150642629276749</v>
      </c>
      <c r="X332" s="1" t="n">
        <f aca="false">IF($C$339&lt;=0,X331,IF($C$339=1,W331,V331))</f>
        <v>0.154179241355075</v>
      </c>
      <c r="Y332" s="1" t="n">
        <f aca="false">IF($C$339&lt;=0,Y331,IF($C$339=1,X331,W331))</f>
        <v>0.157819555232368</v>
      </c>
      <c r="Z332" s="1" t="n">
        <f aca="false">IF($C$339&lt;=0,Z331,IF($C$339=1,Y331,X331))</f>
        <v>0.161564626570856</v>
      </c>
      <c r="AA332" s="1" t="n">
        <f aca="false">IF($C$339&lt;=0,AA331,IF($C$339=1,Z331,Y331))</f>
        <v>0.165415555840944</v>
      </c>
      <c r="AB332" s="1" t="n">
        <f aca="false">IF($C$339&lt;=0,AB331,IF($C$339=1,AA331,Z331))</f>
        <v>0.169373487718053</v>
      </c>
      <c r="AC332" s="1" t="n">
        <f aca="false">IF($C$339&lt;=0,AC331,IF($C$339=1,AB331,AA331))</f>
        <v>0.173439383185141</v>
      </c>
      <c r="AD332" s="1" t="n">
        <f aca="false">IF($C$339&lt;=0,AD331,IF($C$339=1,AC331,AB331))</f>
        <v>0.177614250384481</v>
      </c>
      <c r="AE332" s="1" t="n">
        <f aca="false">IF($C$339&lt;=0,AE331,IF($C$339=1,AD331,AC331))</f>
        <v>0.181899143965654</v>
      </c>
      <c r="AF332" s="1" t="n">
        <f aca="false">IF($C$339&lt;=0,AF331,IF($C$339=1,AE331,AD331))</f>
        <v>0.186295164428748</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0.0399515643351644</v>
      </c>
      <c r="N341" s="1" t="n">
        <f aca="false">M284*$C$340</f>
        <v>0.0491136605353627</v>
      </c>
      <c r="O341" s="1" t="n">
        <f aca="false">N284*$C$340</f>
        <v>0.0528528158397428</v>
      </c>
      <c r="P341" s="1" t="n">
        <f aca="false">O284*$C$340</f>
        <v>0.0539612381848173</v>
      </c>
      <c r="Q341" s="1" t="n">
        <f aca="false">P284*$C$340</f>
        <v>0.0551833183459313</v>
      </c>
      <c r="R341" s="1" t="n">
        <f aca="false">Q284*$C$340</f>
        <v>0.0564379710413199</v>
      </c>
      <c r="S341" s="1" t="n">
        <f aca="false">R284*$C$340</f>
        <v>0.057729261658961</v>
      </c>
      <c r="T341" s="1" t="n">
        <f aca="false">S284*$C$340</f>
        <v>0.0590577306673275</v>
      </c>
      <c r="U341" s="1" t="n">
        <f aca="false">T284*$C$340</f>
        <v>0.0604237338382204</v>
      </c>
      <c r="V341" s="1" t="n">
        <f aca="false">U284*$C$340</f>
        <v>0.0618276560395859</v>
      </c>
      <c r="W341" s="1" t="n">
        <f aca="false">V284*$C$340</f>
        <v>0.0632699042962347</v>
      </c>
      <c r="X341" s="1" t="n">
        <f aca="false">W284*$C$340</f>
        <v>0.0647552813691315</v>
      </c>
      <c r="Y341" s="1" t="n">
        <f aca="false">X284*$C$340</f>
        <v>0.0662842131975945</v>
      </c>
      <c r="Z341" s="1" t="n">
        <f aca="false">Y284*$C$340</f>
        <v>0.0678571431597596</v>
      </c>
      <c r="AA341" s="1" t="n">
        <f aca="false">Z284*$C$340</f>
        <v>0.0694745334531964</v>
      </c>
      <c r="AB341" s="1" t="n">
        <f aca="false">AA284*$C$340</f>
        <v>0.0711368648415822</v>
      </c>
      <c r="AC341" s="1" t="n">
        <f aca="false">AB284*$C$340</f>
        <v>0.0728445409377591</v>
      </c>
      <c r="AD341" s="1" t="n">
        <f aca="false">AC284*$C$340</f>
        <v>0.0745979851614819</v>
      </c>
      <c r="AE341" s="1" t="n">
        <f aca="false">AD284*$C$340</f>
        <v>0.0763976404655748</v>
      </c>
      <c r="AF341" s="1" t="n">
        <f aca="false">AE284*$C$340</f>
        <v>0.0782439690600742</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0.0551712078914175</v>
      </c>
      <c r="N342" s="1" t="n">
        <f aca="false">M289*$C$340</f>
        <v>0.0678236264535962</v>
      </c>
      <c r="O342" s="1" t="n">
        <f aca="false">N289*$C$340</f>
        <v>0.0729872218739306</v>
      </c>
      <c r="P342" s="1" t="n">
        <f aca="false">O289*$C$340</f>
        <v>0.074517900350462</v>
      </c>
      <c r="Q342" s="1" t="n">
        <f aca="false">P289*$C$340</f>
        <v>0.0762055348586671</v>
      </c>
      <c r="R342" s="1" t="n">
        <f aca="false">Q289*$C$340</f>
        <v>0.0779381504856322</v>
      </c>
      <c r="S342" s="1" t="n">
        <f aca="false">R289*$C$340</f>
        <v>0.0797213613385652</v>
      </c>
      <c r="T342" s="1" t="n">
        <f aca="false">S289*$C$340</f>
        <v>0.0815559137786903</v>
      </c>
      <c r="U342" s="1" t="n">
        <f aca="false">T289*$C$340</f>
        <v>0.0834422991099234</v>
      </c>
      <c r="V342" s="1" t="n">
        <f aca="false">U289*$C$340</f>
        <v>0.0853810488165711</v>
      </c>
      <c r="W342" s="1" t="n">
        <f aca="false">V289*$C$340</f>
        <v>0.0873727249805145</v>
      </c>
      <c r="X342" s="1" t="n">
        <f aca="false">W289*$C$340</f>
        <v>0.0894239599859435</v>
      </c>
      <c r="Y342" s="1" t="n">
        <f aca="false">X289*$C$340</f>
        <v>0.0915353420347734</v>
      </c>
      <c r="Z342" s="1" t="n">
        <f aca="false">Y289*$C$340</f>
        <v>0.0937074834110967</v>
      </c>
      <c r="AA342" s="1" t="n">
        <f aca="false">Z289*$C$340</f>
        <v>0.0959410223877474</v>
      </c>
      <c r="AB342" s="1" t="n">
        <f aca="false">AA289*$C$340</f>
        <v>0.0982366228764707</v>
      </c>
      <c r="AC342" s="1" t="n">
        <f aca="false">AB289*$C$340</f>
        <v>0.100594842247382</v>
      </c>
      <c r="AD342" s="1" t="n">
        <f aca="false">AC289*$C$340</f>
        <v>0.103016265222999</v>
      </c>
      <c r="AE342" s="1" t="n">
        <f aca="false">AD289*$C$340</f>
        <v>0.105501503500079</v>
      </c>
      <c r="AF342" s="1" t="n">
        <f aca="false">AE289*$C$340</f>
        <v>0.108051195368674</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0.0951227722265819</v>
      </c>
      <c r="N343" s="1" t="n">
        <f aca="false">N341+N342</f>
        <v>0.116937286988959</v>
      </c>
      <c r="O343" s="1" t="n">
        <f aca="false">O341+O342</f>
        <v>0.125840037713673</v>
      </c>
      <c r="P343" s="1" t="n">
        <f aca="false">P341+P342</f>
        <v>0.128479138535279</v>
      </c>
      <c r="Q343" s="1" t="n">
        <f aca="false">Q341+Q342</f>
        <v>0.131388853204598</v>
      </c>
      <c r="R343" s="1" t="n">
        <f aca="false">R341+R342</f>
        <v>0.134376121526952</v>
      </c>
      <c r="S343" s="1" t="n">
        <f aca="false">S341+S342</f>
        <v>0.137450622997526</v>
      </c>
      <c r="T343" s="1" t="n">
        <f aca="false">T341+T342</f>
        <v>0.140613644446018</v>
      </c>
      <c r="U343" s="1" t="n">
        <f aca="false">U341+U342</f>
        <v>0.143866032948144</v>
      </c>
      <c r="V343" s="1" t="n">
        <f aca="false">V341+V342</f>
        <v>0.147208704856157</v>
      </c>
      <c r="W343" s="1" t="n">
        <f aca="false">W341+W342</f>
        <v>0.150642629276749</v>
      </c>
      <c r="X343" s="1" t="n">
        <f aca="false">X341+X342</f>
        <v>0.154179241355075</v>
      </c>
      <c r="Y343" s="1" t="n">
        <f aca="false">Y341+Y342</f>
        <v>0.157819555232368</v>
      </c>
      <c r="Z343" s="1" t="n">
        <f aca="false">Z341+Z342</f>
        <v>0.161564626570856</v>
      </c>
      <c r="AA343" s="1" t="n">
        <f aca="false">AA341+AA342</f>
        <v>0.165415555840944</v>
      </c>
      <c r="AB343" s="1" t="n">
        <f aca="false">AB341+AB342</f>
        <v>0.169373487718053</v>
      </c>
      <c r="AC343" s="1" t="n">
        <f aca="false">AC341+AC342</f>
        <v>0.173439383185141</v>
      </c>
      <c r="AD343" s="1" t="n">
        <f aca="false">AD341+AD342</f>
        <v>0.177614250384481</v>
      </c>
      <c r="AE343" s="1" t="n">
        <f aca="false">AE341+AE342</f>
        <v>0.181899143965654</v>
      </c>
      <c r="AF343" s="1" t="n">
        <f aca="false">AF341+AF342</f>
        <v>0.186295164428748</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1351</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0.0065</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352</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1344</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3.230422220638</v>
      </c>
      <c r="AC50" s="116" t="n">
        <f aca="false">IF($C$6="Sí",23_v67_Intermedio!AC24,22_v67_Prudente!AC24)-AC194+AC345</f>
        <v>3.130322136886</v>
      </c>
      <c r="AD50" s="116" t="n">
        <f aca="false">IF($C$6="Sí",23_v67_Intermedio!AD24,22_v67_Prudente!AD24)-AD194+AD345</f>
        <v>3.030222053134</v>
      </c>
      <c r="AE50" s="116" t="n">
        <f aca="false">IF($C$6="Sí",23_v67_Intermedio!AE24,22_v67_Prudente!AE24)-AE194+AE345</f>
        <v>2.930121969382</v>
      </c>
      <c r="AF50" s="116" t="n">
        <f aca="false">IF($C$6="Sí",23_v67_Intermedio!AF24,22_v67_Prudente!AF24)-AF194+AF345</f>
        <v>2.83002188563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3.230422220638</v>
      </c>
      <c r="AC64" s="116" t="n">
        <f aca="false">AC48+AC50-AC57</f>
        <v>3.130322136886</v>
      </c>
      <c r="AD64" s="116" t="n">
        <f aca="false">AD48+AD50-AD57</f>
        <v>3.030222053134</v>
      </c>
      <c r="AE64" s="116" t="n">
        <f aca="false">AE48+AE50-AE57</f>
        <v>2.930121969382</v>
      </c>
      <c r="AF64" s="116" t="n">
        <f aca="false">AF48+AF50-AF57</f>
        <v>2.83002188563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3.03998784899078</v>
      </c>
      <c r="AC66" s="116" t="n">
        <f aca="false">AC64-AC65</f>
        <v>2.93316543191963</v>
      </c>
      <c r="AD66" s="116" t="n">
        <f aca="false">AD64-AD65</f>
        <v>2.82610571648232</v>
      </c>
      <c r="AE66" s="116" t="n">
        <f aca="false">AE64-AE65</f>
        <v>2.71880032604652</v>
      </c>
      <c r="AF66" s="116" t="n">
        <f aca="false">AF64-AF65</f>
        <v>2.61124058828477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198.384993311987</v>
      </c>
      <c r="N67" s="116" t="n">
        <f aca="false">M67+N66-N63</f>
        <v>201.290395518758</v>
      </c>
      <c r="O67" s="116" t="n">
        <f aca="false">N67+O66-O63</f>
        <v>204.200384827303</v>
      </c>
      <c r="P67" s="116" t="n">
        <f aca="false">O67+P66-P63</f>
        <v>207.114379071565</v>
      </c>
      <c r="Q67" s="116" t="n">
        <f aca="false">P67+Q66-Q63</f>
        <v>210.031812739564</v>
      </c>
      <c r="R67" s="116" t="n">
        <f aca="false">Q67+R66-R63</f>
        <v>212.852035617303</v>
      </c>
      <c r="S67" s="116" t="n">
        <f aca="false">R67+S66-S63</f>
        <v>215.574511732038</v>
      </c>
      <c r="T67" s="116" t="n">
        <f aca="false">S67+T66-T63</f>
        <v>218.198718089424</v>
      </c>
      <c r="U67" s="116" t="n">
        <f aca="false">T67+U66-U63</f>
        <v>220.724143536746</v>
      </c>
      <c r="V67" s="116" t="n">
        <f aca="false">U67+V66-V63</f>
        <v>223.150287665761</v>
      </c>
      <c r="W67" s="116" t="n">
        <f aca="false">V67+W66-W63</f>
        <v>225.476659752565</v>
      </c>
      <c r="X67" s="116" t="n">
        <f aca="false">W67+X66-X63</f>
        <v>227.702777732021</v>
      </c>
      <c r="Y67" s="116" t="n">
        <f aca="false">X67+Y66-Y63</f>
        <v>229.828167204339</v>
      </c>
      <c r="Z67" s="116" t="n">
        <f aca="false">Y67+Z66-Z63</f>
        <v>231.852360471556</v>
      </c>
      <c r="AA67" s="116" t="n">
        <f aca="false">Z67+AA66-AA63</f>
        <v>233.774895601702</v>
      </c>
      <c r="AB67" s="116" t="n">
        <f aca="false">AA67+AB66-AB63</f>
        <v>235.595315518552</v>
      </c>
      <c r="AC67" s="116" t="n">
        <f aca="false">AB67+AC66-AC63</f>
        <v>237.313167114937</v>
      </c>
      <c r="AD67" s="116" t="n">
        <f aca="false">AC67+AD66-AD63</f>
        <v>238.928000387663</v>
      </c>
      <c r="AE67" s="116" t="n">
        <f aca="false">AD67+AE66-AE63</f>
        <v>240.43936759214</v>
      </c>
      <c r="AF67" s="116" t="n">
        <f aca="false">AE67+AF66-AF63</f>
        <v>241.846822414934</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70.6634487934097</v>
      </c>
      <c r="N68" s="116" t="n">
        <f aca="false">M68+(01_Supuestos!$I$125-1)*N66</f>
        <v>72.0963286863452</v>
      </c>
      <c r="O68" s="116" t="n">
        <f aca="false">N68+(01_Supuestos!$I$125-1)*O66</f>
        <v>73.5278022987521</v>
      </c>
      <c r="P68" s="116" t="n">
        <f aca="false">O68+(01_Supuestos!$I$125-1)*P66</f>
        <v>74.9578199889278</v>
      </c>
      <c r="Q68" s="116" t="n">
        <f aca="false">P68+(01_Supuestos!$I$125-1)*Q66</f>
        <v>76.3863303628175</v>
      </c>
      <c r="R68" s="116" t="n">
        <f aca="false">Q68+(01_Supuestos!$I$125-1)*R66</f>
        <v>77.7792461836805</v>
      </c>
      <c r="S68" s="116" t="n">
        <f aca="false">R68+(01_Supuestos!$I$125-1)*S66</f>
        <v>79.1365123650004</v>
      </c>
      <c r="T68" s="116" t="n">
        <f aca="false">S68+(01_Supuestos!$I$125-1)*T66</f>
        <v>80.4580718757063</v>
      </c>
      <c r="U68" s="116" t="n">
        <f aca="false">T68+(01_Supuestos!$I$125-1)*U66</f>
        <v>81.7438656715309</v>
      </c>
      <c r="V68" s="116" t="n">
        <f aca="false">U68+(01_Supuestos!$I$125-1)*V66</f>
        <v>82.9938326239439</v>
      </c>
      <c r="W68" s="116" t="n">
        <f aca="false">V68+(01_Supuestos!$I$125-1)*W66</f>
        <v>84.2079094465782</v>
      </c>
      <c r="X68" s="116" t="n">
        <f aca="false">W68+(01_Supuestos!$I$125-1)*X66</f>
        <v>85.3860306190578</v>
      </c>
      <c r="Y68" s="116" t="n">
        <f aca="false">X68+(01_Supuestos!$I$125-1)*Y66</f>
        <v>86.5281283081373</v>
      </c>
      <c r="Z68" s="116" t="n">
        <f aca="false">Y68+(01_Supuestos!$I$125-1)*Z66</f>
        <v>87.634132286058</v>
      </c>
      <c r="AA68" s="116" t="n">
        <f aca="false">Z68+(01_Supuestos!$I$125-1)*AA66</f>
        <v>88.7039698460211</v>
      </c>
      <c r="AB68" s="116" t="n">
        <f aca="false">AA68+(01_Supuestos!$I$125-1)*AB66</f>
        <v>89.737565714678</v>
      </c>
      <c r="AC68" s="116" t="n">
        <f aca="false">AB68+(01_Supuestos!$I$125-1)*AC66</f>
        <v>90.7348419615307</v>
      </c>
      <c r="AD68" s="116" t="n">
        <f aca="false">AC68+(01_Supuestos!$I$125-1)*AD66</f>
        <v>91.6957179051347</v>
      </c>
      <c r="AE68" s="116" t="n">
        <f aca="false">AD68+(01_Supuestos!$I$125-1)*AE66</f>
        <v>92.6201100159905</v>
      </c>
      <c r="AF68" s="116" t="n">
        <f aca="false">AE68+(01_Supuestos!$I$125-1)*AF66</f>
        <v>93.5079318160073</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256.607001012742</v>
      </c>
      <c r="G69" s="116" t="n">
        <f aca="false">F69+G48+G49+G50+G51-G63+G245</f>
        <v>262.236608254652</v>
      </c>
      <c r="H69" s="116" t="n">
        <f aca="false">G69+H48+H49+H50+H51-H63+H245</f>
        <v>267.878706911562</v>
      </c>
      <c r="I69" s="116" t="n">
        <f aca="false">H69+I48+I49+I50+I51-I63+I245</f>
        <v>273.532672412722</v>
      </c>
      <c r="J69" s="116" t="n">
        <f aca="false">I69+J48+J49+J50+J51-J63+J245</f>
        <v>279.19791141592</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319.126273175618</v>
      </c>
      <c r="R69" s="116" t="n">
        <f aca="false">Q69+R48+R49+R50+R51-R63+R245</f>
        <v>324.763506273682</v>
      </c>
      <c r="S69" s="116" t="n">
        <f aca="false">R69+S48+S49+S50+S51-S63+S245</f>
        <v>330.307744406</v>
      </c>
      <c r="T69" s="116" t="n">
        <f aca="false">S69+T48+T49+T50+T51-T63+T245</f>
        <v>335.758632316669</v>
      </c>
      <c r="U69" s="116" t="n">
        <f aca="false">T69+U48+U49+U50+U51-U63+U245</f>
        <v>341.115832512587</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380.565374819158</v>
      </c>
      <c r="AD69" s="116" t="n">
        <f aca="false">AC69+AD48+AD49+AD50+AD51-AD63+AD245</f>
        <v>385.066722828534</v>
      </c>
      <c r="AE69" s="116" t="n">
        <f aca="false">AD69+AE48+AE49+AE50+AE51-AE63+AE245</f>
        <v>389.471810076347</v>
      </c>
      <c r="AF69" s="116" t="n">
        <f aca="false">AE69+AF48+AF49+AF50+AF51-AF63+AF245</f>
        <v>393.780444596487</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52.9916758096682</v>
      </c>
      <c r="G70" s="116" t="n">
        <f aca="false">F70+G49+G51+G57+G65+G245</f>
        <v>60.0055973515782</v>
      </c>
      <c r="H70" s="116" t="n">
        <f aca="false">G70+H49+H51+H57+H65+H245</f>
        <v>67.0195188934882</v>
      </c>
      <c r="I70" s="116" t="n">
        <f aca="false">H70+I49+I51+I57+I65+I245</f>
        <v>74.0334404353982</v>
      </c>
      <c r="J70" s="116" t="n">
        <f aca="false">I70+J49+J51+J57+J65+J245</f>
        <v>81.0473619773081</v>
      </c>
      <c r="K70" s="116" t="n">
        <f aca="false">J70+K49+K51+K57+K65+K245</f>
        <v>88.0612835192181</v>
      </c>
      <c r="L70" s="116" t="n">
        <f aca="false">K70+L49+L51+L57+L65+L245</f>
        <v>95.0752050611281</v>
      </c>
      <c r="M70" s="116" t="n">
        <f aca="false">L70+M49+M51+M57+M65+M245</f>
        <v>97.8707788843187</v>
      </c>
      <c r="N70" s="116" t="n">
        <f aca="false">M70+N49+N51+N57+N65+N245</f>
        <v>100.670347799948</v>
      </c>
      <c r="O70" s="116" t="n">
        <f aca="false">N70+O49+O51+O57+O65+O245</f>
        <v>103.474052834779</v>
      </c>
      <c r="P70" s="116" t="n">
        <f aca="false">O70+P49+P51+P57+P65+P245</f>
        <v>106.282039993819</v>
      </c>
      <c r="Q70" s="116" t="n">
        <f aca="false">P70+Q49+Q51+Q57+Q65+Q245</f>
        <v>109.094460436054</v>
      </c>
      <c r="R70" s="116" t="n">
        <f aca="false">Q70+R49+R51+R57+R65+R245</f>
        <v>111.911470656379</v>
      </c>
      <c r="S70" s="116" t="n">
        <f aca="false">R70+S49+S51+S57+S65+S245</f>
        <v>114.733232673962</v>
      </c>
      <c r="T70" s="116" t="n">
        <f aca="false">S70+T49+T51+T57+T65+T245</f>
        <v>117.559914227246</v>
      </c>
      <c r="U70" s="116" t="n">
        <f aca="false">T70+U49+U51+U57+U65+U245</f>
        <v>120.39168897584</v>
      </c>
      <c r="V70" s="116" t="n">
        <f aca="false">U70+V49+V51+V57+V65+V245</f>
        <v>123.22873670954</v>
      </c>
      <c r="W70" s="116" t="n">
        <f aca="false">V70+W49+W51+W57+W65+W245</f>
        <v>126.071243564719</v>
      </c>
      <c r="X70" s="116" t="n">
        <f aca="false">W70+X49+X51+X57+X65+X245</f>
        <v>128.919402248367</v>
      </c>
      <c r="Y70" s="116" t="n">
        <f aca="false">X70+Y49+Y51+Y57+Y65+Y245</f>
        <v>131.773412270027</v>
      </c>
      <c r="Z70" s="116" t="n">
        <f aca="false">Y70+Z49+Z51+Z57+Z65+Z245</f>
        <v>134.633480181931</v>
      </c>
      <c r="AA70" s="116" t="n">
        <f aca="false">Z70+AA49+AA51+AA57+AA65+AA245</f>
        <v>137.499819827606</v>
      </c>
      <c r="AB70" s="116" t="n">
        <f aca="false">AA70+AB49+AB51+AB57+AB65+AB245</f>
        <v>140.372652599254</v>
      </c>
      <c r="AC70" s="116" t="n">
        <f aca="false">AB70+AC49+AC51+AC57+AC65+AC245</f>
        <v>143.25220770422</v>
      </c>
      <c r="AD70" s="116" t="n">
        <f aca="false">AC70+AD49+AD51+AD57+AD65+AD245</f>
        <v>146.138722440872</v>
      </c>
      <c r="AE70" s="116" t="n">
        <f aca="false">AD70+AE49+AE51+AE57+AE65+AE245</f>
        <v>149.032442484207</v>
      </c>
      <c r="AF70" s="116" t="n">
        <f aca="false">AE70+AF49+AF51+AF57+AF65+AF245</f>
        <v>151.933622181552</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17.2988399625579</v>
      </c>
      <c r="D72" s="116" t="n">
        <f aca="false">IF($C$173="Sí",(D83-D326)+D181,$C$15*C83)</f>
        <v>34.9771117069655</v>
      </c>
      <c r="E72" s="116" t="n">
        <f aca="false">IF($C$173="Sí",(E83-E326)+E181,$C$15*D83)</f>
        <v>53.3834374272829</v>
      </c>
      <c r="F72" s="116" t="n">
        <f aca="false">IF($C$173="Sí",(F83-F326)+F181,$C$15*E83)</f>
        <v>73.4908703934434</v>
      </c>
      <c r="G72" s="116" t="n">
        <f aca="false">IF($C$173="Sí",(G83-G326)+G181,$C$15*F83)</f>
        <v>92.6207487315235</v>
      </c>
      <c r="H72" s="116" t="n">
        <f aca="false">IF($C$173="Sí",(H83-H326)+H181,$C$15*G83)</f>
        <v>103.907740862016</v>
      </c>
      <c r="I72" s="116" t="n">
        <f aca="false">IF($C$173="Sí",(I83-I326)+I181,$C$15*H83)</f>
        <v>115.76703498894</v>
      </c>
      <c r="J72" s="116" t="n">
        <f aca="false">IF($C$173="Sí",(J83-J326)+J181,$C$15*I83)</f>
        <v>127.898004101118</v>
      </c>
      <c r="K72" s="116" t="n">
        <f aca="false">IF($C$173="Sí",(K83-K326)+K181,$C$15*J83)</f>
        <v>140.306894140748</v>
      </c>
      <c r="L72" s="116" t="n">
        <f aca="false">IF($C$173="Sí",(L83-L326)+L181,$C$15*K83)</f>
        <v>153.00009483582</v>
      </c>
      <c r="M72" s="116" t="n">
        <f aca="false">IF($C$173="Sí",(M83-M326)+M181,$C$15*L83)</f>
        <v>164.839026400822</v>
      </c>
      <c r="N72" s="116" t="n">
        <f aca="false">IF($C$173="Sí",(N83-N326)+N181,$C$15*M83)</f>
        <v>177.796088160239</v>
      </c>
      <c r="O72" s="116" t="n">
        <f aca="false">IF($C$173="Sí",(O83-O326)+O181,$C$15*N83)</f>
        <v>191.975611829384</v>
      </c>
      <c r="P72" s="116" t="n">
        <f aca="false">IF($C$173="Sí",(P83-P326)+P181,$C$15*O83)</f>
        <v>206.025215197444</v>
      </c>
      <c r="Q72" s="116" t="n">
        <f aca="false">IF($C$173="Sí",(Q83-Q326)+Q181,$C$15*P83)</f>
        <v>220.205058498671</v>
      </c>
      <c r="R72" s="116" t="n">
        <f aca="false">IF($C$173="Sí",(R83-R326)+R181,$C$15*Q83)</f>
        <v>227.146023893646</v>
      </c>
      <c r="S72" s="116" t="n">
        <f aca="false">IF($C$173="Sí",(S83-S326)+S181,$C$15*R83)</f>
        <v>232.712860787371</v>
      </c>
      <c r="T72" s="116" t="n">
        <f aca="false">IF($C$173="Sí",(T83-T326)+T181,$C$15*S83)</f>
        <v>238.093760800139</v>
      </c>
      <c r="U72" s="116" t="n">
        <f aca="false">IF($C$173="Sí",(U83-U326)+U181,$C$15*T83)</f>
        <v>243.561443922713</v>
      </c>
      <c r="V72" s="116" t="n">
        <f aca="false">IF($C$173="Sí",(V83-V326)+V181,$C$15*U83)</f>
        <v>249.154361551258</v>
      </c>
      <c r="W72" s="116" t="n">
        <f aca="false">IF($C$173="Sí",(W83-W326)+W181,$C$15*V83)</f>
        <v>253.670946252158</v>
      </c>
      <c r="X72" s="116" t="n">
        <f aca="false">IF($C$173="Sí",(X83-X326)+X181,$C$15*W83)</f>
        <v>257.886925108444</v>
      </c>
      <c r="Y72" s="116" t="n">
        <f aca="false">IF($C$173="Sí",(Y83-Y326)+Y181,$C$15*X83)</f>
        <v>262.030897789904</v>
      </c>
      <c r="Z72" s="116" t="n">
        <f aca="false">IF($C$173="Sí",(Z83-Z326)+Z181,$C$15*Y83)</f>
        <v>266.143401604625</v>
      </c>
      <c r="AA72" s="116" t="n">
        <f aca="false">IF($C$173="Sí",(AA83-AA326)+AA181,$C$15*Z83)</f>
        <v>270.232211850874</v>
      </c>
      <c r="AB72" s="116" t="n">
        <f aca="false">IF($C$173="Sí",(AB83-AB326)+AB181,$C$15*AA83)</f>
        <v>274.297995679326</v>
      </c>
      <c r="AC72" s="116" t="n">
        <f aca="false">IF($C$173="Sí",(AC83-AC326)+AC181,$C$15*AB83)</f>
        <v>278.341428820095</v>
      </c>
      <c r="AD72" s="116" t="n">
        <f aca="false">IF($C$173="Sí",(AD83-AD326)+AD181,$C$15*AC83)</f>
        <v>282.363201230085</v>
      </c>
      <c r="AE72" s="116" t="n">
        <f aca="false">IF($C$173="Sí",(AE83-AE326)+AE181,$C$15*AD83)</f>
        <v>286.364025145884</v>
      </c>
      <c r="AF72" s="116" t="n">
        <f aca="false">IF($C$173="Sí",(AF83-AF326)+AF181,$C$15*AE83)</f>
        <v>290.344635238681</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17.2988399625579</v>
      </c>
      <c r="D73" s="116" t="n">
        <f aca="false">D72-C72</f>
        <v>17.6782717444076</v>
      </c>
      <c r="E73" s="116" t="n">
        <f aca="false">E72-D72</f>
        <v>18.4063257203175</v>
      </c>
      <c r="F73" s="116" t="n">
        <f aca="false">F72-E72</f>
        <v>20.1074329661605</v>
      </c>
      <c r="G73" s="116" t="n">
        <f aca="false">G72-F72</f>
        <v>19.1298783380801</v>
      </c>
      <c r="H73" s="116" t="n">
        <f aca="false">H72-G72</f>
        <v>11.2869921304925</v>
      </c>
      <c r="I73" s="116" t="n">
        <f aca="false">I72-H72</f>
        <v>11.8592941269238</v>
      </c>
      <c r="J73" s="116" t="n">
        <f aca="false">J72-I72</f>
        <v>12.1309691121785</v>
      </c>
      <c r="K73" s="116" t="n">
        <f aca="false">K72-J72</f>
        <v>12.4088900396301</v>
      </c>
      <c r="L73" s="116" t="n">
        <f aca="false">L72-K72</f>
        <v>12.6932006950722</v>
      </c>
      <c r="M73" s="116" t="n">
        <f aca="false">M72-L72</f>
        <v>11.8389315650012</v>
      </c>
      <c r="N73" s="116" t="n">
        <f aca="false">N72-M72</f>
        <v>12.9570617594175</v>
      </c>
      <c r="O73" s="116" t="n">
        <f aca="false">O72-N72</f>
        <v>14.1795236691446</v>
      </c>
      <c r="P73" s="116" t="n">
        <f aca="false">P72-O72</f>
        <v>14.0496033680602</v>
      </c>
      <c r="Q73" s="116" t="n">
        <f aca="false">Q72-P72</f>
        <v>14.1798433012266</v>
      </c>
      <c r="R73" s="116" t="n">
        <f aca="false">R72-Q72</f>
        <v>6.94096539497539</v>
      </c>
      <c r="S73" s="116" t="n">
        <f aca="false">S72-R72</f>
        <v>5.5668368937246</v>
      </c>
      <c r="T73" s="116" t="n">
        <f aca="false">T72-S72</f>
        <v>5.38090001276839</v>
      </c>
      <c r="U73" s="116" t="n">
        <f aca="false">U72-T72</f>
        <v>5.46768312257365</v>
      </c>
      <c r="V73" s="116" t="n">
        <f aca="false">V72-U72</f>
        <v>5.59291762854551</v>
      </c>
      <c r="W73" s="116" t="n">
        <f aca="false">W72-V72</f>
        <v>4.51658470089998</v>
      </c>
      <c r="X73" s="116" t="n">
        <f aca="false">X72-W72</f>
        <v>4.21597885628637</v>
      </c>
      <c r="Y73" s="116" t="n">
        <f aca="false">Y72-X72</f>
        <v>4.14397268145967</v>
      </c>
      <c r="Z73" s="116" t="n">
        <f aca="false">Z72-Y72</f>
        <v>4.11250381472058</v>
      </c>
      <c r="AA73" s="116" t="n">
        <f aca="false">AA72-Z72</f>
        <v>4.0888102462489</v>
      </c>
      <c r="AB73" s="116" t="n">
        <f aca="false">AB72-AA72</f>
        <v>4.06578382845237</v>
      </c>
      <c r="AC73" s="116" t="n">
        <f aca="false">AC72-AB72</f>
        <v>4.04343314076925</v>
      </c>
      <c r="AD73" s="116" t="n">
        <f aca="false">AD72-AC72</f>
        <v>4.02177240998981</v>
      </c>
      <c r="AE73" s="116" t="n">
        <f aca="false">AE72-AD72</f>
        <v>4.00082391579849</v>
      </c>
      <c r="AF73" s="116" t="n">
        <f aca="false">AF72-AE72</f>
        <v>3.98061009279729</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13.63682799189</v>
      </c>
      <c r="H75" s="116" t="n">
        <f aca="false">$C$19*G81</f>
        <v>14.2644544068308</v>
      </c>
      <c r="I75" s="116" t="n">
        <f aca="false">$C$19*H81</f>
        <v>14.8927053925215</v>
      </c>
      <c r="J75" s="116" t="n">
        <f aca="false">$C$19*I81</f>
        <v>15.5215497204247</v>
      </c>
      <c r="K75" s="116" t="n">
        <f aca="false">$C$19*J81</f>
        <v>16.1509577234298</v>
      </c>
      <c r="L75" s="116" t="n">
        <f aca="false">$C$19*K81</f>
        <v>16.7809012177817</v>
      </c>
      <c r="M75" s="116" t="n">
        <f aca="false">$C$19*L81</f>
        <v>17.411353428913</v>
      </c>
      <c r="N75" s="116" t="n">
        <f aca="false">$C$19*M81</f>
        <v>17.9523523078849</v>
      </c>
      <c r="O75" s="116" t="n">
        <f aca="false">$C$19*N81</f>
        <v>18.4416729880495</v>
      </c>
      <c r="P75" s="116" t="n">
        <f aca="false">$C$19*O81</f>
        <v>18.8980599485205</v>
      </c>
      <c r="Q75" s="116" t="n">
        <f aca="false">$C$19*P81</f>
        <v>19.2344129569677</v>
      </c>
      <c r="R75" s="116" t="n">
        <f aca="false">$C$19*Q81</f>
        <v>19.5845118518383</v>
      </c>
      <c r="S75" s="116" t="n">
        <f aca="false">$C$19*R81</f>
        <v>19.9437219738299</v>
      </c>
      <c r="T75" s="116" t="n">
        <f aca="false">$C$19*S81</f>
        <v>20.2959128275926</v>
      </c>
      <c r="U75" s="116" t="n">
        <f aca="false">$C$19*T81</f>
        <v>20.6434542947875</v>
      </c>
      <c r="V75" s="116" t="n">
        <f aca="false">$C$19*U81</f>
        <v>20.9868848777879</v>
      </c>
      <c r="W75" s="116" t="n">
        <f aca="false">$C$19*V81</f>
        <v>21.3263040788123</v>
      </c>
      <c r="X75" s="116" t="n">
        <f aca="false">$C$19*W81</f>
        <v>21.6550968966214</v>
      </c>
      <c r="Y75" s="116" t="n">
        <f aca="false">$C$19*X81</f>
        <v>21.9752592394401</v>
      </c>
      <c r="Z75" s="116" t="n">
        <f aca="false">$C$19*Y81</f>
        <v>22.2892308441859</v>
      </c>
      <c r="AA75" s="116" t="n">
        <f aca="false">$C$19*Z81</f>
        <v>22.5968254646277</v>
      </c>
      <c r="AB75" s="116" t="n">
        <f aca="false">$C$19*AA81</f>
        <v>22.8978574008347</v>
      </c>
      <c r="AC75" s="116" t="n">
        <f aca="false">$C$19*AB81</f>
        <v>23.1923116329146</v>
      </c>
      <c r="AD75" s="116" t="n">
        <f aca="false">$C$19*AC81</f>
        <v>23.4801736159648</v>
      </c>
      <c r="AE75" s="116" t="n">
        <f aca="false">$C$19*AD81</f>
        <v>23.7614292465808</v>
      </c>
      <c r="AF75" s="116" t="n">
        <f aca="false">$C$19*AE81</f>
        <v>24.0360648306938</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1324.00659137758</v>
      </c>
      <c r="E76" s="116" t="n">
        <f aca="false">(IF($C$173="Sí",(MAX(0,E74-D96)+MAX(0,D276+E53-E75))/E327,E73+MAX(0,E74-D96)+MAX(0,D276+E53-E75)))+IF($C$173="Sí",MAX(0,$C$226*(E70+D121)*0.3/0.55-D227)/E327,0)</f>
        <v>831.150638441392</v>
      </c>
      <c r="F76" s="116" t="n">
        <f aca="false">(IF($C$173="Sí",(MAX(0,F74-E96)+MAX(0,E276+F53-F75))/F327,F73+MAX(0,F74-E96)+MAX(0,E276+F53-F75)))+IF($C$173="Sí",MAX(0,$C$226*(F70+E121)*0.3/0.55-E227)/F327,0)</f>
        <v>925.243053883518</v>
      </c>
      <c r="G76" s="116" t="n">
        <f aca="false">(IF($C$173="Sí",(MAX(0,G74-F96)+MAX(0,F276+G53-G75))/G327,G73+MAX(0,G74-F96)+MAX(0,F276+G53-G75)))+IF($C$173="Sí",MAX(0,$C$226*(G70+F121)*0.3/0.55-F227)/G327,0)</f>
        <v>66975.9270916769</v>
      </c>
      <c r="H76" s="116" t="n">
        <f aca="false">(IF($C$173="Sí",(MAX(0,H74-G96)+MAX(0,G276+H53-H75))/H327,H73+MAX(0,H74-G96)+MAX(0,G276+H53-H75)))+IF($C$173="Sí",MAX(0,$C$226*(H70+G121)*0.3/0.55-G227)/H327,0)</f>
        <v>959.353379091209</v>
      </c>
      <c r="I76" s="116" t="n">
        <f aca="false">(IF($C$173="Sí",(MAX(0,I74-H96)+MAX(0,H276+I53-I75))/I327,I73+MAX(0,I74-H96)+MAX(0,H276+I53-I75)))+IF($C$173="Sí",MAX(0,$C$226*(I70+H121)*0.3/0.55-H227)/I327,0)</f>
        <v>1012.81273195895</v>
      </c>
      <c r="J76" s="116" t="n">
        <f aca="false">(IF($C$173="Sí",(MAX(0,J74-I96)+MAX(0,I276+J53-J75))/J327,J73+MAX(0,J74-I96)+MAX(0,I276+J53-J75)))+IF($C$173="Sí",MAX(0,$C$226*(J70+I121)*0.3/0.55-I227)/J327,0)</f>
        <v>1085.44976928952</v>
      </c>
      <c r="K76" s="116" t="n">
        <f aca="false">(IF($C$173="Sí",(MAX(0,K74-J96)+MAX(0,J276+K53-K75))/K327,K73+MAX(0,K74-J96)+MAX(0,J276+K53-K75)))+IF($C$173="Sí",MAX(0,$C$226*(K70+J121)*0.3/0.55-J227)/K327,0)</f>
        <v>1170.56088356849</v>
      </c>
      <c r="L76" s="116" t="n">
        <f aca="false">(IF($C$173="Sí",(MAX(0,L74-K96)+MAX(0,K276+L53-L75))/L327,L73+MAX(0,L74-K96)+MAX(0,K276+L53-L75)))+IF($C$173="Sí",MAX(0,$C$226*(L70+K121)*0.3/0.55-K227)/L327,0)</f>
        <v>1266.53481896947</v>
      </c>
      <c r="M76" s="116" t="n">
        <f aca="false">(IF($C$173="Sí",(MAX(0,M74-L96)+MAX(0,L276+M53-M75))/M327,M73+MAX(0,M74-L96)+MAX(0,L276+M53-M75)))+IF($C$173="Sí",MAX(0,$C$226*(M70+L121)*0.3/0.55-L227)/M327,0)</f>
        <v>1174.5478405756</v>
      </c>
      <c r="N76" s="116" t="n">
        <f aca="false">(IF($C$173="Sí",(MAX(0,N74-M96)+MAX(0,M276+N53-N75))/N327,N73+MAX(0,N74-M96)+MAX(0,M276+N53-N75)))+IF($C$173="Sí",MAX(0,$C$226*(N70+M121)*0.3/0.55-M227)/N327,0)</f>
        <v>923.570897244884</v>
      </c>
      <c r="O76" s="116" t="n">
        <f aca="false">(IF($C$173="Sí",(MAX(0,O74-N96)+MAX(0,N276+O53-O75))/O327,O73+MAX(0,O74-N96)+MAX(0,N276+O53-O75)))+IF($C$173="Sí",MAX(0,$C$226*(O70+N121)*0.3/0.55-N227)/O327,0)</f>
        <v>892.143750678591</v>
      </c>
      <c r="P76" s="116" t="n">
        <f aca="false">(IF($C$173="Sí",(MAX(0,P74-O96)+MAX(0,O276+P53-P75))/P327,P73+MAX(0,P74-O96)+MAX(0,O276+P53-P75)))+IF($C$173="Sí",MAX(0,$C$226*(P70+O121)*0.3/0.55-O227)/P327,0)</f>
        <v>964.55667007712</v>
      </c>
      <c r="Q76" s="116" t="n">
        <f aca="false">(IF($C$173="Sí",(MAX(0,Q74-P96)+MAX(0,P276+Q53-Q75))/Q327,Q73+MAX(0,Q74-P96)+MAX(0,P276+Q53-Q75)))+IF($C$173="Sí",MAX(0,$C$226*(Q70+P121)*0.3/0.55-P227)/Q327,0)</f>
        <v>952.527701565223</v>
      </c>
      <c r="R76" s="116" t="n">
        <f aca="false">(IF($C$173="Sí",(MAX(0,R74-Q96)+MAX(0,Q276+R53-R75))/R327,R73+MAX(0,R74-Q96)+MAX(0,Q276+R53-R75)))+IF($C$173="Sí",MAX(0,$C$226*(R70+Q121)*0.3/0.55-Q227)/R327,0)</f>
        <v>945.647282545281</v>
      </c>
      <c r="S76" s="116" t="n">
        <f aca="false">(IF($C$173="Sí",(MAX(0,S74-R96)+MAX(0,R276+S53-S75))/S327,S73+MAX(0,S74-R96)+MAX(0,R276+S53-S75)))+IF($C$173="Sí",MAX(0,$C$226*(S70+R121)*0.3/0.55-R227)/S327,0)</f>
        <v>914.452475289026</v>
      </c>
      <c r="T76" s="116" t="n">
        <f aca="false">(IF($C$173="Sí",(MAX(0,T74-S96)+MAX(0,S276+T53-T75))/T327,T73+MAX(0,T74-S96)+MAX(0,S276+T53-T75)))+IF($C$173="Sí",MAX(0,$C$226*(T70+S121)*0.3/0.55-S227)/T327,0)</f>
        <v>915.297065515802</v>
      </c>
      <c r="U76" s="116" t="n">
        <f aca="false">(IF($C$173="Sí",(MAX(0,U74-T96)+MAX(0,T276+U53-U75))/U327,U73+MAX(0,U74-T96)+MAX(0,T276+U53-U75)))+IF($C$173="Sí",MAX(0,$C$226*(U70+T121)*0.3/0.55-T227)/U327,0)</f>
        <v>921.469228682661</v>
      </c>
      <c r="V76" s="116" t="n">
        <f aca="false">(IF($C$173="Sí",(MAX(0,V74-U96)+MAX(0,U276+V53-V75))/V327,V73+MAX(0,V74-U96)+MAX(0,U276+V53-V75)))+IF($C$173="Sí",MAX(0,$C$226*(V70+U121)*0.3/0.55-U227)/V327,0)</f>
        <v>927.656356714653</v>
      </c>
      <c r="W76" s="116" t="n">
        <f aca="false">(IF($C$173="Sí",(MAX(0,W74-V96)+MAX(0,V276+W53-W75))/W327,W73+MAX(0,W74-V96)+MAX(0,V276+W53-W75)))+IF($C$173="Sí",MAX(0,$C$226*(W70+V121)*0.3/0.55-V227)/W327,0)</f>
        <v>934.108475767166</v>
      </c>
      <c r="X76" s="116" t="n">
        <f aca="false">(IF($C$173="Sí",(MAX(0,X74-W96)+MAX(0,W276+X53-X75))/X327,X73+MAX(0,X74-W96)+MAX(0,W276+X53-X75)))+IF($C$173="Sí",MAX(0,$C$226*(X70+W121)*0.3/0.55-W227)/X327,0)</f>
        <v>934.177499128272</v>
      </c>
      <c r="Y76" s="116" t="n">
        <f aca="false">(IF($C$173="Sí",(MAX(0,Y74-X96)+MAX(0,X276+Y53-Y75))/Y327,Y73+MAX(0,Y74-X96)+MAX(0,X276+Y53-Y75)))+IF($C$173="Sí",MAX(0,$C$226*(Y70+X121)*0.3/0.55-X227)/Y327,0)</f>
        <v>939.503211787723</v>
      </c>
      <c r="Z76" s="116" t="n">
        <f aca="false">(IF($C$173="Sí",(MAX(0,Z74-Y96)+MAX(0,Y276+Z53-Z75))/Z327,Z73+MAX(0,Z74-Y96)+MAX(0,Y276+Z53-Z75)))+IF($C$173="Sí",MAX(0,$C$226*(Z70+Y121)*0.3/0.55-Y227)/Z327,0)</f>
        <v>945.710363651901</v>
      </c>
      <c r="AA76" s="116" t="n">
        <f aca="false">(IF($C$173="Sí",(MAX(0,AA74-Z96)+MAX(0,Z276+AA53-AA75))/AA327,AA73+MAX(0,AA74-Z96)+MAX(0,Z276+AA53-AA75)))+IF($C$173="Sí",MAX(0,$C$226*(AA70+Z121)*0.3/0.55-Z227)/AA327,0)</f>
        <v>951.516557485221</v>
      </c>
      <c r="AB76" s="116" t="n">
        <f aca="false">(IF($C$173="Sí",(MAX(0,AB74-AA96)+MAX(0,AA276+AB53-AB75))/AB327,AB73+MAX(0,AB74-AA96)+MAX(0,AA276+AB53-AB75)))+IF($C$173="Sí",MAX(0,$C$226*(AB70+AA121)*0.3/0.55-AA227)/AB327,0)</f>
        <v>957.037332692734</v>
      </c>
      <c r="AC76" s="116" t="n">
        <f aca="false">(IF($C$173="Sí",(MAX(0,AC74-AB96)+MAX(0,AB276+AC53-AC75))/AC327,AC73+MAX(0,AC74-AB96)+MAX(0,AB276+AC53-AC75)))+IF($C$173="Sí",MAX(0,$C$226*(AC70+AB121)*0.3/0.55-AB227)/AC327,0)</f>
        <v>962.34383148151</v>
      </c>
      <c r="AD76" s="116" t="n">
        <f aca="false">(IF($C$173="Sí",(MAX(0,AD74-AC96)+MAX(0,AC276+AD53-AD75))/AD327,AD73+MAX(0,AD74-AC96)+MAX(0,AC276+AD53-AD75)))+IF($C$173="Sí",MAX(0,$C$226*(AD70+AC121)*0.3/0.55-AC227)/AD327,0)</f>
        <v>967.501151747073</v>
      </c>
      <c r="AE76" s="116" t="n">
        <f aca="false">(IF($C$173="Sí",(MAX(0,AE74-AD96)+MAX(0,AD276+AE53-AE75))/AE327,AE73+MAX(0,AE74-AD96)+MAX(0,AD276+AE53-AE75)))+IF($C$173="Sí",MAX(0,$C$226*(AE70+AD121)*0.3/0.55-AD227)/AE327,0)</f>
        <v>972.574438469157</v>
      </c>
      <c r="AF76" s="116" t="n">
        <f aca="false">(IF($C$173="Sí",(MAX(0,AF74-AE96)+MAX(0,AE276+AF53-AF75))/AF327,AF73+MAX(0,AF74-AE96)+MAX(0,AE276+AF53-AF75)))+IF($C$173="Sí",MAX(0,$C$226*(AF70+AE121)*0.3/0.55-AE227)/AF327,0)</f>
        <v>977.629123135714</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9.75</v>
      </c>
      <c r="D78" s="116" t="n">
        <f aca="false">MIN(MIN(C83+IF(D$39&lt;=01_Supuestos!$C$182,01_Supuestos!$C$181,$C$174)*D41,C83+D76),IF(01_Supuestos!$C$179&gt;0,01_Supuestos!$C$179/(1-01_Supuestos!$C$179)*64_Inflacion!$C$5*D41/$C$41,1E+099))</f>
        <v>19.72425</v>
      </c>
      <c r="E78" s="116" t="n">
        <f aca="false">MIN(MIN(D83+IF(E$39&lt;=01_Supuestos!$C$182,01_Supuestos!$C$181,$C$174)*E41,D83+E76),IF(01_Supuestos!$C$179&gt;0,01_Supuestos!$C$179/(1-01_Supuestos!$C$179)*64_Inflacion!$C$5*E41/$C$41,1E+099))</f>
        <v>29.92790775</v>
      </c>
      <c r="F78" s="116" t="n">
        <f aca="false">MIN(MIN(E83+IF(F$39&lt;=01_Supuestos!$C$182,01_Supuestos!$C$181,$C$174)*F41,E83+F76),IF(01_Supuestos!$C$179&gt;0,01_Supuestos!$C$179/(1-01_Supuestos!$C$179)*64_Inflacion!$C$5*F41/$C$41,1E+099))</f>
        <v>40.36624962825</v>
      </c>
      <c r="G78" s="116" t="n">
        <f aca="false">MIN(MIN(F83+IF(G$39&lt;=01_Supuestos!$C$182,01_Supuestos!$C$181,$C$174)*G41,F83+G76),IF(01_Supuestos!$C$179&gt;0,01_Supuestos!$C$179/(1-01_Supuestos!$C$179)*64_Inflacion!$C$5*G41/$C$41,1E+099))</f>
        <v>51.0446733696997</v>
      </c>
      <c r="H78" s="116" t="n">
        <f aca="false">MIN(MIN(G83+IF(H$39&lt;=01_Supuestos!$C$182,01_Supuestos!$C$181,$C$174)*H41,G83+H76),IF(01_Supuestos!$C$179&gt;0,01_Supuestos!$C$179/(1-01_Supuestos!$C$179)*64_Inflacion!$C$5*H41/$C$41,1E+099))</f>
        <v>61.9687008572028</v>
      </c>
      <c r="I78" s="116" t="n">
        <f aca="false">MIN(MIN(H83+IF(I$39&lt;=01_Supuestos!$C$182,01_Supuestos!$C$181,$C$174)*I41,H83+I76),IF(01_Supuestos!$C$179&gt;0,01_Supuestos!$C$179/(1-01_Supuestos!$C$179)*64_Inflacion!$C$5*I41/$C$41,1E+099))</f>
        <v>73.1439809769185</v>
      </c>
      <c r="J78" s="116" t="n">
        <f aca="false">MIN(MIN(I83+IF(J$39&lt;=01_Supuestos!$C$182,01_Supuestos!$C$181,$C$174)*J41,I83+J76),IF(01_Supuestos!$C$179&gt;0,01_Supuestos!$C$179/(1-01_Supuestos!$C$179)*64_Inflacion!$C$5*J41/$C$41,1E+099))</f>
        <v>84.5762925393876</v>
      </c>
      <c r="K78" s="116" t="n">
        <f aca="false">MIN(MIN(J83+IF(K$39&lt;=01_Supuestos!$C$182,01_Supuestos!$C$181,$C$174)*K41,J83+K76),IF(01_Supuestos!$C$179&gt;0,01_Supuestos!$C$179/(1-01_Supuestos!$C$179)*64_Inflacion!$C$5*K41/$C$41,1E+099))</f>
        <v>96.2715472677935</v>
      </c>
      <c r="L78" s="116" t="n">
        <f aca="false">MIN(MIN(K83+IF(L$39&lt;=01_Supuestos!$C$182,01_Supuestos!$C$181,$C$174)*L41,K83+L76),IF(01_Supuestos!$C$179&gt;0,01_Supuestos!$C$179/(1-01_Supuestos!$C$179)*64_Inflacion!$C$5*L41/$C$41,1E+099))</f>
        <v>108.235792854953</v>
      </c>
      <c r="M78" s="116" t="n">
        <f aca="false">MIN(MIN(L83+IF(M$39&lt;=01_Supuestos!$C$182,01_Supuestos!$C$181,$C$174)*M41,L83+M76),IF(01_Supuestos!$C$179&gt;0,01_Supuestos!$C$179/(1-01_Supuestos!$C$179)*64_Inflacion!$C$5*M41/$C$41,1E+099))</f>
        <v>120.475216090617</v>
      </c>
      <c r="N78" s="116" t="n">
        <f aca="false">MIN(MIN(M83+IF(N$39&lt;=01_Supuestos!$C$182,01_Supuestos!$C$181,$C$174)*N41,M83+N76),IF(01_Supuestos!$C$179&gt;0,01_Supuestos!$C$179/(1-01_Supuestos!$C$179)*64_Inflacion!$C$5*N41/$C$41,1E+099))</f>
        <v>132.996146060701</v>
      </c>
      <c r="O78" s="116" t="n">
        <f aca="false">MIN(MIN(N83+IF(O$39&lt;=01_Supuestos!$C$182,01_Supuestos!$C$181,$C$174)*O41,N83+O76),IF(01_Supuestos!$C$179&gt;0,01_Supuestos!$C$179/(1-01_Supuestos!$C$179)*64_Inflacion!$C$5*O41/$C$41,1E+099))</f>
        <v>145.805057420097</v>
      </c>
      <c r="P78" s="116" t="n">
        <f aca="false">MIN(MIN(O83+IF(P$39&lt;=01_Supuestos!$C$182,01_Supuestos!$C$181,$C$174)*P41,O83+P76),IF(01_Supuestos!$C$179&gt;0,01_Supuestos!$C$179/(1-01_Supuestos!$C$179)*64_Inflacion!$C$5*P41/$C$41,1E+099))</f>
        <v>158.908573740759</v>
      </c>
      <c r="Q78" s="116" t="n">
        <f aca="false">MIN(MIN(P83+IF(Q$39&lt;=01_Supuestos!$C$182,01_Supuestos!$C$181,$C$174)*Q41,P83+Q76),IF(01_Supuestos!$C$179&gt;0,01_Supuestos!$C$179/(1-01_Supuestos!$C$179)*64_Inflacion!$C$5*Q41/$C$41,1E+099))</f>
        <v>172.313470936797</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231.551982589972</v>
      </c>
      <c r="AE78" s="116" t="n">
        <f aca="false">MIN(MIN(AD83+IF(AE$39&lt;=01_Supuestos!$C$182,01_Supuestos!$C$181,$C$174)*AE41,AD83+AE76),IF(01_Supuestos!$C$179&gt;0,01_Supuestos!$C$179/(1-01_Supuestos!$C$179)*64_Inflacion!$C$5*AE41/$C$41,1E+099))</f>
        <v>234.424340256121</v>
      </c>
      <c r="AF78" s="116" t="n">
        <f aca="false">MIN(MIN(AE83+IF(AF$39&lt;=01_Supuestos!$C$182,01_Supuestos!$C$181,$C$174)*AF41,AE83+AF76),IF(01_Supuestos!$C$179&gt;0,01_Supuestos!$C$179/(1-01_Supuestos!$C$179)*64_Inflacion!$C$5*AF41/$C$41,1E+099))</f>
        <v>237.246493063239</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9.75</v>
      </c>
      <c r="D79" s="116" t="n">
        <f aca="false">MAX(0,MIN(D67,$C$9*(D69+D68+C121),D78))</f>
        <v>19.72425</v>
      </c>
      <c r="E79" s="116" t="n">
        <f aca="false">MAX(0,MIN(E67,$C$9*(E69+E68+D121),E78))</f>
        <v>29.92790775</v>
      </c>
      <c r="F79" s="116" t="n">
        <f aca="false">MAX(0,MIN(F67,$C$9*(F69+F68+E121),F78))</f>
        <v>40.36624962825</v>
      </c>
      <c r="G79" s="116" t="n">
        <f aca="false">MAX(0,MIN(G67,$C$9*(G69+G68+F121),G78))</f>
        <v>51.0446733696997</v>
      </c>
      <c r="H79" s="116" t="n">
        <f aca="false">MAX(0,MIN(H67,$C$9*(H69+H68+G121),H78))</f>
        <v>61.9687008572028</v>
      </c>
      <c r="I79" s="116" t="n">
        <f aca="false">MAX(0,MIN(I67,$C$9*(I69+I68+H121),I78))</f>
        <v>73.1439809769185</v>
      </c>
      <c r="J79" s="116" t="n">
        <f aca="false">MAX(0,MIN(J67,$C$9*(J69+J68+I121),J78))</f>
        <v>84.5762925393876</v>
      </c>
      <c r="K79" s="116" t="n">
        <f aca="false">MAX(0,MIN(K67,$C$9*(K69+K68+J121),K78))</f>
        <v>96.2715472677935</v>
      </c>
      <c r="L79" s="116" t="n">
        <f aca="false">MAX(0,MIN(L67,$C$9*(L69+L68+K121),L78))</f>
        <v>108.235792854953</v>
      </c>
      <c r="M79" s="116" t="n">
        <f aca="false">MAX(0,MIN(M67,$C$9*(M69+M68+L121),M78))</f>
        <v>120.475216090617</v>
      </c>
      <c r="N79" s="116" t="n">
        <f aca="false">MAX(0,MIN(N67,$C$9*(N69+N68+M121),N78))</f>
        <v>132.996146060701</v>
      </c>
      <c r="O79" s="116" t="n">
        <f aca="false">MAX(0,MIN(O67,$C$9*(O69+O68+N121),O78))</f>
        <v>145.805057420097</v>
      </c>
      <c r="P79" s="116" t="n">
        <f aca="false">MAX(0,MIN(P67,$C$9*(P69+P68+O121),P78))</f>
        <v>158.908573740759</v>
      </c>
      <c r="Q79" s="116" t="n">
        <f aca="false">MAX(0,MIN(Q67,$C$9*(Q69+Q68+P121),Q78))</f>
        <v>172.313470936797</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197.541483942905</v>
      </c>
      <c r="X79" s="116" t="n">
        <f aca="false">MAX(0,MIN(X67,$C$9*(X69+X68+W121),X78))</f>
        <v>200.355062968917</v>
      </c>
      <c r="Y79" s="116" t="n">
        <f aca="false">MAX(0,MIN(Y67,$C$9*(Y69+Y68+X121),Y78))</f>
        <v>203.109736701293</v>
      </c>
      <c r="Z79" s="116" t="n">
        <f aca="false">MAX(0,MIN(Z67,$C$9*(Z69+Z68+Y121),Z78))</f>
        <v>205.805356021962</v>
      </c>
      <c r="AA79" s="116" t="n">
        <f aca="false">MAX(0,MIN(AA67,$C$9*(AA69+AA68+Z121),AA78))</f>
        <v>208.441776573065</v>
      </c>
      <c r="AB79" s="116" t="n">
        <f aca="false">MAX(0,MIN(AB67,$C$9*(AB69+AB68+AA121),AB78))</f>
        <v>211.018858423784</v>
      </c>
      <c r="AC79" s="116" t="n">
        <f aca="false">MAX(0,MIN(AC67,$C$9*(AC69+AC68+AB121),AC78))</f>
        <v>213.536465750477</v>
      </c>
      <c r="AD79" s="116" t="n">
        <f aca="false">MAX(0,MIN(AD67,$C$9*(AD69+AD68+AC121),AD78))</f>
        <v>215.994466529318</v>
      </c>
      <c r="AE79" s="116" t="n">
        <f aca="false">MAX(0,MIN(AE67,$C$9*(AE69+AE68+AD121),AE78))</f>
        <v>218.392732240719</v>
      </c>
      <c r="AF79" s="116" t="n">
        <f aca="false">MAX(0,MIN(AF67,$C$9*(AF69+AF68+AE121),AF78))</f>
        <v>220.731137584789</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62.7912739613924</v>
      </c>
      <c r="N80" s="116" t="n">
        <f aca="false">IF($C$177&lt;=1,N68,SUMPRODUCT($C$189:N189,((N$39-$C$39:N$39+1)&gt;=$C$177)+((N$39-$C$39:N$39+1)&lt;$C$177)*(N$39-$C$39:N$39+1)/$C$177))</f>
        <v>66.8727164422846</v>
      </c>
      <c r="O80" s="116" t="n">
        <f aca="false">IF($C$177&lt;=1,O68,SUMPRODUCT($C$189:O189,((O$39-$C$39:O$39+1)&gt;=$C$177)+((O$39-$C$39:O$39+1)&lt;$C$177)*(O$39-$C$39:O$39+1)/$C$177))</f>
        <v>70.0892053761823</v>
      </c>
      <c r="P80" s="116" t="n">
        <f aca="false">IF($C$177&lt;=1,P68,SUMPRODUCT($C$189:P189,((P$39-$C$39:P$39+1)&gt;=$C$177)+((P$39-$C$39:P$39+1)&lt;$C$177)*(P$39-$C$39:P$39+1)/$C$177))</f>
        <v>70.6620663181706</v>
      </c>
      <c r="Q80" s="116" t="n">
        <f aca="false">IF($C$177&lt;=1,Q68,SUMPRODUCT($C$189:Q189,((Q$39-$C$39:Q$39+1)&gt;=$C$177)+((Q$39-$C$39:Q$39+1)&lt;$C$177)*(Q$39-$C$39:Q$39+1)/$C$177))</f>
        <v>71.3777782975478</v>
      </c>
      <c r="R80" s="116" t="n">
        <f aca="false">IF($C$177&lt;=1,R68,SUMPRODUCT($C$189:R189,((R$39-$C$39:R$39+1)&gt;=$C$177)+((R$39-$C$39:R$39+1)&lt;$C$177)*(R$39-$C$39:R$39+1)/$C$177))</f>
        <v>72.2327818590113</v>
      </c>
      <c r="S80" s="116" t="n">
        <f aca="false">IF($C$177&lt;=1,S68,SUMPRODUCT($C$189:S189,((S$39-$C$39:S$39+1)&gt;=$C$177)+((S$39-$C$39:S$39+1)&lt;$C$177)*(S$39-$C$39:S$39+1)/$C$177))</f>
        <v>73.2235120386069</v>
      </c>
      <c r="T80" s="116" t="n">
        <f aca="false">IF($C$177&lt;=1,T68,SUMPRODUCT($C$189:T189,((T$39-$C$39:T$39+1)&gt;=$C$177)+((T$39-$C$39:T$39+1)&lt;$C$177)*(T$39-$C$39:T$39+1)/$C$177))</f>
        <v>74.346398169273</v>
      </c>
      <c r="U80" s="116" t="n">
        <f aca="false">IF($C$177&lt;=1,U68,SUMPRODUCT($C$189:U189,((U$39-$C$39:U$39+1)&gt;=$C$177)+((U$39-$C$39:U$39+1)&lt;$C$177)*(U$39-$C$39:U$39+1)/$C$177))</f>
        <v>75.5978636795216</v>
      </c>
      <c r="V80" s="116" t="n">
        <f aca="false">IF($C$177&lt;=1,V68,SUMPRODUCT($C$189:V189,((V$39-$C$39:V$39+1)&gt;=$C$177)+((V$39-$C$39:V$39+1)&lt;$C$177)*(V$39-$C$39:V$39+1)/$C$177))</f>
        <v>76.9743258850114</v>
      </c>
      <c r="W80" s="116" t="n">
        <f aca="false">IF($C$177&lt;=1,W68,SUMPRODUCT($C$189:W189,((W$39-$C$39:W$39+1)&gt;=$C$177)+((W$39-$C$39:W$39+1)&lt;$C$177)*(W$39-$C$39:W$39+1)/$C$177))</f>
        <v>78.3287719503283</v>
      </c>
      <c r="X80" s="116" t="n">
        <f aca="false">IF($C$177&lt;=1,X68,SUMPRODUCT($C$189:X189,((X$39-$C$39:X$39+1)&gt;=$C$177)+((X$39-$C$39:X$39+1)&lt;$C$177)*(X$39-$C$39:X$39+1)/$C$177))</f>
        <v>79.6577421435995</v>
      </c>
      <c r="Y80" s="116" t="n">
        <f aca="false">IF($C$177&lt;=1,Y68,SUMPRODUCT($C$189:Y189,((Y$39-$C$39:Y$39+1)&gt;=$C$177)+((Y$39-$C$39:Y$39+1)&lt;$C$177)*(Y$39-$C$39:Y$39+1)/$C$177))</f>
        <v>80.9577747445381</v>
      </c>
      <c r="Z80" s="116" t="n">
        <f aca="false">IF($C$177&lt;=1,Z68,SUMPRODUCT($C$189:Z189,((Z$39-$C$39:Z$39+1)&gt;=$C$177)+((Z$39-$C$39:Z$39+1)&lt;$C$177)*(Z$39-$C$39:Z$39+1)/$C$177))</f>
        <v>82.2254059742511</v>
      </c>
      <c r="AA80" s="116" t="n">
        <f aca="false">IF($C$177&lt;=1,AA68,SUMPRODUCT($C$189:AA189,((AA$39-$C$39:AA$39+1)&gt;=$C$177)+((AA$39-$C$39:AA$39+1)&lt;$C$177)*(AA$39-$C$39:AA$39+1)/$C$177))</f>
        <v>83.4571699225715</v>
      </c>
      <c r="AB80" s="116" t="n">
        <f aca="false">IF($C$177&lt;=1,AB68,SUMPRODUCT($C$189:AB189,((AB$39-$C$39:AB$39+1)&gt;=$C$177)+((AB$39-$C$39:AB$39+1)&lt;$C$177)*(AB$39-$C$39:AB$39+1)/$C$177))</f>
        <v>84.6530018756712</v>
      </c>
      <c r="AC80" s="116" t="n">
        <f aca="false">IF($C$177&lt;=1,AC68,SUMPRODUCT($C$189:AC189,((AC$39-$C$39:AC$39+1)&gt;=$C$177)+((AC$39-$C$39:AC$39+1)&lt;$C$177)*(AC$39-$C$39:AC$39+1)/$C$177))</f>
        <v>85.8128348353242</v>
      </c>
      <c r="AD80" s="116" t="n">
        <f aca="false">IF($C$177&lt;=1,AD68,SUMPRODUCT($C$189:AD189,((AD$39-$C$39:AD$39+1)&gt;=$C$177)+((AD$39-$C$39:AD$39+1)&lt;$C$177)*(AD$39-$C$39:AD$39+1)/$C$177))</f>
        <v>86.9365994382671</v>
      </c>
      <c r="AE80" s="116" t="n">
        <f aca="false">IF($C$177&lt;=1,AE68,SUMPRODUCT($C$189:AE189,((AE$39-$C$39:AE$39+1)&gt;=$C$177)+((AE$39-$C$39:AE$39+1)&lt;$C$177)*(AE$39-$C$39:AE$39+1)/$C$177))</f>
        <v>88.024223872713</v>
      </c>
      <c r="AF80" s="116" t="n">
        <f aca="false">IF($C$177&lt;=1,AF68,SUMPRODUCT($C$189:AF189,((AF$39-$C$39:AF$39+1)&gt;=$C$177)+((AF$39-$C$39:AF$39+1)&lt;$C$177)*(AF$39-$C$39:AF$39+1)/$C$177))</f>
        <v>89.0756337919194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272.736559837801</v>
      </c>
      <c r="G81" s="116" t="n">
        <f aca="false">G69+G80+F121</f>
        <v>285.289088136615</v>
      </c>
      <c r="H81" s="116" t="n">
        <f aca="false">H69+H80+G121</f>
        <v>297.85410785043</v>
      </c>
      <c r="I81" s="116" t="n">
        <f aca="false">I69+I80+H121</f>
        <v>310.430994408494</v>
      </c>
      <c r="J81" s="116" t="n">
        <f aca="false">J69+J80+I121</f>
        <v>323.019154468596</v>
      </c>
      <c r="K81" s="116" t="n">
        <f aca="false">K69+K80+J121</f>
        <v>335.618024355634</v>
      </c>
      <c r="L81" s="116" t="n">
        <f aca="false">L69+L80+K121</f>
        <v>348.22706857826</v>
      </c>
      <c r="M81" s="116" t="n">
        <f aca="false">M69+M80+L121</f>
        <v>359.047046157698</v>
      </c>
      <c r="N81" s="116" t="n">
        <f aca="false">N69+N80+M121</f>
        <v>368.833459760991</v>
      </c>
      <c r="O81" s="116" t="n">
        <f aca="false">O69+O80+N121</f>
        <v>377.96119897041</v>
      </c>
      <c r="P81" s="116" t="n">
        <f aca="false">P69+P80+O121</f>
        <v>384.688259139355</v>
      </c>
      <c r="Q81" s="116" t="n">
        <f aca="false">Q69+Q80+P121</f>
        <v>391.690237036766</v>
      </c>
      <c r="R81" s="116" t="n">
        <f aca="false">R69+R80+Q121</f>
        <v>398.874439476599</v>
      </c>
      <c r="S81" s="116" t="n">
        <f aca="false">S69+S80+R121</f>
        <v>405.918256551851</v>
      </c>
      <c r="T81" s="116" t="n">
        <f aca="false">T69+T80+S121</f>
        <v>412.86908589575</v>
      </c>
      <c r="U81" s="116" t="n">
        <f aca="false">U69+U80+T121</f>
        <v>419.737697555757</v>
      </c>
      <c r="V81" s="116" t="n">
        <f aca="false">V69+V80+U121</f>
        <v>426.526081576245</v>
      </c>
      <c r="W81" s="116" t="n">
        <f aca="false">W69+W80+V121</f>
        <v>433.101937932428</v>
      </c>
      <c r="X81" s="116" t="n">
        <f aca="false">X69+X80+W121</f>
        <v>439.505184788802</v>
      </c>
      <c r="Y81" s="116" t="n">
        <f aca="false">Y69+Y80+X121</f>
        <v>445.784616883719</v>
      </c>
      <c r="Z81" s="116" t="n">
        <f aca="false">Z69+Z80+Y121</f>
        <v>451.936509292554</v>
      </c>
      <c r="AA81" s="116" t="n">
        <f aca="false">AA69+AA80+Z121</f>
        <v>457.957148016695</v>
      </c>
      <c r="AB81" s="116" t="n">
        <f aca="false">AB69+AB80+AA121</f>
        <v>463.846232658292</v>
      </c>
      <c r="AC81" s="116" t="n">
        <f aca="false">AC69+AC80+AB121</f>
        <v>469.603472319297</v>
      </c>
      <c r="AD81" s="116" t="n">
        <f aca="false">AD69+AD80+AC121</f>
        <v>475.228584931617</v>
      </c>
      <c r="AE81" s="116" t="n">
        <f aca="false">AE69+AE80+AD121</f>
        <v>480.721296613876</v>
      </c>
      <c r="AF81" s="116" t="n">
        <f aca="false">AF69+AF80+AE121</f>
        <v>486.081341053221</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9.75</v>
      </c>
      <c r="D83" s="136" t="n">
        <f aca="false">D79+D82</f>
        <v>19.72425</v>
      </c>
      <c r="E83" s="136" t="n">
        <f aca="false">E79+E82</f>
        <v>29.92790775</v>
      </c>
      <c r="F83" s="136" t="n">
        <f aca="false">F79+F82</f>
        <v>40.36624962825</v>
      </c>
      <c r="G83" s="136" t="n">
        <f aca="false">G79+G82</f>
        <v>51.0446733696997</v>
      </c>
      <c r="H83" s="136" t="n">
        <f aca="false">H79+H82</f>
        <v>61.9687008572028</v>
      </c>
      <c r="I83" s="136" t="n">
        <f aca="false">I79+I82</f>
        <v>73.1439809769185</v>
      </c>
      <c r="J83" s="136" t="n">
        <f aca="false">J79+J82</f>
        <v>84.5762925393876</v>
      </c>
      <c r="K83" s="136" t="n">
        <f aca="false">K79+K82</f>
        <v>96.2715472677935</v>
      </c>
      <c r="L83" s="136" t="n">
        <f aca="false">L79+L82</f>
        <v>108.235792854953</v>
      </c>
      <c r="M83" s="136" t="n">
        <f aca="false">M79+M82</f>
        <v>120.475216090617</v>
      </c>
      <c r="N83" s="136" t="n">
        <f aca="false">N79+N82</f>
        <v>132.996146060701</v>
      </c>
      <c r="O83" s="136" t="n">
        <f aca="false">O79+O82</f>
        <v>145.805057420097</v>
      </c>
      <c r="P83" s="136" t="n">
        <f aca="false">P79+P82</f>
        <v>158.908573740759</v>
      </c>
      <c r="Q83" s="136" t="n">
        <f aca="false">Q79+Q82</f>
        <v>172.313470936797</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197.541483942905</v>
      </c>
      <c r="X83" s="136" t="n">
        <f aca="false">X79+X82</f>
        <v>200.355062968917</v>
      </c>
      <c r="Y83" s="136" t="n">
        <f aca="false">Y79+Y82</f>
        <v>203.109736701293</v>
      </c>
      <c r="Z83" s="136" t="n">
        <f aca="false">Z79+Z82</f>
        <v>205.805356021962</v>
      </c>
      <c r="AA83" s="136" t="n">
        <f aca="false">AA79+AA82</f>
        <v>208.441776573065</v>
      </c>
      <c r="AB83" s="136" t="n">
        <f aca="false">AB79+AB82</f>
        <v>211.018858423784</v>
      </c>
      <c r="AC83" s="136" t="n">
        <f aca="false">AC79+AC82</f>
        <v>213.536465750477</v>
      </c>
      <c r="AD83" s="136" t="n">
        <f aca="false">AD79+AD82</f>
        <v>215.994466529318</v>
      </c>
      <c r="AE83" s="136" t="n">
        <f aca="false">AE79+AE82</f>
        <v>218.392732240719</v>
      </c>
      <c r="AF83" s="136" t="n">
        <f aca="false">AF79+AF82</f>
        <v>220.731137584789</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49.3143938619143</v>
      </c>
      <c r="D84" s="116" t="n">
        <f aca="false">D67-D79+D80-D82</f>
        <v>77.3516961116566</v>
      </c>
      <c r="E84" s="116" t="n">
        <f aca="false">E67-E79+E80-E82</f>
        <v>100.934356370434</v>
      </c>
      <c r="F84" s="116" t="n">
        <f aca="false">F67-F79+F80-F82</f>
        <v>179.378634399883</v>
      </c>
      <c r="G84" s="116" t="n">
        <f aca="false">G67-G79+G80-G82</f>
        <v>174.238817415337</v>
      </c>
      <c r="H84" s="116" t="n">
        <f aca="false">H67-H79+H80-H82</f>
        <v>168.865888099739</v>
      </c>
      <c r="I84" s="116" t="n">
        <f aca="false">I67-I79+I80-I82</f>
        <v>163.253572996178</v>
      </c>
      <c r="J84" s="116" t="n">
        <f aca="false">J67-J79+J80-J82</f>
        <v>157.3954999519</v>
      </c>
      <c r="K84" s="116" t="n">
        <f aca="false">K67-K79+K80-K82</f>
        <v>151.285193568622</v>
      </c>
      <c r="L84" s="116" t="n">
        <f aca="false">L67-L79+L80-L82</f>
        <v>144.916070662179</v>
      </c>
      <c r="M84" s="116" t="n">
        <f aca="false">M67-M79+M80-M82</f>
        <v>140.701051182763</v>
      </c>
      <c r="N84" s="116" t="n">
        <f aca="false">N67-N79+N80-N82</f>
        <v>135.166965900342</v>
      </c>
      <c r="O84" s="116" t="n">
        <f aca="false">O67-O79+O80-O82</f>
        <v>128.484532783389</v>
      </c>
      <c r="P84" s="116" t="n">
        <f aca="false">P67-P79+P80-P82</f>
        <v>118.867871648977</v>
      </c>
      <c r="Q84" s="116" t="n">
        <f aca="false">Q67-Q79+Q80-Q82</f>
        <v>109.096120100315</v>
      </c>
      <c r="R84" s="116" t="n">
        <f aca="false">R67-R79+R80-R82</f>
        <v>107.56656273388</v>
      </c>
      <c r="S84" s="116" t="n">
        <f aca="false">S67-S79+S80-S82</f>
        <v>107.196849169134</v>
      </c>
      <c r="T84" s="116" t="n">
        <f aca="false">T67-T79+T80-T82</f>
        <v>106.767114641351</v>
      </c>
      <c r="U84" s="116" t="n">
        <f aca="false">U67-U79+U80-U82</f>
        <v>106.271111561724</v>
      </c>
      <c r="V84" s="116" t="n">
        <f aca="false">V67-V79+V80-V82</f>
        <v>105.702547296173</v>
      </c>
      <c r="W84" s="116" t="n">
        <f aca="false">W67-W79+W80-W82</f>
        <v>106.263947759988</v>
      </c>
      <c r="X84" s="116" t="n">
        <f aca="false">X67-X79+X80-X82</f>
        <v>107.005456906703</v>
      </c>
      <c r="Y84" s="116" t="n">
        <f aca="false">Y67-Y79+Y80-Y82</f>
        <v>107.676205247584</v>
      </c>
      <c r="Z84" s="116" t="n">
        <f aca="false">Z67-Z79+Z80-Z82</f>
        <v>108.272410423845</v>
      </c>
      <c r="AA84" s="116" t="n">
        <f aca="false">AA67-AA79+AA80-AA82</f>
        <v>108.790288951208</v>
      </c>
      <c r="AB84" s="116" t="n">
        <f aca="false">AB67-AB79+AB80-AB82</f>
        <v>109.229458970438</v>
      </c>
      <c r="AC84" s="116" t="n">
        <f aca="false">AC67-AC79+AC80-AC82</f>
        <v>109.589536199785</v>
      </c>
      <c r="AD84" s="116" t="n">
        <f aca="false">AD67-AD79+AD80-AD82</f>
        <v>109.870133296612</v>
      </c>
      <c r="AE84" s="116" t="n">
        <f aca="false">AE67-AE79+AE80-AE82</f>
        <v>110.070859224134</v>
      </c>
      <c r="AF84" s="116" t="n">
        <f aca="false">AF67-AF79+AF80-AF82</f>
        <v>110.191318622064</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32.7283871805361</v>
      </c>
      <c r="G85" s="116" t="n">
        <f aca="false">IF(AND($C$31&gt;0,G$39&gt;10),MIN(G83,MAX(01_Supuestos!$I$137*G81,F85*(1-1/MAX(1,$C$31)))),MIN(IF(G$39&lt;=10,01_Supuestos!$I$136,01_Supuestos!$I$137)*G81,G83))</f>
        <v>34.2346905763938</v>
      </c>
      <c r="H85" s="116" t="n">
        <f aca="false">IF(AND($C$31&gt;0,H$39&gt;10),MIN(H83,MAX(01_Supuestos!$I$137*H81,G85*(1-1/MAX(1,$C$31)))),MIN(IF(H$39&lt;=10,01_Supuestos!$I$136,01_Supuestos!$I$137)*H81,H83))</f>
        <v>35.7424929420516</v>
      </c>
      <c r="I85" s="116" t="n">
        <f aca="false">IF(AND($C$31&gt;0,I$39&gt;10),MIN(I83,MAX(01_Supuestos!$I$137*I81,H85*(1-1/MAX(1,$C$31)))),MIN(IF(I$39&lt;=10,01_Supuestos!$I$136,01_Supuestos!$I$137)*I81,I83))</f>
        <v>37.2517193290193</v>
      </c>
      <c r="J85" s="116" t="n">
        <f aca="false">IF(AND($C$31&gt;0,J$39&gt;10),MIN(J83,MAX(01_Supuestos!$I$137*J81,I85*(1-1/MAX(1,$C$31)))),MIN(IF(J$39&lt;=10,01_Supuestos!$I$136,01_Supuestos!$I$137)*J81,J83))</f>
        <v>38.7622985362316</v>
      </c>
      <c r="K85" s="116" t="n">
        <f aca="false">IF(AND($C$31&gt;0,K$39&gt;10),MIN(K83,MAX(01_Supuestos!$I$137*K81,J85*(1-1/MAX(1,$C$31)))),MIN(IF(K$39&lt;=10,01_Supuestos!$I$136,01_Supuestos!$I$137)*K81,K83))</f>
        <v>40.2741629226761</v>
      </c>
      <c r="L85" s="116" t="n">
        <f aca="false">IF(AND($C$31&gt;0,L$39&gt;10),MIN(L83,MAX(01_Supuestos!$I$137*L81,K85*(1-1/MAX(1,$C$31)))),MIN(IF(L$39&lt;=10,01_Supuestos!$I$136,01_Supuestos!$I$137)*L81,L83))</f>
        <v>41.7872482293912</v>
      </c>
      <c r="M85" s="116" t="n">
        <f aca="false">IF(AND($C$31&gt;0,M$39&gt;10),MIN(M83,MAX(01_Supuestos!$I$137*M81,L85*(1-1/MAX(1,$C$31)))),MIN(IF(M$39&lt;=10,01_Supuestos!$I$136,01_Supuestos!$I$137)*M81,M83))</f>
        <v>33.429798583513</v>
      </c>
      <c r="N85" s="116" t="n">
        <f aca="false">IF(AND($C$31&gt;0,N$39&gt;10),MIN(N83,MAX(01_Supuestos!$I$137*N81,M85*(1-1/MAX(1,$C$31)))),MIN(IF(N$39&lt;=10,01_Supuestos!$I$136,01_Supuestos!$I$137)*N81,N83))</f>
        <v>27.6625094820743</v>
      </c>
      <c r="O85" s="116" t="n">
        <f aca="false">IF(AND($C$31&gt;0,O$39&gt;10),MIN(O83,MAX(01_Supuestos!$I$137*O81,N85*(1-1/MAX(1,$C$31)))),MIN(IF(O$39&lt;=10,01_Supuestos!$I$136,01_Supuestos!$I$137)*O81,O83))</f>
        <v>28.3470899227807</v>
      </c>
      <c r="P85" s="116" t="n">
        <f aca="false">IF(AND($C$31&gt;0,P$39&gt;10),MIN(P83,MAX(01_Supuestos!$I$137*P81,O85*(1-1/MAX(1,$C$31)))),MIN(IF(P$39&lt;=10,01_Supuestos!$I$136,01_Supuestos!$I$137)*P81,P83))</f>
        <v>28.8516194354516</v>
      </c>
      <c r="Q85" s="116" t="n">
        <f aca="false">IF(AND($C$31&gt;0,Q$39&gt;10),MIN(Q83,MAX(01_Supuestos!$I$137*Q81,P85*(1-1/MAX(1,$C$31)))),MIN(IF(Q$39&lt;=10,01_Supuestos!$I$136,01_Supuestos!$I$137)*Q81,Q83))</f>
        <v>29.3767677777575</v>
      </c>
      <c r="R85" s="116" t="n">
        <f aca="false">IF(AND($C$31&gt;0,R$39&gt;10),MIN(R83,MAX(01_Supuestos!$I$137*R81,Q85*(1-1/MAX(1,$C$31)))),MIN(IF(R$39&lt;=10,01_Supuestos!$I$136,01_Supuestos!$I$137)*R81,R83))</f>
        <v>29.9155829607449</v>
      </c>
      <c r="S85" s="116" t="n">
        <f aca="false">IF(AND($C$31&gt;0,S$39&gt;10),MIN(S83,MAX(01_Supuestos!$I$137*S81,R85*(1-1/MAX(1,$C$31)))),MIN(IF(S$39&lt;=10,01_Supuestos!$I$136,01_Supuestos!$I$137)*S81,S83))</f>
        <v>30.4438692413889</v>
      </c>
      <c r="T85" s="116" t="n">
        <f aca="false">IF(AND($C$31&gt;0,T$39&gt;10),MIN(T83,MAX(01_Supuestos!$I$137*T81,S85*(1-1/MAX(1,$C$31)))),MIN(IF(T$39&lt;=10,01_Supuestos!$I$136,01_Supuestos!$I$137)*T81,T83))</f>
        <v>30.9651814421812</v>
      </c>
      <c r="U85" s="116" t="n">
        <f aca="false">IF(AND($C$31&gt;0,U$39&gt;10),MIN(U83,MAX(01_Supuestos!$I$137*U81,T85*(1-1/MAX(1,$C$31)))),MIN(IF(U$39&lt;=10,01_Supuestos!$I$136,01_Supuestos!$I$137)*U81,U83))</f>
        <v>31.4803273166818</v>
      </c>
      <c r="V85" s="116" t="n">
        <f aca="false">IF(AND($C$31&gt;0,V$39&gt;10),MIN(V83,MAX(01_Supuestos!$I$137*V81,U85*(1-1/MAX(1,$C$31)))),MIN(IF(V$39&lt;=10,01_Supuestos!$I$136,01_Supuestos!$I$137)*V81,V83))</f>
        <v>31.9894561182184</v>
      </c>
      <c r="W85" s="116" t="n">
        <f aca="false">IF(AND($C$31&gt;0,W$39&gt;10),MIN(W83,MAX(01_Supuestos!$I$137*W81,V85*(1-1/MAX(1,$C$31)))),MIN(IF(W$39&lt;=10,01_Supuestos!$I$136,01_Supuestos!$I$137)*W81,W83))</f>
        <v>32.4826453449321</v>
      </c>
      <c r="X85" s="116" t="n">
        <f aca="false">IF(AND($C$31&gt;0,X$39&gt;10),MIN(X83,MAX(01_Supuestos!$I$137*X81,W85*(1-1/MAX(1,$C$31)))),MIN(IF(X$39&lt;=10,01_Supuestos!$I$136,01_Supuestos!$I$137)*X81,X83))</f>
        <v>32.9628888591602</v>
      </c>
      <c r="Y85" s="116" t="n">
        <f aca="false">IF(AND($C$31&gt;0,Y$39&gt;10),MIN(Y83,MAX(01_Supuestos!$I$137*Y81,X85*(1-1/MAX(1,$C$31)))),MIN(IF(Y$39&lt;=10,01_Supuestos!$I$136,01_Supuestos!$I$137)*Y81,Y83))</f>
        <v>33.4338462662789</v>
      </c>
      <c r="Z85" s="116" t="n">
        <f aca="false">IF(AND($C$31&gt;0,Z$39&gt;10),MIN(Z83,MAX(01_Supuestos!$I$137*Z81,Y85*(1-1/MAX(1,$C$31)))),MIN(IF(Z$39&lt;=10,01_Supuestos!$I$136,01_Supuestos!$I$137)*Z81,Z83))</f>
        <v>33.8952381969415</v>
      </c>
      <c r="AA85" s="116" t="n">
        <f aca="false">IF(AND($C$31&gt;0,AA$39&gt;10),MIN(AA83,MAX(01_Supuestos!$I$137*AA81,Z85*(1-1/MAX(1,$C$31)))),MIN(IF(AA$39&lt;=10,01_Supuestos!$I$136,01_Supuestos!$I$137)*AA81,AA83))</f>
        <v>34.3467861012521</v>
      </c>
      <c r="AB85" s="116" t="n">
        <f aca="false">IF(AND($C$31&gt;0,AB$39&gt;10),MIN(AB83,MAX(01_Supuestos!$I$137*AB81,AA85*(1-1/MAX(1,$C$31)))),MIN(IF(AB$39&lt;=10,01_Supuestos!$I$136,01_Supuestos!$I$137)*AB81,AB83))</f>
        <v>34.7884674493719</v>
      </c>
      <c r="AC85" s="116" t="n">
        <f aca="false">IF(AND($C$31&gt;0,AC$39&gt;10),MIN(AC83,MAX(01_Supuestos!$I$137*AC81,AB85*(1-1/MAX(1,$C$31)))),MIN(IF(AC$39&lt;=10,01_Supuestos!$I$136,01_Supuestos!$I$137)*AC81,AC83))</f>
        <v>35.2202604239473</v>
      </c>
      <c r="AD85" s="116" t="n">
        <f aca="false">IF(AND($C$31&gt;0,AD$39&gt;10),MIN(AD83,MAX(01_Supuestos!$I$137*AD81,AC85*(1-1/MAX(1,$C$31)))),MIN(IF(AD$39&lt;=10,01_Supuestos!$I$136,01_Supuestos!$I$137)*AD81,AD83))</f>
        <v>35.6421438698713</v>
      </c>
      <c r="AE85" s="116" t="n">
        <f aca="false">IF(AND($C$31&gt;0,AE$39&gt;10),MIN(AE83,MAX(01_Supuestos!$I$137*AE81,AD85*(1-1/MAX(1,$C$31)))),MIN(IF(AE$39&lt;=10,01_Supuestos!$I$136,01_Supuestos!$I$137)*AE81,AE83))</f>
        <v>36.0540972460407</v>
      </c>
      <c r="AF85" s="116" t="n">
        <f aca="false">IF(AND($C$31&gt;0,AF$39&gt;10),MIN(AF83,MAX(01_Supuestos!$I$137*AF81,AE85*(1-1/MAX(1,$C$31)))),MIN(IF(AF$39&lt;=10,01_Supuestos!$I$136,01_Supuestos!$I$137)*AF81,AF83))</f>
        <v>36.4561005789916</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0.4875</v>
      </c>
      <c r="D86" s="116" t="n">
        <f aca="false">01_Supuestos!$I$127*D83</f>
        <v>0.9862125</v>
      </c>
      <c r="E86" s="116" t="n">
        <f aca="false">01_Supuestos!$I$127*E83</f>
        <v>1.4963953875</v>
      </c>
      <c r="F86" s="116" t="n">
        <f aca="false">01_Supuestos!$I$127*F83</f>
        <v>2.0183124814125</v>
      </c>
      <c r="G86" s="116" t="n">
        <f aca="false">01_Supuestos!$I$127*G83</f>
        <v>2.55223366848499</v>
      </c>
      <c r="H86" s="116" t="n">
        <f aca="false">01_Supuestos!$I$127*H83</f>
        <v>3.09843504286014</v>
      </c>
      <c r="I86" s="116" t="n">
        <f aca="false">01_Supuestos!$I$127*I83</f>
        <v>3.65719904884592</v>
      </c>
      <c r="J86" s="116" t="n">
        <f aca="false">01_Supuestos!$I$127*J83</f>
        <v>4.22881462696938</v>
      </c>
      <c r="K86" s="116" t="n">
        <f aca="false">01_Supuestos!$I$127*K83</f>
        <v>4.81357736338968</v>
      </c>
      <c r="L86" s="116" t="n">
        <f aca="false">01_Supuestos!$I$127*L83</f>
        <v>5.41178964274764</v>
      </c>
      <c r="M86" s="116" t="n">
        <f aca="false">01_Supuestos!$I$127*M83</f>
        <v>6.02376080453083</v>
      </c>
      <c r="N86" s="116" t="n">
        <f aca="false">01_Supuestos!$I$127*N83</f>
        <v>6.64980730303504</v>
      </c>
      <c r="O86" s="116" t="n">
        <f aca="false">01_Supuestos!$I$127*O83</f>
        <v>7.29025287100485</v>
      </c>
      <c r="P86" s="116" t="n">
        <f aca="false">01_Supuestos!$I$127*P83</f>
        <v>7.94542868703796</v>
      </c>
      <c r="Q86" s="116" t="n">
        <f aca="false">01_Supuestos!$I$127*Q83</f>
        <v>8.61567354683983</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9.87707419714526</v>
      </c>
      <c r="X86" s="116" t="n">
        <f aca="false">01_Supuestos!$I$127*X83</f>
        <v>10.0177531484459</v>
      </c>
      <c r="Y86" s="116" t="n">
        <f aca="false">01_Supuestos!$I$127*Y83</f>
        <v>10.1554868350647</v>
      </c>
      <c r="Z86" s="116" t="n">
        <f aca="false">01_Supuestos!$I$127*Z83</f>
        <v>10.2902678010981</v>
      </c>
      <c r="AA86" s="116" t="n">
        <f aca="false">01_Supuestos!$I$127*AA83</f>
        <v>10.4220888286533</v>
      </c>
      <c r="AB86" s="116" t="n">
        <f aca="false">01_Supuestos!$I$127*AB83</f>
        <v>10.5509429211892</v>
      </c>
      <c r="AC86" s="116" t="n">
        <f aca="false">01_Supuestos!$I$127*AC83</f>
        <v>10.6768232875238</v>
      </c>
      <c r="AD86" s="116" t="n">
        <f aca="false">01_Supuestos!$I$127*AD83</f>
        <v>10.7997233264659</v>
      </c>
      <c r="AE86" s="116" t="n">
        <f aca="false">01_Supuestos!$I$127*AE83</f>
        <v>10.9196366120359</v>
      </c>
      <c r="AF86" s="116" t="n">
        <f aca="false">01_Supuestos!$I$127*AF83</f>
        <v>11.0365568792395</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2.16517273657028</v>
      </c>
      <c r="D87" s="116" t="n">
        <f aca="false">D83-D85-D86</f>
        <v>7.0693850866012</v>
      </c>
      <c r="E87" s="116" t="n">
        <f aca="false">E83-E85-E86</f>
        <v>12.6982120655839</v>
      </c>
      <c r="F87" s="116" t="n">
        <f aca="false">F83-F85-F86</f>
        <v>5.61954996630142</v>
      </c>
      <c r="G87" s="116" t="n">
        <f aca="false">G83-G85-G86</f>
        <v>14.2577491248209</v>
      </c>
      <c r="H87" s="116" t="n">
        <f aca="false">H83-H85-H86</f>
        <v>23.1277728722911</v>
      </c>
      <c r="I87" s="116" t="n">
        <f aca="false">I83-I85-I86</f>
        <v>32.2350625990533</v>
      </c>
      <c r="J87" s="116" t="n">
        <f aca="false">J83-J85-J86</f>
        <v>41.5851793761867</v>
      </c>
      <c r="K87" s="116" t="n">
        <f aca="false">K83-K85-K86</f>
        <v>51.1838069817278</v>
      </c>
      <c r="L87" s="116" t="n">
        <f aca="false">L83-L85-L86</f>
        <v>61.0367549828139</v>
      </c>
      <c r="M87" s="116" t="n">
        <f aca="false">M83-M85-M86</f>
        <v>81.0216567025728</v>
      </c>
      <c r="N87" s="116" t="n">
        <f aca="false">N83-N85-N86</f>
        <v>98.6838292755915</v>
      </c>
      <c r="O87" s="116" t="n">
        <f aca="false">O83-O85-O86</f>
        <v>110.167714626311</v>
      </c>
      <c r="P87" s="116" t="n">
        <f aca="false">P83-P85-P86</f>
        <v>122.11152561827</v>
      </c>
      <c r="Q87" s="116" t="n">
        <f aca="false">Q83-Q85-Q86</f>
        <v>134.321029612199</v>
      </c>
      <c r="R87" s="116" t="n">
        <f aca="false">R83-R85-R86</f>
        <v>138.726759044568</v>
      </c>
      <c r="S87" s="116" t="n">
        <f aca="false">S83-S85-S86</f>
        <v>142.077246630046</v>
      </c>
      <c r="T87" s="116" t="n">
        <f aca="false">T83-T85-T86</f>
        <v>145.523920094297</v>
      </c>
      <c r="U87" s="116" t="n">
        <f aca="false">U83-U85-U86</f>
        <v>149.068023555135</v>
      </c>
      <c r="V87" s="116" t="n">
        <f aca="false">V83-V85-V86</f>
        <v>152.71150682365</v>
      </c>
      <c r="W87" s="116" t="n">
        <f aca="false">W83-W85-W86</f>
        <v>155.181764400828</v>
      </c>
      <c r="X87" s="116" t="n">
        <f aca="false">X83-X85-X86</f>
        <v>157.374420961311</v>
      </c>
      <c r="Y87" s="116" t="n">
        <f aca="false">Y83-Y85-Y86</f>
        <v>159.52040359995</v>
      </c>
      <c r="Z87" s="116" t="n">
        <f aca="false">Z83-Z85-Z86</f>
        <v>161.619850023923</v>
      </c>
      <c r="AA87" s="116" t="n">
        <f aca="false">AA83-AA85-AA86</f>
        <v>163.67290164316</v>
      </c>
      <c r="AB87" s="116" t="n">
        <f aca="false">AB83-AB85-AB86</f>
        <v>165.679448053223</v>
      </c>
      <c r="AC87" s="116" t="n">
        <f aca="false">AC83-AC85-AC86</f>
        <v>167.639382039005</v>
      </c>
      <c r="AD87" s="116" t="n">
        <f aca="false">AD83-AD85-AD86</f>
        <v>169.552599332981</v>
      </c>
      <c r="AE87" s="116" t="n">
        <f aca="false">AE83-AE85-AE86</f>
        <v>171.418998382642</v>
      </c>
      <c r="AF87" s="116" t="n">
        <f aca="false">AF83-AF85-AF86</f>
        <v>173.238480126558</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0.027421875</v>
      </c>
      <c r="D88" s="116" t="n">
        <f aca="false">D86/01_Supuestos!$I$131*01_Supuestos!$I$129*01_Supuestos!$I$130*01_Supuestos!$I$128</f>
        <v>0.055474453125</v>
      </c>
      <c r="E88" s="116" t="n">
        <f aca="false">E86/01_Supuestos!$I$131*01_Supuestos!$I$129*01_Supuestos!$I$130*01_Supuestos!$I$128</f>
        <v>0.084172240546875</v>
      </c>
      <c r="F88" s="116" t="n">
        <f aca="false">F86/01_Supuestos!$I$131*01_Supuestos!$I$129*01_Supuestos!$I$130*01_Supuestos!$I$128</f>
        <v>0.113530077079453</v>
      </c>
      <c r="G88" s="116" t="n">
        <f aca="false">G86/01_Supuestos!$I$131*01_Supuestos!$I$129*01_Supuestos!$I$130*01_Supuestos!$I$128</f>
        <v>0.143563143852281</v>
      </c>
      <c r="H88" s="116" t="n">
        <f aca="false">H86/01_Supuestos!$I$131*01_Supuestos!$I$129*01_Supuestos!$I$130*01_Supuestos!$I$128</f>
        <v>0.174286971160883</v>
      </c>
      <c r="I88" s="116" t="n">
        <f aca="false">I86/01_Supuestos!$I$131*01_Supuestos!$I$129*01_Supuestos!$I$130*01_Supuestos!$I$128</f>
        <v>0.205717446497583</v>
      </c>
      <c r="J88" s="116" t="n">
        <f aca="false">J86/01_Supuestos!$I$131*01_Supuestos!$I$129*01_Supuestos!$I$130*01_Supuestos!$I$128</f>
        <v>0.237870822767028</v>
      </c>
      <c r="K88" s="116" t="n">
        <f aca="false">K86/01_Supuestos!$I$131*01_Supuestos!$I$129*01_Supuestos!$I$130*01_Supuestos!$I$128</f>
        <v>0.270763726690669</v>
      </c>
      <c r="L88" s="116" t="n">
        <f aca="false">L86/01_Supuestos!$I$131*01_Supuestos!$I$129*01_Supuestos!$I$130*01_Supuestos!$I$128</f>
        <v>0.304413167404555</v>
      </c>
      <c r="M88" s="116" t="n">
        <f aca="false">M86/01_Supuestos!$I$131*01_Supuestos!$I$129*01_Supuestos!$I$130*01_Supuestos!$I$128</f>
        <v>0.338836545254859</v>
      </c>
      <c r="N88" s="116" t="n">
        <f aca="false">N86/01_Supuestos!$I$131*01_Supuestos!$I$129*01_Supuestos!$I$130*01_Supuestos!$I$128</f>
        <v>0.374051660795721</v>
      </c>
      <c r="O88" s="116" t="n">
        <f aca="false">O86/01_Supuestos!$I$131*01_Supuestos!$I$129*01_Supuestos!$I$130*01_Supuestos!$I$128</f>
        <v>0.410076723994023</v>
      </c>
      <c r="P88" s="116" t="n">
        <f aca="false">P86/01_Supuestos!$I$131*01_Supuestos!$I$129*01_Supuestos!$I$130*01_Supuestos!$I$128</f>
        <v>0.446930363645885</v>
      </c>
      <c r="Q88" s="116" t="n">
        <f aca="false">Q86/01_Supuestos!$I$131*01_Supuestos!$I$129*01_Supuestos!$I$130*01_Supuestos!$I$128</f>
        <v>0.484631637009741</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0.555585423589421</v>
      </c>
      <c r="X88" s="116" t="n">
        <f aca="false">X86/01_Supuestos!$I$131*01_Supuestos!$I$129*01_Supuestos!$I$130*01_Supuestos!$I$128</f>
        <v>0.56349861460008</v>
      </c>
      <c r="Y88" s="116" t="n">
        <f aca="false">Y86/01_Supuestos!$I$131*01_Supuestos!$I$129*01_Supuestos!$I$130*01_Supuestos!$I$128</f>
        <v>0.571246134472387</v>
      </c>
      <c r="Z88" s="116" t="n">
        <f aca="false">Z86/01_Supuestos!$I$131*01_Supuestos!$I$129*01_Supuestos!$I$130*01_Supuestos!$I$128</f>
        <v>0.578827563811769</v>
      </c>
      <c r="AA88" s="116" t="n">
        <f aca="false">AA86/01_Supuestos!$I$131*01_Supuestos!$I$129*01_Supuestos!$I$130*01_Supuestos!$I$128</f>
        <v>0.586242496611746</v>
      </c>
      <c r="AB88" s="116" t="n">
        <f aca="false">AB86/01_Supuestos!$I$131*01_Supuestos!$I$129*01_Supuestos!$I$130*01_Supuestos!$I$128</f>
        <v>0.593490539316894</v>
      </c>
      <c r="AC88" s="116" t="n">
        <f aca="false">AC86/01_Supuestos!$I$131*01_Supuestos!$I$129*01_Supuestos!$I$130*01_Supuestos!$I$128</f>
        <v>0.600571309923215</v>
      </c>
      <c r="AD88" s="116" t="n">
        <f aca="false">AD86/01_Supuestos!$I$131*01_Supuestos!$I$129*01_Supuestos!$I$130*01_Supuestos!$I$128</f>
        <v>0.607484437113707</v>
      </c>
      <c r="AE88" s="116" t="n">
        <f aca="false">AE86/01_Supuestos!$I$131*01_Supuestos!$I$129*01_Supuestos!$I$130*01_Supuestos!$I$128</f>
        <v>0.614229559427022</v>
      </c>
      <c r="AF88" s="116" t="n">
        <f aca="false">AF86/01_Supuestos!$I$131*01_Supuestos!$I$129*01_Supuestos!$I$130*01_Supuestos!$I$128</f>
        <v>0.62080632445722</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0.251160037442151</v>
      </c>
      <c r="D90" s="116" t="n">
        <f aca="false">D83-C83-D73+D185-D228</f>
        <v>0.45477825559237</v>
      </c>
      <c r="E90" s="116" t="n">
        <f aca="false">E83-D83-E73+E185-E228</f>
        <v>0.32731062968254</v>
      </c>
      <c r="F90" s="116" t="n">
        <f aca="false">F83-E83-F73+F185-F228</f>
        <v>-0.755175677510511</v>
      </c>
      <c r="G90" s="116" t="n">
        <f aca="false">G83-F83-G73+G185-G228</f>
        <v>0.859546358768633</v>
      </c>
      <c r="H90" s="116" t="n">
        <f aca="false">H83-G83-H73+H185-H228</f>
        <v>0.619450341223995</v>
      </c>
      <c r="I90" s="116" t="n">
        <f aca="false">I83-H83-I73+I185-I228</f>
        <v>0.320996521642179</v>
      </c>
      <c r="J90" s="116" t="n">
        <f aca="false">J83-I83-J73+J185-J228</f>
        <v>0.329468221304495</v>
      </c>
      <c r="K90" s="116" t="n">
        <f aca="false">K83-J83-K73+K185-K228</f>
        <v>0.338137352523013</v>
      </c>
      <c r="L90" s="116" t="n">
        <f aca="false">L83-K83-L73+L185-L228</f>
        <v>0.34700832710039</v>
      </c>
      <c r="M90" s="116" t="n">
        <f aca="false">M83-L83-M73+M185-M228</f>
        <v>1.5012022646814</v>
      </c>
      <c r="N90" s="116" t="n">
        <f aca="false">N83-M83-N73+N185-N228</f>
        <v>0.689895148347738</v>
      </c>
      <c r="O90" s="116" t="n">
        <f aca="false">O83-N83-O73+O185-O228</f>
        <v>-0.218686752500773</v>
      </c>
      <c r="P90" s="116" t="n">
        <f aca="false">P83-O83-P73+P185-P228</f>
        <v>0.232332797666437</v>
      </c>
      <c r="Q90" s="116" t="n">
        <f aca="false">Q83-P83-Q73+Q185-Q228</f>
        <v>0.430577396311797</v>
      </c>
      <c r="R90" s="116" t="n">
        <f aca="false">R83-Q83-R73+R185-R228</f>
        <v>-0.502931047301971</v>
      </c>
      <c r="S90" s="116" t="n">
        <f aca="false">S83-R83-S73+S185-S228</f>
        <v>-0.222301730146327</v>
      </c>
      <c r="T90" s="116" t="n">
        <f aca="false">T83-S83-T73+T185-T228</f>
        <v>0.0865594595721433</v>
      </c>
      <c r="U90" s="116" t="n">
        <f aca="false">U83-T83-U73+U185-U228</f>
        <v>0.125527917630713</v>
      </c>
      <c r="V90" s="116" t="n">
        <f aca="false">V83-U83-V73+V185-V228</f>
        <v>0.128937265583602</v>
      </c>
      <c r="W90" s="116" t="n">
        <f aca="false">W83-V83-W73+W185-W228</f>
        <v>-0.015416979755237</v>
      </c>
      <c r="X90" s="116" t="n">
        <f aca="false">X83-W83-X73+X185-X228</f>
        <v>0.0111304533192254</v>
      </c>
      <c r="Y90" s="116" t="n">
        <f aca="false">Y83-X83-Y73+Y185-Y228</f>
        <v>0.0567425310324126</v>
      </c>
      <c r="Z90" s="116" t="n">
        <f aca="false">Z83-Y83-Z73+Z185-Z228</f>
        <v>0.0624159401073996</v>
      </c>
      <c r="AA90" s="116" t="n">
        <f aca="false">AA83-Z83-AA73+AA185-AA228</f>
        <v>0.0609346489984262</v>
      </c>
      <c r="AB90" s="116" t="n">
        <f aca="false">AB83-AA83-AB73+AB185-AB228</f>
        <v>0.0594288263267941</v>
      </c>
      <c r="AC90" s="116" t="n">
        <f aca="false">AC83-AB83-AC73+AC185-AC228</f>
        <v>0.057911998476186</v>
      </c>
      <c r="AD90" s="116" t="n">
        <f aca="false">AD83-AC83-AD73+AD185-AD228</f>
        <v>0.0563921510935614</v>
      </c>
      <c r="AE90" s="116" t="n">
        <f aca="false">AE83-AD83-AE73+AE185-AE228</f>
        <v>0.0548693448359501</v>
      </c>
      <c r="AF90" s="116" t="n">
        <f aca="false">AF83-AE83-AF73+AF185-AF228</f>
        <v>0.0533436341388409</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0.251160037442151</v>
      </c>
      <c r="D92" s="116" t="n">
        <f aca="false">IF(D90&gt;0,IF($C$20="BC",MIN(D90-D91,MAX(0,C276+D53-D75)),MIN(D90,MAX(0,C276+D53-D75))),0)</f>
        <v>0.45477825559237</v>
      </c>
      <c r="E92" s="116" t="n">
        <f aca="false">IF(E90&gt;0,IF($C$20="BC",MIN(E90-E91,MAX(0,D276+E53-E75)),MIN(E90,MAX(0,D276+E53-E75))),0)</f>
        <v>0.32731062968254</v>
      </c>
      <c r="F92" s="116" t="n">
        <f aca="false">IF(F90&gt;0,IF($C$20="BC",MIN(F90-F91,MAX(0,E276+F53-F75)),MIN(F90,MAX(0,E276+F53-F75))),0)</f>
        <v>0</v>
      </c>
      <c r="G92" s="116" t="n">
        <f aca="false">IF(G90&gt;0,IF($C$20="BC",MIN(G90-G91,MAX(0,F276+G53-G75)),MIN(G90,MAX(0,F276+G53-G75))),0)</f>
        <v>0.859546358768633</v>
      </c>
      <c r="H92" s="116" t="n">
        <f aca="false">IF(H90&gt;0,IF($C$20="BC",MIN(H90-H91,MAX(0,G276+H53-H75)),MIN(H90,MAX(0,G276+H53-H75))),0)</f>
        <v>0.619450341223995</v>
      </c>
      <c r="I92" s="116" t="n">
        <f aca="false">IF(I90&gt;0,IF($C$20="BC",MIN(I90-I91,MAX(0,H276+I53-I75)),MIN(I90,MAX(0,H276+I53-I75))),0)</f>
        <v>0.320996521642179</v>
      </c>
      <c r="J92" s="116" t="n">
        <f aca="false">IF(J90&gt;0,IF($C$20="BC",MIN(J90-J91,MAX(0,I276+J53-J75)),MIN(J90,MAX(0,I276+J53-J75))),0)</f>
        <v>0.329468221304495</v>
      </c>
      <c r="K92" s="116" t="n">
        <f aca="false">IF(K90&gt;0,IF($C$20="BC",MIN(K90-K91,MAX(0,J276+K53-K75)),MIN(K90,MAX(0,J276+K53-K75))),0)</f>
        <v>0.338137352523013</v>
      </c>
      <c r="L92" s="116" t="n">
        <f aca="false">IF(L90&gt;0,IF($C$20="BC",MIN(L90-L91,MAX(0,K276+L53-L75)),MIN(L90,MAX(0,K276+L53-L75))),0)</f>
        <v>0.34700832710039</v>
      </c>
      <c r="M92" s="116" t="n">
        <f aca="false">IF(M90&gt;0,IF($C$20="BC",MIN(M90-M91,MAX(0,L276+M53-M75)),MIN(M90,MAX(0,L276+M53-M75))),0)</f>
        <v>1.5012022646814</v>
      </c>
      <c r="N92" s="116" t="n">
        <f aca="false">IF(N90&gt;0,IF($C$20="BC",MIN(N90-N91,MAX(0,M276+N53-N75)),MIN(N90,MAX(0,M276+N53-N75))),0)</f>
        <v>0.689895148347738</v>
      </c>
      <c r="O92" s="116" t="n">
        <f aca="false">IF(O90&gt;0,IF($C$20="BC",MIN(O90-O91,MAX(0,N276+O53-O75)),MIN(O90,MAX(0,N276+O53-O75))),0)</f>
        <v>0</v>
      </c>
      <c r="P92" s="116" t="n">
        <f aca="false">IF(P90&gt;0,IF($C$20="BC",MIN(P90-P91,MAX(0,O276+P53-P75)),MIN(P90,MAX(0,O276+P53-P75))),0)</f>
        <v>0.232332797666437</v>
      </c>
      <c r="Q92" s="116" t="n">
        <f aca="false">IF(Q90&gt;0,IF($C$20="BC",MIN(Q90-Q91,MAX(0,P276+Q53-Q75)),MIN(Q90,MAX(0,P276+Q53-Q75))),0)</f>
        <v>0.430577396311797</v>
      </c>
      <c r="R92" s="116" t="n">
        <f aca="false">IF(R90&gt;0,IF($C$20="BC",MIN(R90-R91,MAX(0,Q276+R53-R75)),MIN(R90,MAX(0,Q276+R53-R75))),0)</f>
        <v>0</v>
      </c>
      <c r="S92" s="116" t="n">
        <f aca="false">IF(S90&gt;0,IF($C$20="BC",MIN(S90-S91,MAX(0,R276+S53-S75)),MIN(S90,MAX(0,R276+S53-S75))),0)</f>
        <v>0</v>
      </c>
      <c r="T92" s="116" t="n">
        <f aca="false">IF(T90&gt;0,IF($C$20="BC",MIN(T90-T91,MAX(0,S276+T53-T75)),MIN(T90,MAX(0,S276+T53-T75))),0)</f>
        <v>0.0865594595721433</v>
      </c>
      <c r="U92" s="116" t="n">
        <f aca="false">IF(U90&gt;0,IF($C$20="BC",MIN(U90-U91,MAX(0,T276+U53-U75)),MIN(U90,MAX(0,T276+U53-U75))),0)</f>
        <v>0.125527917630713</v>
      </c>
      <c r="V92" s="116" t="n">
        <f aca="false">IF(V90&gt;0,IF($C$20="BC",MIN(V90-V91,MAX(0,U276+V53-V75)),MIN(V90,MAX(0,U276+V53-V75))),0)</f>
        <v>0.128937265583602</v>
      </c>
      <c r="W92" s="116" t="n">
        <f aca="false">IF(W90&gt;0,IF($C$20="BC",MIN(W90-W91,MAX(0,V276+W53-W75)),MIN(W90,MAX(0,V276+W53-W75))),0)</f>
        <v>0</v>
      </c>
      <c r="X92" s="116" t="n">
        <f aca="false">IF(X90&gt;0,IF($C$20="BC",MIN(X90-X91,MAX(0,W276+X53-X75)),MIN(X90,MAX(0,W276+X53-X75))),0)</f>
        <v>0.0111304533192254</v>
      </c>
      <c r="Y92" s="116" t="n">
        <f aca="false">IF(Y90&gt;0,IF($C$20="BC",MIN(Y90-Y91,MAX(0,X276+Y53-Y75)),MIN(Y90,MAX(0,X276+Y53-Y75))),0)</f>
        <v>0.0567425310324126</v>
      </c>
      <c r="Z92" s="116" t="n">
        <f aca="false">IF(Z90&gt;0,IF($C$20="BC",MIN(Z90-Z91,MAX(0,Y276+Z53-Z75)),MIN(Z90,MAX(0,Y276+Z53-Z75))),0)</f>
        <v>0.0624159401073996</v>
      </c>
      <c r="AA92" s="116" t="n">
        <f aca="false">IF(AA90&gt;0,IF($C$20="BC",MIN(AA90-AA91,MAX(0,Z276+AA53-AA75)),MIN(AA90,MAX(0,Z276+AA53-AA75))),0)</f>
        <v>0.0609346489984262</v>
      </c>
      <c r="AB92" s="116" t="n">
        <f aca="false">IF(AB90&gt;0,IF($C$20="BC",MIN(AB90-AB91,MAX(0,AA276+AB53-AB75)),MIN(AB90,MAX(0,AA276+AB53-AB75))),0)</f>
        <v>0.0594288263267941</v>
      </c>
      <c r="AC92" s="116" t="n">
        <f aca="false">IF(AC90&gt;0,IF($C$20="BC",MIN(AC90-AC91,MAX(0,AB276+AC53-AC75)),MIN(AC90,MAX(0,AB276+AC53-AC75))),0)</f>
        <v>0.057911998476186</v>
      </c>
      <c r="AD92" s="116" t="n">
        <f aca="false">IF(AD90&gt;0,IF($C$20="BC",MIN(AD90-AD91,MAX(0,AC276+AD53-AD75)),MIN(AD90,MAX(0,AC276+AD53-AD75))),0)</f>
        <v>0.0563921510935614</v>
      </c>
      <c r="AE92" s="116" t="n">
        <f aca="false">IF(AE90&gt;0,IF($C$20="BC",MIN(AE90-AE91,MAX(0,AD276+AE53-AE75)),MIN(AE90,MAX(0,AD276+AE53-AE75))),0)</f>
        <v>0.0548693448359501</v>
      </c>
      <c r="AF92" s="116" t="n">
        <f aca="false">IF(AF90&gt;0,IF($C$20="BC",MIN(AF90-AF91,MAX(0,AE276+AF53-AF75)),MIN(AF90,MAX(0,AE276+AF53-AF75))),0)</f>
        <v>0.0533436341388409</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0.755175677510511</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0.218686752500773</v>
      </c>
      <c r="P94" s="116" t="n">
        <f aca="false">IF(P90&lt;0,-P90-P93,0)</f>
        <v>0</v>
      </c>
      <c r="Q94" s="116" t="n">
        <f aca="false">IF(Q90&lt;0,-Q90-Q93,0)</f>
        <v>0</v>
      </c>
      <c r="R94" s="116" t="n">
        <f aca="false">IF(R90&lt;0,-R90-R93,0)</f>
        <v>0.502931047301971</v>
      </c>
      <c r="S94" s="116" t="n">
        <f aca="false">IF(S90&lt;0,-S90-S93,0)</f>
        <v>0.222301730146327</v>
      </c>
      <c r="T94" s="116" t="n">
        <f aca="false">IF(T90&lt;0,-T90-T93,0)</f>
        <v>0</v>
      </c>
      <c r="U94" s="116" t="n">
        <f aca="false">IF(U90&lt;0,-U90-U93,0)</f>
        <v>0</v>
      </c>
      <c r="V94" s="116" t="n">
        <f aca="false">IF(V90&lt;0,-V90-V93,0)</f>
        <v>0</v>
      </c>
      <c r="W94" s="116" t="n">
        <f aca="false">IF(W90&lt;0,-W90-W93,0)</f>
        <v>0.015416979755237</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6.81841399594502</v>
      </c>
      <c r="G100" s="116" t="n">
        <f aca="false">$C$21*$C$22*G81</f>
        <v>7.13222720341538</v>
      </c>
      <c r="H100" s="116" t="n">
        <f aca="false">$C$21*$C$22*H81</f>
        <v>7.44635269626074</v>
      </c>
      <c r="I100" s="116" t="n">
        <f aca="false">$C$21*$C$22*I81</f>
        <v>7.76077486021236</v>
      </c>
      <c r="J100" s="116" t="n">
        <f aca="false">$C$21*$C$22*J81</f>
        <v>8.07547886171491</v>
      </c>
      <c r="K100" s="116" t="n">
        <f aca="false">$C$21*$C$22*K81</f>
        <v>8.39045060889085</v>
      </c>
      <c r="L100" s="116" t="n">
        <f aca="false">$C$21*$C$22*L81</f>
        <v>8.70567671445651</v>
      </c>
      <c r="M100" s="116" t="n">
        <f aca="false">$C$21*$C$22*M81</f>
        <v>8.97617615394246</v>
      </c>
      <c r="N100" s="116" t="n">
        <f aca="false">$C$21*$C$22*N81</f>
        <v>9.22083649402477</v>
      </c>
      <c r="O100" s="116" t="n">
        <f aca="false">$C$21*$C$22*O81</f>
        <v>9.44902997426024</v>
      </c>
      <c r="P100" s="116" t="n">
        <f aca="false">$C$21*$C$22*P81</f>
        <v>9.61720647848387</v>
      </c>
      <c r="Q100" s="116" t="n">
        <f aca="false">$C$21*$C$22*Q81</f>
        <v>9.79225592591916</v>
      </c>
      <c r="R100" s="116" t="n">
        <f aca="false">$C$21*$C$22*R81</f>
        <v>9.97186098691497</v>
      </c>
      <c r="S100" s="116" t="n">
        <f aca="false">$C$21*$C$22*S81</f>
        <v>10.1479564137963</v>
      </c>
      <c r="T100" s="116" t="n">
        <f aca="false">$C$21*$C$22*T81</f>
        <v>10.3217271473938</v>
      </c>
      <c r="U100" s="116" t="n">
        <f aca="false">$C$21*$C$22*U81</f>
        <v>10.4934424388939</v>
      </c>
      <c r="V100" s="116" t="n">
        <f aca="false">$C$21*$C$22*V81</f>
        <v>10.6631520394061</v>
      </c>
      <c r="W100" s="116" t="n">
        <f aca="false">$C$21*$C$22*W81</f>
        <v>10.8275484483107</v>
      </c>
      <c r="X100" s="116" t="n">
        <f aca="false">$C$21*$C$22*X81</f>
        <v>10.9876296197201</v>
      </c>
      <c r="Y100" s="116" t="n">
        <f aca="false">$C$21*$C$22*Y81</f>
        <v>11.144615422093</v>
      </c>
      <c r="Z100" s="116" t="n">
        <f aca="false">$C$21*$C$22*Z81</f>
        <v>11.2984127323138</v>
      </c>
      <c r="AA100" s="116" t="n">
        <f aca="false">$C$21*$C$22*AA81</f>
        <v>11.4489287004174</v>
      </c>
      <c r="AB100" s="116" t="n">
        <f aca="false">$C$21*$C$22*AB81</f>
        <v>11.5961558164573</v>
      </c>
      <c r="AC100" s="116" t="n">
        <f aca="false">$C$21*$C$22*AC81</f>
        <v>11.7400868079824</v>
      </c>
      <c r="AD100" s="116" t="n">
        <f aca="false">$C$21*$C$22*AD81</f>
        <v>11.8807146232904</v>
      </c>
      <c r="AE100" s="116" t="n">
        <f aca="false">$C$21*$C$22*AE81</f>
        <v>12.0180324153469</v>
      </c>
      <c r="AF100" s="116" t="n">
        <f aca="false">$C$21*$C$22*AF81</f>
        <v>12.1520335263305</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0.00681841399594502</v>
      </c>
      <c r="H102" s="116" t="n">
        <f aca="false">G104*$C$24</f>
        <v>0.00713222720341538</v>
      </c>
      <c r="I102" s="116" t="n">
        <f aca="false">H104*$C$24</f>
        <v>0.00744635269626074</v>
      </c>
      <c r="J102" s="116" t="n">
        <f aca="false">I104*$C$24</f>
        <v>0.00776077486021236</v>
      </c>
      <c r="K102" s="116" t="n">
        <f aca="false">J104*$C$24</f>
        <v>0.00807547886171491</v>
      </c>
      <c r="L102" s="116" t="n">
        <f aca="false">K104*$C$24</f>
        <v>0.00839045060889085</v>
      </c>
      <c r="M102" s="116" t="n">
        <f aca="false">L104*$C$24</f>
        <v>0.00870567671445651</v>
      </c>
      <c r="N102" s="116" t="n">
        <f aca="false">M104*$C$24</f>
        <v>0.00897617615394246</v>
      </c>
      <c r="O102" s="116" t="n">
        <f aca="false">N104*$C$24</f>
        <v>0.00922083649402477</v>
      </c>
      <c r="P102" s="116" t="n">
        <f aca="false">O104*$C$24</f>
        <v>0.00944902997426024</v>
      </c>
      <c r="Q102" s="116" t="n">
        <f aca="false">P104*$C$24</f>
        <v>0.00961720647848387</v>
      </c>
      <c r="R102" s="116" t="n">
        <f aca="false">Q104*$C$24</f>
        <v>0.00979225592591916</v>
      </c>
      <c r="S102" s="116" t="n">
        <f aca="false">R104*$C$24</f>
        <v>0.00997186098691497</v>
      </c>
      <c r="T102" s="116" t="n">
        <f aca="false">S104*$C$24</f>
        <v>0.0101479564137963</v>
      </c>
      <c r="U102" s="116" t="n">
        <f aca="false">T104*$C$24</f>
        <v>0.0103217271473938</v>
      </c>
      <c r="V102" s="116" t="n">
        <f aca="false">U104*$C$24</f>
        <v>0.0104934424388939</v>
      </c>
      <c r="W102" s="116" t="n">
        <f aca="false">V104*$C$24</f>
        <v>0.0106631520394061</v>
      </c>
      <c r="X102" s="116" t="n">
        <f aca="false">W104*$C$24</f>
        <v>0.0108275484483107</v>
      </c>
      <c r="Y102" s="116" t="n">
        <f aca="false">X104*$C$24</f>
        <v>0.0109876296197201</v>
      </c>
      <c r="Z102" s="116" t="n">
        <f aca="false">Y104*$C$24</f>
        <v>0.011144615422093</v>
      </c>
      <c r="AA102" s="116" t="n">
        <f aca="false">Z104*$C$24</f>
        <v>0.0112984127323138</v>
      </c>
      <c r="AB102" s="116" t="n">
        <f aca="false">AA104*$C$24</f>
        <v>0.0114489287004174</v>
      </c>
      <c r="AC102" s="116" t="n">
        <f aca="false">AB104*$C$24</f>
        <v>0.0115961558164573</v>
      </c>
      <c r="AD102" s="116" t="n">
        <f aca="false">AC104*$C$24</f>
        <v>0.0117400868079824</v>
      </c>
      <c r="AE102" s="116" t="n">
        <f aca="false">AD104*$C$24</f>
        <v>0.0118807146232904</v>
      </c>
      <c r="AF102" s="116" t="n">
        <f aca="false">AE104*$C$24</f>
        <v>0.0120180324153469</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3.54064310075416</v>
      </c>
      <c r="G103" s="116" t="n">
        <f aca="false">MIN(MAX(0,G100-F104-G101),MAX(0,F276))</f>
        <v>0.313813207470362</v>
      </c>
      <c r="H103" s="116" t="n">
        <f aca="false">MIN(MAX(0,H100-G104-H101),MAX(0,G276))</f>
        <v>0.314125492845364</v>
      </c>
      <c r="I103" s="116" t="n">
        <f aca="false">MIN(MAX(0,I100-H104-I101),MAX(0,H276))</f>
        <v>0.314422163951614</v>
      </c>
      <c r="J103" s="116" t="n">
        <f aca="false">MIN(MAX(0,J100-I104-J101),MAX(0,I276))</f>
        <v>0.314704001502549</v>
      </c>
      <c r="K103" s="116" t="n">
        <f aca="false">MIN(MAX(0,K100-J104-K101),MAX(0,J276))</f>
        <v>0.314971747175941</v>
      </c>
      <c r="L103" s="116" t="n">
        <f aca="false">MIN(MAX(0,L100-K104-L101),MAX(0,K276))</f>
        <v>0.315226105565662</v>
      </c>
      <c r="M103" s="116" t="n">
        <f aca="false">MIN(MAX(0,M100-L104-M101),MAX(0,L276))</f>
        <v>0.270499439485951</v>
      </c>
      <c r="N103" s="116" t="n">
        <f aca="false">MIN(MAX(0,N100-M104-N101),MAX(0,M276))</f>
        <v>0.244660340082312</v>
      </c>
      <c r="O103" s="116" t="n">
        <f aca="false">MIN(MAX(0,O100-N104-O101),MAX(0,N276))</f>
        <v>0.228193480235472</v>
      </c>
      <c r="P103" s="116" t="n">
        <f aca="false">MIN(MAX(0,P100-O104-P101),MAX(0,O276))</f>
        <v>0.168176504223629</v>
      </c>
      <c r="Q103" s="116" t="n">
        <f aca="false">MIN(MAX(0,Q100-P104-Q101),MAX(0,P276))</f>
        <v>0.175049447435287</v>
      </c>
      <c r="R103" s="116" t="n">
        <f aca="false">MIN(MAX(0,R100-Q104-R101),MAX(0,Q276))</f>
        <v>0.179605060995813</v>
      </c>
      <c r="S103" s="116" t="n">
        <f aca="false">MIN(MAX(0,S100-R104-S101),MAX(0,R276))</f>
        <v>0.176095426881314</v>
      </c>
      <c r="T103" s="116" t="n">
        <f aca="false">MIN(MAX(0,T100-S104-T101),MAX(0,S276))</f>
        <v>0.173770733597465</v>
      </c>
      <c r="U103" s="116" t="n">
        <f aca="false">MIN(MAX(0,U100-T104-U101),MAX(0,T276))</f>
        <v>0.171715291500179</v>
      </c>
      <c r="V103" s="116" t="n">
        <f aca="false">MIN(MAX(0,V100-U104-V101),MAX(0,U276))</f>
        <v>0.169709600512201</v>
      </c>
      <c r="W103" s="116" t="n">
        <f aca="false">MIN(MAX(0,W100-V104-W101),MAX(0,V276))</f>
        <v>0.164396408904578</v>
      </c>
      <c r="X103" s="116" t="n">
        <f aca="false">MIN(MAX(0,X100-W104-X101),MAX(0,W276))</f>
        <v>0.160081171409351</v>
      </c>
      <c r="Y103" s="116" t="n">
        <f aca="false">MIN(MAX(0,Y100-X104-Y101),MAX(0,X276))</f>
        <v>0.156985802372912</v>
      </c>
      <c r="Z103" s="116" t="n">
        <f aca="false">MIN(MAX(0,Z100-Y104-Z101),MAX(0,Y276))</f>
        <v>0.15379731022087</v>
      </c>
      <c r="AA103" s="116" t="n">
        <f aca="false">MIN(MAX(0,AA100-Z104-AA101),MAX(0,Z276))</f>
        <v>0.150515968103527</v>
      </c>
      <c r="AB103" s="116" t="n">
        <f aca="false">MIN(MAX(0,AB100-AA104-AB101),MAX(0,AA276))</f>
        <v>0.147227116039923</v>
      </c>
      <c r="AC103" s="116" t="n">
        <f aca="false">MIN(MAX(0,AC100-AB104-AC101),MAX(0,AB276))</f>
        <v>0.143930991525131</v>
      </c>
      <c r="AD103" s="116" t="n">
        <f aca="false">MIN(MAX(0,AD100-AC104-AD101),MAX(0,AC276))</f>
        <v>0.140627815307996</v>
      </c>
      <c r="AE103" s="116" t="n">
        <f aca="false">MIN(MAX(0,AE100-AD104-AE101),MAX(0,AD276))</f>
        <v>0.137317792056468</v>
      </c>
      <c r="AF103" s="116" t="n">
        <f aca="false">MIN(MAX(0,AF100-AE104-AF101),MAX(0,AE276))</f>
        <v>0.13400111098364</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6.81841399594502</v>
      </c>
      <c r="G104" s="136" t="n">
        <f aca="false">F104+G101+G103</f>
        <v>7.13222720341538</v>
      </c>
      <c r="H104" s="136" t="n">
        <f aca="false">G104+H101+H103</f>
        <v>7.44635269626074</v>
      </c>
      <c r="I104" s="136" t="n">
        <f aca="false">H104+I101+I103</f>
        <v>7.76077486021236</v>
      </c>
      <c r="J104" s="136" t="n">
        <f aca="false">I104+J101+J103</f>
        <v>8.07547886171491</v>
      </c>
      <c r="K104" s="136" t="n">
        <f aca="false">J104+K101+K103</f>
        <v>8.39045060889085</v>
      </c>
      <c r="L104" s="136" t="n">
        <f aca="false">K104+L101+L103</f>
        <v>8.70567671445651</v>
      </c>
      <c r="M104" s="136" t="n">
        <f aca="false">L104+M101+M103</f>
        <v>8.97617615394246</v>
      </c>
      <c r="N104" s="136" t="n">
        <f aca="false">M104+N101+N103</f>
        <v>9.22083649402477</v>
      </c>
      <c r="O104" s="136" t="n">
        <f aca="false">N104+O101+O103</f>
        <v>9.44902997426024</v>
      </c>
      <c r="P104" s="136" t="n">
        <f aca="false">O104+P101+P103</f>
        <v>9.61720647848387</v>
      </c>
      <c r="Q104" s="136" t="n">
        <f aca="false">P104+Q101+Q103</f>
        <v>9.79225592591916</v>
      </c>
      <c r="R104" s="136" t="n">
        <f aca="false">Q104+R101+R103</f>
        <v>9.97186098691497</v>
      </c>
      <c r="S104" s="136" t="n">
        <f aca="false">R104+S101+S103</f>
        <v>10.1479564137963</v>
      </c>
      <c r="T104" s="136" t="n">
        <f aca="false">S104+T101+T103</f>
        <v>10.3217271473938</v>
      </c>
      <c r="U104" s="136" t="n">
        <f aca="false">T104+U101+U103</f>
        <v>10.4934424388939</v>
      </c>
      <c r="V104" s="136" t="n">
        <f aca="false">U104+V101+V103</f>
        <v>10.6631520394061</v>
      </c>
      <c r="W104" s="136" t="n">
        <f aca="false">V104+W101+W103</f>
        <v>10.8275484483107</v>
      </c>
      <c r="X104" s="136" t="n">
        <f aca="false">W104+X101+X103</f>
        <v>10.9876296197201</v>
      </c>
      <c r="Y104" s="136" t="n">
        <f aca="false">X104+Y101+Y103</f>
        <v>11.144615422093</v>
      </c>
      <c r="Z104" s="136" t="n">
        <f aca="false">Y104+Z101+Z103</f>
        <v>11.2984127323138</v>
      </c>
      <c r="AA104" s="136" t="n">
        <f aca="false">Z104+AA101+AA103</f>
        <v>11.4489287004174</v>
      </c>
      <c r="AB104" s="136" t="n">
        <f aca="false">AA104+AB101+AB103</f>
        <v>11.5961558164573</v>
      </c>
      <c r="AC104" s="136" t="n">
        <f aca="false">AB104+AC101+AC103</f>
        <v>11.7400868079824</v>
      </c>
      <c r="AD104" s="136" t="n">
        <f aca="false">AC104+AD101+AD103</f>
        <v>11.8807146232904</v>
      </c>
      <c r="AE104" s="136" t="n">
        <f aca="false">AD104+AE101+AE103</f>
        <v>12.0180324153469</v>
      </c>
      <c r="AF104" s="136" t="n">
        <f aca="false">AE104+AF101+AF103</f>
        <v>12.1520335263305</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53.0956193936339</v>
      </c>
      <c r="G105" s="139" t="n">
        <f aca="false">G104/($C$36*(1+$C$23)^(G$39-1))</f>
        <v>55.5393118174808</v>
      </c>
      <c r="H105" s="139" t="n">
        <f aca="false">H104/($C$36*(1+$C$23)^(H$39-1))</f>
        <v>57.9854360363789</v>
      </c>
      <c r="I105" s="139" t="n">
        <f aca="false">I104/($C$36*(1+$C$23)^(I$39-1))</f>
        <v>60.4338704605758</v>
      </c>
      <c r="J105" s="139" t="n">
        <f aca="false">J104/($C$36*(1+$C$23)^(J$39-1))</f>
        <v>62.8844995798065</v>
      </c>
      <c r="K105" s="139" t="n">
        <f aca="false">K104/($C$36*(1+$C$23)^(K$39-1))</f>
        <v>65.3372136593193</v>
      </c>
      <c r="L105" s="139" t="n">
        <f aca="false">L104/($C$36*(1+$C$23)^(L$39-1))</f>
        <v>67.7919084511001</v>
      </c>
      <c r="M105" s="139" t="n">
        <f aca="false">M104/($C$36*(1+$C$23)^(M$39-1))</f>
        <v>69.8983125640916</v>
      </c>
      <c r="N105" s="139" t="n">
        <f aca="false">N104/($C$36*(1+$C$23)^(N$39-1))</f>
        <v>71.803505224064</v>
      </c>
      <c r="O105" s="139" t="n">
        <f aca="false">O104/($C$36*(1+$C$23)^(O$39-1))</f>
        <v>73.5804689258717</v>
      </c>
      <c r="P105" s="139" t="n">
        <f aca="false">P104/($C$36*(1+$C$23)^(P$39-1))</f>
        <v>74.8900748935527</v>
      </c>
      <c r="Q105" s="139" t="n">
        <f aca="false">Q104/($C$36*(1+$C$23)^(Q$39-1))</f>
        <v>76.2532011046654</v>
      </c>
      <c r="R105" s="139" t="n">
        <f aca="false">R104/($C$36*(1+$C$23)^(R$39-1))</f>
        <v>77.6518022992357</v>
      </c>
      <c r="S105" s="139" t="n">
        <f aca="false">S104/($C$36*(1+$C$23)^(S$39-1))</f>
        <v>79.0230736488796</v>
      </c>
      <c r="T105" s="139" t="n">
        <f aca="false">T104/($C$36*(1+$C$23)^(T$39-1))</f>
        <v>80.3762423972616</v>
      </c>
      <c r="U105" s="139" t="n">
        <f aca="false">U104/($C$36*(1+$C$23)^(U$39-1))</f>
        <v>81.7134052282341</v>
      </c>
      <c r="V105" s="139" t="n">
        <f aca="false">V104/($C$36*(1+$C$23)^(V$39-1))</f>
        <v>83.0349495582792</v>
      </c>
      <c r="W105" s="139" t="n">
        <f aca="false">W104/($C$36*(1+$C$23)^(W$39-1))</f>
        <v>84.3151195746597</v>
      </c>
      <c r="X105" s="139" t="n">
        <f aca="false">X104/($C$36*(1+$C$23)^(X$39-1))</f>
        <v>85.561686438199</v>
      </c>
      <c r="Y105" s="139" t="n">
        <f aca="false">Y104/($C$36*(1+$C$23)^(Y$39-1))</f>
        <v>86.7841493772276</v>
      </c>
      <c r="Z105" s="139" t="n">
        <f aca="false">Z104/($C$36*(1+$C$23)^(Z$39-1))</f>
        <v>87.9817832334452</v>
      </c>
      <c r="AA105" s="139" t="n">
        <f aca="false">AA104/($C$36*(1+$C$23)^(AA$39-1))</f>
        <v>89.1538649755985</v>
      </c>
      <c r="AB105" s="139" t="n">
        <f aca="false">AB104/($C$36*(1+$C$23)^(AB$39-1))</f>
        <v>90.3003361230423</v>
      </c>
      <c r="AC105" s="139" t="n">
        <f aca="false">AC104/($C$36*(1+$C$23)^(AC$39-1))</f>
        <v>91.4211400445278</v>
      </c>
      <c r="AD105" s="139" t="n">
        <f aca="false">AD104/($C$36*(1+$C$23)^(AD$39-1))</f>
        <v>92.5162218277976</v>
      </c>
      <c r="AE105" s="139" t="n">
        <f aca="false">AE104/($C$36*(1+$C$23)^(AE$39-1))</f>
        <v>93.5855281543628</v>
      </c>
      <c r="AF105" s="139" t="n">
        <f aca="false">AF104/($C$36*(1+$C$23)^(AF$39-1))</f>
        <v>94.629007179154</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0.378806681432986</v>
      </c>
      <c r="D107" s="116" t="n">
        <f aca="false">D87*(1-$C$340)*$C$175+D85*01_Supuestos!$I$126+D55*D88</f>
        <v>0.773237264985065</v>
      </c>
      <c r="E107" s="116" t="n">
        <f aca="false">E87*(1-$C$340)*$C$175+E85*01_Supuestos!$I$126+E55*E88</f>
        <v>1.17831212356324</v>
      </c>
      <c r="F107" s="116" t="n">
        <f aca="false">F87*(1-$C$340)*$C$175+F85*01_Supuestos!$I$126+F55*F88</f>
        <v>1.55971273699484</v>
      </c>
      <c r="G107" s="116" t="n">
        <f aca="false">G87*(1-$C$340)*$C$175+G85*01_Supuestos!$I$126+G55*G88</f>
        <v>1.99069631768461</v>
      </c>
      <c r="H107" s="116" t="n">
        <f aca="false">H87*(1-$C$340)*$C$175+H85*01_Supuestos!$I$126+H55*H88</f>
        <v>2.43167770597158</v>
      </c>
      <c r="I107" s="116" t="n">
        <f aca="false">I87*(1-$C$340)*$C$175+I85*01_Supuestos!$I$126+I55*I88</f>
        <v>2.88288713265223</v>
      </c>
      <c r="J107" s="116" t="n">
        <f aca="false">J87*(1-$C$340)*$C$175+J85*01_Supuestos!$I$126+J55*J88</f>
        <v>3.34456010977023</v>
      </c>
      <c r="K107" s="116" t="n">
        <f aca="false">K87*(1-$C$340)*$C$175+K85*01_Supuestos!$I$126+K55*K88</f>
        <v>3.81693755278826</v>
      </c>
      <c r="L107" s="116" t="n">
        <f aca="false">L87*(1-$C$340)*$C$175+L85*01_Supuestos!$I$126+L55*L88</f>
        <v>4.30026590553449</v>
      </c>
      <c r="M107" s="116" t="n">
        <f aca="false">M87*(1-$C$340)*$C$175+M85*01_Supuestos!$I$126+M55*M88</f>
        <v>4.82016752369453</v>
      </c>
      <c r="N107" s="116" t="n">
        <f aca="false">N87*(1-$C$340)*$C$175+N85*01_Supuestos!$I$126+N55*N88</f>
        <v>5.34487615762447</v>
      </c>
      <c r="O107" s="116" t="n">
        <f aca="false">O87*(1-$C$340)*$C$175+O85*01_Supuestos!$I$126+O55*O88</f>
        <v>5.86473088095271</v>
      </c>
      <c r="P107" s="116" t="n">
        <f aca="false">P87*(1-$C$340)*$C$175+P85*01_Supuestos!$I$126+P55*P88</f>
        <v>6.39704545935239</v>
      </c>
      <c r="Q107" s="116" t="n">
        <f aca="false">Q87*(1-$C$340)*$C$175+Q85*01_Supuestos!$I$126+Q55*Q88</f>
        <v>6.9415801054026</v>
      </c>
      <c r="R107" s="116" t="n">
        <f aca="false">R87*(1-$C$340)*$C$175+R85*01_Supuestos!$I$126+R55*R88</f>
        <v>7.15214846010336</v>
      </c>
      <c r="S107" s="116" t="n">
        <f aca="false">S87*(1-$C$340)*$C$175+S85*01_Supuestos!$I$126+S55*S88</f>
        <v>7.3170584890533</v>
      </c>
      <c r="T107" s="116" t="n">
        <f aca="false">T87*(1-$C$340)*$C$175+T85*01_Supuestos!$I$126+T55*T88</f>
        <v>7.48581059905634</v>
      </c>
      <c r="U107" s="116" t="n">
        <f aca="false">U87*(1-$C$340)*$C$175+U85*01_Supuestos!$I$126+U55*U88</f>
        <v>7.65849066981222</v>
      </c>
      <c r="V107" s="116" t="n">
        <f aca="false">V87*(1-$C$340)*$C$175+V85*01_Supuestos!$I$126+V55*V88</f>
        <v>7.83518829634564</v>
      </c>
      <c r="W107" s="116" t="n">
        <f aca="false">W87*(1-$C$340)*$C$175+W85*01_Supuestos!$I$126+W55*W88</f>
        <v>7.96095206669947</v>
      </c>
      <c r="X107" s="116" t="n">
        <f aca="false">X87*(1-$C$340)*$C$175+X85*01_Supuestos!$I$126+X55*X88</f>
        <v>8.07429451614943</v>
      </c>
      <c r="Y107" s="116" t="n">
        <f aca="false">Y87*(1-$C$340)*$C$175+Y85*01_Supuestos!$I$126+Y55*Y88</f>
        <v>8.18526204534825</v>
      </c>
      <c r="Z107" s="116" t="n">
        <f aca="false">Z87*(1-$C$340)*$C$175+Z85*01_Supuestos!$I$126+Z55*Z88</f>
        <v>8.29384929977722</v>
      </c>
      <c r="AA107" s="116" t="n">
        <f aca="false">AA87*(1-$C$340)*$C$175+AA85*01_Supuestos!$I$126+AA55*AA88</f>
        <v>8.40005111666057</v>
      </c>
      <c r="AB107" s="116" t="n">
        <f aca="false">AB87*(1-$C$340)*$C$175+AB85*01_Supuestos!$I$126+AB55*AB88</f>
        <v>8.50386185553228</v>
      </c>
      <c r="AC107" s="116" t="n">
        <f aca="false">AC87*(1-$C$340)*$C$175+AC85*01_Supuestos!$I$126+AC55*AC88</f>
        <v>8.60527604135067</v>
      </c>
      <c r="AD107" s="116" t="n">
        <f aca="false">AD87*(1-$C$340)*$C$175+AD85*01_Supuestos!$I$126+AD55*AD88</f>
        <v>8.70428835211121</v>
      </c>
      <c r="AE107" s="116" t="n">
        <f aca="false">AE87*(1-$C$340)*$C$175+AE85*01_Supuestos!$I$126+AE55*AE88</f>
        <v>8.80089360693341</v>
      </c>
      <c r="AF107" s="116" t="n">
        <f aca="false">AF87*(1-$C$340)*$C$175+AF85*01_Supuestos!$I$126+AF55*AF88</f>
        <v>8.89508675459296</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0.0140736227877068</v>
      </c>
      <c r="E108" s="116" t="n">
        <f aca="false">E330-E332</f>
        <v>0.0459510030629078</v>
      </c>
      <c r="F108" s="116" t="n">
        <f aca="false">F330-F332</f>
        <v>0.0825383784262954</v>
      </c>
      <c r="G108" s="116" t="n">
        <f aca="false">G330-G332</f>
        <v>0.0365270747809592</v>
      </c>
      <c r="H108" s="116" t="n">
        <f aca="false">H330-H332</f>
        <v>0.0926753693113361</v>
      </c>
      <c r="I108" s="116" t="n">
        <f aca="false">I330-I332</f>
        <v>0.150330523669892</v>
      </c>
      <c r="J108" s="116" t="n">
        <f aca="false">J330-J332</f>
        <v>0.209527906893846</v>
      </c>
      <c r="K108" s="116" t="n">
        <f aca="false">K330-K332</f>
        <v>0.270303665945214</v>
      </c>
      <c r="L108" s="116" t="n">
        <f aca="false">L330-L332</f>
        <v>0.332694745381231</v>
      </c>
      <c r="M108" s="116" t="n">
        <f aca="false">M330-M332</f>
        <v>0.39673890738829</v>
      </c>
      <c r="N108" s="116" t="n">
        <f aca="false">N330-N332</f>
        <v>0.526640768566724</v>
      </c>
      <c r="O108" s="116" t="n">
        <f aca="false">O330-O332</f>
        <v>0.641444890291345</v>
      </c>
      <c r="P108" s="116" t="n">
        <f aca="false">P330-P332</f>
        <v>0.716090145071024</v>
      </c>
      <c r="Q108" s="116" t="n">
        <f aca="false">Q330-Q332</f>
        <v>0.793724916518752</v>
      </c>
      <c r="R108" s="116" t="n">
        <f aca="false">R330-R332</f>
        <v>0.873086692479296</v>
      </c>
      <c r="S108" s="116" t="n">
        <f aca="false">S330-S332</f>
        <v>0.901723933789692</v>
      </c>
      <c r="T108" s="116" t="n">
        <f aca="false">T330-T332</f>
        <v>0.923502103095301</v>
      </c>
      <c r="U108" s="116" t="n">
        <f aca="false">U330-U332</f>
        <v>0.945905480612929</v>
      </c>
      <c r="V108" s="116" t="n">
        <f aca="false">V330-V332</f>
        <v>0.968942153108379</v>
      </c>
      <c r="W108" s="116" t="n">
        <f aca="false">W330-W332</f>
        <v>0.992624794353728</v>
      </c>
      <c r="X108" s="116" t="n">
        <f aca="false">X330-X332</f>
        <v>1.00868146860538</v>
      </c>
      <c r="Y108" s="116" t="n">
        <f aca="false">Y330-Y332</f>
        <v>1.02293373624852</v>
      </c>
      <c r="Z108" s="116" t="n">
        <f aca="false">Z330-Z332</f>
        <v>1.03688262339967</v>
      </c>
      <c r="AA108" s="116" t="n">
        <f aca="false">AA330-AA332</f>
        <v>1.0505290251555</v>
      </c>
      <c r="AB108" s="116" t="n">
        <f aca="false">AB330-AB332</f>
        <v>1.06387386068054</v>
      </c>
      <c r="AC108" s="116" t="n">
        <f aca="false">AC330-AC332</f>
        <v>1.07691641234595</v>
      </c>
      <c r="AD108" s="116" t="n">
        <f aca="false">AD330-AD332</f>
        <v>1.08965598325354</v>
      </c>
      <c r="AE108" s="116" t="n">
        <f aca="false">AE330-AE332</f>
        <v>1.10209189566438</v>
      </c>
      <c r="AF108" s="116" t="n">
        <f aca="false">AF330-AF332</f>
        <v>1.11422348948717</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1.25253051913761</v>
      </c>
      <c r="G109" s="116" t="n">
        <f aca="false">(G70+F121)*(0.3*$C$5+0.25*01_Supuestos!$I$134)/0.55-F227*$C$5</f>
        <v>1.41831411921912</v>
      </c>
      <c r="H109" s="116" t="n">
        <f aca="false">(H70+G121)*(0.3*$C$5+0.25*01_Supuestos!$I$134)/0.55-G227*$C$5</f>
        <v>1.58409771930063</v>
      </c>
      <c r="I109" s="116" t="n">
        <f aca="false">(I70+H121)*(0.3*$C$5+0.25*01_Supuestos!$I$134)/0.55-H227*$C$5</f>
        <v>1.74988131938214</v>
      </c>
      <c r="J109" s="116" t="n">
        <f aca="false">(J70+I121)*(0.3*$C$5+0.25*01_Supuestos!$I$134)/0.55-I227*$C$5</f>
        <v>1.91566491946365</v>
      </c>
      <c r="K109" s="116" t="n">
        <f aca="false">(K70+J121)*(0.3*$C$5+0.25*01_Supuestos!$I$134)/0.55-J227*$C$5</f>
        <v>2.08144851954516</v>
      </c>
      <c r="L109" s="116" t="n">
        <f aca="false">(L70+K121)*(0.3*$C$5+0.25*01_Supuestos!$I$134)/0.55-K227*$C$5</f>
        <v>2.24723211962667</v>
      </c>
      <c r="M109" s="116" t="n">
        <f aca="false">(M70+L121)*(0.3*$C$5+0.25*01_Supuestos!$I$134)/0.55-L227*$C$5</f>
        <v>2.3133093190839</v>
      </c>
      <c r="N109" s="116" t="n">
        <f aca="false">(N70+M121)*(0.3*$C$5+0.25*01_Supuestos!$I$134)/0.55-M227*$C$5</f>
        <v>2.37948094799877</v>
      </c>
      <c r="O109" s="116" t="n">
        <f aca="false">(O70+N121)*(0.3*$C$5+0.25*01_Supuestos!$I$134)/0.55-N227*$C$5</f>
        <v>2.45041984358184</v>
      </c>
      <c r="P109" s="116" t="n">
        <f aca="false">(P70+O121)*(0.3*$C$5+0.25*01_Supuestos!$I$134)/0.55-O227*$C$5</f>
        <v>2.52700650680917</v>
      </c>
      <c r="Q109" s="116" t="n">
        <f aca="false">(Q70+P121)*(0.3*$C$5+0.25*01_Supuestos!$I$134)/0.55-P227*$C$5</f>
        <v>2.60663345090093</v>
      </c>
      <c r="R109" s="116" t="n">
        <f aca="false">(R70+Q121)*(0.3*$C$5+0.25*01_Supuestos!$I$134)/0.55-Q227*$C$5</f>
        <v>2.68957288364309</v>
      </c>
      <c r="S109" s="116" t="n">
        <f aca="false">(S70+R121)*(0.3*$C$5+0.25*01_Supuestos!$I$134)/0.55-R227*$C$5</f>
        <v>2.76829641119216</v>
      </c>
      <c r="T109" s="116" t="n">
        <f aca="false">(T70+S121)*(0.3*$C$5+0.25*01_Supuestos!$I$134)/0.55-S227*$C$5</f>
        <v>2.84402110051217</v>
      </c>
      <c r="U109" s="116" t="n">
        <f aca="false">(U70+T121)*(0.3*$C$5+0.25*01_Supuestos!$I$134)/0.55-T227*$C$5</f>
        <v>2.91709813529702</v>
      </c>
      <c r="V109" s="116" t="n">
        <f aca="false">(V70+U121)*(0.3*$C$5+0.25*01_Supuestos!$I$134)/0.55-U227*$C$5</f>
        <v>2.98767106242027</v>
      </c>
      <c r="W109" s="116" t="n">
        <f aca="false">(W70+V121)*(0.3*$C$5+0.25*01_Supuestos!$I$134)/0.55-V227*$C$5</f>
        <v>3.05609923815264</v>
      </c>
      <c r="X109" s="116" t="n">
        <f aca="false">(X70+W121)*(0.3*$C$5+0.25*01_Supuestos!$I$134)/0.55-W227*$C$5</f>
        <v>3.12341935249339</v>
      </c>
      <c r="Y109" s="116" t="n">
        <f aca="false">(Y70+X121)*(0.3*$C$5+0.25*01_Supuestos!$I$134)/0.55-X227*$C$5</f>
        <v>3.19087777118717</v>
      </c>
      <c r="Z109" s="116" t="n">
        <f aca="false">(Z70+Y121)*(0.3*$C$5+0.25*01_Supuestos!$I$134)/0.55-Y227*$C$5</f>
        <v>3.25847937637765</v>
      </c>
      <c r="AA109" s="116" t="n">
        <f aca="false">(AA70+Z121)*(0.3*$C$5+0.25*01_Supuestos!$I$134)/0.55-Z227*$C$5</f>
        <v>3.32622922254815</v>
      </c>
      <c r="AB109" s="116" t="n">
        <f aca="false">(AB70+AA121)*(0.3*$C$5+0.25*01_Supuestos!$I$134)/0.55-AA227*$C$5</f>
        <v>3.39413254260526</v>
      </c>
      <c r="AC109" s="116" t="n">
        <f aca="false">(AC70+AB121)*(0.3*$C$5+0.25*01_Supuestos!$I$134)/0.55-AB227*$C$5</f>
        <v>3.46219475417719</v>
      </c>
      <c r="AD109" s="116" t="n">
        <f aca="false">(AD70+AC121)*(0.3*$C$5+0.25*01_Supuestos!$I$134)/0.55-AC227*$C$5</f>
        <v>3.53042146613442</v>
      </c>
      <c r="AE109" s="116" t="n">
        <f aca="false">(AE70+AD121)*(0.3*$C$5+0.25*01_Supuestos!$I$134)/0.55-AD227*$C$5</f>
        <v>3.59881848534053</v>
      </c>
      <c r="AF109" s="116" t="n">
        <f aca="false">(AF70+AE121)*(0.3*$C$5+0.25*01_Supuestos!$I$134)/0.55-AE227*$C$5</f>
        <v>3.66739182364142</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0.668055059017723</v>
      </c>
      <c r="E110" s="116" t="n">
        <f aca="false">D120*$C$10</f>
        <v>1.22853341700197</v>
      </c>
      <c r="F110" s="116" t="n">
        <f aca="false">E120*$C$10</f>
        <v>1.84085399517182</v>
      </c>
      <c r="G110" s="116" t="n">
        <f aca="false">F120*$C$10</f>
        <v>2.10044642792484</v>
      </c>
      <c r="H110" s="116" t="n">
        <f aca="false">G120*$C$10</f>
        <v>2.46152603238121</v>
      </c>
      <c r="I110" s="116" t="n">
        <f aca="false">H120*$C$10</f>
        <v>2.86545666313966</v>
      </c>
      <c r="J110" s="116" t="n">
        <f aca="false">I120*$C$10</f>
        <v>3.31536245884601</v>
      </c>
      <c r="K110" s="116" t="n">
        <f aca="false">J120*$C$10</f>
        <v>3.80175439855466</v>
      </c>
      <c r="L110" s="116" t="n">
        <f aca="false">K120*$C$10</f>
        <v>4.32560092499012</v>
      </c>
      <c r="M110" s="116" t="n">
        <f aca="false">L120*$C$10</f>
        <v>4.88795557675236</v>
      </c>
      <c r="N110" s="116" t="n">
        <f aca="false">M120*$C$10</f>
        <v>4.87241057853655</v>
      </c>
      <c r="O110" s="116" t="n">
        <f aca="false">N120*$C$10</f>
        <v>4.88883878177616</v>
      </c>
      <c r="P110" s="116" t="n">
        <f aca="false">O120*$C$10</f>
        <v>4.93887213277347</v>
      </c>
      <c r="Q110" s="116" t="n">
        <f aca="false">P120*$C$10</f>
        <v>4.97647954583704</v>
      </c>
      <c r="R110" s="116" t="n">
        <f aca="false">Q120*$C$10</f>
        <v>5.00819847590136</v>
      </c>
      <c r="S110" s="116" t="n">
        <f aca="false">R120*$C$10</f>
        <v>5.07375365175743</v>
      </c>
      <c r="T110" s="116" t="n">
        <f aca="false">S120*$C$10</f>
        <v>5.13096560786544</v>
      </c>
      <c r="U110" s="116" t="n">
        <f aca="false">T120*$C$10</f>
        <v>5.17883865498559</v>
      </c>
      <c r="V110" s="116" t="n">
        <f aca="false">U120*$C$10</f>
        <v>5.22684436164412</v>
      </c>
      <c r="W110" s="116" t="n">
        <f aca="false">V120*$C$10</f>
        <v>5.27626117078333</v>
      </c>
      <c r="X110" s="116" t="n">
        <f aca="false">W120*$C$10</f>
        <v>5.32955627957864</v>
      </c>
      <c r="Y110" s="116" t="n">
        <f aca="false">X120*$C$10</f>
        <v>5.37931071618027</v>
      </c>
      <c r="Z110" s="116" t="n">
        <f aca="false">Y120*$C$10</f>
        <v>5.42516038517099</v>
      </c>
      <c r="AA110" s="116" t="n">
        <f aca="false">Z120*$C$10</f>
        <v>5.46877293755678</v>
      </c>
      <c r="AB110" s="116" t="n">
        <f aca="false">AA120*$C$10</f>
        <v>5.51071452134717</v>
      </c>
      <c r="AC110" s="116" t="n">
        <f aca="false">AB120*$C$10</f>
        <v>5.55130696861817</v>
      </c>
      <c r="AD110" s="116" t="n">
        <f aca="false">AC120*$C$10</f>
        <v>5.5908722724863</v>
      </c>
      <c r="AE110" s="116" t="n">
        <f aca="false">AD120*$C$10</f>
        <v>5.62973364414007</v>
      </c>
      <c r="AF110" s="116" t="n">
        <f aca="false">AE120*$C$10</f>
        <v>5.66821663891901</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12.0384856508805</v>
      </c>
      <c r="G111" s="136" t="n">
        <f aca="false">G69*01_Supuestos!$I$107-G218</f>
        <v>11.9686104803045</v>
      </c>
      <c r="H111" s="136" t="n">
        <f aca="false">H69*01_Supuestos!$I$107-H218</f>
        <v>11.9220198581063</v>
      </c>
      <c r="I111" s="136" t="n">
        <f aca="false">I69*01_Supuestos!$I$107-I218</f>
        <v>11.8972211454721</v>
      </c>
      <c r="J111" s="136" t="n">
        <f aca="false">J69*01_Supuestos!$I$107-J218</f>
        <v>11.8928175157698</v>
      </c>
      <c r="K111" s="136" t="n">
        <f aca="false">K69*01_Supuestos!$I$107-K218</f>
        <v>11.9075017979621</v>
      </c>
      <c r="L111" s="136" t="n">
        <f aca="false">L69*01_Supuestos!$I$107-L218</f>
        <v>11.9400507159457</v>
      </c>
      <c r="M111" s="136" t="n">
        <f aca="false">M69*01_Supuestos!$I$107-M218</f>
        <v>12.0815481177673</v>
      </c>
      <c r="N111" s="136" t="n">
        <f aca="false">N69*01_Supuestos!$I$107-N218</f>
        <v>12.2891228407001</v>
      </c>
      <c r="O111" s="136" t="n">
        <f aca="false">O69*01_Supuestos!$I$107-O218</f>
        <v>12.550086887955</v>
      </c>
      <c r="P111" s="136" t="n">
        <f aca="false">P69*01_Supuestos!$I$107-P218</f>
        <v>13.0189356222772</v>
      </c>
      <c r="Q111" s="136" t="n">
        <f aca="false">Q69*01_Supuestos!$I$107-Q218</f>
        <v>13.47639191512</v>
      </c>
      <c r="R111" s="136" t="n">
        <f aca="false">R69*01_Supuestos!$I$107-R218</f>
        <v>13.9181912001576</v>
      </c>
      <c r="S111" s="136" t="n">
        <f aca="false">S69*01_Supuestos!$I$107-S218</f>
        <v>14.3450258769335</v>
      </c>
      <c r="T111" s="136" t="n">
        <f aca="false">T69*01_Supuestos!$I$107-T218</f>
        <v>14.7575434190715</v>
      </c>
      <c r="U111" s="136" t="n">
        <f aca="false">U69*01_Supuestos!$I$107-U218</f>
        <v>15.1563492852328</v>
      </c>
      <c r="V111" s="136" t="n">
        <f aca="false">V69*01_Supuestos!$I$107-V218</f>
        <v>15.5420096416593</v>
      </c>
      <c r="W111" s="136" t="n">
        <f aca="false">W69*01_Supuestos!$I$107-W218</f>
        <v>15.9150539084887</v>
      </c>
      <c r="X111" s="136" t="n">
        <f aca="false">X69*01_Supuestos!$I$107-X218</f>
        <v>16.2759771412383</v>
      </c>
      <c r="Y111" s="136" t="n">
        <f aca="false">Y69*01_Supuestos!$I$107-Y218</f>
        <v>16.6252422581189</v>
      </c>
      <c r="Z111" s="136" t="n">
        <f aca="false">Z69*01_Supuestos!$I$107-Z218</f>
        <v>16.9632821231507</v>
      </c>
      <c r="AA111" s="136" t="n">
        <f aca="false">AA69*01_Supuestos!$I$107-AA218</f>
        <v>17.2905014944087</v>
      </c>
      <c r="AB111" s="136" t="n">
        <f aca="false">AB69*01_Supuestos!$I$107-AB218</f>
        <v>17.6072788461221</v>
      </c>
      <c r="AC111" s="136" t="n">
        <f aca="false">AC69*01_Supuestos!$I$107-AC218</f>
        <v>17.913968072787</v>
      </c>
      <c r="AD111" s="136" t="n">
        <f aca="false">AD69*01_Supuestos!$I$107-AD218</f>
        <v>18.2109000829274</v>
      </c>
      <c r="AE111" s="136" t="n">
        <f aca="false">AE69*01_Supuestos!$I$107-AE218</f>
        <v>18.4983842896424</v>
      </c>
      <c r="AF111" s="136" t="n">
        <f aca="false">AF69*01_Supuestos!$I$107-AF218</f>
        <v>18.7767100046175</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0.118288787723829</v>
      </c>
      <c r="D112" s="116" t="n">
        <f aca="false">D81*$C$7</f>
        <v>0.194477540223313</v>
      </c>
      <c r="E112" s="116" t="n">
        <f aca="false">E81*$C$7</f>
        <v>0.262221671615268</v>
      </c>
      <c r="F112" s="116" t="n">
        <f aca="false">F81*$C$7</f>
        <v>0.545473119675601</v>
      </c>
      <c r="G112" s="116" t="n">
        <f aca="false">G81*$C$7</f>
        <v>0.57057817627323</v>
      </c>
      <c r="H112" s="116" t="n">
        <f aca="false">H81*$C$7</f>
        <v>0.59570821570086</v>
      </c>
      <c r="I112" s="116" t="n">
        <f aca="false">I81*$C$7</f>
        <v>0.620861988816989</v>
      </c>
      <c r="J112" s="116" t="n">
        <f aca="false">J81*$C$7</f>
        <v>0.646038308937193</v>
      </c>
      <c r="K112" s="116" t="n">
        <f aca="false">K81*$C$7</f>
        <v>0.671236048711268</v>
      </c>
      <c r="L112" s="116" t="n">
        <f aca="false">L81*$C$7</f>
        <v>0.696454137156521</v>
      </c>
      <c r="M112" s="116" t="n">
        <f aca="false">M81*$C$7</f>
        <v>0.718094092315397</v>
      </c>
      <c r="N112" s="116" t="n">
        <f aca="false">N81*$C$7</f>
        <v>0.737666919521982</v>
      </c>
      <c r="O112" s="116" t="n">
        <f aca="false">O81*$C$7</f>
        <v>0.75592239794082</v>
      </c>
      <c r="P112" s="116" t="n">
        <f aca="false">P81*$C$7</f>
        <v>0.76937651827871</v>
      </c>
      <c r="Q112" s="116" t="n">
        <f aca="false">Q81*$C$7</f>
        <v>0.783380474073533</v>
      </c>
      <c r="R112" s="116" t="n">
        <f aca="false">R81*$C$7</f>
        <v>0.797748878953198</v>
      </c>
      <c r="S112" s="116" t="n">
        <f aca="false">S81*$C$7</f>
        <v>0.811836513103703</v>
      </c>
      <c r="T112" s="116" t="n">
        <f aca="false">T81*$C$7</f>
        <v>0.8257381717915</v>
      </c>
      <c r="U112" s="116" t="n">
        <f aca="false">U81*$C$7</f>
        <v>0.839475395111515</v>
      </c>
      <c r="V112" s="116" t="n">
        <f aca="false">V81*$C$7</f>
        <v>0.853052163152491</v>
      </c>
      <c r="W112" s="116" t="n">
        <f aca="false">W81*$C$7</f>
        <v>0.866203875864857</v>
      </c>
      <c r="X112" s="116" t="n">
        <f aca="false">X81*$C$7</f>
        <v>0.879010369577605</v>
      </c>
      <c r="Y112" s="116" t="n">
        <f aca="false">Y81*$C$7</f>
        <v>0.891569233767438</v>
      </c>
      <c r="Z112" s="116" t="n">
        <f aca="false">Z81*$C$7</f>
        <v>0.903873018585107</v>
      </c>
      <c r="AA112" s="116" t="n">
        <f aca="false">AA81*$C$7</f>
        <v>0.91591429603339</v>
      </c>
      <c r="AB112" s="116" t="n">
        <f aca="false">AB81*$C$7</f>
        <v>0.927692465316583</v>
      </c>
      <c r="AC112" s="116" t="n">
        <f aca="false">AC81*$C$7</f>
        <v>0.939206944638594</v>
      </c>
      <c r="AD112" s="116" t="n">
        <f aca="false">AD81*$C$7</f>
        <v>0.950457169863234</v>
      </c>
      <c r="AE112" s="116" t="n">
        <f aca="false">AE81*$C$7</f>
        <v>0.961442593227751</v>
      </c>
      <c r="AF112" s="116" t="n">
        <f aca="false">AF81*$C$7</f>
        <v>0.972162682106442</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-2.33155256205148</v>
      </c>
      <c r="D113" s="136" t="n">
        <f aca="false">D107+D109+D110-D111-D112-D108-D97-D98-D102+D184-D190-D229-D265-D268-D274</f>
        <v>-2.79733512063782</v>
      </c>
      <c r="E113" s="136" t="n">
        <f aca="false">E107+E109+E110-E111-E112-E108-E97-E98-E102+E184-E190-E229-E265-E268-E274</f>
        <v>-3.05518281592214</v>
      </c>
      <c r="F113" s="136" t="n">
        <f aca="false">F107+F109+F110-F111-F112-F108-F97-F98-F102+F184-F190-F229-F265-F268-F274</f>
        <v>-7.21835575351006</v>
      </c>
      <c r="G113" s="136" t="n">
        <f aca="false">G107+G109+G110-G111-G112-G108-G97-G98-G102+G184-G190-G229-G265-G268-G274</f>
        <v>-6.05154528074688</v>
      </c>
      <c r="H113" s="136" t="n">
        <f aca="false">H107+H109+H110-H111-H112-H108-H97-H98-H102+H184-H190-H229-H265-H268-H274</f>
        <v>-5.09978533434923</v>
      </c>
      <c r="I113" s="136" t="n">
        <f aca="false">I107+I109+I110-I111-I112-I108-I97-I98-I102+I184-I190-I229-I265-I268-I274</f>
        <v>-4.11799040100415</v>
      </c>
      <c r="J113" s="136" t="n">
        <f aca="false">J107+J109+J110-J111-J112-J108-J97-J98-J102+J184-J190-J229-J265-J268-J274</f>
        <v>-3.10127486418476</v>
      </c>
      <c r="K113" s="136" t="n">
        <f aca="false">K107+K109+K110-K111-K112-K108-K97-K98-K102+K184-K190-K229-K265-K268-K274</f>
        <v>-2.05760449482201</v>
      </c>
      <c r="L113" s="136" t="n">
        <f aca="false">L107+L109+L110-L111-L112-L108-L97-L98-L102+L184-L190-L229-L265-L268-L274</f>
        <v>-0.984566587643092</v>
      </c>
      <c r="M113" s="136" t="n">
        <f aca="false">M107+M109+M110-M111-M112-M108-M97-M98-M102+M184-M190-M229-M265-M268-M274</f>
        <v>-0.0421315642886579</v>
      </c>
      <c r="N113" s="136" t="n">
        <f aca="false">N107+N109+N110-N111-N112-N108-N97-N98-N102+N184-N190-N229-N265-N268-N274</f>
        <v>0.197555932145338</v>
      </c>
      <c r="O113" s="136" t="n">
        <f aca="false">O107+O109+O110-O111-O112-O108-O97-O98-O102+O184-O190-O229-O265-O268-O274</f>
        <v>0.432217823654447</v>
      </c>
      <c r="P113" s="136" t="n">
        <f aca="false">P107+P109+P110-P111-P112-P108-P97-P98-P102+P184-P190-P229-P265-P268-P274</f>
        <v>0.556411807801341</v>
      </c>
      <c r="Q113" s="136" t="n">
        <f aca="false">Q107+Q109+Q110-Q111-Q112-Q108-Q97-Q98-Q102+Q184-Q190-Q229-Q265-Q268-Q274</f>
        <v>0.691965780304236</v>
      </c>
      <c r="R113" s="136" t="n">
        <f aca="false">R107+R109+R110-R111-R112-R108-R97-R98-R102+R184-R190-R229-R265-R268-R274</f>
        <v>0.508848763339655</v>
      </c>
      <c r="S113" s="136" t="n">
        <f aca="false">S107+S109+S110-S111-S112-S108-S97-S98-S102+S184-S190-S229-S265-S268-S274</f>
        <v>0.377055302562584</v>
      </c>
      <c r="T113" s="136" t="n">
        <f aca="false">T107+T109+T110-T111-T112-T108-T97-T98-T102+T184-T190-T229-T265-T268-T274</f>
        <v>0.259945953841593</v>
      </c>
      <c r="U113" s="136" t="n">
        <f aca="false">U107+U109+U110-U111-U112-U108-U97-U98-U102+U184-U190-U229-U265-U268-U274</f>
        <v>0.148729952283828</v>
      </c>
      <c r="V113" s="136" t="n">
        <f aca="false">V107+V109+V110-V111-V112-V108-V97-V98-V102+V184-V190-V229-V265-V268-V274</f>
        <v>0.0525313488822066</v>
      </c>
      <c r="W113" s="136" t="n">
        <f aca="false">W107+W109+W110-W111-W112-W108-W97-W98-W102+W184-W190-W229-W265-W268-W274</f>
        <v>-0.0816227678095345</v>
      </c>
      <c r="X113" s="136" t="n">
        <f aca="false">X107+X109+X110-X111-X112-X108-X97-X98-X102+X184-X190-X229-X265-X268-X274</f>
        <v>-0.204385624684736</v>
      </c>
      <c r="Y113" s="136" t="n">
        <f aca="false">Y107+Y109+Y110-Y111-Y112-Y108-Y97-Y98-Y102+Y184-Y190-Y229-Y265-Y268-Y274</f>
        <v>-0.318362519413299</v>
      </c>
      <c r="Z113" s="136" t="n">
        <f aca="false">Z107+Z109+Z110-Z111-Z112-Z108-Z97-Z98-Z102+Z184-Z190-Z229-Z265-Z268-Z274</f>
        <v>-0.425847254659497</v>
      </c>
      <c r="AA113" s="136" t="n">
        <f aca="false">AA107+AA109+AA110-AA111-AA112-AA108-AA97-AA98-AA102+AA184-AA190-AA229-AA265-AA268-AA274</f>
        <v>-0.52555518351177</v>
      </c>
      <c r="AB113" s="136" t="n">
        <f aca="false">AB107+AB109+AB110-AB111-AB112-AB108-AB97-AB98-AB102+AB184-AB190-AB229-AB265-AB268-AB274</f>
        <v>-0.617280035094955</v>
      </c>
      <c r="AC113" s="136" t="n">
        <f aca="false">AC107+AC109+AC110-AC111-AC112-AC108-AC97-AC98-AC102+AC184-AC190-AC229-AC265-AC268-AC274</f>
        <v>-0.701032946458512</v>
      </c>
      <c r="AD113" s="136" t="n">
        <f aca="false">AD107+AD109+AD110-AD111-AD112-AD108-AD97-AD98-AD102+AD184-AD190-AD229-AD265-AD268-AD274</f>
        <v>-0.776801148785794</v>
      </c>
      <c r="AE113" s="136" t="n">
        <f aca="false">AE107+AE109+AE110-AE111-AE112-AE108-AE97-AE98-AE102+AE184-AE190-AE229-AE265-AE268-AE274</f>
        <v>-0.844548396636462</v>
      </c>
      <c r="AF113" s="136" t="n">
        <f aca="false">AF107+AF109+AF110-AF111-AF112-AF108-AF97-AF98-AF102+AF184-AF190-AF229-AF265-AF268-AF274</f>
        <v>-0.904215226840385</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19.0872874005064</v>
      </c>
      <c r="D114" s="116" t="n">
        <f aca="false">C120+D53+D56-D57+(D58-D65)+D113-D92+D94-D95-D103+D60-D245</f>
        <v>35.1009547714848</v>
      </c>
      <c r="E114" s="116" t="n">
        <f aca="false">D120+E53+E56-E57+(E58-E65)+E113-E92+E94-E95-E103+E60-E245</f>
        <v>52.5958284334807</v>
      </c>
      <c r="F114" s="116" t="n">
        <f aca="false">E120+F53+F56-F57+(F58-F65)+F113-F92+F94-F95-F103+F60-F245</f>
        <v>60.012755083567</v>
      </c>
      <c r="G114" s="116" t="n">
        <f aca="false">F120+G53+G56-G57+(G58-G65)+G113-G92+G94-G95-G103+G60-G245</f>
        <v>70.3293152108917</v>
      </c>
      <c r="H114" s="116" t="n">
        <f aca="false">G120+H53+H56-H57+(H58-H65)+H113-H92+H94-H95-H103+H60-H245</f>
        <v>81.8701903754187</v>
      </c>
      <c r="I114" s="116" t="n">
        <f aca="false">H120+I53+I56-I57+(I58-I65)+I113-I92+I94-I95-I103+I60-I245</f>
        <v>94.7246416813146</v>
      </c>
      <c r="J114" s="116" t="n">
        <f aca="false">I120+J53+J56-J57+(J58-J65)+J113-J92+J94-J95-J103+J60-J245</f>
        <v>108.621554244419</v>
      </c>
      <c r="K114" s="116" t="n">
        <f aca="false">J120+K53+K56-K57+(K58-K65)+K113-K92+K94-K95-K103+K60-K245</f>
        <v>123.588597856861</v>
      </c>
      <c r="L114" s="116" t="n">
        <f aca="false">K120+L53+L56-L57+(L58-L65)+L113-L92+L94-L95-L103+L60-L245</f>
        <v>139.655873621496</v>
      </c>
      <c r="M114" s="116" t="n">
        <f aca="false">L120+M53+M56-M57+(M58-M65)+M113-M92+M94-M95-M103+M60-M245</f>
        <v>139.21173081533</v>
      </c>
      <c r="N114" s="116" t="n">
        <f aca="false">M120+N53+N56-N57+(N58-N65)+N113-N92+N94-N95-N103+N60-N245</f>
        <v>139.878663982893</v>
      </c>
      <c r="O114" s="116" t="n">
        <f aca="false">N120+O53+O56-O57+(O58-O65)+O113-O92+O94-O95-O103+O60-O245</f>
        <v>141.542850188611</v>
      </c>
      <c r="P114" s="116" t="n">
        <f aca="false">O120+P53+P56-P57+(P58-P65)+P113-P92+P94-P95-P103+P60-P245</f>
        <v>142.74154168886</v>
      </c>
      <c r="Q114" s="116" t="n">
        <f aca="false">P120+Q53+Q56-Q57+(Q58-Q65)+Q113-Q92+Q94-Q95-Q103+Q60-Q245</f>
        <v>143.783350806057</v>
      </c>
      <c r="R114" s="116" t="n">
        <f aca="false">Q120+R53+R56-R57+(R58-R65)+R113-R92+R94-R95-R103+R60-R245</f>
        <v>145.473238813552</v>
      </c>
      <c r="S114" s="116" t="n">
        <f aca="false">R120+S53+S56-S57+(S58-S65)+S113-S92+S94-S95-S103+S60-S245</f>
        <v>146.976072670147</v>
      </c>
      <c r="T114" s="116" t="n">
        <f aca="false">S120+T53+T56-T57+(T58-T65)+T113-T92+T94-T95-T103+T60-T245</f>
        <v>148.226764667716</v>
      </c>
      <c r="U114" s="116" t="n">
        <f aca="false">T120+U53+U56-U57+(U58-U65)+U113-U92+U94-U95-U103+U60-U245</f>
        <v>149.487140284973</v>
      </c>
      <c r="V114" s="116" t="n">
        <f aca="false">U120+V53+V56-V57+(V58-V65)+V113-V92+V94-V95-V103+V60-V245</f>
        <v>150.80285051412</v>
      </c>
      <c r="W114" s="116" t="n">
        <f aca="false">V120+W53+W56-W57+(W58-W65)+W113-W92+W94-W95-W103+W60-W245</f>
        <v>152.27303655939</v>
      </c>
      <c r="X114" s="116" t="n">
        <f aca="false">W120+X53+X56-X57+(X58-X65)+X113-X92+X94-X95-X103+X60-X245</f>
        <v>153.694591890865</v>
      </c>
      <c r="Y114" s="116" t="n">
        <f aca="false">X120+Y53+Y56-Y57+(Y58-Y65)+Y113-Y92+Y94-Y95-Y103+Y60-Y245</f>
        <v>155.004582433457</v>
      </c>
      <c r="Z114" s="116" t="n">
        <f aca="false">Y120+Z53+Z56-Z57+(Z58-Z65)+Z113-Z92+Z94-Z95-Z103+Z60-Z245</f>
        <v>156.250655358765</v>
      </c>
      <c r="AA114" s="116" t="n">
        <f aca="false">Z120+AA53+AA56-AA57+(AA58-AA65)+AA113-AA92+AA94-AA95-AA103+AA60-AA245</f>
        <v>157.448986324205</v>
      </c>
      <c r="AB114" s="116" t="n">
        <f aca="false">AA120+AB53+AB56-AB57+(AB58-AB65)+AB113-AB92+AB94-AB95-AB103+AB60-AB245</f>
        <v>158.608770531948</v>
      </c>
      <c r="AC114" s="116" t="n">
        <f aca="false">AB120+AC53+AC56-AC57+(AC58-AC65)+AC113-AC92+AC94-AC95-AC103+AC60-AC245</f>
        <v>159.739207785323</v>
      </c>
      <c r="AD114" s="116" t="n">
        <f aca="false">AC120+AD53+AD56-AD57+(AD58-AD65)+AD113-AD92+AD94-AD95-AD103+AD60-AD245</f>
        <v>160.849532689716</v>
      </c>
      <c r="AE114" s="116" t="n">
        <f aca="false">AD120+AE53+AE56-AE57+(AE58-AE65)+AE113-AE92+AE94-AE95-AE103+AE60-AE245</f>
        <v>161.949046826257</v>
      </c>
      <c r="AF114" s="116" t="n">
        <f aca="false">AE120+AF53+AF56-AF57+(AF58-AF65)+AF113-AF92+AF94-AF95-AF103+AF60-AF245</f>
        <v>163.047142766117</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v>
      </c>
      <c r="N115" s="116" t="n">
        <f aca="false">IF(N113&gt;0,MIN(N113,01_Supuestos!$I$106*N81),0)</f>
        <v>0.197555932145338</v>
      </c>
      <c r="O115" s="116" t="n">
        <f aca="false">IF(O113&gt;0,MIN(O113,01_Supuestos!$I$106*O81),0)</f>
        <v>0.432217823654447</v>
      </c>
      <c r="P115" s="116" t="n">
        <f aca="false">IF(P113&gt;0,MIN(P113,01_Supuestos!$I$106*P81),0)</f>
        <v>0.556411807801341</v>
      </c>
      <c r="Q115" s="116" t="n">
        <f aca="false">IF(Q113&gt;0,MIN(Q113,01_Supuestos!$I$106*Q81),0)</f>
        <v>0.691965780304236</v>
      </c>
      <c r="R115" s="116" t="n">
        <f aca="false">IF(R113&gt;0,MIN(R113,01_Supuestos!$I$106*R81),0)</f>
        <v>0.508848763339655</v>
      </c>
      <c r="S115" s="116" t="n">
        <f aca="false">IF(S113&gt;0,MIN(S113,01_Supuestos!$I$106*S81),0)</f>
        <v>0.377055302562584</v>
      </c>
      <c r="T115" s="116" t="n">
        <f aca="false">IF(T113&gt;0,MIN(T113,01_Supuestos!$I$106*T81),0)</f>
        <v>0.259945953841593</v>
      </c>
      <c r="U115" s="116" t="n">
        <f aca="false">IF(U113&gt;0,MIN(U113,01_Supuestos!$I$106*U81),0)</f>
        <v>0.148729952283828</v>
      </c>
      <c r="V115" s="116" t="n">
        <f aca="false">IF(V113&gt;0,MIN(V113,01_Supuestos!$I$106*V81),0)</f>
        <v>0.0525313488822066</v>
      </c>
      <c r="W115" s="116" t="n">
        <f aca="false">IF(W113&gt;0,MIN(W113,01_Supuestos!$I$106*W81),0)</f>
        <v>0</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19.0872874005064</v>
      </c>
      <c r="D120" s="136" t="n">
        <f aca="false">D114-D115+D118+D119</f>
        <v>35.1009547714848</v>
      </c>
      <c r="E120" s="136" t="n">
        <f aca="false">E114-E115+E118+E119</f>
        <v>52.5958284334807</v>
      </c>
      <c r="F120" s="136" t="n">
        <f aca="false">F114-F115+F118+F119</f>
        <v>60.012755083567</v>
      </c>
      <c r="G120" s="136" t="n">
        <f aca="false">G114-G115+G118+G119</f>
        <v>70.3293152108917</v>
      </c>
      <c r="H120" s="136" t="n">
        <f aca="false">H114-H115+H118+H119</f>
        <v>81.8701903754187</v>
      </c>
      <c r="I120" s="136" t="n">
        <f aca="false">I114-I115+I118+I119</f>
        <v>94.7246416813146</v>
      </c>
      <c r="J120" s="136" t="n">
        <f aca="false">J114-J115+J118+J119</f>
        <v>108.621554244419</v>
      </c>
      <c r="K120" s="136" t="n">
        <f aca="false">K114-K115+K118+K119</f>
        <v>123.588597856861</v>
      </c>
      <c r="L120" s="136" t="n">
        <f aca="false">L114-L115+L118+L119</f>
        <v>139.655873621496</v>
      </c>
      <c r="M120" s="136" t="n">
        <f aca="false">M114-M115+M118+M119</f>
        <v>139.21173081533</v>
      </c>
      <c r="N120" s="136" t="n">
        <f aca="false">N114-N115+N118+N119</f>
        <v>139.681108050747</v>
      </c>
      <c r="O120" s="136" t="n">
        <f aca="false">O114-O115+O118+O119</f>
        <v>141.110632364956</v>
      </c>
      <c r="P120" s="136" t="n">
        <f aca="false">P114-P115+P118+P119</f>
        <v>142.185129881058</v>
      </c>
      <c r="Q120" s="136" t="n">
        <f aca="false">Q114-Q115+Q118+Q119</f>
        <v>143.091385025753</v>
      </c>
      <c r="R120" s="136" t="n">
        <f aca="false">R114-R115+R118+R119</f>
        <v>144.964390050212</v>
      </c>
      <c r="S120" s="136" t="n">
        <f aca="false">S114-S115+S118+S119</f>
        <v>146.599017367584</v>
      </c>
      <c r="T120" s="136" t="n">
        <f aca="false">T114-T115+T118+T119</f>
        <v>147.966818713874</v>
      </c>
      <c r="U120" s="136" t="n">
        <f aca="false">U114-U115+U118+U119</f>
        <v>149.338410332689</v>
      </c>
      <c r="V120" s="136" t="n">
        <f aca="false">V114-V115+V118+V119</f>
        <v>150.750319165238</v>
      </c>
      <c r="W120" s="136" t="n">
        <f aca="false">W114-W115+W118+W119</f>
        <v>152.27303655939</v>
      </c>
      <c r="X120" s="136" t="n">
        <f aca="false">X114-X115+X118+X119</f>
        <v>153.694591890865</v>
      </c>
      <c r="Y120" s="136" t="n">
        <f aca="false">Y114-Y115+Y118+Y119</f>
        <v>155.004582433457</v>
      </c>
      <c r="Z120" s="136" t="n">
        <f aca="false">Z114-Z115+Z118+Z119</f>
        <v>156.250655358765</v>
      </c>
      <c r="AA120" s="136" t="n">
        <f aca="false">AA114-AA115+AA118+AA119</f>
        <v>157.448986324205</v>
      </c>
      <c r="AB120" s="136" t="n">
        <f aca="false">AB114-AB115+AB118+AB119</f>
        <v>158.608770531948</v>
      </c>
      <c r="AC120" s="136" t="n">
        <f aca="false">AC114-AC115+AC118+AC119</f>
        <v>159.739207785323</v>
      </c>
      <c r="AD120" s="136" t="n">
        <f aca="false">AD114-AD115+AD118+AD119</f>
        <v>160.849532689716</v>
      </c>
      <c r="AE120" s="136" t="n">
        <f aca="false">AE114-AE115+AE118+AE119</f>
        <v>161.949046826257</v>
      </c>
      <c r="AF120" s="136" t="n">
        <f aca="false">AF114-AF115+AF118+AF119</f>
        <v>163.047142766117</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v>
      </c>
      <c r="M121" s="116" t="n">
        <f aca="false">L121+M115</f>
        <v>0</v>
      </c>
      <c r="N121" s="116" t="n">
        <f aca="false">M121+N115</f>
        <v>0.197555932145338</v>
      </c>
      <c r="O121" s="116" t="n">
        <f aca="false">N121+O115</f>
        <v>0.629773755799785</v>
      </c>
      <c r="P121" s="116" t="n">
        <f aca="false">O121+P115</f>
        <v>1.18618556360113</v>
      </c>
      <c r="Q121" s="116" t="n">
        <f aca="false">P121+Q115</f>
        <v>1.87815134390536</v>
      </c>
      <c r="R121" s="116" t="n">
        <f aca="false">Q121+R115</f>
        <v>2.38700010724502</v>
      </c>
      <c r="S121" s="116" t="n">
        <f aca="false">R121+S115</f>
        <v>2.7640554098076</v>
      </c>
      <c r="T121" s="116" t="n">
        <f aca="false">S121+T115</f>
        <v>3.02400136364919</v>
      </c>
      <c r="U121" s="116" t="n">
        <f aca="false">T121+U115</f>
        <v>3.17273131593302</v>
      </c>
      <c r="V121" s="116" t="n">
        <f aca="false">U121+V115</f>
        <v>3.22526266481523</v>
      </c>
      <c r="W121" s="116" t="n">
        <f aca="false">V121+W115</f>
        <v>3.22526266481523</v>
      </c>
      <c r="X121" s="116" t="n">
        <f aca="false">W121+X115</f>
        <v>3.22526266481523</v>
      </c>
      <c r="Y121" s="116" t="n">
        <f aca="false">X121+Y115</f>
        <v>3.22526266481523</v>
      </c>
      <c r="Z121" s="116" t="n">
        <f aca="false">Y121+Z115</f>
        <v>3.22526266481523</v>
      </c>
      <c r="AA121" s="116" t="n">
        <f aca="false">Z121+AA115</f>
        <v>3.22526266481523</v>
      </c>
      <c r="AB121" s="116" t="n">
        <f aca="false">AA121+AB115</f>
        <v>3.22526266481523</v>
      </c>
      <c r="AC121" s="116" t="n">
        <f aca="false">AB121+AC115</f>
        <v>3.22526266481523</v>
      </c>
      <c r="AD121" s="116" t="n">
        <f aca="false">AC121+AD115</f>
        <v>3.22526266481523</v>
      </c>
      <c r="AE121" s="116" t="n">
        <f aca="false">AD121+AE115</f>
        <v>3.22526266481523</v>
      </c>
      <c r="AF121" s="116" t="n">
        <f aca="false">AE121+AF115</f>
        <v>3.22526266481523</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0.308714112133284</v>
      </c>
      <c r="D122" s="87" t="n">
        <f aca="false">D276/(D81+D115)</f>
        <v>0.343752909018133</v>
      </c>
      <c r="E122" s="87" t="n">
        <f aca="false">E276/(E81+E115)</f>
        <v>0.381659100748013</v>
      </c>
      <c r="F122" s="87" t="n">
        <f aca="false">F276/(F81+F115)</f>
        <v>0.220039275699808</v>
      </c>
      <c r="G122" s="87" t="n">
        <f aca="false">G276/(G81+G115)</f>
        <v>0.246519471425467</v>
      </c>
      <c r="H122" s="87" t="n">
        <f aca="false">H276/(H81+H115)</f>
        <v>0.27486674924937</v>
      </c>
      <c r="I122" s="87" t="n">
        <f aca="false">I276/(I81+I115)</f>
        <v>0.305139123951866</v>
      </c>
      <c r="J122" s="87" t="n">
        <f aca="false">J276/(J81+J115)</f>
        <v>0.336269700238408</v>
      </c>
      <c r="K122" s="87" t="n">
        <f aca="false">K276/(K81+K115)</f>
        <v>0.368241837112721</v>
      </c>
      <c r="L122" s="87" t="n">
        <f aca="false">L276/(L81+L115)</f>
        <v>0.401048299294142</v>
      </c>
      <c r="M122" s="87" t="n">
        <f aca="false">M276/(M81+M115)</f>
        <v>0.387725598372382</v>
      </c>
      <c r="N122" s="87" t="n">
        <f aca="false">N276/(N81+N115)</f>
        <v>0.378507773359889</v>
      </c>
      <c r="O122" s="87" t="n">
        <f aca="false">O276/(O81+O115)</f>
        <v>0.372920421186275</v>
      </c>
      <c r="P122" s="87" t="n">
        <f aca="false">P276/(P81+P115)</f>
        <v>0.369077473626006</v>
      </c>
      <c r="Q122" s="87" t="n">
        <f aca="false">Q276/(Q81+Q115)</f>
        <v>0.364673484165291</v>
      </c>
      <c r="R122" s="87" t="n">
        <f aca="false">R276/(R81+R115)</f>
        <v>0.362970595712862</v>
      </c>
      <c r="S122" s="87" t="n">
        <f aca="false">S276/(S81+S115)</f>
        <v>0.360818875065224</v>
      </c>
      <c r="T122" s="87" t="n">
        <f aca="false">T276/(T81+T115)</f>
        <v>0.35816126998246</v>
      </c>
      <c r="U122" s="87" t="n">
        <f aca="false">U276/(U81+U115)</f>
        <v>0.355663818949778</v>
      </c>
      <c r="V122" s="87" t="n">
        <f aca="false">V276/(V81+V115)</f>
        <v>0.353393992566846</v>
      </c>
      <c r="W122" s="87" t="n">
        <f aca="false">W276/(W81+W115)</f>
        <v>0.351587058895005</v>
      </c>
      <c r="X122" s="87" t="n">
        <f aca="false">X276/(X81+X115)</f>
        <v>0.349699155346075</v>
      </c>
      <c r="Y122" s="87" t="n">
        <f aca="false">Y276/(Y81+Y115)</f>
        <v>0.347711824416519</v>
      </c>
      <c r="Z122" s="87" t="n">
        <f aca="false">Z276/(Z81+Z115)</f>
        <v>0.345735854807027</v>
      </c>
      <c r="AA122" s="87" t="n">
        <f aca="false">AA276/(AA81+AA115)</f>
        <v>0.343807247045012</v>
      </c>
      <c r="AB122" s="87" t="n">
        <f aca="false">AB276/(AB81+AB115)</f>
        <v>0.341942564937878</v>
      </c>
      <c r="AC122" s="87" t="n">
        <f aca="false">AC276/(AC81+AC115)</f>
        <v>0.340157637669066</v>
      </c>
      <c r="AD122" s="87" t="n">
        <f aca="false">AD276/(AD81+AD115)</f>
        <v>0.338467713832622</v>
      </c>
      <c r="AE122" s="87" t="n">
        <f aca="false">AE276/(AE81+AE115)</f>
        <v>0.336887606118141</v>
      </c>
      <c r="AF122" s="87" t="n">
        <f aca="false">AF276/(AF81+AF115)</f>
        <v>0.335431807386049</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2.33155256205148</v>
      </c>
      <c r="D127" s="116" t="n">
        <f aca="false">MAX(0,-D113)</f>
        <v>2.79733512063782</v>
      </c>
      <c r="E127" s="116" t="n">
        <f aca="false">MAX(0,-E113)</f>
        <v>3.05518281592214</v>
      </c>
      <c r="F127" s="116" t="n">
        <f aca="false">MAX(0,-F113)</f>
        <v>7.21835575351006</v>
      </c>
      <c r="G127" s="116" t="n">
        <f aca="false">MAX(0,-G113)</f>
        <v>6.05154528074688</v>
      </c>
      <c r="H127" s="116" t="n">
        <f aca="false">MAX(0,-H113)</f>
        <v>5.09978533434923</v>
      </c>
      <c r="I127" s="116" t="n">
        <f aca="false">MAX(0,-I113)</f>
        <v>4.11799040100415</v>
      </c>
      <c r="J127" s="116" t="n">
        <f aca="false">MAX(0,-J113)</f>
        <v>3.10127486418476</v>
      </c>
      <c r="K127" s="116" t="n">
        <f aca="false">MAX(0,-K113)</f>
        <v>2.05760449482201</v>
      </c>
      <c r="L127" s="116" t="n">
        <f aca="false">MAX(0,-L113)</f>
        <v>0.984566587643092</v>
      </c>
      <c r="M127" s="116" t="n">
        <f aca="false">MAX(0,-M113)</f>
        <v>0.0421315642886579</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0.0816227678095345</v>
      </c>
      <c r="X127" s="116" t="n">
        <f aca="false">MAX(0,-X113)</f>
        <v>0.204385624684736</v>
      </c>
      <c r="Y127" s="116" t="n">
        <f aca="false">MAX(0,-Y113)</f>
        <v>0.318362519413299</v>
      </c>
      <c r="Z127" s="116" t="n">
        <f aca="false">MAX(0,-Z113)</f>
        <v>0.425847254659497</v>
      </c>
      <c r="AA127" s="116" t="n">
        <f aca="false">MAX(0,-AA113)</f>
        <v>0.52555518351177</v>
      </c>
      <c r="AB127" s="116" t="n">
        <f aca="false">MAX(0,-AB113)</f>
        <v>0.617280035094955</v>
      </c>
      <c r="AC127" s="116" t="n">
        <f aca="false">MAX(0,-AC113)</f>
        <v>0.701032946458512</v>
      </c>
      <c r="AD127" s="116" t="n">
        <f aca="false">MAX(0,-AD113)</f>
        <v>0.776801148785794</v>
      </c>
      <c r="AE127" s="116" t="n">
        <f aca="false">MAX(0,-AE113)</f>
        <v>0.844548396636462</v>
      </c>
      <c r="AF127" s="116" t="n">
        <f aca="false">MAX(0,-AF113)</f>
        <v>0.904215226840385</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3.94003930444006</v>
      </c>
      <c r="D128" s="116" t="n">
        <f aca="false">IF(AVERAGE(E127:I127)&gt;0,D120/AVERAGE(E127:I127),99)</f>
        <v>6.87099160803555</v>
      </c>
      <c r="E128" s="116" t="n">
        <f aca="false">IF(AVERAGE(F127:J127)&gt;0,E120/AVERAGE(F127:J127),99)</f>
        <v>10.2770580808043</v>
      </c>
      <c r="F128" s="116" t="n">
        <f aca="false">IF(AVERAGE(G127:K127)&gt;0,F120/AVERAGE(G127:K127),99)</f>
        <v>14.6887033565365</v>
      </c>
      <c r="G128" s="116" t="n">
        <f aca="false">IF(AVERAGE(H127:L127)&gt;0,G120/AVERAGE(H127:L127),99)</f>
        <v>22.8918365566222</v>
      </c>
      <c r="H128" s="116" t="n">
        <f aca="false">IF(AVERAGE(I127:M127)&gt;0,H120/AVERAGE(I127:M127),99)</f>
        <v>39.7290487504453</v>
      </c>
      <c r="I128" s="116" t="n">
        <f aca="false">IF(AVERAGE(J127:N127)&gt;0,I120/AVERAGE(J127:N127),99)</f>
        <v>76.5689553754717</v>
      </c>
      <c r="J128" s="116" t="n">
        <f aca="false">IF(AVERAGE(K127:O127)&gt;0,J120/AVERAGE(K127:O127),99)</f>
        <v>176.087703907306</v>
      </c>
      <c r="K128" s="116" t="n">
        <f aca="false">IF(AVERAGE(L127:P127)&gt;0,K120/AVERAGE(L127:P127),99)</f>
        <v>601.874064077775</v>
      </c>
      <c r="L128" s="116" t="n">
        <f aca="false">IF(AVERAGE(M127:Q127)&gt;0,L120/AVERAGE(M127:Q127),99)</f>
        <v>16573.7821487787</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8880.14422571926</v>
      </c>
      <c r="S128" s="116" t="n">
        <f aca="false">IF(AVERAGE(T127:X127)&gt;0,S120/AVERAGE(T127:X127),99)</f>
        <v>2562.84467894628</v>
      </c>
      <c r="T128" s="116" t="n">
        <f aca="false">IF(AVERAGE(U127:Y127)&gt;0,T120/AVERAGE(U127:Y127),99)</f>
        <v>1224.13914864671</v>
      </c>
      <c r="U128" s="116" t="n">
        <f aca="false">IF(AVERAGE(V127:Z127)&gt;0,U120/AVERAGE(V127:Z127),99)</f>
        <v>724.790220067272</v>
      </c>
      <c r="V128" s="116" t="n">
        <f aca="false">IF(AVERAGE(W127:AA127)&gt;0,V120/AVERAGE(W127:AA127),99)</f>
        <v>484.486763954399</v>
      </c>
      <c r="W128" s="116" t="n">
        <f aca="false">IF(AVERAGE(X127:AB127)&gt;0,W120/AVERAGE(X127:AB127),99)</f>
        <v>364.040373357671</v>
      </c>
      <c r="X128" s="116" t="n">
        <f aca="false">IF(AVERAGE(Y127:AC127)&gt;0,X120/AVERAGE(Y127:AC127),99)</f>
        <v>296.928059172077</v>
      </c>
      <c r="Y128" s="116" t="n">
        <f aca="false">IF(AVERAGE(Z127:AD127)&gt;0,Y120/AVERAGE(Z127:AD127),99)</f>
        <v>254.396421203841</v>
      </c>
      <c r="Z128" s="116" t="n">
        <f aca="false">IF(AVERAGE(AA127:AE127)&gt;0,Z120/AVERAGE(AA127:AE127),99)</f>
        <v>225.455755472264</v>
      </c>
      <c r="AA128" s="116" t="n">
        <f aca="false">IF(AVERAGE(AB127:AF127)&gt;0,AA120/AVERAGE(AB127:AF127),99)</f>
        <v>204.804882475637</v>
      </c>
      <c r="AB128" s="116" t="n">
        <f aca="false">IF(AVERAGE(AC127:AF127)&gt;0,AB120/AVERAGE(AC127:AF127),99)</f>
        <v>196.626644358766</v>
      </c>
      <c r="AC128" s="116" t="n">
        <f aca="false">IF(AVERAGE(AD127:AF127)&gt;0,AC120/AVERAGE(AD127:AF127),99)</f>
        <v>189.746716702356</v>
      </c>
      <c r="AD128" s="116" t="n">
        <f aca="false">IF(AVERAGE(AE127:AF127)&gt;0,AD120/AVERAGE(AE127:AF127),99)</f>
        <v>183.958003849507</v>
      </c>
      <c r="AE128" s="116" t="n">
        <f aca="false">IF(AVERAGE(AF127:AF127)&gt;0,AE120/AVERAGE(AF127:AF127),99)</f>
        <v>179.104533985961</v>
      </c>
      <c r="AF128" s="116" t="n">
        <f aca="false">IF(AF127&gt;0,AF120/AF127,99)</f>
        <v>180.31895275183</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0.03</v>
      </c>
      <c r="D129" s="87" t="n">
        <f aca="false">D83/D41</f>
        <v>0.0593255131964809</v>
      </c>
      <c r="E129" s="87" t="n">
        <f aca="false">E83/E41</f>
        <v>0.0879917040043802</v>
      </c>
      <c r="F129" s="87" t="n">
        <f aca="false">F83/F41</f>
        <v>0.11601339589871</v>
      </c>
      <c r="G129" s="87" t="n">
        <f aca="false">G83/G41</f>
        <v>0.143405079079873</v>
      </c>
      <c r="H129" s="87" t="n">
        <f aca="false">H83/H41</f>
        <v>0.17018091796664</v>
      </c>
      <c r="I129" s="87" t="n">
        <f aca="false">I83/I41</f>
        <v>0.196354758520665</v>
      </c>
      <c r="J129" s="87" t="n">
        <f aca="false">J83/J41</f>
        <v>0.22194013540632</v>
      </c>
      <c r="K129" s="87" t="n">
        <f aca="false">K83/K41</f>
        <v>0.24695027898956</v>
      </c>
      <c r="L129" s="87" t="n">
        <f aca="false">L83/L41</f>
        <v>0.271398122179433</v>
      </c>
      <c r="M129" s="87" t="n">
        <f aca="false">M83/M41</f>
        <v>0.29529630711577</v>
      </c>
      <c r="N129" s="87" t="n">
        <f aca="false">N83/N41</f>
        <v>0.31865719170652</v>
      </c>
      <c r="O129" s="87" t="n">
        <f aca="false">O83/O41</f>
        <v>0.341492856018104</v>
      </c>
      <c r="P129" s="87" t="n">
        <f aca="false">P83/P41</f>
        <v>0.363815108522096</v>
      </c>
      <c r="Q129" s="87" t="n">
        <f aca="false">Q83/Q41</f>
        <v>0.385635492201462</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0.385711223884316</v>
      </c>
      <c r="X129" s="87" t="n">
        <f aca="false">X83/X41</f>
        <v>0.382409482299062</v>
      </c>
      <c r="Y129" s="87" t="n">
        <f aca="false">Y83/Y41</f>
        <v>0.37895133425977</v>
      </c>
      <c r="Z129" s="87" t="n">
        <f aca="false">Z83/Z41</f>
        <v>0.375347680633334</v>
      </c>
      <c r="AA129" s="87" t="n">
        <f aca="false">AA83/AA41</f>
        <v>0.371608976342939</v>
      </c>
      <c r="AB129" s="87" t="n">
        <f aca="false">AB83/AB41</f>
        <v>0.367745244593675</v>
      </c>
      <c r="AC129" s="87" t="n">
        <f aca="false">AC83/AC41</f>
        <v>0.363766090768775</v>
      </c>
      <c r="AD129" s="87" t="n">
        <f aca="false">AD83/AD41</f>
        <v>0.359680715996666</v>
      </c>
      <c r="AE129" s="87" t="n">
        <f aca="false">AE83/AE41</f>
        <v>0.355497930389671</v>
      </c>
      <c r="AF129" s="87" t="n">
        <f aca="false">AF83/AF41</f>
        <v>0.351226165955926</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0.674436573088052</v>
      </c>
      <c r="G136" s="116" t="n">
        <f aca="false">01_Supuestos!$C$152*MAX(0,G111-01_Supuestos!$C$153-01_Supuestos!$C$154-G59-0.05*SUM($C$51:G51))</f>
        <v>0.654037064030453</v>
      </c>
      <c r="H136" s="116" t="n">
        <f aca="false">01_Supuestos!$C$152*MAX(0,H111-01_Supuestos!$C$153-01_Supuestos!$C$154-H59-0.05*SUM($C$51:H51))</f>
        <v>0.635966009810634</v>
      </c>
      <c r="I136" s="116" t="n">
        <f aca="false">01_Supuestos!$C$152*MAX(0,I111-01_Supuestos!$C$153-01_Supuestos!$C$154-I59-0.05*SUM($C$51:I51))</f>
        <v>0.620074146547213</v>
      </c>
      <c r="J136" s="116" t="n">
        <f aca="false">01_Supuestos!$C$152*MAX(0,J111-01_Supuestos!$C$153-01_Supuestos!$C$154-J59-0.05*SUM($C$51:J51))</f>
        <v>0.606221791576975</v>
      </c>
      <c r="K136" s="116" t="n">
        <f aca="false">01_Supuestos!$C$152*MAX(0,K111-01_Supuestos!$C$153-01_Supuestos!$C$154-K59-0.05*SUM($C$51:K51))</f>
        <v>0.59427822779621</v>
      </c>
      <c r="L136" s="116" t="n">
        <f aca="false">01_Supuestos!$C$152*MAX(0,L111-01_Supuestos!$C$153-01_Supuestos!$C$154-L59-0.05*SUM($C$51:L51))</f>
        <v>0.584121127594575</v>
      </c>
      <c r="M136" s="116" t="n">
        <f aca="false">01_Supuestos!$C$152*MAX(0,M111-01_Supuestos!$C$153-01_Supuestos!$C$154-M59-0.05*SUM($C$51:M51))</f>
        <v>0.584858875776728</v>
      </c>
      <c r="N136" s="116" t="n">
        <f aca="false">01_Supuestos!$C$152*MAX(0,N111-01_Supuestos!$C$153-01_Supuestos!$C$154-N59-0.05*SUM($C$51:N51))</f>
        <v>0.592204356070011</v>
      </c>
      <c r="O136" s="116" t="n">
        <f aca="false">01_Supuestos!$C$152*MAX(0,O111-01_Supuestos!$C$153-01_Supuestos!$C$154-O59-0.05*SUM($C$51:O51))</f>
        <v>0.604888768795499</v>
      </c>
      <c r="P136" s="116" t="n">
        <f aca="false">01_Supuestos!$C$152*MAX(0,P111-01_Supuestos!$C$153-01_Supuestos!$C$154-P59-0.05*SUM($C$51:P51))</f>
        <v>0.63836165022772</v>
      </c>
      <c r="Q136" s="116" t="n">
        <f aca="false">01_Supuestos!$C$152*MAX(0,Q111-01_Supuestos!$C$153-01_Supuestos!$C$154-Q59-0.05*SUM($C$51:Q51))</f>
        <v>0.670695287511998</v>
      </c>
      <c r="R136" s="116" t="n">
        <f aca="false">01_Supuestos!$C$152*MAX(0,R111-01_Supuestos!$C$153-01_Supuestos!$C$154-R59-0.05*SUM($C$51:R51))</f>
        <v>0.701463224015755</v>
      </c>
      <c r="S136" s="116" t="n">
        <f aca="false">01_Supuestos!$C$152*MAX(0,S111-01_Supuestos!$C$153-01_Supuestos!$C$154-S59-0.05*SUM($C$51:S51))</f>
        <v>0.73073469969335</v>
      </c>
      <c r="T136" s="116" t="n">
        <f aca="false">01_Supuestos!$C$152*MAX(0,T111-01_Supuestos!$C$153-01_Supuestos!$C$154-T59-0.05*SUM($C$51:T51))</f>
        <v>0.758574461907152</v>
      </c>
      <c r="U136" s="116" t="n">
        <f aca="false">01_Supuestos!$C$152*MAX(0,U111-01_Supuestos!$C$153-01_Supuestos!$C$154-U59-0.05*SUM($C$51:U51))</f>
        <v>0.785043056523277</v>
      </c>
      <c r="V136" s="116" t="n">
        <f aca="false">01_Supuestos!$C$152*MAX(0,V111-01_Supuestos!$C$153-01_Supuestos!$C$154-V59-0.05*SUM($C$51:V51))</f>
        <v>0.810197100165926</v>
      </c>
      <c r="W136" s="116" t="n">
        <f aca="false">01_Supuestos!$C$152*MAX(0,W111-01_Supuestos!$C$153-01_Supuestos!$C$154-W59-0.05*SUM($C$51:W51))</f>
        <v>0.834089534848869</v>
      </c>
      <c r="X136" s="116" t="n">
        <f aca="false">01_Supuestos!$C$152*MAX(0,X111-01_Supuestos!$C$153-01_Supuestos!$C$154-X59-0.05*SUM($C$51:X51))</f>
        <v>0.856769866123831</v>
      </c>
      <c r="Y136" s="116" t="n">
        <f aca="false">01_Supuestos!$C$152*MAX(0,Y111-01_Supuestos!$C$153-01_Supuestos!$C$154-Y59-0.05*SUM($C$51:Y51))</f>
        <v>0.878284385811889</v>
      </c>
      <c r="Z136" s="116" t="n">
        <f aca="false">01_Supuestos!$C$152*MAX(0,Z111-01_Supuestos!$C$153-01_Supuestos!$C$154-Z59-0.05*SUM($C$51:Z51))</f>
        <v>0.898676380315068</v>
      </c>
      <c r="AA136" s="116" t="n">
        <f aca="false">01_Supuestos!$C$152*MAX(0,AA111-01_Supuestos!$C$153-01_Supuestos!$C$154-AA59-0.05*SUM($C$51:AA51))</f>
        <v>0.917986325440875</v>
      </c>
      <c r="AB136" s="116" t="n">
        <f aca="false">01_Supuestos!$C$152*MAX(0,AB111-01_Supuestos!$C$153-01_Supuestos!$C$154-AB59-0.05*SUM($C$51:AB51))</f>
        <v>0.936252068612208</v>
      </c>
      <c r="AC136" s="116" t="n">
        <f aca="false">01_Supuestos!$C$152*MAX(0,AC111-01_Supuestos!$C$153-01_Supuestos!$C$154-AC59-0.05*SUM($C$51:AC51))</f>
        <v>0.953508999278695</v>
      </c>
      <c r="AD136" s="116" t="n">
        <f aca="false">01_Supuestos!$C$152*MAX(0,AD111-01_Supuestos!$C$153-01_Supuestos!$C$154-AD59-0.05*SUM($C$51:AD51))</f>
        <v>0.969790208292742</v>
      </c>
      <c r="AE136" s="116" t="n">
        <f aca="false">01_Supuestos!$C$152*MAX(0,AE111-01_Supuestos!$C$153-01_Supuestos!$C$154-AE59-0.05*SUM($C$51:AE51))</f>
        <v>0.985126636964244</v>
      </c>
      <c r="AF136" s="116" t="n">
        <f aca="false">01_Supuestos!$C$152*MAX(0,AF111-01_Supuestos!$C$153-01_Supuestos!$C$154-AF59-0.05*SUM($C$51:AF51))</f>
        <v>0.999547216461745</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0.0246796875</v>
      </c>
      <c r="D139" s="116" t="n">
        <f aca="false">(1-D55)*D88</f>
        <v>0.0499270078125</v>
      </c>
      <c r="E139" s="116" t="n">
        <f aca="false">(1-E55)*E88</f>
        <v>0.0757550164921875</v>
      </c>
      <c r="F139" s="116" t="n">
        <f aca="false">(1-F55)*F88</f>
        <v>0.102177069371508</v>
      </c>
      <c r="G139" s="116" t="n">
        <f aca="false">(1-G55)*G88</f>
        <v>0.129206829467052</v>
      </c>
      <c r="H139" s="116" t="n">
        <f aca="false">(1-H55)*H88</f>
        <v>0.156858274044795</v>
      </c>
      <c r="I139" s="116" t="n">
        <f aca="false">(1-I55)*I88</f>
        <v>0.185145701847825</v>
      </c>
      <c r="J139" s="116" t="n">
        <f aca="false">(1-J55)*J88</f>
        <v>0.214083740490325</v>
      </c>
      <c r="K139" s="116" t="n">
        <f aca="false">(1-K55)*K88</f>
        <v>0.243687354021602</v>
      </c>
      <c r="L139" s="116" t="n">
        <f aca="false">(1-L55)*L88</f>
        <v>0.273971850664099</v>
      </c>
      <c r="M139" s="116" t="n">
        <f aca="false">(1-M55)*M88</f>
        <v>0.304952890729374</v>
      </c>
      <c r="N139" s="116" t="n">
        <f aca="false">(1-N55)*N88</f>
        <v>0.336646494716149</v>
      </c>
      <c r="O139" s="116" t="n">
        <f aca="false">(1-O55)*O88</f>
        <v>0.36906905159462</v>
      </c>
      <c r="P139" s="116" t="n">
        <f aca="false">(1-P55)*P88</f>
        <v>0.402237327281297</v>
      </c>
      <c r="Q139" s="116" t="n">
        <f aca="false">(1-Q55)*Q88</f>
        <v>0.436168473308766</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0.500026881230479</v>
      </c>
      <c r="X139" s="116" t="n">
        <f aca="false">(1-X55)*X88</f>
        <v>0.507148753140072</v>
      </c>
      <c r="Y139" s="116" t="n">
        <f aca="false">(1-Y55)*Y88</f>
        <v>0.514121521025148</v>
      </c>
      <c r="Z139" s="116" t="n">
        <f aca="false">(1-Z55)*Z88</f>
        <v>0.520944807430592</v>
      </c>
      <c r="AA139" s="116" t="n">
        <f aca="false">(1-AA55)*AA88</f>
        <v>0.527618246950571</v>
      </c>
      <c r="AB139" s="116" t="n">
        <f aca="false">(1-AB55)*AB88</f>
        <v>0.534141485385204</v>
      </c>
      <c r="AC139" s="116" t="n">
        <f aca="false">(1-AC55)*AC88</f>
        <v>0.540514178930894</v>
      </c>
      <c r="AD139" s="116" t="n">
        <f aca="false">(1-AD55)*AD88</f>
        <v>0.546735993402336</v>
      </c>
      <c r="AE139" s="116" t="n">
        <f aca="false">(1-AE55)*AE88</f>
        <v>0.55280660348432</v>
      </c>
      <c r="AF139" s="116" t="n">
        <f aca="false">(1-AF55)*AF88</f>
        <v>0.558725692011498</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-18.8066203125</v>
      </c>
      <c r="D140" s="116" t="n">
        <f aca="false">SUM(D133:D139)</f>
        <v>-18.7400860990875</v>
      </c>
      <c r="E140" s="116" t="n">
        <f aca="false">SUM(E133:E139)</f>
        <v>-18.6918256300898</v>
      </c>
      <c r="F140" s="116" t="n">
        <f aca="false">SUM(F133:F139)</f>
        <v>-17.9315372905651</v>
      </c>
      <c r="G140" s="116" t="n">
        <f aca="false">SUM(G133:G139)</f>
        <v>-17.9509990298176</v>
      </c>
      <c r="H140" s="116" t="n">
        <f aca="false">SUM(H133:H139)</f>
        <v>-17.9683122453735</v>
      </c>
      <c r="I140" s="116" t="n">
        <f aca="false">SUM(I133:I139)</f>
        <v>-17.9836274632857</v>
      </c>
      <c r="J140" s="116" t="n">
        <f aca="false">SUM(J133:J139)</f>
        <v>-17.9970858229248</v>
      </c>
      <c r="K140" s="116" t="n">
        <f aca="false">SUM(K133:K139)</f>
        <v>-18.0088196941279</v>
      </c>
      <c r="L140" s="116" t="n">
        <f aca="false">SUM(L133:L139)</f>
        <v>-18.0189532549271</v>
      </c>
      <c r="M140" s="116" t="n">
        <f aca="false">SUM(M133:M139)</f>
        <v>2.58161982953446</v>
      </c>
      <c r="N140" s="116" t="n">
        <f aca="false">SUM(N133:N139)</f>
        <v>2.58861019149771</v>
      </c>
      <c r="O140" s="116" t="n">
        <f aca="false">SUM(O133:O139)</f>
        <v>2.60074657606872</v>
      </c>
      <c r="P140" s="116" t="n">
        <f aca="false">SUM(P133:P139)</f>
        <v>2.63347585821036</v>
      </c>
      <c r="Q140" s="116" t="n">
        <f aca="false">SUM(Q133:Q139)</f>
        <v>2.6648674551115</v>
      </c>
      <c r="R140" s="116" t="n">
        <f aca="false">SUM(R133:R139)</f>
        <v>2.67295487543025</v>
      </c>
      <c r="S140" s="116" t="n">
        <f aca="false">SUM(S133:S139)</f>
        <v>2.67570293282979</v>
      </c>
      <c r="T140" s="116" t="n">
        <f aca="false">SUM(T133:T139)</f>
        <v>2.67623191985376</v>
      </c>
      <c r="U140" s="116" t="n">
        <f aca="false">SUM(U133:U139)</f>
        <v>2.67458533109069</v>
      </c>
      <c r="V140" s="116" t="n">
        <f aca="false">SUM(V133:V139)</f>
        <v>2.67080220142944</v>
      </c>
      <c r="W140" s="116" t="n">
        <f aca="false">SUM(W133:W139)</f>
        <v>2.66149436632876</v>
      </c>
      <c r="X140" s="116" t="n">
        <f aca="false">SUM(X133:X139)</f>
        <v>2.64908114849475</v>
      </c>
      <c r="Y140" s="116" t="n">
        <f aca="false">SUM(Y133:Y139)</f>
        <v>2.63420866324209</v>
      </c>
      <c r="Z140" s="116" t="n">
        <f aca="false">SUM(Z133:Z139)</f>
        <v>2.61689387971097</v>
      </c>
      <c r="AA140" s="116" t="n">
        <f aca="false">SUM(AA133:AA139)</f>
        <v>2.59715023993152</v>
      </c>
      <c r="AB140" s="116" t="n">
        <f aca="false">SUM(AB133:AB139)</f>
        <v>2.57498782437835</v>
      </c>
      <c r="AC140" s="116" t="n">
        <f aca="false">SUM(AC133:AC139)</f>
        <v>2.55041350529284</v>
      </c>
      <c r="AD140" s="116" t="n">
        <f aca="false">SUM(AD133:AD139)</f>
        <v>2.52343108852492</v>
      </c>
      <c r="AE140" s="116" t="n">
        <f aca="false">SUM(AE133:AE139)</f>
        <v>2.49404144459657</v>
      </c>
      <c r="AF140" s="116" t="n">
        <f aca="false">SUM(AF133:AF139)</f>
        <v>2.46224262964295</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-1.30913548722144</v>
      </c>
      <c r="G141" s="116" t="n">
        <f aca="false">-G85*01_Supuestos!$I$126</f>
        <v>-1.36938762305575</v>
      </c>
      <c r="H141" s="116" t="n">
        <f aca="false">-H85*01_Supuestos!$I$126</f>
        <v>-1.42969971768206</v>
      </c>
      <c r="I141" s="116" t="n">
        <f aca="false">-I85*01_Supuestos!$I$126</f>
        <v>-1.49006877316077</v>
      </c>
      <c r="J141" s="116" t="n">
        <f aca="false">-J85*01_Supuestos!$I$126</f>
        <v>-1.55049194144926</v>
      </c>
      <c r="K141" s="116" t="n">
        <f aca="false">-K85*01_Supuestos!$I$126</f>
        <v>-1.61096651690704</v>
      </c>
      <c r="L141" s="116" t="n">
        <f aca="false">-L85*01_Supuestos!$I$126</f>
        <v>-1.67148992917565</v>
      </c>
      <c r="M141" s="116" t="n">
        <f aca="false">-M85*01_Supuestos!$I$126</f>
        <v>-1.33719194334052</v>
      </c>
      <c r="N141" s="116" t="n">
        <f aca="false">-N85*01_Supuestos!$I$126</f>
        <v>-1.10650037928297</v>
      </c>
      <c r="O141" s="116" t="n">
        <f aca="false">-O85*01_Supuestos!$I$126</f>
        <v>-1.13388359691123</v>
      </c>
      <c r="P141" s="116" t="n">
        <f aca="false">-P85*01_Supuestos!$I$126</f>
        <v>-1.15406477741806</v>
      </c>
      <c r="Q141" s="116" t="n">
        <f aca="false">-Q85*01_Supuestos!$I$126</f>
        <v>-1.1750707111103</v>
      </c>
      <c r="R141" s="116" t="n">
        <f aca="false">-R85*01_Supuestos!$I$126</f>
        <v>-1.1966233184298</v>
      </c>
      <c r="S141" s="116" t="n">
        <f aca="false">-S85*01_Supuestos!$I$126</f>
        <v>-1.21775476965555</v>
      </c>
      <c r="T141" s="116" t="n">
        <f aca="false">-T85*01_Supuestos!$I$126</f>
        <v>-1.23860725768725</v>
      </c>
      <c r="U141" s="116" t="n">
        <f aca="false">-U85*01_Supuestos!$I$126</f>
        <v>-1.25921309266727</v>
      </c>
      <c r="V141" s="116" t="n">
        <f aca="false">-V85*01_Supuestos!$I$126</f>
        <v>-1.27957824472874</v>
      </c>
      <c r="W141" s="116" t="n">
        <f aca="false">-W85*01_Supuestos!$I$126</f>
        <v>-1.29930581379729</v>
      </c>
      <c r="X141" s="116" t="n">
        <f aca="false">-X85*01_Supuestos!$I$126</f>
        <v>-1.31851555436641</v>
      </c>
      <c r="Y141" s="116" t="n">
        <f aca="false">-Y85*01_Supuestos!$I$126</f>
        <v>-1.33735385065116</v>
      </c>
      <c r="Z141" s="116" t="n">
        <f aca="false">-Z85*01_Supuestos!$I$126</f>
        <v>-1.35580952787766</v>
      </c>
      <c r="AA141" s="116" t="n">
        <f aca="false">-AA85*01_Supuestos!$I$126</f>
        <v>-1.37387144405008</v>
      </c>
      <c r="AB141" s="116" t="n">
        <f aca="false">-AB85*01_Supuestos!$I$126</f>
        <v>-1.39153869797488</v>
      </c>
      <c r="AC141" s="116" t="n">
        <f aca="false">-AC85*01_Supuestos!$I$126</f>
        <v>-1.40881041695789</v>
      </c>
      <c r="AD141" s="116" t="n">
        <f aca="false">-AD85*01_Supuestos!$I$126</f>
        <v>-1.42568575479485</v>
      </c>
      <c r="AE141" s="116" t="n">
        <f aca="false">-AE85*01_Supuestos!$I$126</f>
        <v>-1.44216388984163</v>
      </c>
      <c r="AF141" s="116" t="n">
        <f aca="false">-AF85*01_Supuestos!$I$126</f>
        <v>-1.45824402315966</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0.883666453874474</v>
      </c>
      <c r="G142" s="116" t="n">
        <f aca="false">G85*01_Supuestos!$I$101</f>
        <v>0.924336645562633</v>
      </c>
      <c r="H142" s="116" t="n">
        <f aca="false">H85*01_Supuestos!$I$101</f>
        <v>0.965047309435392</v>
      </c>
      <c r="I142" s="116" t="n">
        <f aca="false">I85*01_Supuestos!$I$101</f>
        <v>1.00579642188352</v>
      </c>
      <c r="J142" s="116" t="n">
        <f aca="false">J85*01_Supuestos!$I$101</f>
        <v>1.04658206047825</v>
      </c>
      <c r="K142" s="116" t="n">
        <f aca="false">K85*01_Supuestos!$I$101</f>
        <v>1.08740239891225</v>
      </c>
      <c r="L142" s="116" t="n">
        <f aca="false">L85*01_Supuestos!$I$101</f>
        <v>1.12825570219356</v>
      </c>
      <c r="M142" s="116" t="n">
        <f aca="false">M85*01_Supuestos!$I$101</f>
        <v>0.902604561754851</v>
      </c>
      <c r="N142" s="116" t="n">
        <f aca="false">N85*01_Supuestos!$I$101</f>
        <v>0.746887756016007</v>
      </c>
      <c r="O142" s="116" t="n">
        <f aca="false">O85*01_Supuestos!$I$101</f>
        <v>0.76537142791508</v>
      </c>
      <c r="P142" s="116" t="n">
        <f aca="false">P85*01_Supuestos!$I$101</f>
        <v>0.778993724757194</v>
      </c>
      <c r="Q142" s="116" t="n">
        <f aca="false">Q85*01_Supuestos!$I$101</f>
        <v>0.793172729999452</v>
      </c>
      <c r="R142" s="116" t="n">
        <f aca="false">R85*01_Supuestos!$I$101</f>
        <v>0.807720739940113</v>
      </c>
      <c r="S142" s="116" t="n">
        <f aca="false">S85*01_Supuestos!$I$101</f>
        <v>0.821984469517499</v>
      </c>
      <c r="T142" s="116" t="n">
        <f aca="false">T85*01_Supuestos!$I$101</f>
        <v>0.836059898938894</v>
      </c>
      <c r="U142" s="116" t="n">
        <f aca="false">U85*01_Supuestos!$I$101</f>
        <v>0.849968837550408</v>
      </c>
      <c r="V142" s="116" t="n">
        <f aca="false">V85*01_Supuestos!$I$101</f>
        <v>0.863715315191897</v>
      </c>
      <c r="W142" s="116" t="n">
        <f aca="false">W85*01_Supuestos!$I$101</f>
        <v>0.877031424313167</v>
      </c>
      <c r="X142" s="116" t="n">
        <f aca="false">X85*01_Supuestos!$I$101</f>
        <v>0.889997999197325</v>
      </c>
      <c r="Y142" s="116" t="n">
        <f aca="false">Y85*01_Supuestos!$I$101</f>
        <v>0.902713849189531</v>
      </c>
      <c r="Z142" s="116" t="n">
        <f aca="false">Z85*01_Supuestos!$I$101</f>
        <v>0.915171431317421</v>
      </c>
      <c r="AA142" s="116" t="n">
        <f aca="false">AA85*01_Supuestos!$I$101</f>
        <v>0.927363224733807</v>
      </c>
      <c r="AB142" s="116" t="n">
        <f aca="false">AB85*01_Supuestos!$I$101</f>
        <v>0.939288621133041</v>
      </c>
      <c r="AC142" s="116" t="n">
        <f aca="false">AC85*01_Supuestos!$I$101</f>
        <v>0.950947031446576</v>
      </c>
      <c r="AD142" s="116" t="n">
        <f aca="false">AD85*01_Supuestos!$I$101</f>
        <v>0.962337884486524</v>
      </c>
      <c r="AE142" s="116" t="n">
        <f aca="false">AE85*01_Supuestos!$I$101</f>
        <v>0.973460625643098</v>
      </c>
      <c r="AF142" s="116" t="n">
        <f aca="false">AF85*01_Supuestos!$I$101</f>
        <v>0.984314715632773</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-18.8988855669246</v>
      </c>
      <c r="D148" s="136" t="n">
        <f aca="false">D140+D141+D142+D144+D145+D146+D147</f>
        <v>-18.8917785804617</v>
      </c>
      <c r="E148" s="136" t="n">
        <f aca="false">E140+E141+E142+E144+E145+E146+E147</f>
        <v>-18.8963585339497</v>
      </c>
      <c r="F148" s="136" t="n">
        <f aca="false">F140+F141+F142+F144+F145+F146+F147</f>
        <v>-18.357006323912</v>
      </c>
      <c r="G148" s="136" t="n">
        <f aca="false">G140+G141+G142+G144+G145+G146+G147</f>
        <v>-18.3960500073107</v>
      </c>
      <c r="H148" s="136" t="n">
        <f aca="false">H140+H141+H142+H144+H145+H146+H147</f>
        <v>-18.4329646536202</v>
      </c>
      <c r="I148" s="136" t="n">
        <f aca="false">I140+I141+I142+I144+I145+I146+I147</f>
        <v>-18.4678998145629</v>
      </c>
      <c r="J148" s="136" t="n">
        <f aca="false">J140+J141+J142+J144+J145+J146+J147</f>
        <v>-18.5009957038958</v>
      </c>
      <c r="K148" s="136" t="n">
        <f aca="false">K140+K141+K142+K144+K145+K146+K147</f>
        <v>-18.5323838121227</v>
      </c>
      <c r="L148" s="136" t="n">
        <f aca="false">L140+L141+L142+L144+L145+L146+L147</f>
        <v>-18.5621874819092</v>
      </c>
      <c r="M148" s="136" t="n">
        <f aca="false">M140+M141+M142+M144+M145+M146+M147</f>
        <v>2.14703244794879</v>
      </c>
      <c r="N148" s="136" t="n">
        <f aca="false">N140+N141+N142+N144+N145+N146+N147</f>
        <v>2.22899756823074</v>
      </c>
      <c r="O148" s="136" t="n">
        <f aca="false">O140+O141+O142+O144+O145+O146+O147</f>
        <v>2.23223440707257</v>
      </c>
      <c r="P148" s="136" t="n">
        <f aca="false">P140+P141+P142+P144+P145+P146+P147</f>
        <v>2.25840480554949</v>
      </c>
      <c r="Q148" s="136" t="n">
        <f aca="false">Q140+Q141+Q142+Q144+Q145+Q146+Q147</f>
        <v>2.28296947400065</v>
      </c>
      <c r="R148" s="136" t="n">
        <f aca="false">R140+R141+R142+R144+R145+R146+R147</f>
        <v>2.28405229694057</v>
      </c>
      <c r="S148" s="136" t="n">
        <f aca="false">S140+S141+S142+S144+S145+S146+S147</f>
        <v>2.27993263269173</v>
      </c>
      <c r="T148" s="136" t="n">
        <f aca="false">T140+T141+T142+T144+T145+T146+T147</f>
        <v>2.2736845611054</v>
      </c>
      <c r="U148" s="136" t="n">
        <f aca="false">U140+U141+U142+U144+U145+U146+U147</f>
        <v>2.26534107597383</v>
      </c>
      <c r="V148" s="136" t="n">
        <f aca="false">V140+V141+V142+V144+V145+V146+V147</f>
        <v>2.25493927189261</v>
      </c>
      <c r="W148" s="136" t="n">
        <f aca="false">W140+W141+W142+W144+W145+W146+W147</f>
        <v>2.23921997684465</v>
      </c>
      <c r="X148" s="136" t="n">
        <f aca="false">X140+X141+X142+X144+X145+X146+X147</f>
        <v>2.22056359332566</v>
      </c>
      <c r="Y148" s="136" t="n">
        <f aca="false">Y140+Y141+Y142+Y144+Y145+Y146+Y147</f>
        <v>2.19956866178046</v>
      </c>
      <c r="Z148" s="136" t="n">
        <f aca="false">Z140+Z141+Z142+Z144+Z145+Z146+Z147</f>
        <v>2.17625578315073</v>
      </c>
      <c r="AA148" s="136" t="n">
        <f aca="false">AA140+AA141+AA142+AA144+AA145+AA146+AA147</f>
        <v>2.15064202061524</v>
      </c>
      <c r="AB148" s="136" t="n">
        <f aca="false">AB140+AB141+AB142+AB144+AB145+AB146+AB147</f>
        <v>2.12273774753651</v>
      </c>
      <c r="AC148" s="136" t="n">
        <f aca="false">AC140+AC141+AC142+AC144+AC145+AC146+AC147</f>
        <v>2.09255011978152</v>
      </c>
      <c r="AD148" s="136" t="n">
        <f aca="false">AD140+AD141+AD142+AD144+AD145+AD146+AD147</f>
        <v>2.06008321821659</v>
      </c>
      <c r="AE148" s="136" t="n">
        <f aca="false">AE140+AE141+AE142+AE144+AE145+AE146+AE147</f>
        <v>2.02533818039804</v>
      </c>
      <c r="AF148" s="136" t="n">
        <f aca="false">AF140+AF141+AF142+AF144+AF145+AF146+AF147</f>
        <v>1.98831332211606</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-18.8988855669246</v>
      </c>
      <c r="D149" s="138" t="n">
        <f aca="false">C149+D148</f>
        <v>-37.7906641473863</v>
      </c>
      <c r="E149" s="138" t="n">
        <f aca="false">D149+E148</f>
        <v>-56.6870226813359</v>
      </c>
      <c r="F149" s="138" t="n">
        <f aca="false">E149+F148</f>
        <v>-75.044029005248</v>
      </c>
      <c r="G149" s="138" t="n">
        <f aca="false">F149+G148</f>
        <v>-93.4400790125587</v>
      </c>
      <c r="H149" s="138" t="n">
        <f aca="false">G149+H148</f>
        <v>-111.873043666179</v>
      </c>
      <c r="I149" s="138" t="n">
        <f aca="false">H149+I148</f>
        <v>-130.340943480742</v>
      </c>
      <c r="J149" s="138" t="n">
        <f aca="false">I149+J148</f>
        <v>-148.841939184638</v>
      </c>
      <c r="K149" s="138" t="n">
        <f aca="false">J149+K148</f>
        <v>-167.37432299676</v>
      </c>
      <c r="L149" s="138" t="n">
        <f aca="false">K149+L148</f>
        <v>-185.93651047867</v>
      </c>
      <c r="M149" s="138" t="n">
        <f aca="false">L149+M148</f>
        <v>-183.789478030721</v>
      </c>
      <c r="N149" s="138" t="n">
        <f aca="false">M149+N148</f>
        <v>-181.56048046249</v>
      </c>
      <c r="O149" s="138" t="n">
        <f aca="false">N149+O148</f>
        <v>-179.328246055417</v>
      </c>
      <c r="P149" s="138" t="n">
        <f aca="false">O149+P148</f>
        <v>-177.069841249868</v>
      </c>
      <c r="Q149" s="138" t="n">
        <f aca="false">P149+Q148</f>
        <v>-174.786871775867</v>
      </c>
      <c r="R149" s="138" t="n">
        <f aca="false">Q149+R148</f>
        <v>-172.502819478927</v>
      </c>
      <c r="S149" s="138" t="n">
        <f aca="false">R149+S148</f>
        <v>-170.222886846235</v>
      </c>
      <c r="T149" s="138" t="n">
        <f aca="false">S149+T148</f>
        <v>-167.94920228513</v>
      </c>
      <c r="U149" s="138" t="n">
        <f aca="false">T149+U148</f>
        <v>-165.683861209156</v>
      </c>
      <c r="V149" s="138" t="n">
        <f aca="false">U149+V148</f>
        <v>-163.428921937263</v>
      </c>
      <c r="W149" s="138" t="n">
        <f aca="false">V149+W148</f>
        <v>-161.189701960419</v>
      </c>
      <c r="X149" s="138" t="n">
        <f aca="false">W149+X148</f>
        <v>-158.969138367093</v>
      </c>
      <c r="Y149" s="138" t="n">
        <f aca="false">X149+Y148</f>
        <v>-156.769569705312</v>
      </c>
      <c r="Z149" s="138" t="n">
        <f aca="false">Y149+Z148</f>
        <v>-154.593313922162</v>
      </c>
      <c r="AA149" s="138" t="n">
        <f aca="false">Z149+AA148</f>
        <v>-152.442671901546</v>
      </c>
      <c r="AB149" s="138" t="n">
        <f aca="false">AA149+AB148</f>
        <v>-150.31993415401</v>
      </c>
      <c r="AC149" s="138" t="n">
        <f aca="false">AB149+AC148</f>
        <v>-148.227384034228</v>
      </c>
      <c r="AD149" s="138" t="n">
        <f aca="false">AC149+AD148</f>
        <v>-146.167300816012</v>
      </c>
      <c r="AE149" s="138" t="n">
        <f aca="false">AD149+AE148</f>
        <v>-144.141962635614</v>
      </c>
      <c r="AF149" s="138" t="n">
        <f aca="false">AE149+AF148</f>
        <v>-142.153649313498</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9.75</v>
      </c>
      <c r="D152" s="116" t="n">
        <f aca="false">D83</f>
        <v>19.72425</v>
      </c>
      <c r="E152" s="116" t="n">
        <f aca="false">E83</f>
        <v>29.92790775</v>
      </c>
      <c r="F152" s="116" t="n">
        <f aca="false">F83</f>
        <v>40.36624962825</v>
      </c>
      <c r="G152" s="116" t="n">
        <f aca="false">G83</f>
        <v>51.0446733696997</v>
      </c>
      <c r="H152" s="116" t="n">
        <f aca="false">H83</f>
        <v>61.9687008572028</v>
      </c>
      <c r="I152" s="116" t="n">
        <f aca="false">I83</f>
        <v>73.1439809769185</v>
      </c>
      <c r="J152" s="116" t="n">
        <f aca="false">J83</f>
        <v>84.5762925393876</v>
      </c>
      <c r="K152" s="116" t="n">
        <f aca="false">K83</f>
        <v>96.2715472677935</v>
      </c>
      <c r="L152" s="116" t="n">
        <f aca="false">L83</f>
        <v>108.235792854953</v>
      </c>
      <c r="M152" s="116" t="n">
        <f aca="false">M83</f>
        <v>120.475216090617</v>
      </c>
      <c r="N152" s="116" t="n">
        <f aca="false">N83</f>
        <v>132.996146060701</v>
      </c>
      <c r="O152" s="116" t="n">
        <f aca="false">O83</f>
        <v>145.805057420097</v>
      </c>
      <c r="P152" s="116" t="n">
        <f aca="false">P83</f>
        <v>158.908573740759</v>
      </c>
      <c r="Q152" s="116" t="n">
        <f aca="false">Q83</f>
        <v>172.313470936797</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197.541483942905</v>
      </c>
      <c r="X152" s="116" t="n">
        <f aca="false">X83</f>
        <v>200.355062968917</v>
      </c>
      <c r="Y152" s="116" t="n">
        <f aca="false">Y83</f>
        <v>203.109736701293</v>
      </c>
      <c r="Z152" s="116" t="n">
        <f aca="false">Z83</f>
        <v>205.805356021962</v>
      </c>
      <c r="AA152" s="116" t="n">
        <f aca="false">AA83</f>
        <v>208.441776573065</v>
      </c>
      <c r="AB152" s="116" t="n">
        <f aca="false">AB83</f>
        <v>211.018858423784</v>
      </c>
      <c r="AC152" s="116" t="n">
        <f aca="false">AC83</f>
        <v>213.536465750477</v>
      </c>
      <c r="AD152" s="116" t="n">
        <f aca="false">AD83</f>
        <v>215.994466529318</v>
      </c>
      <c r="AE152" s="116" t="n">
        <f aca="false">AE83</f>
        <v>218.392732240719</v>
      </c>
      <c r="AF152" s="116" t="n">
        <f aca="false">AF83</f>
        <v>220.731137584789</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19.0872874005064</v>
      </c>
      <c r="D153" s="116" t="n">
        <f aca="false">D120</f>
        <v>35.1009547714848</v>
      </c>
      <c r="E153" s="116" t="n">
        <f aca="false">E120</f>
        <v>52.5958284334807</v>
      </c>
      <c r="F153" s="116" t="n">
        <f aca="false">F120</f>
        <v>60.012755083567</v>
      </c>
      <c r="G153" s="116" t="n">
        <f aca="false">G120</f>
        <v>70.3293152108917</v>
      </c>
      <c r="H153" s="116" t="n">
        <f aca="false">H120</f>
        <v>81.8701903754187</v>
      </c>
      <c r="I153" s="116" t="n">
        <f aca="false">I120</f>
        <v>94.7246416813146</v>
      </c>
      <c r="J153" s="116" t="n">
        <f aca="false">J120</f>
        <v>108.621554244419</v>
      </c>
      <c r="K153" s="116" t="n">
        <f aca="false">K120</f>
        <v>123.588597856861</v>
      </c>
      <c r="L153" s="116" t="n">
        <f aca="false">L120</f>
        <v>139.655873621496</v>
      </c>
      <c r="M153" s="116" t="n">
        <f aca="false">M120</f>
        <v>139.21173081533</v>
      </c>
      <c r="N153" s="116" t="n">
        <f aca="false">N120</f>
        <v>139.681108050747</v>
      </c>
      <c r="O153" s="116" t="n">
        <f aca="false">O120</f>
        <v>141.110632364956</v>
      </c>
      <c r="P153" s="116" t="n">
        <f aca="false">P120</f>
        <v>142.185129881058</v>
      </c>
      <c r="Q153" s="116" t="n">
        <f aca="false">Q120</f>
        <v>143.091385025753</v>
      </c>
      <c r="R153" s="116" t="n">
        <f aca="false">R120</f>
        <v>144.964390050212</v>
      </c>
      <c r="S153" s="116" t="n">
        <f aca="false">S120</f>
        <v>146.599017367584</v>
      </c>
      <c r="T153" s="116" t="n">
        <f aca="false">T120</f>
        <v>147.966818713874</v>
      </c>
      <c r="U153" s="116" t="n">
        <f aca="false">U120</f>
        <v>149.338410332689</v>
      </c>
      <c r="V153" s="116" t="n">
        <f aca="false">V120</f>
        <v>150.750319165238</v>
      </c>
      <c r="W153" s="116" t="n">
        <f aca="false">W120</f>
        <v>152.27303655939</v>
      </c>
      <c r="X153" s="116" t="n">
        <f aca="false">X120</f>
        <v>153.694591890865</v>
      </c>
      <c r="Y153" s="116" t="n">
        <f aca="false">Y120</f>
        <v>155.004582433457</v>
      </c>
      <c r="Z153" s="116" t="n">
        <f aca="false">Z120</f>
        <v>156.250655358765</v>
      </c>
      <c r="AA153" s="116" t="n">
        <f aca="false">AA120</f>
        <v>157.448986324205</v>
      </c>
      <c r="AB153" s="116" t="n">
        <f aca="false">AB120</f>
        <v>158.608770531948</v>
      </c>
      <c r="AC153" s="116" t="n">
        <f aca="false">AC120</f>
        <v>159.739207785323</v>
      </c>
      <c r="AD153" s="116" t="n">
        <f aca="false">AD120</f>
        <v>160.849532689716</v>
      </c>
      <c r="AE153" s="116" t="n">
        <f aca="false">AE120</f>
        <v>161.949046826257</v>
      </c>
      <c r="AF153" s="116" t="n">
        <f aca="false">AF120</f>
        <v>163.047142766117</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6.81841399594502</v>
      </c>
      <c r="G154" s="116" t="n">
        <f aca="false">G104</f>
        <v>7.13222720341538</v>
      </c>
      <c r="H154" s="116" t="n">
        <f aca="false">H104</f>
        <v>7.44635269626074</v>
      </c>
      <c r="I154" s="116" t="n">
        <f aca="false">I104</f>
        <v>7.76077486021236</v>
      </c>
      <c r="J154" s="116" t="n">
        <f aca="false">J104</f>
        <v>8.07547886171491</v>
      </c>
      <c r="K154" s="116" t="n">
        <f aca="false">K104</f>
        <v>8.39045060889085</v>
      </c>
      <c r="L154" s="116" t="n">
        <f aca="false">L104</f>
        <v>8.70567671445651</v>
      </c>
      <c r="M154" s="116" t="n">
        <f aca="false">M104</f>
        <v>8.97617615394246</v>
      </c>
      <c r="N154" s="116" t="n">
        <f aca="false">N104</f>
        <v>9.22083649402477</v>
      </c>
      <c r="O154" s="116" t="n">
        <f aca="false">O104</f>
        <v>9.44902997426024</v>
      </c>
      <c r="P154" s="116" t="n">
        <f aca="false">P104</f>
        <v>9.61720647848387</v>
      </c>
      <c r="Q154" s="116" t="n">
        <f aca="false">Q104</f>
        <v>9.79225592591916</v>
      </c>
      <c r="R154" s="116" t="n">
        <f aca="false">R104</f>
        <v>9.97186098691497</v>
      </c>
      <c r="S154" s="116" t="n">
        <f aca="false">S104</f>
        <v>10.1479564137963</v>
      </c>
      <c r="T154" s="116" t="n">
        <f aca="false">T104</f>
        <v>10.3217271473938</v>
      </c>
      <c r="U154" s="116" t="n">
        <f aca="false">U104</f>
        <v>10.4934424388939</v>
      </c>
      <c r="V154" s="116" t="n">
        <f aca="false">V104</f>
        <v>10.6631520394061</v>
      </c>
      <c r="W154" s="116" t="n">
        <f aca="false">W104</f>
        <v>10.8275484483107</v>
      </c>
      <c r="X154" s="116" t="n">
        <f aca="false">X104</f>
        <v>10.9876296197201</v>
      </c>
      <c r="Y154" s="116" t="n">
        <f aca="false">Y104</f>
        <v>11.144615422093</v>
      </c>
      <c r="Z154" s="116" t="n">
        <f aca="false">Z104</f>
        <v>11.2984127323138</v>
      </c>
      <c r="AA154" s="116" t="n">
        <f aca="false">AA104</f>
        <v>11.4489287004174</v>
      </c>
      <c r="AB154" s="116" t="n">
        <f aca="false">AB104</f>
        <v>11.5961558164573</v>
      </c>
      <c r="AC154" s="116" t="n">
        <f aca="false">AC104</f>
        <v>11.7400868079824</v>
      </c>
      <c r="AD154" s="116" t="n">
        <f aca="false">AD104</f>
        <v>11.8807146232904</v>
      </c>
      <c r="AE154" s="116" t="n">
        <f aca="false">AE104</f>
        <v>12.0180324153469</v>
      </c>
      <c r="AF154" s="116" t="n">
        <f aca="false">AF104</f>
        <v>12.1520335263305</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52.9916758096682</v>
      </c>
      <c r="G155" s="116" t="n">
        <f aca="false">G70+G121-G227</f>
        <v>60.0055973515782</v>
      </c>
      <c r="H155" s="116" t="n">
        <f aca="false">H70+H121-H227</f>
        <v>67.0195188934882</v>
      </c>
      <c r="I155" s="116" t="n">
        <f aca="false">I70+I121-I227</f>
        <v>74.0334404353982</v>
      </c>
      <c r="J155" s="116" t="n">
        <f aca="false">J70+J121-J227</f>
        <v>81.0473619773081</v>
      </c>
      <c r="K155" s="116" t="n">
        <f aca="false">K70+K121-K227</f>
        <v>88.0612835192181</v>
      </c>
      <c r="L155" s="116" t="n">
        <f aca="false">L70+L121-L227</f>
        <v>95.0752050611281</v>
      </c>
      <c r="M155" s="116" t="n">
        <f aca="false">M70+M121-M227</f>
        <v>97.8707788843187</v>
      </c>
      <c r="N155" s="116" t="n">
        <f aca="false">N70+N121-N227</f>
        <v>100.867903732093</v>
      </c>
      <c r="O155" s="116" t="n">
        <f aca="false">O70+O121-O227</f>
        <v>104.103826590578</v>
      </c>
      <c r="P155" s="116" t="n">
        <f aca="false">P70+P121-P227</f>
        <v>107.46822555742</v>
      </c>
      <c r="Q155" s="116" t="n">
        <f aca="false">Q70+Q121-Q227</f>
        <v>110.972611779959</v>
      </c>
      <c r="R155" s="116" t="n">
        <f aca="false">R70+R121-R227</f>
        <v>114.298470763624</v>
      </c>
      <c r="S155" s="116" t="n">
        <f aca="false">S70+S121-S227</f>
        <v>117.49728808377</v>
      </c>
      <c r="T155" s="116" t="n">
        <f aca="false">T70+T121-T227</f>
        <v>120.583915590895</v>
      </c>
      <c r="U155" s="116" t="n">
        <f aca="false">U70+U121-U227</f>
        <v>123.564420291773</v>
      </c>
      <c r="V155" s="116" t="n">
        <f aca="false">V70+V121-V227</f>
        <v>126.453999374355</v>
      </c>
      <c r="W155" s="116" t="n">
        <f aca="false">W70+W121-W227</f>
        <v>129.296506229535</v>
      </c>
      <c r="X155" s="116" t="n">
        <f aca="false">X70+X121-X227</f>
        <v>132.144664913182</v>
      </c>
      <c r="Y155" s="116" t="n">
        <f aca="false">Y70+Y121-Y227</f>
        <v>134.998674934842</v>
      </c>
      <c r="Z155" s="116" t="n">
        <f aca="false">Z70+Z121-Z227</f>
        <v>137.858742846747</v>
      </c>
      <c r="AA155" s="116" t="n">
        <f aca="false">AA70+AA121-AA227</f>
        <v>140.725082492422</v>
      </c>
      <c r="AB155" s="116" t="n">
        <f aca="false">AB70+AB121-AB227</f>
        <v>143.597915264069</v>
      </c>
      <c r="AC155" s="116" t="n">
        <f aca="false">AC70+AC121-AC227</f>
        <v>146.477470369035</v>
      </c>
      <c r="AD155" s="116" t="n">
        <f aca="false">AD70+AD121-AD227</f>
        <v>149.363985105687</v>
      </c>
      <c r="AE155" s="116" t="n">
        <f aca="false">AE70+AE121-AE227</f>
        <v>152.257705149022</v>
      </c>
      <c r="AF155" s="116" t="n">
        <f aca="false">AF70+AF121-AF227</f>
        <v>155.158884846368</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36.7172874005064</v>
      </c>
      <c r="D156" s="136" t="n">
        <f aca="false">SUM(D152:D155)+D187</f>
        <v>73.3777980242762</v>
      </c>
      <c r="E156" s="136" t="n">
        <f aca="false">SUM(E152:E155)+E187</f>
        <v>110.538857365872</v>
      </c>
      <c r="F156" s="136" t="n">
        <f aca="false">SUM(F152:F155)+F187</f>
        <v>193.59178852783</v>
      </c>
      <c r="G156" s="136" t="n">
        <f aca="false">SUM(G152:G155)+G187</f>
        <v>231.225508101384</v>
      </c>
      <c r="H156" s="136" t="n">
        <f aca="false">SUM(H152:H155)+H187</f>
        <v>262.000872772383</v>
      </c>
      <c r="I156" s="136" t="n">
        <f aca="false">SUM(I152:I155)+I187</f>
        <v>294.363958432706</v>
      </c>
      <c r="J156" s="136" t="n">
        <f aca="false">SUM(J152:J155)+J187</f>
        <v>328.049933872706</v>
      </c>
      <c r="K156" s="136" t="n">
        <f aca="false">SUM(K152:K155)+K187</f>
        <v>363.092898166387</v>
      </c>
      <c r="L156" s="136" t="n">
        <f aca="false">SUM(L152:L155)+L187</f>
        <v>399.52953060067</v>
      </c>
      <c r="M156" s="136" t="n">
        <f aca="false">SUM(M152:M155)+M187</f>
        <v>415.491594886864</v>
      </c>
      <c r="N156" s="136" t="n">
        <f aca="false">SUM(N152:N155)+N187</f>
        <v>432.849714217903</v>
      </c>
      <c r="O156" s="136" t="n">
        <f aca="false">SUM(O152:O155)+O187</f>
        <v>451.704191787476</v>
      </c>
      <c r="P156" s="136" t="n">
        <f aca="false">SUM(P152:P155)+P187</f>
        <v>470.59320094037</v>
      </c>
      <c r="Q156" s="136" t="n">
        <f aca="false">SUM(Q152:Q155)+Q187</f>
        <v>489.789312452578</v>
      </c>
      <c r="R156" s="136" t="n">
        <f aca="false">SUM(R152:R155)+R187</f>
        <v>501.605815869371</v>
      </c>
      <c r="S156" s="136" t="n">
        <f aca="false">SUM(S152:S155)+S187</f>
        <v>511.959891097348</v>
      </c>
      <c r="T156" s="136" t="n">
        <f aca="false">SUM(T152:T155)+T187</f>
        <v>522.055550156701</v>
      </c>
      <c r="U156" s="136" t="n">
        <f aca="false">SUM(U152:U155)+U187</f>
        <v>532.172572808099</v>
      </c>
      <c r="V156" s="136" t="n">
        <f aca="false">SUM(V152:V155)+V187</f>
        <v>542.365625217871</v>
      </c>
      <c r="W156" s="136" t="n">
        <f aca="false">SUM(W152:W155)+W187</f>
        <v>551.396413597252</v>
      </c>
      <c r="X156" s="136" t="n">
        <f aca="false">SUM(X152:X155)+X187</f>
        <v>560.053318093389</v>
      </c>
      <c r="Y156" s="136" t="n">
        <f aca="false">SUM(Y152:Y155)+Y187</f>
        <v>568.575019672506</v>
      </c>
      <c r="Z156" s="136" t="n">
        <f aca="false">SUM(Z152:Z155)+Z187</f>
        <v>577.009877574768</v>
      </c>
      <c r="AA156" s="136" t="n">
        <f aca="false">SUM(AA152:AA155)+AA187</f>
        <v>585.374809049234</v>
      </c>
      <c r="AB156" s="136" t="n">
        <f aca="false">SUM(AB152:AB155)+AB187</f>
        <v>593.679865799443</v>
      </c>
      <c r="AC156" s="136" t="n">
        <f aca="false">SUM(AC152:AC155)+AC187</f>
        <v>601.935134288555</v>
      </c>
      <c r="AD156" s="136" t="n">
        <f aca="false">SUM(AD152:AD155)+AD187</f>
        <v>610.150766305991</v>
      </c>
      <c r="AE156" s="136" t="n">
        <f aca="false">SUM(AE152:AE155)+AE187</f>
        <v>618.337011538559</v>
      </c>
      <c r="AF156" s="136" t="n">
        <f aca="false">SUM(AF152:AF155)+AF187</f>
        <v>626.504242013683</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272.736559837801</v>
      </c>
      <c r="G157" s="116" t="n">
        <f aca="false">G69+G80+G121</f>
        <v>285.289088136615</v>
      </c>
      <c r="H157" s="116" t="n">
        <f aca="false">H69+H80+H121</f>
        <v>297.85410785043</v>
      </c>
      <c r="I157" s="116" t="n">
        <f aca="false">I69+I80+I121</f>
        <v>310.430994408494</v>
      </c>
      <c r="J157" s="116" t="n">
        <f aca="false">J69+J80+J121</f>
        <v>323.019154468596</v>
      </c>
      <c r="K157" s="116" t="n">
        <f aca="false">K69+K80+K121</f>
        <v>335.618024355634</v>
      </c>
      <c r="L157" s="116" t="n">
        <f aca="false">L69+L80+L121</f>
        <v>348.22706857826</v>
      </c>
      <c r="M157" s="116" t="n">
        <f aca="false">M69+M80+M121</f>
        <v>359.047046157698</v>
      </c>
      <c r="N157" s="116" t="n">
        <f aca="false">N69+N80+N121</f>
        <v>369.031015693136</v>
      </c>
      <c r="O157" s="116" t="n">
        <f aca="false">O69+O80+O121</f>
        <v>378.393416794064</v>
      </c>
      <c r="P157" s="116" t="n">
        <f aca="false">P69+P80+P121</f>
        <v>385.244670947156</v>
      </c>
      <c r="Q157" s="116" t="n">
        <f aca="false">Q69+Q80+Q121</f>
        <v>392.382202817071</v>
      </c>
      <c r="R157" s="116" t="n">
        <f aca="false">R69+R80+R121</f>
        <v>399.383288239939</v>
      </c>
      <c r="S157" s="116" t="n">
        <f aca="false">S69+S80+S121</f>
        <v>406.295311854414</v>
      </c>
      <c r="T157" s="116" t="n">
        <f aca="false">T69+T80+T121</f>
        <v>413.129031849592</v>
      </c>
      <c r="U157" s="116" t="n">
        <f aca="false">U69+U80+U121</f>
        <v>419.886427508041</v>
      </c>
      <c r="V157" s="116" t="n">
        <f aca="false">V69+V80+V121</f>
        <v>426.578612925127</v>
      </c>
      <c r="W157" s="116" t="n">
        <f aca="false">W69+W80+W121</f>
        <v>433.101937932428</v>
      </c>
      <c r="X157" s="116" t="n">
        <f aca="false">X69+X80+X121</f>
        <v>439.505184788802</v>
      </c>
      <c r="Y157" s="116" t="n">
        <f aca="false">Y69+Y80+Y121</f>
        <v>445.784616883719</v>
      </c>
      <c r="Z157" s="116" t="n">
        <f aca="false">Z69+Z80+Z121</f>
        <v>451.936509292554</v>
      </c>
      <c r="AA157" s="116" t="n">
        <f aca="false">AA69+AA80+AA121</f>
        <v>457.957148016695</v>
      </c>
      <c r="AB157" s="116" t="n">
        <f aca="false">AB69+AB80+AB121</f>
        <v>463.846232658292</v>
      </c>
      <c r="AC157" s="116" t="n">
        <f aca="false">AC69+AC80+AC121</f>
        <v>469.603472319297</v>
      </c>
      <c r="AD157" s="116" t="n">
        <f aca="false">AD69+AD80+AD121</f>
        <v>475.228584931617</v>
      </c>
      <c r="AE157" s="116" t="n">
        <f aca="false">AE69+AE80+AE121</f>
        <v>480.721296613876</v>
      </c>
      <c r="AF157" s="116" t="n">
        <f aca="false">AF69+AF80+AF121</f>
        <v>486.081341053221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17.2988399625579</v>
      </c>
      <c r="D159" s="116" t="n">
        <f aca="false">D72</f>
        <v>34.9771117069655</v>
      </c>
      <c r="E159" s="116" t="n">
        <f aca="false">E72</f>
        <v>53.3834374272829</v>
      </c>
      <c r="F159" s="116" t="n">
        <f aca="false">F72</f>
        <v>73.4908703934434</v>
      </c>
      <c r="G159" s="116" t="n">
        <f aca="false">G72</f>
        <v>92.6207487315235</v>
      </c>
      <c r="H159" s="116" t="n">
        <f aca="false">H72</f>
        <v>103.907740862016</v>
      </c>
      <c r="I159" s="116" t="n">
        <f aca="false">I72</f>
        <v>115.76703498894</v>
      </c>
      <c r="J159" s="116" t="n">
        <f aca="false">J72</f>
        <v>127.898004101118</v>
      </c>
      <c r="K159" s="116" t="n">
        <f aca="false">K72</f>
        <v>140.306894140748</v>
      </c>
      <c r="L159" s="116" t="n">
        <f aca="false">L72</f>
        <v>153.00009483582</v>
      </c>
      <c r="M159" s="116" t="n">
        <f aca="false">M72</f>
        <v>164.839026400822</v>
      </c>
      <c r="N159" s="116" t="n">
        <f aca="false">N72</f>
        <v>177.796088160239</v>
      </c>
      <c r="O159" s="116" t="n">
        <f aca="false">O72</f>
        <v>191.975611829384</v>
      </c>
      <c r="P159" s="116" t="n">
        <f aca="false">P72</f>
        <v>206.025215197444</v>
      </c>
      <c r="Q159" s="116" t="n">
        <f aca="false">Q72</f>
        <v>220.205058498671</v>
      </c>
      <c r="R159" s="116" t="n">
        <f aca="false">R72</f>
        <v>227.146023893646</v>
      </c>
      <c r="S159" s="116" t="n">
        <f aca="false">S72</f>
        <v>232.712860787371</v>
      </c>
      <c r="T159" s="116" t="n">
        <f aca="false">T72</f>
        <v>238.093760800139</v>
      </c>
      <c r="U159" s="116" t="n">
        <f aca="false">U72</f>
        <v>243.561443922713</v>
      </c>
      <c r="V159" s="116" t="n">
        <f aca="false">V72</f>
        <v>249.154361551258</v>
      </c>
      <c r="W159" s="116" t="n">
        <f aca="false">W72</f>
        <v>253.670946252158</v>
      </c>
      <c r="X159" s="116" t="n">
        <f aca="false">X72</f>
        <v>257.886925108444</v>
      </c>
      <c r="Y159" s="116" t="n">
        <f aca="false">Y72</f>
        <v>262.030897789904</v>
      </c>
      <c r="Z159" s="116" t="n">
        <f aca="false">Z72</f>
        <v>266.143401604625</v>
      </c>
      <c r="AA159" s="116" t="n">
        <f aca="false">AA72</f>
        <v>270.232211850874</v>
      </c>
      <c r="AB159" s="116" t="n">
        <f aca="false">AB72</f>
        <v>274.297995679326</v>
      </c>
      <c r="AC159" s="116" t="n">
        <f aca="false">AC72</f>
        <v>278.341428820095</v>
      </c>
      <c r="AD159" s="116" t="n">
        <f aca="false">AD72</f>
        <v>282.363201230085</v>
      </c>
      <c r="AE159" s="116" t="n">
        <f aca="false">AE72</f>
        <v>286.364025145884</v>
      </c>
      <c r="AF159" s="116" t="n">
        <f aca="false">AF72</f>
        <v>290.344635238681</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76.4432338244722</v>
      </c>
      <c r="D160" s="136" t="n">
        <f aca="false">SUM(D157:D159)</f>
        <v>132.215881818622</v>
      </c>
      <c r="E160" s="136" t="n">
        <f aca="false">SUM(E157:E159)</f>
        <v>184.494273234917</v>
      </c>
      <c r="F160" s="136" t="n">
        <f aca="false">SUM(F157:F159)</f>
        <v>346.227430231244</v>
      </c>
      <c r="G160" s="136" t="n">
        <f aca="false">SUM(G157:G159)</f>
        <v>377.909836868139</v>
      </c>
      <c r="H160" s="136" t="n">
        <f aca="false">SUM(H157:H159)</f>
        <v>401.761848712446</v>
      </c>
      <c r="I160" s="136" t="n">
        <f aca="false">SUM(I157:I159)</f>
        <v>426.198029397434</v>
      </c>
      <c r="J160" s="136" t="n">
        <f aca="false">SUM(J157:J159)</f>
        <v>450.917158569715</v>
      </c>
      <c r="K160" s="136" t="n">
        <f aca="false">SUM(K157:K159)</f>
        <v>475.924918496382</v>
      </c>
      <c r="L160" s="136" t="n">
        <f aca="false">SUM(L157:L159)</f>
        <v>501.227163414081</v>
      </c>
      <c r="M160" s="136" t="n">
        <f aca="false">SUM(M157:M159)</f>
        <v>523.88607255852</v>
      </c>
      <c r="N160" s="136" t="n">
        <f aca="false">SUM(N157:N159)</f>
        <v>546.827103853375</v>
      </c>
      <c r="O160" s="136" t="n">
        <f aca="false">SUM(O157:O159)</f>
        <v>570.369028623448</v>
      </c>
      <c r="P160" s="136" t="n">
        <f aca="false">SUM(P157:P159)</f>
        <v>591.2698861446</v>
      </c>
      <c r="Q160" s="136" t="n">
        <f aca="false">SUM(Q157:Q159)</f>
        <v>612.587261315741</v>
      </c>
      <c r="R160" s="136" t="n">
        <f aca="false">SUM(R157:R159)</f>
        <v>626.529312133584</v>
      </c>
      <c r="S160" s="136" t="n">
        <f aca="false">SUM(S157:S159)</f>
        <v>639.008172641785</v>
      </c>
      <c r="T160" s="136" t="n">
        <f aca="false">SUM(T157:T159)</f>
        <v>651.222792649731</v>
      </c>
      <c r="U160" s="136" t="n">
        <f aca="false">SUM(U157:U159)</f>
        <v>663.447871430754</v>
      </c>
      <c r="V160" s="136" t="n">
        <f aca="false">SUM(V157:V159)</f>
        <v>675.732974476386</v>
      </c>
      <c r="W160" s="136" t="n">
        <f aca="false">SUM(W157:W159)</f>
        <v>686.772884184587</v>
      </c>
      <c r="X160" s="136" t="n">
        <f aca="false">SUM(X157:X159)</f>
        <v>697.392109897247</v>
      </c>
      <c r="Y160" s="136" t="n">
        <f aca="false">SUM(Y157:Y159)</f>
        <v>707.815514673623</v>
      </c>
      <c r="Z160" s="136" t="n">
        <f aca="false">SUM(Z157:Z159)</f>
        <v>718.079910897178</v>
      </c>
      <c r="AA160" s="136" t="n">
        <f aca="false">SUM(AA157:AA159)</f>
        <v>728.189359867568</v>
      </c>
      <c r="AB160" s="136" t="n">
        <f aca="false">SUM(AB157:AB159)</f>
        <v>738.144228337618</v>
      </c>
      <c r="AC160" s="136" t="n">
        <f aca="false">SUM(AC157:AC159)</f>
        <v>747.944901139392</v>
      </c>
      <c r="AD160" s="136" t="n">
        <f aca="false">SUM(AD157:AD159)</f>
        <v>757.591786161702</v>
      </c>
      <c r="AE160" s="136" t="n">
        <f aca="false">SUM(AE157:AE159)</f>
        <v>767.085321759759</v>
      </c>
      <c r="AF160" s="136" t="n">
        <f aca="false">SUM(AF157:AF159)</f>
        <v>776.425976291902</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-39.7259464239658</v>
      </c>
      <c r="D161" s="138" t="n">
        <f aca="false">D156-D160</f>
        <v>-58.8380837943459</v>
      </c>
      <c r="E161" s="138" t="n">
        <f aca="false">E156-E160</f>
        <v>-73.9554158690456</v>
      </c>
      <c r="F161" s="138" t="n">
        <f aca="false">F156-F160</f>
        <v>-152.635641703414</v>
      </c>
      <c r="G161" s="138" t="n">
        <f aca="false">G156-G160</f>
        <v>-146.684328766755</v>
      </c>
      <c r="H161" s="138" t="n">
        <f aca="false">H156-H160</f>
        <v>-139.760975940063</v>
      </c>
      <c r="I161" s="138" t="n">
        <f aca="false">I156-I160</f>
        <v>-131.834070964728</v>
      </c>
      <c r="J161" s="138" t="n">
        <f aca="false">J156-J160</f>
        <v>-122.867224697009</v>
      </c>
      <c r="K161" s="138" t="n">
        <f aca="false">K156-K160</f>
        <v>-112.832020329995</v>
      </c>
      <c r="L161" s="138" t="n">
        <f aca="false">L156-L160</f>
        <v>-101.69763281341</v>
      </c>
      <c r="M161" s="138" t="n">
        <f aca="false">M156-M160</f>
        <v>-108.394477671657</v>
      </c>
      <c r="N161" s="138" t="n">
        <f aca="false">N156-N160</f>
        <v>-113.977389635472</v>
      </c>
      <c r="O161" s="138" t="n">
        <f aca="false">O156-O160</f>
        <v>-118.664836835972</v>
      </c>
      <c r="P161" s="138" t="n">
        <f aca="false">P156-P160</f>
        <v>-120.67668520423</v>
      </c>
      <c r="Q161" s="138" t="n">
        <f aca="false">Q156-Q160</f>
        <v>-122.797948863163</v>
      </c>
      <c r="R161" s="138" t="n">
        <f aca="false">R156-R160</f>
        <v>-124.923496264213</v>
      </c>
      <c r="S161" s="138" t="n">
        <f aca="false">S156-S160</f>
        <v>-127.048281544437</v>
      </c>
      <c r="T161" s="138" t="n">
        <f aca="false">T156-T160</f>
        <v>-129.16724249303</v>
      </c>
      <c r="U161" s="138" t="n">
        <f aca="false">U156-U160</f>
        <v>-131.275298622655</v>
      </c>
      <c r="V161" s="138" t="n">
        <f aca="false">V156-V160</f>
        <v>-133.367349258514</v>
      </c>
      <c r="W161" s="138" t="n">
        <f aca="false">W156-W160</f>
        <v>-135.376470587335</v>
      </c>
      <c r="X161" s="138" t="n">
        <f aca="false">X156-X160</f>
        <v>-137.338791803858</v>
      </c>
      <c r="Y161" s="138" t="n">
        <f aca="false">Y156-Y160</f>
        <v>-139.240495001117</v>
      </c>
      <c r="Z161" s="138" t="n">
        <f aca="false">Z156-Z160</f>
        <v>-141.07003332241</v>
      </c>
      <c r="AA161" s="138" t="n">
        <f aca="false">AA156-AA160</f>
        <v>-142.814550818335</v>
      </c>
      <c r="AB161" s="138" t="n">
        <f aca="false">AB156-AB160</f>
        <v>-144.464362538175</v>
      </c>
      <c r="AC161" s="138" t="n">
        <f aca="false">AC156-AC160</f>
        <v>-146.009766850837</v>
      </c>
      <c r="AD161" s="138" t="n">
        <f aca="false">AD156-AD160</f>
        <v>-147.441019855711</v>
      </c>
      <c r="AE161" s="138" t="n">
        <f aca="false">AE156-AE160</f>
        <v>-148.7483102212</v>
      </c>
      <c r="AF161" s="138" t="n">
        <f aca="false">AF156-AF160</f>
        <v>-149.921734278219</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93.3029176301665</v>
      </c>
      <c r="G162" s="116" t="n">
        <f aca="false">G48+G50+(G80-F80)-G63</f>
        <v>9.87012989881451</v>
      </c>
      <c r="H162" s="116" t="n">
        <f aca="false">H48+H50+(H80-G80)-H63</f>
        <v>9.88262131381451</v>
      </c>
      <c r="I162" s="116" t="n">
        <f aca="false">I48+I50+(I80-H80)-I63</f>
        <v>9.89448815806452</v>
      </c>
      <c r="J162" s="116" t="n">
        <f aca="false">J48+J50+(J80-I80)-J63</f>
        <v>9.90576166010201</v>
      </c>
      <c r="K162" s="116" t="n">
        <f aca="false">K48+K50+(K80-J80)-K63</f>
        <v>9.91647148703763</v>
      </c>
      <c r="L162" s="116" t="n">
        <f aca="false">L48+L50+(L80-K80)-L63</f>
        <v>9.92664582262648</v>
      </c>
      <c r="M162" s="116" t="n">
        <f aca="false">M48+M50+(M80-L80)-M63</f>
        <v>8.13757917943803</v>
      </c>
      <c r="N162" s="116" t="n">
        <f aca="false">N48+N50+(N80-M80)-N63</f>
        <v>7.10401520329251</v>
      </c>
      <c r="O162" s="116" t="n">
        <f aca="false">O48+O50+(O80-N80)-O63</f>
        <v>6.24778487727347</v>
      </c>
      <c r="P162" s="116" t="n">
        <f aca="false">P48+P50+(P80-O80)-P63</f>
        <v>3.61244394529077</v>
      </c>
      <c r="Q162" s="116" t="n">
        <f aca="false">Q48+Q50+(Q80-P80)-Q63</f>
        <v>3.76316768961011</v>
      </c>
      <c r="R162" s="116" t="n">
        <f aca="false">R48+R50+(R80-Q80)-R63</f>
        <v>3.80983825952828</v>
      </c>
      <c r="S162" s="116" t="n">
        <f aca="false">S48+S50+(S80-R80)-S63</f>
        <v>3.85256991191292</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3.46949400883476</v>
      </c>
      <c r="AA162" s="116" t="n">
        <f aca="false">AA48+AA50+(AA80-Z80)-AA63</f>
        <v>3.33824032414111</v>
      </c>
      <c r="AB162" s="116" t="n">
        <f aca="false">AB48+AB50+(AB80-AA80)-AB63</f>
        <v>3.20668624159695</v>
      </c>
      <c r="AC162" s="116" t="n">
        <f aca="false">AC48+AC50+(AC80-AB80)-AC63</f>
        <v>3.07484126100528</v>
      </c>
      <c r="AD162" s="116" t="n">
        <f aca="false">AD48+AD50+(AD80-AC80)-AD63</f>
        <v>2.94271421231978</v>
      </c>
      <c r="AE162" s="116" t="n">
        <f aca="false">AE48+AE50+(AE80-AD80)-AE63</f>
        <v>2.81031328225874</v>
      </c>
      <c r="AF162" s="116" t="n">
        <f aca="false">AF48+AF50+(AF80-AE80)-AF63</f>
        <v>2.67764603934558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-39.7259464239658</v>
      </c>
      <c r="D163" s="116" t="n">
        <f aca="false">C163+D53+D56+D58+D118+D119+D60+D113+D101-D115-D162</f>
        <v>-58.8380837943459</v>
      </c>
      <c r="E163" s="116" t="n">
        <f aca="false">D163+E53+E56+E58+E118+E119+E60+E113+E101-E115-E162</f>
        <v>-73.9554158690456</v>
      </c>
      <c r="F163" s="116" t="n">
        <f aca="false">E163+F53+F56+F58+F118+F119+F60+F113+F101-F115-F162</f>
        <v>-152.635641703414</v>
      </c>
      <c r="G163" s="116" t="n">
        <f aca="false">F163+G53+G56+G58+G118+G119+G60+G113+G101-G115-G162</f>
        <v>-146.684328766755</v>
      </c>
      <c r="H163" s="116" t="n">
        <f aca="false">G163+H53+H56+H58+H118+H119+H60+H113+H101-H115-H162</f>
        <v>-139.760975940063</v>
      </c>
      <c r="I163" s="116" t="n">
        <f aca="false">H163+I53+I56+I58+I118+I119+I60+I113+I101-I115-I162</f>
        <v>-131.834070964728</v>
      </c>
      <c r="J163" s="116" t="n">
        <f aca="false">I163+J53+J56+J58+J118+J119+J60+J113+J101-J115-J162</f>
        <v>-122.867224697009</v>
      </c>
      <c r="K163" s="116" t="n">
        <f aca="false">J163+K53+K56+K58+K118+K119+K60+K113+K101-K115-K162</f>
        <v>-112.832020329995</v>
      </c>
      <c r="L163" s="116" t="n">
        <f aca="false">K163+L53+L56+L58+L118+L119+L60+L113+L101-L115-L162</f>
        <v>-101.697632813411</v>
      </c>
      <c r="M163" s="116" t="n">
        <f aca="false">L163+M53+M56+M58+M118+M119+M60+M113+M101-M115-M162</f>
        <v>-108.394477671657</v>
      </c>
      <c r="N163" s="116" t="n">
        <f aca="false">M163+N53+N56+N58+N118+N119+N60+N113+N101-N115-N162</f>
        <v>-113.977389635473</v>
      </c>
      <c r="O163" s="116" t="n">
        <f aca="false">N163+O53+O56+O58+O118+O119+O60+O113+O101-O115-O162</f>
        <v>-118.664836835972</v>
      </c>
      <c r="P163" s="116" t="n">
        <f aca="false">O163+P53+P56+P58+P118+P119+P60+P113+P101-P115-P162</f>
        <v>-120.67668520423</v>
      </c>
      <c r="Q163" s="116" t="n">
        <f aca="false">P163+Q53+Q56+Q58+Q118+Q119+Q60+Q113+Q101-Q115-Q162</f>
        <v>-122.797948863163</v>
      </c>
      <c r="R163" s="116" t="n">
        <f aca="false">Q163+R53+R56+R58+R118+R119+R60+R113+R101-R115-R162</f>
        <v>-124.923496264213</v>
      </c>
      <c r="S163" s="116" t="n">
        <f aca="false">R163+S53+S56+S58+S118+S119+S60+S113+S101-S115-S162</f>
        <v>-127.048281544437</v>
      </c>
      <c r="T163" s="116" t="n">
        <f aca="false">S163+T53+T56+T58+T118+T119+T60+T113+T101-T115-T162</f>
        <v>-129.167242493029</v>
      </c>
      <c r="U163" s="116" t="n">
        <f aca="false">T163+U53+U56+U58+U118+U119+U60+U113+U101-U115-U162</f>
        <v>-131.275298622655</v>
      </c>
      <c r="V163" s="116" t="n">
        <f aca="false">U163+V53+V56+V58+V118+V119+V60+V113+V101-V115-V162</f>
        <v>-133.367349258514</v>
      </c>
      <c r="W163" s="116" t="n">
        <f aca="false">V163+W53+W56+W58+W118+W119+W60+W113+W101-W115-W162</f>
        <v>-135.376470587335</v>
      </c>
      <c r="X163" s="116" t="n">
        <f aca="false">W163+X53+X56+X58+X118+X119+X60+X113+X101-X115-X162</f>
        <v>-137.338791803858</v>
      </c>
      <c r="Y163" s="116" t="n">
        <f aca="false">X163+Y53+Y56+Y58+Y118+Y119+Y60+Y113+Y101-Y115-Y162</f>
        <v>-139.240495001117</v>
      </c>
      <c r="Z163" s="116" t="n">
        <f aca="false">Y163+Z53+Z56+Z58+Z118+Z119+Z60+Z113+Z101-Z115-Z162</f>
        <v>-141.07003332241</v>
      </c>
      <c r="AA163" s="116" t="n">
        <f aca="false">Z163+AA53+AA56+AA58+AA118+AA119+AA60+AA113+AA101-AA115-AA162</f>
        <v>-142.814550818335</v>
      </c>
      <c r="AB163" s="116" t="n">
        <f aca="false">AA163+AB53+AB56+AB58+AB118+AB119+AB60+AB113+AB101-AB115-AB162</f>
        <v>-144.464362538175</v>
      </c>
      <c r="AC163" s="116" t="n">
        <f aca="false">AB163+AC53+AC56+AC58+AC118+AC119+AC60+AC113+AC101-AC115-AC162</f>
        <v>-146.009766850837</v>
      </c>
      <c r="AD163" s="116" t="n">
        <f aca="false">AC163+AD53+AD56+AD58+AD118+AD119+AD60+AD113+AD101-AD115-AD162</f>
        <v>-147.441019855711</v>
      </c>
      <c r="AE163" s="116" t="n">
        <f aca="false">AD163+AE53+AE56+AE58+AE118+AE119+AE60+AE113+AE101-AE115-AE162</f>
        <v>-148.7483102212</v>
      </c>
      <c r="AF163" s="116" t="n">
        <f aca="false">AE163+AF53+AF56+AF58+AF118+AF119+AF60+AF113+AF101-AF115-AF162</f>
        <v>-149.921734278219</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0.03</v>
      </c>
      <c r="D174" s="83" t="s">
        <v>1345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41.5143938619143</v>
      </c>
      <c r="D186" s="142" t="n">
        <f aca="false">D84-D181</f>
        <v>61.3928961116566</v>
      </c>
      <c r="E186" s="142" t="n">
        <f aca="false">E84-E181</f>
        <v>76.4455777704342</v>
      </c>
      <c r="F186" s="142" t="n">
        <f aca="false">F84-F181</f>
        <v>145.975940389483</v>
      </c>
      <c r="G186" s="142" t="n">
        <f aca="false">G84-G181</f>
        <v>131.525122449538</v>
      </c>
      <c r="H186" s="142" t="n">
        <f aca="false">H84-H181</f>
        <v>125.169778149726</v>
      </c>
      <c r="I186" s="142" t="n">
        <f aca="false">I84-I181</f>
        <v>118.552452517315</v>
      </c>
      <c r="J186" s="142" t="n">
        <f aca="false">J84-J181</f>
        <v>111.666253702024</v>
      </c>
      <c r="K186" s="142" t="n">
        <f aca="false">K84-K181</f>
        <v>104.504174654999</v>
      </c>
      <c r="L186" s="142" t="n">
        <f aca="false">L84-L181</f>
        <v>97.0590883135424</v>
      </c>
      <c r="M186" s="142" t="n">
        <f aca="false">M84-M181</f>
        <v>91.7433582401073</v>
      </c>
      <c r="N186" s="142" t="n">
        <f aca="false">N84-N181</f>
        <v>85.0832460200054</v>
      </c>
      <c r="O186" s="142" t="n">
        <f aca="false">O84-O181</f>
        <v>77.2488873458042</v>
      </c>
      <c r="P186" s="142" t="n">
        <f aca="false">P84-P181</f>
        <v>66.4538063663279</v>
      </c>
      <c r="Q186" s="142" t="n">
        <f aca="false">Q84-Q181</f>
        <v>55.4765313161651</v>
      </c>
      <c r="R186" s="142" t="n">
        <f aca="false">R84-R181</f>
        <v>52.7137234076945</v>
      </c>
      <c r="S186" s="142" t="n">
        <f aca="false">S84-S181</f>
        <v>51.0823945384463</v>
      </c>
      <c r="T186" s="142" t="n">
        <f aca="false">T84-T181</f>
        <v>49.3620275541581</v>
      </c>
      <c r="U186" s="142" t="n">
        <f aca="false">U84-U181</f>
        <v>47.5457074715249</v>
      </c>
      <c r="V186" s="142" t="n">
        <f aca="false">V84-V181</f>
        <v>45.6264589119001</v>
      </c>
      <c r="W186" s="142" t="n">
        <f aca="false">W84-W181</f>
        <v>44.8061093428768</v>
      </c>
      <c r="X186" s="142" t="n">
        <f aca="false">X84-X181</f>
        <v>44.1340882059979</v>
      </c>
      <c r="Y186" s="142" t="n">
        <f aca="false">Y84-Y181</f>
        <v>43.3587950667622</v>
      </c>
      <c r="Z186" s="142" t="n">
        <f aca="false">Z84-Z181</f>
        <v>42.4756998088643</v>
      </c>
      <c r="AA186" s="142" t="n">
        <f aca="false">AA84-AA181</f>
        <v>41.4802539920832</v>
      </c>
      <c r="AB186" s="142" t="n">
        <f aca="false">AB84-AB181</f>
        <v>40.3712932072537</v>
      </c>
      <c r="AC186" s="142" t="n">
        <f aca="false">AC84-AC181</f>
        <v>39.1476326240472</v>
      </c>
      <c r="AD186" s="142" t="n">
        <f aca="false">AD84-AD181</f>
        <v>37.8080659386319</v>
      </c>
      <c r="AE186" s="142" t="n">
        <f aca="false">AE84-AE181</f>
        <v>36.3513643169208</v>
      </c>
      <c r="AF186" s="142" t="n">
        <f aca="false">AF84-AF181</f>
        <v>34.776275331985</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1.03359586865686</v>
      </c>
      <c r="AC189" s="142" t="n">
        <f aca="false">AC68-AB68</f>
        <v>0.997276246852678</v>
      </c>
      <c r="AD189" s="142" t="n">
        <f aca="false">AD68-AC68</f>
        <v>0.960875943603995</v>
      </c>
      <c r="AE189" s="142" t="n">
        <f aca="false">AE68-AD68</f>
        <v>0.92439211085582</v>
      </c>
      <c r="AF189" s="142" t="n">
        <f aca="false">AF68-AE68</f>
        <v>0.887821800016823</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-18.8988855669246</v>
      </c>
      <c r="D192" s="142" t="n">
        <f aca="false">D149-SUM($C$191:D191)</f>
        <v>-38.3468641473863</v>
      </c>
      <c r="E192" s="142" t="n">
        <f aca="false">E149-SUM($C$191:E191)</f>
        <v>-58.3556226813359</v>
      </c>
      <c r="F192" s="142" t="n">
        <f aca="false">F149-SUM($C$191:F191)</f>
        <v>-78.381229005248</v>
      </c>
      <c r="G192" s="142" t="n">
        <f aca="false">G149-SUM($C$191:G191)</f>
        <v>-99.0020790125587</v>
      </c>
      <c r="H192" s="142" t="n">
        <f aca="false">H149-SUM($C$191:H191)</f>
        <v>-120.216043666179</v>
      </c>
      <c r="I192" s="142" t="n">
        <f aca="false">I149-SUM($C$191:I191)</f>
        <v>-142.021143480742</v>
      </c>
      <c r="J192" s="142" t="n">
        <f aca="false">J149-SUM($C$191:J191)</f>
        <v>-164.415539184638</v>
      </c>
      <c r="K192" s="142" t="n">
        <f aca="false">K149-SUM($C$191:K191)</f>
        <v>-187.39752299676</v>
      </c>
      <c r="L192" s="142" t="n">
        <f aca="false">L149-SUM($C$191:L191)</f>
        <v>-210.96551047867</v>
      </c>
      <c r="M192" s="142" t="n">
        <f aca="false">M149-SUM($C$191:M191)</f>
        <v>-214.380478030721</v>
      </c>
      <c r="N192" s="142" t="n">
        <f aca="false">N149-SUM($C$191:N191)</f>
        <v>-217.71348046249</v>
      </c>
      <c r="O192" s="142" t="n">
        <f aca="false">O149-SUM($C$191:O191)</f>
        <v>-221.043246055417</v>
      </c>
      <c r="P192" s="142" t="n">
        <f aca="false">P149-SUM($C$191:P191)</f>
        <v>-224.346841249868</v>
      </c>
      <c r="Q192" s="142" t="n">
        <f aca="false">Q149-SUM($C$191:Q191)</f>
        <v>-227.625871775867</v>
      </c>
      <c r="R192" s="142" t="n">
        <f aca="false">R149-SUM($C$191:R191)</f>
        <v>-230.903819478927</v>
      </c>
      <c r="S192" s="142" t="n">
        <f aca="false">S149-SUM($C$191:S191)</f>
        <v>-234.185886846235</v>
      </c>
      <c r="T192" s="142" t="n">
        <f aca="false">T149-SUM($C$191:T191)</f>
        <v>-237.47420228513</v>
      </c>
      <c r="U192" s="142" t="n">
        <f aca="false">U149-SUM($C$191:U191)</f>
        <v>-240.770861209156</v>
      </c>
      <c r="V192" s="142" t="n">
        <f aca="false">V149-SUM($C$191:V191)</f>
        <v>-244.077921937263</v>
      </c>
      <c r="W192" s="142" t="n">
        <f aca="false">W149-SUM($C$191:W191)</f>
        <v>-247.400701960419</v>
      </c>
      <c r="X192" s="142" t="n">
        <f aca="false">X149-SUM($C$191:X191)</f>
        <v>-250.742138367093</v>
      </c>
      <c r="Y192" s="142" t="n">
        <f aca="false">Y149-SUM($C$191:Y191)</f>
        <v>-254.104569705312</v>
      </c>
      <c r="Z192" s="142" t="n">
        <f aca="false">Z149-SUM($C$191:Z191)</f>
        <v>-257.490313922162</v>
      </c>
      <c r="AA192" s="142" t="n">
        <f aca="false">AA149-SUM($C$191:AA191)</f>
        <v>-260.901671901547</v>
      </c>
      <c r="AB192" s="142" t="n">
        <f aca="false">AB149-SUM($C$191:AB191)</f>
        <v>-264.34093415401</v>
      </c>
      <c r="AC192" s="142" t="n">
        <f aca="false">AC149-SUM($C$191:AC191)</f>
        <v>-267.810384034228</v>
      </c>
      <c r="AD192" s="142" t="n">
        <f aca="false">AD149-SUM($C$191:AD191)</f>
        <v>-271.312300816012</v>
      </c>
      <c r="AE192" s="142" t="n">
        <f aca="false">AE149-SUM($C$191:AE191)</f>
        <v>-274.848962635614</v>
      </c>
      <c r="AF192" s="142" t="n">
        <f aca="false">AF149-SUM($C$191:AF191)</f>
        <v>-278.422649313498</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1346</v>
      </c>
      <c r="C221" s="116" t="n">
        <f aca="false">C112</f>
        <v>0.118288787723829</v>
      </c>
      <c r="D221" s="116" t="n">
        <f aca="false">D112</f>
        <v>0.194477540223313</v>
      </c>
      <c r="E221" s="116" t="n">
        <f aca="false">E112</f>
        <v>0.262221671615268</v>
      </c>
      <c r="F221" s="116" t="n">
        <f aca="false">F112</f>
        <v>0.545473119675601</v>
      </c>
      <c r="G221" s="116" t="n">
        <f aca="false">G112</f>
        <v>0.57057817627323</v>
      </c>
      <c r="H221" s="116" t="n">
        <f aca="false">H112</f>
        <v>0.59570821570086</v>
      </c>
      <c r="I221" s="116" t="n">
        <f aca="false">I112</f>
        <v>0.620861988816989</v>
      </c>
      <c r="J221" s="116" t="n">
        <f aca="false">J112</f>
        <v>0.646038308937193</v>
      </c>
      <c r="K221" s="116" t="n">
        <f aca="false">K112</f>
        <v>0.671236048711268</v>
      </c>
      <c r="L221" s="116" t="n">
        <f aca="false">L112</f>
        <v>0.696454137156521</v>
      </c>
      <c r="M221" s="116" t="n">
        <f aca="false">M112</f>
        <v>0.718094092315397</v>
      </c>
      <c r="N221" s="116" t="n">
        <f aca="false">N112</f>
        <v>0.737666919521982</v>
      </c>
      <c r="O221" s="116" t="n">
        <f aca="false">O112</f>
        <v>0.75592239794082</v>
      </c>
      <c r="P221" s="116" t="n">
        <f aca="false">P112</f>
        <v>0.76937651827871</v>
      </c>
      <c r="Q221" s="116" t="n">
        <f aca="false">Q112</f>
        <v>0.783380474073533</v>
      </c>
      <c r="R221" s="116" t="n">
        <f aca="false">R112</f>
        <v>0.797748878953198</v>
      </c>
      <c r="S221" s="116" t="n">
        <f aca="false">S112</f>
        <v>0.811836513103703</v>
      </c>
      <c r="T221" s="116" t="n">
        <f aca="false">T112</f>
        <v>0.8257381717915</v>
      </c>
      <c r="U221" s="116" t="n">
        <f aca="false">U112</f>
        <v>0.839475395111515</v>
      </c>
      <c r="V221" s="116" t="n">
        <f aca="false">V112</f>
        <v>0.853052163152491</v>
      </c>
      <c r="W221" s="116" t="n">
        <f aca="false">W112</f>
        <v>0.866203875864857</v>
      </c>
      <c r="X221" s="116" t="n">
        <f aca="false">X112</f>
        <v>0.879010369577605</v>
      </c>
      <c r="Y221" s="116" t="n">
        <f aca="false">Y112</f>
        <v>0.891569233767438</v>
      </c>
      <c r="Z221" s="116" t="n">
        <f aca="false">Z112</f>
        <v>0.903873018585107</v>
      </c>
      <c r="AA221" s="116" t="n">
        <f aca="false">AA112</f>
        <v>0.91591429603339</v>
      </c>
      <c r="AB221" s="116" t="n">
        <f aca="false">AB112</f>
        <v>0.927692465316583</v>
      </c>
      <c r="AC221" s="116" t="n">
        <f aca="false">AC112</f>
        <v>0.939206944638594</v>
      </c>
      <c r="AD221" s="116" t="n">
        <f aca="false">AD112</f>
        <v>0.950457169863234</v>
      </c>
      <c r="AE221" s="116" t="n">
        <f aca="false">AE112</f>
        <v>0.961442593227751</v>
      </c>
      <c r="AF221" s="116" t="n">
        <f aca="false">AF112</f>
        <v>0.972162682106442</v>
      </c>
    </row>
    <row r="222" customFormat="false" ht="14.25" hidden="false" customHeight="true" outlineLevel="0" collapsed="false">
      <c r="B222" s="1" t="s">
        <v>1218</v>
      </c>
      <c r="C222" s="87" t="n">
        <f aca="false">IF(C221&gt;0,C220/C221,0)</f>
        <v>0.779690291911077</v>
      </c>
      <c r="D222" s="87" t="n">
        <f aca="false">IF(D221&gt;0,D220/D221,0)</f>
        <v>1.20777960047155</v>
      </c>
      <c r="E222" s="87" t="n">
        <f aca="false">IF(E221&gt;0,E220/E221,0)</f>
        <v>1.58753747659019</v>
      </c>
      <c r="F222" s="87" t="n">
        <f aca="false">IF(F221&gt;0,F220/F221,0)</f>
        <v>1.45170196512618</v>
      </c>
      <c r="G222" s="87" t="n">
        <f aca="false">IF(G221&gt;0,G220/G221,0)</f>
        <v>2.00361664705631</v>
      </c>
      <c r="H222" s="87" t="n">
        <f aca="false">IF(H221&gt;0,H220/H221,0)</f>
        <v>2.47086652269859</v>
      </c>
      <c r="I222" s="87" t="n">
        <f aca="false">IF(I221&gt;0,I220/I221,0)</f>
        <v>2.8660354591115</v>
      </c>
      <c r="J222" s="87" t="n">
        <f aca="false">IF(J221&gt;0,J220/J221,0)</f>
        <v>3.19962148750406</v>
      </c>
      <c r="K222" s="87" t="n">
        <f aca="false">IF(K221&gt;0,K220/K221,0)</f>
        <v>3.48043168841404</v>
      </c>
      <c r="L222" s="87" t="n">
        <f aca="false">IF(L221&gt;0,L220/L221,0)</f>
        <v>3.715892140736</v>
      </c>
      <c r="M222" s="87" t="n">
        <f aca="false">IF(M221&gt;0,M220/M221,0)</f>
        <v>3.80345768232337</v>
      </c>
      <c r="N222" s="87" t="n">
        <f aca="false">IF(N221&gt;0,N220/N221,0)</f>
        <v>3.80783555680581</v>
      </c>
      <c r="O222" s="87" t="n">
        <f aca="false">IF(O221&gt;0,O220/O221,0)</f>
        <v>3.74857922303681</v>
      </c>
      <c r="P222" s="87" t="n">
        <f aca="false">IF(P221&gt;0,P220/P221,0)</f>
        <v>3.44549809880179</v>
      </c>
      <c r="Q222" s="87" t="n">
        <f aca="false">IF(Q221&gt;0,Q220/Q221,0)</f>
        <v>3.1656670363067</v>
      </c>
      <c r="R222" s="87" t="n">
        <f aca="false">IF(R221&gt;0,R220/R221,0)</f>
        <v>2.90816342678016</v>
      </c>
      <c r="S222" s="87" t="n">
        <f aca="false">IF(S221&gt;0,S220/S221,0)</f>
        <v>2.67339705511526</v>
      </c>
      <c r="T222" s="87" t="n">
        <f aca="false">IF(T221&gt;0,T220/T221,0)</f>
        <v>2.45887651331035</v>
      </c>
      <c r="U222" s="87" t="n">
        <f aca="false">IF(U221&gt;0,U220/U221,0)</f>
        <v>2.26265397587292</v>
      </c>
      <c r="V222" s="87" t="n">
        <f aca="false">IF(V221&gt;0,V220/V221,0)</f>
        <v>2.08303976457784</v>
      </c>
      <c r="W222" s="87" t="n">
        <f aca="false">IF(W221&gt;0,W220/W221,0)</f>
        <v>1.91911085102892</v>
      </c>
      <c r="X222" s="87" t="n">
        <f aca="false">IF(X221&gt;0,X220/X221,0)</f>
        <v>1.76918488291369</v>
      </c>
      <c r="Y222" s="87" t="n">
        <f aca="false">IF(Y221&gt;0,Y220/Y221,0)</f>
        <v>1.63177088272977</v>
      </c>
      <c r="Z222" s="87" t="n">
        <f aca="false">IF(Z221&gt;0,Z220/Z221,0)</f>
        <v>1.50575344272824</v>
      </c>
      <c r="AA222" s="87" t="n">
        <f aca="false">IF(AA221&gt;0,AA220/AA221,0)</f>
        <v>1.3901238167924</v>
      </c>
      <c r="AB222" s="87" t="n">
        <f aca="false">IF(AB221&gt;0,AB220/AB221,0)</f>
        <v>1.28395950630224</v>
      </c>
      <c r="AC222" s="87" t="n">
        <f aca="false">IF(AC221&gt;0,AC220/AC221,0)</f>
        <v>1.18642720279257</v>
      </c>
      <c r="AD222" s="87" t="n">
        <f aca="false">IF(AD221&gt;0,AD220/AD221,0)</f>
        <v>1.09677331241481</v>
      </c>
      <c r="AE222" s="87" t="n">
        <f aca="false">IF(AE221&gt;0,AE220/AE221,0)</f>
        <v>1.01431559309325</v>
      </c>
      <c r="AF222" s="87" t="n">
        <f aca="false">IF(AF221&gt;0,AF220/AF221,0)</f>
        <v>0.938435759774403</v>
      </c>
    </row>
    <row r="223" customFormat="false" ht="14.25" hidden="false" customHeight="true" outlineLevel="0" collapsed="false">
      <c r="B223" s="1" t="s">
        <v>1219</v>
      </c>
      <c r="C223" s="88" t="n">
        <f aca="false">C220-C221</f>
        <v>-0.0260601682936292</v>
      </c>
      <c r="D223" s="88" t="n">
        <f aca="false">D220-D221</f>
        <v>0.0404084656082906</v>
      </c>
      <c r="E223" s="88" t="n">
        <f aca="false">E220-E221</f>
        <v>0.154065059248095</v>
      </c>
      <c r="F223" s="88" t="n">
        <f aca="false">F220-F221</f>
        <v>0.246391280080977</v>
      </c>
      <c r="G223" s="88" t="n">
        <f aca="false">G220-G221</f>
        <v>0.572641756154843</v>
      </c>
      <c r="H223" s="88" t="n">
        <f aca="false">H220-H221</f>
        <v>0.876207271770902</v>
      </c>
      <c r="I223" s="88" t="n">
        <f aca="false">I220-I221</f>
        <v>1.15855048634699</v>
      </c>
      <c r="J223" s="88" t="n">
        <f aca="false">J220-J221</f>
        <v>1.42103974608903</v>
      </c>
      <c r="K223" s="88" t="n">
        <f aca="false">K220-K221</f>
        <v>1.66495516562926</v>
      </c>
      <c r="L223" s="88" t="n">
        <f aca="false">L220-L221</f>
        <v>1.89149431748647</v>
      </c>
      <c r="M223" s="88" t="n">
        <f aca="false">M220-M221</f>
        <v>2.01314639973262</v>
      </c>
      <c r="N223" s="88" t="n">
        <f aca="false">N220-N221</f>
        <v>2.07124740571323</v>
      </c>
      <c r="O223" s="88" t="n">
        <f aca="false">O220-O221</f>
        <v>2.0777125972083</v>
      </c>
      <c r="P223" s="88" t="n">
        <f aca="false">P220-P221</f>
        <v>1.88150881271332</v>
      </c>
      <c r="Q223" s="88" t="n">
        <f aca="false">Q220-Q221</f>
        <v>1.69654126958737</v>
      </c>
      <c r="R223" s="88" t="n">
        <f aca="false">R220-R221</f>
        <v>1.52223523457336</v>
      </c>
      <c r="S223" s="88" t="n">
        <f aca="false">S220-S221</f>
        <v>1.35852483026278</v>
      </c>
      <c r="T223" s="88" t="n">
        <f aca="false">T220-T221</f>
        <v>1.20465002497045</v>
      </c>
      <c r="U223" s="88" t="n">
        <f aca="false">U220-U221</f>
        <v>1.05996694528504</v>
      </c>
      <c r="V223" s="88" t="n">
        <f aca="false">V220-V221</f>
        <v>0.92388941395329</v>
      </c>
      <c r="W223" s="88" t="n">
        <f aca="false">W220-W221</f>
        <v>0.7961373815107</v>
      </c>
      <c r="X223" s="88" t="n">
        <f aca="false">X220-X221</f>
        <v>0.676121488203471</v>
      </c>
      <c r="Y223" s="88" t="n">
        <f aca="false">Y220-Y221</f>
        <v>0.563267481831955</v>
      </c>
      <c r="Z223" s="88" t="n">
        <f aca="false">Z220-Z221</f>
        <v>0.457136890938582</v>
      </c>
      <c r="AA223" s="88" t="n">
        <f aca="false">AA220-AA221</f>
        <v>0.357319981023271</v>
      </c>
      <c r="AB223" s="88" t="n">
        <f aca="false">AB220-AB221</f>
        <v>0.263427094451605</v>
      </c>
      <c r="AC223" s="88" t="n">
        <f aca="false">AC220-AC221</f>
        <v>0.175093723532332</v>
      </c>
      <c r="AD223" s="88" t="n">
        <f aca="false">AD220-AD221</f>
        <v>0.0919788886360665</v>
      </c>
      <c r="AE223" s="88" t="n">
        <f aca="false">AE220-AE221</f>
        <v>0.0137636209471721</v>
      </c>
      <c r="AF223" s="88" t="n">
        <f aca="false">AF220-AF221</f>
        <v>-0.0598504568995618</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0.00973376431700337</v>
      </c>
      <c r="D233" s="1" t="n">
        <f aca="false">IF(C81&gt;0,(D107+D109+D110+D184-D108-D229)/C81,0)</f>
        <v>0.0309418551614619</v>
      </c>
      <c r="E233" s="1" t="n">
        <f aca="false">IF(D81&gt;0,(E107+E109+E110+E184-E108-E229)/D81,0)</f>
        <v>0.0306358187158267</v>
      </c>
      <c r="F233" s="1" t="n">
        <f aca="false">IF(E81&gt;0,(F107+F109+F110+F184-F108-F229)/E81,0)</f>
        <v>0.0412294391217909</v>
      </c>
      <c r="G233" s="1" t="n">
        <f aca="false">IF(F81&gt;0,(G107+G109+G110+G184-G108-G229)/F81,0)</f>
        <v>0.0239820146154313</v>
      </c>
      <c r="H233" s="1" t="n">
        <f aca="false">IF(G81&gt;0,(H107+H109+H110+H184-H108-H229)/G81,0)</f>
        <v>0.0262086043526204</v>
      </c>
      <c r="I233" s="1" t="n">
        <f aca="false">IF(H81&gt;0,(I107+I109+I110+I184-I108-I229)/H81,0)</f>
        <v>0.0284213726799655</v>
      </c>
      <c r="J233" s="1" t="n">
        <f aca="false">IF(I81&gt;0,(J107+J109+J110+J184-J108-J229)/I81,0)</f>
        <v>0.0306325428475732</v>
      </c>
      <c r="K233" s="1" t="n">
        <f aca="false">IF(J81&gt;0,(K107+K109+K110+K184-K108-K229)/J81,0)</f>
        <v>0.0328134171957097</v>
      </c>
      <c r="L233" s="1" t="n">
        <f aca="false">IF(K81&gt;0,(L107+L109+L110+L184-L108-L229)/K81,0)</f>
        <v>0.0349707939137654</v>
      </c>
      <c r="M233" s="1" t="n">
        <f aca="false">IF(L81&gt;0,(M107+M109+M110+M184-M108-M229)/L81,0)</f>
        <v>0.0368972920116958</v>
      </c>
      <c r="N233" s="1" t="n">
        <f aca="false">IF(M81&gt;0,(N107+N109+N110+N184-N108-N229)/M81,0)</f>
        <v>0.0371043852196188</v>
      </c>
      <c r="O233" s="1" t="n">
        <f aca="false">IF(N81&gt;0,(O107+O109+O110+O184-O108-O229)/N81,0)</f>
        <v>0.0375330257751824</v>
      </c>
      <c r="P233" s="1" t="n">
        <f aca="false">IF(O81&gt;0,(P107+P109+P110+P184-P108-P229)/O81,0)</f>
        <v>0.0382504490548568</v>
      </c>
      <c r="Q233" s="1" t="n">
        <f aca="false">IF(P81&gt;0,(Q107+Q109+Q110+Q184-Q108-Q229)/P81,0)</f>
        <v>0.0391783672809361</v>
      </c>
      <c r="R233" s="1" t="n">
        <f aca="false">IF(Q81&gt;0,(R107+R109+R110+R184-R108-R229)/Q81,0)</f>
        <v>0.0391844183465887</v>
      </c>
      <c r="S233" s="1" t="n">
        <f aca="false">IF(R81&gt;0,(S107+S109+S110+S184-S108-S229)/R81,0)</f>
        <v>0.0392610917975333</v>
      </c>
      <c r="T233" s="1" t="n">
        <f aca="false">IF(S81&gt;0,(T107+T109+T110+T184-T108-T229)/S81,0)</f>
        <v>0.0393488642693709</v>
      </c>
      <c r="U233" s="1" t="n">
        <f aca="false">IF(T81&gt;0,(U107+U109+U110+U184-U108-U229)/T81,0)</f>
        <v>0.0394232884896757</v>
      </c>
      <c r="V233" s="1" t="n">
        <f aca="false">IF(U81&gt;0,(V107+V109+V110+V184-V108-V229)/U81,0)</f>
        <v>0.0395072062230142</v>
      </c>
      <c r="W233" s="1" t="n">
        <f aca="false">IF(V81&gt;0,(W107+W109+W110+W184-W108-W229)/V81,0)</f>
        <v>0.0394750388522248</v>
      </c>
      <c r="X233" s="1" t="n">
        <f aca="false">IF(W81&gt;0,(X107+X109+X110+X184-X108-X229)/W81,0)</f>
        <v>0.0394603935016336</v>
      </c>
      <c r="Y233" s="1" t="n">
        <f aca="false">IF(X81&gt;0,(Y107+Y109+Y110+Y184-Y108-Y229)/X81,0)</f>
        <v>0.0394544880268486</v>
      </c>
      <c r="Z233" s="1" t="n">
        <f aca="false">IF(Y81&gt;0,(Z107+Z109+Z110+Z184-Z108-Z229)/Y81,0)</f>
        <v>0.0394484769937402</v>
      </c>
      <c r="AA233" s="1" t="n">
        <f aca="false">IF(Z81&gt;0,(AA107+AA109+AA110+AA184-AA108-AA229)/Z81,0)</f>
        <v>0.039446415058377</v>
      </c>
      <c r="AB233" s="1" t="n">
        <f aca="false">IF(AA81&gt;0,(AB107+AB109+AB110+AB184-AB108-AB229)/AA81,0)</f>
        <v>0.0394497373414186</v>
      </c>
      <c r="AC233" s="1" t="n">
        <f aca="false">IF(AB81&gt;0,(AC107+AC109+AC110+AC184-AC108-AC229)/AB81,0)</f>
        <v>0.0394590009630994</v>
      </c>
      <c r="AD233" s="1" t="n">
        <f aca="false">IF(AC81&gt;0,(AD107+AD109+AD110+AD184-AD108-AD229)/AC81,0)</f>
        <v>0.0394747460019285</v>
      </c>
      <c r="AE233" s="1" t="n">
        <f aca="false">IF(AD81&gt;0,(AE107+AE109+AE110+AE184-AE108-AE229)/AD81,0)</f>
        <v>0.0394975003789617</v>
      </c>
      <c r="AF233" s="1" t="n">
        <f aca="false">IF(AE81&gt;0,(AF107+AF109+AF110+AF184-AF108-AF229)/AE81,0)</f>
        <v>0.0395277844850315</v>
      </c>
    </row>
    <row r="234" customFormat="false" ht="14.25" hidden="false" customHeight="true" outlineLevel="0" collapsed="false">
      <c r="B234" s="1" t="s">
        <v>1230</v>
      </c>
      <c r="C234" s="1" t="n">
        <f aca="false">(C232+0)/2*C233</f>
        <v>0.00897731644816159</v>
      </c>
      <c r="D234" s="1" t="n">
        <f aca="false">(D232+C232)/2*D233</f>
        <v>0.101215333560466</v>
      </c>
      <c r="E234" s="1" t="n">
        <f aca="false">(E232+D232)/2*E233</f>
        <v>0.199492099140758</v>
      </c>
      <c r="F234" s="1" t="n">
        <f aca="false">(F232+E232)/2*F233</f>
        <v>0.498113934898178</v>
      </c>
      <c r="G234" s="1" t="n">
        <f aca="false">(G232+F232)/2*G233</f>
        <v>0.464072207365444</v>
      </c>
      <c r="H234" s="1" t="n">
        <f aca="false">(H232+G232)/2*H233</f>
        <v>0.685390495486786</v>
      </c>
      <c r="I234" s="1" t="n">
        <f aca="false">(I232+H232)/2*I233</f>
        <v>0.924072037308632</v>
      </c>
      <c r="J234" s="1" t="n">
        <f aca="false">(J232+I232)/2*J233</f>
        <v>1.17827785978836</v>
      </c>
      <c r="K234" s="1" t="n">
        <f aca="false">(K232+J232)/2*K233</f>
        <v>1.44486311560779</v>
      </c>
      <c r="L234" s="1" t="n">
        <f aca="false">(L232+K232)/2*L233</f>
        <v>1.7220107356662</v>
      </c>
      <c r="M234" s="1" t="n">
        <f aca="false">(M232+L232)/2*M233</f>
        <v>1.96263667831443</v>
      </c>
      <c r="N234" s="1" t="n">
        <f aca="false">(N232+M232)/2*N233</f>
        <v>2.05564038516804</v>
      </c>
      <c r="O234" s="1" t="n">
        <f aca="false">(O232+N232)/2*O233</f>
        <v>2.11781949079723</v>
      </c>
      <c r="P234" s="1" t="n">
        <f aca="false">(P232+O232)/2*P233</f>
        <v>2.09785365325388</v>
      </c>
      <c r="Q234" s="1" t="n">
        <f aca="false">(Q232+P232)/2*Q233</f>
        <v>2.01016644018378</v>
      </c>
      <c r="R234" s="1" t="n">
        <f aca="false">(R232+Q232)/2*R233</f>
        <v>1.88081519132275</v>
      </c>
      <c r="S234" s="1" t="n">
        <f aca="false">(S232+R232)/2*S233</f>
        <v>1.76295865185714</v>
      </c>
      <c r="T234" s="1" t="n">
        <f aca="false">(T232+S232)/2*T233</f>
        <v>1.65294723484136</v>
      </c>
      <c r="U234" s="1" t="n">
        <f aca="false">(U232+T232)/2*U233</f>
        <v>1.54926842981937</v>
      </c>
      <c r="V234" s="1" t="n">
        <f aca="false">(V232+U232)/2*V233</f>
        <v>1.45243657583738</v>
      </c>
      <c r="W234" s="1" t="n">
        <f aca="false">(W232+V232)/2*W233</f>
        <v>1.35765823514941</v>
      </c>
      <c r="X234" s="1" t="n">
        <f aca="false">(X232+W232)/2*X233</f>
        <v>1.26962755205008</v>
      </c>
      <c r="Y234" s="1" t="n">
        <f aca="false">(Y232+X232)/2*Y233</f>
        <v>1.1875676903963</v>
      </c>
      <c r="Z234" s="1" t="n">
        <f aca="false">(Z232+Y232)/2*Z233</f>
        <v>1.11080860809069</v>
      </c>
      <c r="AA234" s="1" t="n">
        <f aca="false">(AA232+Z232)/2*AA233</f>
        <v>1.03911489548965</v>
      </c>
      <c r="AB234" s="1" t="n">
        <f aca="false">(AB232+AA232)/2*AB233</f>
        <v>0.972181115790575</v>
      </c>
      <c r="AC234" s="1" t="n">
        <f aca="false">(AC232+AB232)/2*AC233</f>
        <v>0.909695789945982</v>
      </c>
      <c r="AD234" s="1" t="n">
        <f aca="false">(AD232+AC232)/2*AD233</f>
        <v>0.851366344783378</v>
      </c>
      <c r="AE234" s="1" t="n">
        <f aca="false">(AE232+AD232)/2*AE233</f>
        <v>0.796918264295592</v>
      </c>
      <c r="AF234" s="1" t="n">
        <f aca="false">(AF232+AE232)/2*AF233</f>
        <v>0.74609422083407</v>
      </c>
    </row>
    <row r="235" customFormat="false" ht="14.25" hidden="false" customHeight="true" outlineLevel="0" collapsed="false">
      <c r="B235" s="1" t="s">
        <v>1231</v>
      </c>
      <c r="C235" s="1" t="n">
        <f aca="false">MAX(0,MIN(C234,$C$231*C232))</f>
        <v>0.00897731644816159</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v>
      </c>
      <c r="D236" s="1" t="n">
        <f aca="false">MAX(0,D234-D235)</f>
        <v>0.0777267329773056</v>
      </c>
      <c r="E236" s="1" t="n">
        <f aca="false">MAX(0,E234-E235)</f>
        <v>0.157863426054421</v>
      </c>
      <c r="F236" s="1" t="n">
        <f aca="false">MAX(0,F234-F235)</f>
        <v>0.41892749492252</v>
      </c>
      <c r="G236" s="1" t="n">
        <f aca="false">MAX(0,G234-G235)</f>
        <v>0.349750214122637</v>
      </c>
      <c r="H236" s="1" t="n">
        <f aca="false">MAX(0,H234-H235)</f>
        <v>0.538198946739609</v>
      </c>
      <c r="I236" s="1" t="n">
        <f aca="false">MAX(0,I234-I235)</f>
        <v>0.746130789792234</v>
      </c>
      <c r="J236" s="1" t="n">
        <f aca="false">MAX(0,J234-J235)</f>
        <v>0.971570054285736</v>
      </c>
      <c r="K236" s="1" t="n">
        <f aca="false">MAX(0,K234-K235)</f>
        <v>1.21124399417374</v>
      </c>
      <c r="L236" s="1" t="n">
        <f aca="false">MAX(0,L234-L235)</f>
        <v>1.4632158902019</v>
      </c>
      <c r="M236" s="1" t="n">
        <f aca="false">MAX(0,M234-M235)</f>
        <v>1.68951262910962</v>
      </c>
      <c r="N236" s="1" t="n">
        <f aca="false">MAX(0,N234-N235)</f>
        <v>1.77474895264452</v>
      </c>
      <c r="O236" s="1" t="n">
        <f aca="false">MAX(0,O234-O235)</f>
        <v>1.83445599128232</v>
      </c>
      <c r="P236" s="1" t="n">
        <f aca="false">MAX(0,P234-P235)</f>
        <v>1.83276512015468</v>
      </c>
      <c r="Q236" s="1" t="n">
        <f aca="false">MAX(0,Q234-Q235)</f>
        <v>1.76217426581769</v>
      </c>
      <c r="R236" s="1" t="n">
        <f aca="false">MAX(0,R234-R235)</f>
        <v>1.64881677997009</v>
      </c>
      <c r="S236" s="1" t="n">
        <f aca="false">MAX(0,S234-S235)</f>
        <v>1.5459225175205</v>
      </c>
      <c r="T236" s="1" t="n">
        <f aca="false">MAX(0,T234-T235)</f>
        <v>1.44990841516516</v>
      </c>
      <c r="U236" s="1" t="n">
        <f aca="false">MAX(0,U234-U235)</f>
        <v>1.35932419577972</v>
      </c>
      <c r="V236" s="1" t="n">
        <f aca="false">MAX(0,V234-V235)</f>
        <v>1.2747424181268</v>
      </c>
      <c r="W236" s="1" t="n">
        <f aca="false">MAX(0,W234-W235)</f>
        <v>1.19142410941185</v>
      </c>
      <c r="X236" s="1" t="n">
        <f aca="false">MAX(0,X234-X235)</f>
        <v>1.11411436627197</v>
      </c>
      <c r="Y236" s="1" t="n">
        <f aca="false">MAX(0,Y234-Y235)</f>
        <v>1.04208401883636</v>
      </c>
      <c r="Z236" s="1" t="n">
        <f aca="false">MAX(0,Z234-Z235)</f>
        <v>0.974707617138321</v>
      </c>
      <c r="AA236" s="1" t="n">
        <f aca="false">MAX(0,AA234-AA235)</f>
        <v>0.911791467783985</v>
      </c>
      <c r="AB236" s="1" t="n">
        <f aca="false">MAX(0,AB234-AB235)</f>
        <v>0.853069159813757</v>
      </c>
      <c r="AC236" s="1" t="n">
        <f aca="false">MAX(0,AC234-AC235)</f>
        <v>0.79826572312889</v>
      </c>
      <c r="AD236" s="1" t="n">
        <f aca="false">MAX(0,AD234-AD235)</f>
        <v>0.747122738933448</v>
      </c>
      <c r="AE236" s="1" t="n">
        <f aca="false">MAX(0,AE234-AE235)</f>
        <v>0.6993976428781</v>
      </c>
      <c r="AF236" s="1" t="n">
        <f aca="false">MAX(0,AF234-AF235)</f>
        <v>0.654862998313382</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0.0758932154171799</v>
      </c>
      <c r="D238" s="1" t="n">
        <f aca="false">IF(D112&gt;0,D235/D112,0)</f>
        <v>0.120777960047155</v>
      </c>
      <c r="E238" s="1" t="n">
        <f aca="false">IF(E112&gt;0,E235/E112,0)</f>
        <v>0.158753747659019</v>
      </c>
      <c r="F238" s="1" t="n">
        <f aca="false">IF(F112&gt;0,F235/F112,0)</f>
        <v>0.145170196512618</v>
      </c>
      <c r="G238" s="1" t="n">
        <f aca="false">IF(G112&gt;0,G235/G112,0)</f>
        <v>0.200361664705631</v>
      </c>
      <c r="H238" s="1" t="n">
        <f aca="false">IF(H112&gt;0,H235/H112,0)</f>
        <v>0.247086652269859</v>
      </c>
      <c r="I238" s="1" t="n">
        <f aca="false">IF(I112&gt;0,I235/I112,0)</f>
        <v>0.28660354591115</v>
      </c>
      <c r="J238" s="1" t="n">
        <f aca="false">IF(J112&gt;0,J235/J112,0)</f>
        <v>0.319962148750406</v>
      </c>
      <c r="K238" s="1" t="n">
        <f aca="false">IF(K112&gt;0,K235/K112,0)</f>
        <v>0.348043168841404</v>
      </c>
      <c r="L238" s="1" t="n">
        <f aca="false">IF(L112&gt;0,L235/L112,0)</f>
        <v>0.3715892140736</v>
      </c>
      <c r="M238" s="1" t="n">
        <f aca="false">IF(M112&gt;0,M235/M112,0)</f>
        <v>0.380345768232337</v>
      </c>
      <c r="N238" s="1" t="n">
        <f aca="false">IF(N112&gt;0,N235/N112,0)</f>
        <v>0.380783555680581</v>
      </c>
      <c r="O238" s="1" t="n">
        <f aca="false">IF(O112&gt;0,O235/O112,0)</f>
        <v>0.374857922303681</v>
      </c>
      <c r="P238" s="1" t="n">
        <f aca="false">IF(P112&gt;0,P235/P112,0)</f>
        <v>0.344549809880179</v>
      </c>
      <c r="Q238" s="1" t="n">
        <f aca="false">IF(Q112&gt;0,Q235/Q112,0)</f>
        <v>0.31656670363067</v>
      </c>
      <c r="R238" s="1" t="n">
        <f aca="false">IF(R112&gt;0,R235/R112,0)</f>
        <v>0.290816342678016</v>
      </c>
      <c r="S238" s="1" t="n">
        <f aca="false">IF(S112&gt;0,S235/S112,0)</f>
        <v>0.267339705511526</v>
      </c>
      <c r="T238" s="1" t="n">
        <f aca="false">IF(T112&gt;0,T235/T112,0)</f>
        <v>0.245887651331035</v>
      </c>
      <c r="U238" s="1" t="n">
        <f aca="false">IF(U112&gt;0,U235/U112,0)</f>
        <v>0.226265397587291</v>
      </c>
      <c r="V238" s="1" t="n">
        <f aca="false">IF(V112&gt;0,V235/V112,0)</f>
        <v>0.208303976457784</v>
      </c>
      <c r="W238" s="1" t="n">
        <f aca="false">IF(W112&gt;0,W235/W112,0)</f>
        <v>0.191911085102892</v>
      </c>
      <c r="X238" s="1" t="n">
        <f aca="false">IF(X112&gt;0,X235/X112,0)</f>
        <v>0.176918488291369</v>
      </c>
      <c r="Y238" s="1" t="n">
        <f aca="false">IF(Y112&gt;0,Y235/Y112,0)</f>
        <v>0.163177088272977</v>
      </c>
      <c r="Z238" s="1" t="n">
        <f aca="false">IF(Z112&gt;0,Z235/Z112,0)</f>
        <v>0.150575344272824</v>
      </c>
      <c r="AA238" s="1" t="n">
        <f aca="false">IF(AA112&gt;0,AA235/AA112,0)</f>
        <v>0.13901238167924</v>
      </c>
      <c r="AB238" s="1" t="n">
        <f aca="false">IF(AB112&gt;0,AB235/AB112,0)</f>
        <v>0.128395950630224</v>
      </c>
      <c r="AC238" s="1" t="n">
        <f aca="false">IF(AC112&gt;0,AC235/AC112,0)</f>
        <v>0.118642720279257</v>
      </c>
      <c r="AD238" s="1" t="n">
        <f aca="false">IF(AD112&gt;0,AD235/AD112,0)</f>
        <v>0.109677331241481</v>
      </c>
      <c r="AE238" s="1" t="n">
        <f aca="false">IF(AE112&gt;0,AE235/AE112,0)</f>
        <v>0.101431559309325</v>
      </c>
      <c r="AF238" s="1" t="n">
        <f aca="false">IF(AF112&gt;0,AF235/AF112,0)</f>
        <v>0.0938435759774403</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v>
      </c>
      <c r="D243" s="1" t="n">
        <f aca="false">D236</f>
        <v>0.0777267329773056</v>
      </c>
      <c r="E243" s="1" t="n">
        <f aca="false">E236</f>
        <v>0.157863426054421</v>
      </c>
      <c r="F243" s="1" t="n">
        <f aca="false">F236</f>
        <v>0.41892749492252</v>
      </c>
      <c r="G243" s="1" t="n">
        <f aca="false">G236</f>
        <v>0.349750214122637</v>
      </c>
      <c r="H243" s="1" t="n">
        <f aca="false">H236</f>
        <v>0.538198946739609</v>
      </c>
      <c r="I243" s="1" t="n">
        <f aca="false">I236</f>
        <v>0.746130789792234</v>
      </c>
      <c r="J243" s="1" t="n">
        <f aca="false">J236</f>
        <v>0.971570054285736</v>
      </c>
      <c r="K243" s="1" t="n">
        <f aca="false">K236</f>
        <v>1.21124399417374</v>
      </c>
      <c r="L243" s="1" t="n">
        <f aca="false">L236</f>
        <v>1.4632158902019</v>
      </c>
      <c r="M243" s="1" t="n">
        <f aca="false">M236</f>
        <v>1.68951262910962</v>
      </c>
      <c r="N243" s="1" t="n">
        <f aca="false">N236</f>
        <v>1.77474895264452</v>
      </c>
      <c r="O243" s="1" t="n">
        <f aca="false">O236</f>
        <v>1.83445599128232</v>
      </c>
      <c r="P243" s="1" t="n">
        <f aca="false">P236</f>
        <v>1.83276512015468</v>
      </c>
      <c r="Q243" s="1" t="n">
        <f aca="false">Q236</f>
        <v>1.76217426581769</v>
      </c>
      <c r="R243" s="1" t="n">
        <f aca="false">R236</f>
        <v>1.64881677997009</v>
      </c>
      <c r="S243" s="1" t="n">
        <f aca="false">S236</f>
        <v>1.5459225175205</v>
      </c>
      <c r="T243" s="1" t="n">
        <f aca="false">T236</f>
        <v>1.44990841516516</v>
      </c>
      <c r="U243" s="1" t="n">
        <f aca="false">U236</f>
        <v>1.35932419577972</v>
      </c>
      <c r="V243" s="1" t="n">
        <f aca="false">V236</f>
        <v>1.2747424181268</v>
      </c>
      <c r="W243" s="1" t="n">
        <f aca="false">W236</f>
        <v>1.19142410941185</v>
      </c>
      <c r="X243" s="1" t="n">
        <f aca="false">X236</f>
        <v>1.11411436627197</v>
      </c>
      <c r="Y243" s="1" t="n">
        <f aca="false">Y236</f>
        <v>1.04208401883636</v>
      </c>
      <c r="Z243" s="1" t="n">
        <f aca="false">Z236</f>
        <v>0.974707617138321</v>
      </c>
      <c r="AA243" s="1" t="n">
        <f aca="false">AA236</f>
        <v>0.911791467783985</v>
      </c>
      <c r="AB243" s="1" t="n">
        <f aca="false">AB236</f>
        <v>0.853069159813757</v>
      </c>
      <c r="AC243" s="1" t="n">
        <f aca="false">AC236</f>
        <v>0.79826572312889</v>
      </c>
      <c r="AD243" s="1" t="n">
        <f aca="false">AD236</f>
        <v>0.747122738933448</v>
      </c>
      <c r="AE243" s="1" t="n">
        <f aca="false">AE236</f>
        <v>0.6993976428781</v>
      </c>
      <c r="AF243" s="1" t="n">
        <f aca="false">AF236</f>
        <v>0.654862998313382</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v>
      </c>
      <c r="D247" s="1" t="n">
        <f aca="false">MAX(0,C248+D243-D244-D245-D246)</f>
        <v>0.0777267329773056</v>
      </c>
      <c r="E247" s="1" t="n">
        <f aca="false">MAX(0,D248+E243-E244-E245-E246)</f>
        <v>0.235590159031727</v>
      </c>
      <c r="F247" s="1" t="n">
        <f aca="false">MAX(0,E248+F243-F244-F245-F246)</f>
        <v>0.654517653954247</v>
      </c>
      <c r="G247" s="1" t="n">
        <f aca="false">MAX(0,F248+G243-G244-G245-G246)</f>
        <v>1.00426786807688</v>
      </c>
      <c r="H247" s="1" t="n">
        <f aca="false">MAX(0,G248+H243-H244-H245-H246)</f>
        <v>1.54246681481649</v>
      </c>
      <c r="I247" s="1" t="n">
        <f aca="false">MAX(0,H248+I243-I244-I245-I246)</f>
        <v>2.28859760460873</v>
      </c>
      <c r="J247" s="1" t="n">
        <f aca="false">MAX(0,I248+J243-J244-J245-J246)</f>
        <v>3.26016765889446</v>
      </c>
      <c r="K247" s="1" t="n">
        <f aca="false">MAX(0,J248+K243-K244-K245-K246)</f>
        <v>4.4714116530682</v>
      </c>
      <c r="L247" s="1" t="n">
        <f aca="false">MAX(0,K248+L243-L244-L245-L246)</f>
        <v>5.9346275432701</v>
      </c>
      <c r="M247" s="1" t="n">
        <f aca="false">MAX(0,L248+M243-M244-M245-M246)</f>
        <v>7.62414017237972</v>
      </c>
      <c r="N247" s="1" t="n">
        <f aca="false">MAX(0,M248+N243-N244-N245-N246)</f>
        <v>9.39888912502424</v>
      </c>
      <c r="O247" s="1" t="n">
        <f aca="false">MAX(0,N248+O243-O244-O245-O246)</f>
        <v>11.2333451163066</v>
      </c>
      <c r="P247" s="1" t="n">
        <f aca="false">MAX(0,O248+P243-P244-P245-P246)</f>
        <v>13.0661102364612</v>
      </c>
      <c r="Q247" s="1" t="n">
        <f aca="false">MAX(0,P248+Q243-Q244-Q245-Q246)</f>
        <v>14.8282845022789</v>
      </c>
      <c r="R247" s="1" t="n">
        <f aca="false">MAX(0,Q248+R243-R244-R245-R246)</f>
        <v>16.477101282249</v>
      </c>
      <c r="S247" s="1" t="n">
        <f aca="false">MAX(0,R248+S243-S244-S245-S246)</f>
        <v>18.0230237997695</v>
      </c>
      <c r="T247" s="1" t="n">
        <f aca="false">MAX(0,S248+T243-T244-T245-T246)</f>
        <v>19.4729322149347</v>
      </c>
      <c r="U247" s="1" t="n">
        <f aca="false">MAX(0,T248+U243-U244-U245-U246)</f>
        <v>20.8322564107144</v>
      </c>
      <c r="V247" s="1" t="n">
        <f aca="false">MAX(0,U248+V243-V244-V245-V246)</f>
        <v>22.1069988288412</v>
      </c>
      <c r="W247" s="1" t="n">
        <f aca="false">MAX(0,V248+W243-W244-W245-W246)</f>
        <v>23.298422938253</v>
      </c>
      <c r="X247" s="1" t="n">
        <f aca="false">MAX(0,W248+X243-X244-X245-X246)</f>
        <v>24.412537304525</v>
      </c>
      <c r="Y247" s="1" t="n">
        <f aca="false">MAX(0,X248+Y243-Y244-Y245-Y246)</f>
        <v>25.4546213233614</v>
      </c>
      <c r="Z247" s="1" t="n">
        <f aca="false">MAX(0,Y248+Z243-Z244-Z245-Z246)</f>
        <v>26.4293289404997</v>
      </c>
      <c r="AA247" s="1" t="n">
        <f aca="false">MAX(0,Z248+AA243-AA244-AA245-AA246)</f>
        <v>27.3411204082837</v>
      </c>
      <c r="AB247" s="1" t="n">
        <f aca="false">MAX(0,AA248+AB243-AB244-AB245-AB246)</f>
        <v>28.1941895680974</v>
      </c>
      <c r="AC247" s="1" t="n">
        <f aca="false">MAX(0,AB248+AC243-AC244-AC245-AC246)</f>
        <v>28.9924552912263</v>
      </c>
      <c r="AD247" s="1" t="n">
        <f aca="false">MAX(0,AC248+AD243-AD244-AD245-AD246)</f>
        <v>29.7395780301598</v>
      </c>
      <c r="AE247" s="1" t="n">
        <f aca="false">MAX(0,AD248+AE243-AE244-AE245-AE246)</f>
        <v>30.4389756730379</v>
      </c>
      <c r="AF247" s="1" t="n">
        <f aca="false">MAX(0,AE248+AF243-AF244-AF245-AF246)</f>
        <v>31.0938386713513</v>
      </c>
    </row>
    <row r="248" customFormat="false" ht="14.25" hidden="false" customHeight="true" outlineLevel="0" collapsed="false">
      <c r="B248" s="1" t="s">
        <v>1244</v>
      </c>
      <c r="C248" s="1" t="n">
        <f aca="false">MIN(C247,MAX(0,C276))</f>
        <v>0</v>
      </c>
      <c r="D248" s="1" t="n">
        <f aca="false">MIN(D247,MAX(0,D276))</f>
        <v>0.0777267329773056</v>
      </c>
      <c r="E248" s="1" t="n">
        <f aca="false">MIN(E247,MAX(0,E276))</f>
        <v>0.235590159031727</v>
      </c>
      <c r="F248" s="1" t="n">
        <f aca="false">MIN(F247,MAX(0,F276))</f>
        <v>0.654517653954247</v>
      </c>
      <c r="G248" s="1" t="n">
        <f aca="false">MIN(G247,MAX(0,G276))</f>
        <v>1.00426786807688</v>
      </c>
      <c r="H248" s="1" t="n">
        <f aca="false">MIN(H247,MAX(0,H276))</f>
        <v>1.54246681481649</v>
      </c>
      <c r="I248" s="1" t="n">
        <f aca="false">MIN(I247,MAX(0,I276))</f>
        <v>2.28859760460873</v>
      </c>
      <c r="J248" s="1" t="n">
        <f aca="false">MIN(J247,MAX(0,J276))</f>
        <v>3.26016765889446</v>
      </c>
      <c r="K248" s="1" t="n">
        <f aca="false">MIN(K247,MAX(0,K276))</f>
        <v>4.4714116530682</v>
      </c>
      <c r="L248" s="1" t="n">
        <f aca="false">MIN(L247,MAX(0,L276))</f>
        <v>5.9346275432701</v>
      </c>
      <c r="M248" s="1" t="n">
        <f aca="false">MIN(M247,MAX(0,M276))</f>
        <v>7.62414017237972</v>
      </c>
      <c r="N248" s="1" t="n">
        <f aca="false">MIN(N247,MAX(0,N276))</f>
        <v>9.39888912502424</v>
      </c>
      <c r="O248" s="1" t="n">
        <f aca="false">MIN(O247,MAX(0,O276))</f>
        <v>11.2333451163066</v>
      </c>
      <c r="P248" s="1" t="n">
        <f aca="false">MIN(P247,MAX(0,P276))</f>
        <v>13.0661102364612</v>
      </c>
      <c r="Q248" s="1" t="n">
        <f aca="false">MIN(Q247,MAX(0,Q276))</f>
        <v>14.8282845022789</v>
      </c>
      <c r="R248" s="1" t="n">
        <f aca="false">MIN(R247,MAX(0,R276))</f>
        <v>16.477101282249</v>
      </c>
      <c r="S248" s="1" t="n">
        <f aca="false">MIN(S247,MAX(0,S276))</f>
        <v>18.0230237997695</v>
      </c>
      <c r="T248" s="1" t="n">
        <f aca="false">MIN(T247,MAX(0,T276))</f>
        <v>19.4729322149347</v>
      </c>
      <c r="U248" s="1" t="n">
        <f aca="false">MIN(U247,MAX(0,U276))</f>
        <v>20.8322564107144</v>
      </c>
      <c r="V248" s="1" t="n">
        <f aca="false">MIN(V247,MAX(0,V276))</f>
        <v>22.1069988288412</v>
      </c>
      <c r="W248" s="1" t="n">
        <f aca="false">MIN(W247,MAX(0,W276))</f>
        <v>23.298422938253</v>
      </c>
      <c r="X248" s="1" t="n">
        <f aca="false">MIN(X247,MAX(0,X276))</f>
        <v>24.412537304525</v>
      </c>
      <c r="Y248" s="1" t="n">
        <f aca="false">MIN(Y247,MAX(0,Y276))</f>
        <v>25.4546213233614</v>
      </c>
      <c r="Z248" s="1" t="n">
        <f aca="false">MIN(Z247,MAX(0,Z276))</f>
        <v>26.4293289404997</v>
      </c>
      <c r="AA248" s="1" t="n">
        <f aca="false">MIN(AA247,MAX(0,AA276))</f>
        <v>27.3411204082837</v>
      </c>
      <c r="AB248" s="1" t="n">
        <f aca="false">MIN(AB247,MAX(0,AB276))</f>
        <v>28.1941895680974</v>
      </c>
      <c r="AC248" s="1" t="n">
        <f aca="false">MIN(AC247,MAX(0,AC276))</f>
        <v>28.9924552912263</v>
      </c>
      <c r="AD248" s="1" t="n">
        <f aca="false">MIN(AD247,MAX(0,AD276))</f>
        <v>29.7395780301598</v>
      </c>
      <c r="AE248" s="1" t="n">
        <f aca="false">MIN(AE247,MAX(0,AE276))</f>
        <v>30.4389756730379</v>
      </c>
      <c r="AF248" s="1" t="n">
        <f aca="false">MIN(AF247,MAX(0,AF276))</f>
        <v>31.0938386713513</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19.0872874005064</v>
      </c>
      <c r="D250" s="1" t="n">
        <f aca="false">D120-D248</f>
        <v>35.0232280385075</v>
      </c>
      <c r="E250" s="1" t="n">
        <f aca="false">E120-E248</f>
        <v>52.3602382744489</v>
      </c>
      <c r="F250" s="1" t="n">
        <f aca="false">F120-F248</f>
        <v>59.3582374296127</v>
      </c>
      <c r="G250" s="1" t="n">
        <f aca="false">G120-G248</f>
        <v>69.3250473428148</v>
      </c>
      <c r="H250" s="1" t="n">
        <f aca="false">H120-H248</f>
        <v>80.3277235606023</v>
      </c>
      <c r="I250" s="1" t="n">
        <f aca="false">I120-I248</f>
        <v>92.4360440767058</v>
      </c>
      <c r="J250" s="1" t="n">
        <f aca="false">J120-J248</f>
        <v>105.361386585524</v>
      </c>
      <c r="K250" s="1" t="n">
        <f aca="false">K120-K248</f>
        <v>119.117186203792</v>
      </c>
      <c r="L250" s="1" t="n">
        <f aca="false">L120-L248</f>
        <v>133.721246078226</v>
      </c>
      <c r="M250" s="1" t="n">
        <f aca="false">M120-M248</f>
        <v>131.58759064295</v>
      </c>
      <c r="N250" s="1" t="n">
        <f aca="false">N120-N248</f>
        <v>130.282218925723</v>
      </c>
      <c r="O250" s="1" t="n">
        <f aca="false">O120-O248</f>
        <v>129.87728724865</v>
      </c>
      <c r="P250" s="1" t="n">
        <f aca="false">P120-P248</f>
        <v>129.119019644597</v>
      </c>
      <c r="Q250" s="1" t="n">
        <f aca="false">Q120-Q248</f>
        <v>128.263100523474</v>
      </c>
      <c r="R250" s="1" t="n">
        <f aca="false">R120-R248</f>
        <v>128.487288767963</v>
      </c>
      <c r="S250" s="1" t="n">
        <f aca="false">S120-S248</f>
        <v>128.575993567815</v>
      </c>
      <c r="T250" s="1" t="n">
        <f aca="false">T120-T248</f>
        <v>128.493886498939</v>
      </c>
      <c r="U250" s="1" t="n">
        <f aca="false">U120-U248</f>
        <v>128.506153921975</v>
      </c>
      <c r="V250" s="1" t="n">
        <f aca="false">V120-V248</f>
        <v>128.643320336397</v>
      </c>
      <c r="W250" s="1" t="n">
        <f aca="false">W120-W248</f>
        <v>128.974613621137</v>
      </c>
      <c r="X250" s="1" t="n">
        <f aca="false">X120-X248</f>
        <v>129.28205458634</v>
      </c>
      <c r="Y250" s="1" t="n">
        <f aca="false">Y120-Y248</f>
        <v>129.549961110096</v>
      </c>
      <c r="Z250" s="1" t="n">
        <f aca="false">Z120-Z248</f>
        <v>129.821326418265</v>
      </c>
      <c r="AA250" s="1" t="n">
        <f aca="false">AA120-AA248</f>
        <v>130.107865915921</v>
      </c>
      <c r="AB250" s="1" t="n">
        <f aca="false">AB120-AB248</f>
        <v>130.41458096385</v>
      </c>
      <c r="AC250" s="1" t="n">
        <f aca="false">AC120-AC248</f>
        <v>130.746752494096</v>
      </c>
      <c r="AD250" s="1" t="n">
        <f aca="false">AD120-AD248</f>
        <v>131.109954659556</v>
      </c>
      <c r="AE250" s="1" t="n">
        <f aca="false">AE120-AE248</f>
        <v>131.51007115322</v>
      </c>
      <c r="AF250" s="1" t="n">
        <f aca="false">AF120-AF248</f>
        <v>131.953304094765</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v>
      </c>
      <c r="D252" s="1" t="n">
        <f aca="false">IF(D120&gt;0,D248/D120,0)</f>
        <v>0.00221437660266863</v>
      </c>
      <c r="E252" s="1" t="n">
        <f aca="false">IF(E120&gt;0,E248/E120,0)</f>
        <v>0.00447925559970377</v>
      </c>
      <c r="F252" s="1" t="n">
        <f aca="false">IF(F120&gt;0,F248/F120,0)</f>
        <v>0.0109063090511815</v>
      </c>
      <c r="G252" s="1" t="n">
        <f aca="false">IF(G120&gt;0,G248/G120,0)</f>
        <v>0.0142795058513716</v>
      </c>
      <c r="H252" s="1" t="n">
        <f aca="false">IF(H120&gt;0,H248/H120,0)</f>
        <v>0.0188403960921974</v>
      </c>
      <c r="I252" s="1" t="n">
        <f aca="false">IF(I120&gt;0,I248/I120,0)</f>
        <v>0.024160530607319</v>
      </c>
      <c r="J252" s="1" t="n">
        <f aca="false">IF(J120&gt;0,J248/J120,0)</f>
        <v>0.0300140030362526</v>
      </c>
      <c r="K252" s="1" t="n">
        <f aca="false">IF(K120&gt;0,K248/K120,0)</f>
        <v>0.0361798072848675</v>
      </c>
      <c r="L252" s="1" t="n">
        <f aca="false">IF(L120&gt;0,L248/L120,0)</f>
        <v>0.0424946505247212</v>
      </c>
      <c r="M252" s="1" t="n">
        <f aca="false">IF(M120&gt;0,M248/M120,0)</f>
        <v>0.0547665065848039</v>
      </c>
      <c r="N252" s="1" t="n">
        <f aca="false">IF(N120&gt;0,N248/N120,0)</f>
        <v>0.067288191339444</v>
      </c>
      <c r="O252" s="1" t="n">
        <f aca="false">IF(O120&gt;0,O248/O120,0)</f>
        <v>0.0796066527946216</v>
      </c>
      <c r="P252" s="1" t="n">
        <f aca="false">IF(P120&gt;0,P248/P120,0)</f>
        <v>0.0918950543379001</v>
      </c>
      <c r="Q252" s="1" t="n">
        <f aca="false">IF(Q120&gt;0,Q248/Q120,0)</f>
        <v>0.103628073064009</v>
      </c>
      <c r="R252" s="1" t="n">
        <f aca="false">IF(R120&gt;0,R248/R120,0)</f>
        <v>0.11366309530597</v>
      </c>
      <c r="S252" s="1" t="n">
        <f aca="false">IF(S120&gt;0,S248/S120,0)</f>
        <v>0.122940959110104</v>
      </c>
      <c r="T252" s="1" t="n">
        <f aca="false">IF(T120&gt;0,T248/T120,0)</f>
        <v>0.131603371513919</v>
      </c>
      <c r="U252" s="1" t="n">
        <f aca="false">IF(U120&gt;0,U248/U120,0)</f>
        <v>0.139496974450882</v>
      </c>
      <c r="V252" s="1" t="n">
        <f aca="false">IF(V120&gt;0,V248/V120,0)</f>
        <v>0.146646447923003</v>
      </c>
      <c r="W252" s="1" t="n">
        <f aca="false">IF(W120&gt;0,W248/W120,0)</f>
        <v>0.153004257777221</v>
      </c>
      <c r="X252" s="1" t="n">
        <f aca="false">IF(X120&gt;0,X248/X120,0)</f>
        <v>0.158837972138017</v>
      </c>
      <c r="Y252" s="1" t="n">
        <f aca="false">IF(Y120&gt;0,Y248/Y120,0)</f>
        <v>0.164218508406285</v>
      </c>
      <c r="Z252" s="1" t="n">
        <f aca="false">IF(Z120&gt;0,Z248/Z120,0)</f>
        <v>0.169146995766614</v>
      </c>
      <c r="AA252" s="1" t="n">
        <f aca="false">IF(AA120&gt;0,AA248/AA120,0)</f>
        <v>0.173650660106413</v>
      </c>
      <c r="AB252" s="1" t="n">
        <f aca="false">IF(AB120&gt;0,AB248/AB120,0)</f>
        <v>0.177759334956943</v>
      </c>
      <c r="AC252" s="1" t="n">
        <f aca="false">IF(AC120&gt;0,AC248/AC120,0)</f>
        <v>0.181498679586479</v>
      </c>
      <c r="AD252" s="1" t="n">
        <f aca="false">IF(AD120&gt;0,AD248/AD120,0)</f>
        <v>0.184890671006974</v>
      </c>
      <c r="AE252" s="1" t="n">
        <f aca="false">IF(AE120&gt;0,AE248/AE120,0)</f>
        <v>0.187954027946169</v>
      </c>
      <c r="AF252" s="1" t="n">
        <f aca="false">IF(AF120&gt;0,AF248/AF120,0)</f>
        <v>0.190704590978046</v>
      </c>
    </row>
    <row r="253" customFormat="false" ht="14.25" hidden="false" customHeight="true" outlineLevel="0" collapsed="false">
      <c r="B253" s="1" t="s">
        <v>1249</v>
      </c>
    </row>
    <row r="254" customFormat="false" ht="14.25" hidden="false" customHeight="true" outlineLevel="0" collapsed="false">
      <c r="B254" s="1" t="s">
        <v>1250</v>
      </c>
      <c r="C254" s="116" t="n">
        <f aca="false">C112</f>
        <v>0.118288787723829</v>
      </c>
      <c r="D254" s="116" t="n">
        <f aca="false">D112</f>
        <v>0.194477540223313</v>
      </c>
      <c r="E254" s="116" t="n">
        <f aca="false">E112</f>
        <v>0.262221671615268</v>
      </c>
      <c r="F254" s="116" t="n">
        <f aca="false">F112</f>
        <v>0.545473119675601</v>
      </c>
      <c r="G254" s="116" t="n">
        <f aca="false">G112</f>
        <v>0.57057817627323</v>
      </c>
      <c r="H254" s="116" t="n">
        <f aca="false">H112</f>
        <v>0.59570821570086</v>
      </c>
      <c r="I254" s="116" t="n">
        <f aca="false">I112</f>
        <v>0.620861988816989</v>
      </c>
      <c r="J254" s="116" t="n">
        <f aca="false">J112</f>
        <v>0.646038308937193</v>
      </c>
      <c r="K254" s="116" t="n">
        <f aca="false">K112</f>
        <v>0.671236048711268</v>
      </c>
      <c r="L254" s="116" t="n">
        <f aca="false">L112</f>
        <v>0.696454137156521</v>
      </c>
      <c r="M254" s="116" t="n">
        <f aca="false">M112</f>
        <v>0.718094092315397</v>
      </c>
      <c r="N254" s="116" t="n">
        <f aca="false">N112</f>
        <v>0.737666919521982</v>
      </c>
      <c r="O254" s="116" t="n">
        <f aca="false">O112</f>
        <v>0.75592239794082</v>
      </c>
      <c r="P254" s="116" t="n">
        <f aca="false">P112</f>
        <v>0.76937651827871</v>
      </c>
      <c r="Q254" s="116" t="n">
        <f aca="false">Q112</f>
        <v>0.783380474073533</v>
      </c>
      <c r="R254" s="116" t="n">
        <f aca="false">R112</f>
        <v>0.797748878953198</v>
      </c>
      <c r="S254" s="116" t="n">
        <f aca="false">S112</f>
        <v>0.811836513103703</v>
      </c>
      <c r="T254" s="116" t="n">
        <f aca="false">T112</f>
        <v>0.8257381717915</v>
      </c>
      <c r="U254" s="116" t="n">
        <f aca="false">U112</f>
        <v>0.839475395111515</v>
      </c>
      <c r="V254" s="116" t="n">
        <f aca="false">V112</f>
        <v>0.853052163152491</v>
      </c>
      <c r="W254" s="116" t="n">
        <f aca="false">W112</f>
        <v>0.866203875864857</v>
      </c>
      <c r="X254" s="116" t="n">
        <f aca="false">X112</f>
        <v>0.879010369577605</v>
      </c>
      <c r="Y254" s="116" t="n">
        <f aca="false">Y112</f>
        <v>0.891569233767438</v>
      </c>
      <c r="Z254" s="116" t="n">
        <f aca="false">Z112</f>
        <v>0.903873018585107</v>
      </c>
      <c r="AA254" s="116" t="n">
        <f aca="false">AA112</f>
        <v>0.91591429603339</v>
      </c>
      <c r="AB254" s="116" t="n">
        <f aca="false">AB112</f>
        <v>0.927692465316583</v>
      </c>
      <c r="AC254" s="116" t="n">
        <f aca="false">AC112</f>
        <v>0.939206944638594</v>
      </c>
      <c r="AD254" s="116" t="n">
        <f aca="false">AD112</f>
        <v>0.950457169863234</v>
      </c>
      <c r="AE254" s="116" t="n">
        <f aca="false">AE112</f>
        <v>0.961442593227751</v>
      </c>
      <c r="AF254" s="116" t="n">
        <f aca="false">AF112</f>
        <v>0.972162682106442</v>
      </c>
    </row>
    <row r="255" customFormat="false" ht="14.25" hidden="false" customHeight="true" outlineLevel="0" collapsed="false">
      <c r="B255" s="1" t="s">
        <v>1251</v>
      </c>
      <c r="C255" s="1" t="n">
        <f aca="false">MIN(C235,C254)</f>
        <v>0.00897731644816159</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0.109311471275667</v>
      </c>
      <c r="D256" s="1" t="n">
        <f aca="false">MIN(D254-D255,MAX(0,D107-D108+D109+D110+D184-D229-D235))</f>
        <v>0.170988939640153</v>
      </c>
      <c r="E256" s="1" t="n">
        <f aca="false">MIN(E254-E255,MAX(0,E107-E108+E109+E110+E184-E229-E235))</f>
        <v>0.220592998528932</v>
      </c>
      <c r="F256" s="1" t="n">
        <f aca="false">MIN(F254-F255,MAX(0,F107-F108+F109+F110+F184-F229-F235))</f>
        <v>0.466286679699944</v>
      </c>
      <c r="G256" s="1" t="n">
        <f aca="false">MIN(G254-G255,MAX(0,G107-G108+G109+G110+G184-G229-G235))</f>
        <v>0.456256183030423</v>
      </c>
      <c r="H256" s="1" t="n">
        <f aca="false">MIN(H254-H255,MAX(0,H107-H108+H109+H110+H184-H229-H235))</f>
        <v>0.448516666953683</v>
      </c>
      <c r="I256" s="1" t="n">
        <f aca="false">MIN(I254-I255,MAX(0,I107-I108+I109+I110+I184-I229-I235))</f>
        <v>0.442920741300591</v>
      </c>
      <c r="J256" s="1" t="n">
        <f aca="false">MIN(J254-J255,MAX(0,J107-J108+J109+J110+J184-J229-J235))</f>
        <v>0.43933050343457</v>
      </c>
      <c r="K256" s="1" t="n">
        <f aca="false">MIN(K254-K255,MAX(0,K107-K108+K109+K110+K184-K229-K235))</f>
        <v>0.437616927277215</v>
      </c>
      <c r="L256" s="1" t="n">
        <f aca="false">MIN(L254-L255,MAX(0,L107-L108+L109+L110+L184-L229-L235))</f>
        <v>0.437659291692222</v>
      </c>
      <c r="M256" s="1" t="n">
        <f aca="false">MIN(M254-M255,MAX(0,M107-M108+M109+M110+M184-M229-M235))</f>
        <v>0.444970043110595</v>
      </c>
      <c r="N256" s="1" t="n">
        <f aca="false">MIN(N254-N255,MAX(0,N107-N108+N109+N110+N184-N229-N235))</f>
        <v>0.456775486998461</v>
      </c>
      <c r="O256" s="1" t="n">
        <f aca="false">MIN(O254-O255,MAX(0,O107-O108+O109+O110+O184-O229-O235))</f>
        <v>0.472558898425908</v>
      </c>
      <c r="P256" s="1" t="n">
        <f aca="false">MIN(P254-P255,MAX(0,P107-P108+P109+P110+P184-P229-P235))</f>
        <v>0.504287985179507</v>
      </c>
      <c r="Q256" s="1" t="n">
        <f aca="false">MIN(Q254-Q255,MAX(0,Q107-Q108+Q109+Q110+Q184-Q229-Q235))</f>
        <v>0.535388299707443</v>
      </c>
      <c r="R256" s="1" t="n">
        <f aca="false">MIN(R254-R255,MAX(0,R107-R108+R109+R110+R184-R229-R235))</f>
        <v>0.565750467600542</v>
      </c>
      <c r="S256" s="1" t="n">
        <f aca="false">MIN(S254-S255,MAX(0,S107-S108+S109+S110+S184-S229-S235))</f>
        <v>0.594800378767055</v>
      </c>
      <c r="T256" s="1" t="n">
        <f aca="false">MIN(T254-T255,MAX(0,T107-T108+T109+T110+T184-T229-T235))</f>
        <v>0.622699352115305</v>
      </c>
      <c r="U256" s="1" t="n">
        <f aca="false">MIN(U254-U255,MAX(0,U107-U108+U109+U110+U184-U229-U235))</f>
        <v>0.649531161071859</v>
      </c>
      <c r="V256" s="1" t="n">
        <f aca="false">MIN(V254-V255,MAX(0,V107-V108+V109+V110+V184-V229-V235))</f>
        <v>0.675358005441913</v>
      </c>
      <c r="W256" s="1" t="n">
        <f aca="false">MIN(W254-W255,MAX(0,W107-W108+W109+W110+W184-W229-W235))</f>
        <v>0.699969750127301</v>
      </c>
      <c r="X256" s="1" t="n">
        <f aca="false">MIN(X254-X255,MAX(0,X107-X108+X109+X110+X184-X229-X235))</f>
        <v>0.723497183799497</v>
      </c>
      <c r="Y256" s="1" t="n">
        <f aca="false">MIN(Y254-Y255,MAX(0,Y107-Y108+Y109+Y110+Y184-Y229-Y235))</f>
        <v>0.746085562207498</v>
      </c>
      <c r="Z256" s="1" t="n">
        <f aca="false">MIN(Z254-Z255,MAX(0,Z107-Z108+Z109+Z110+Z184-Z229-Z235))</f>
        <v>0.767772027632738</v>
      </c>
      <c r="AA256" s="1" t="n">
        <f aca="false">MIN(AA254-AA255,MAX(0,AA107-AA108+AA109+AA110+AA184-AA229-AA235))</f>
        <v>0.788590868327724</v>
      </c>
      <c r="AB256" s="1" t="n">
        <f aca="false">MIN(AB254-AB255,MAX(0,AB107-AB108+AB109+AB110+AB184-AB229-AB235))</f>
        <v>0.808580509339764</v>
      </c>
      <c r="AC256" s="1" t="n">
        <f aca="false">MIN(AC254-AC255,MAX(0,AC107-AC108+AC109+AC110+AC184-AC229-AC235))</f>
        <v>0.827776877821501</v>
      </c>
      <c r="AD256" s="1" t="n">
        <f aca="false">MIN(AD254-AD255,MAX(0,AD107-AD108+AD109+AD110+AD184-AD229-AD235))</f>
        <v>0.846213564013304</v>
      </c>
      <c r="AE256" s="1" t="n">
        <f aca="false">MIN(AE254-AE255,MAX(0,AE107-AE108+AE109+AE110+AE184-AE229-AE235))</f>
        <v>0.863921971810259</v>
      </c>
      <c r="AF256" s="1" t="n">
        <f aca="false">MIN(AF254-AF255,MAX(0,AF107-AF108+AF109+AF110+AF184-AF229-AF235))</f>
        <v>0.880931459585754</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17.2988399625579</v>
      </c>
      <c r="D261" s="1" t="n">
        <f aca="false">(D83-D326)+D181</f>
        <v>34.9771117069655</v>
      </c>
      <c r="E261" s="1" t="n">
        <f aca="false">(E83-E326)+E181</f>
        <v>53.3834374272829</v>
      </c>
      <c r="F261" s="1" t="n">
        <f aca="false">(F83-F326)+F181</f>
        <v>73.4908703934434</v>
      </c>
      <c r="G261" s="1" t="n">
        <f aca="false">(G83-G326)+G181</f>
        <v>92.6207487315235</v>
      </c>
      <c r="H261" s="1" t="n">
        <f aca="false">(H83-H326)+H181</f>
        <v>103.907740862016</v>
      </c>
      <c r="I261" s="1" t="n">
        <f aca="false">(I83-I326)+I181</f>
        <v>115.76703498894</v>
      </c>
      <c r="J261" s="1" t="n">
        <f aca="false">(J83-J326)+J181</f>
        <v>127.898004101118</v>
      </c>
      <c r="K261" s="1" t="n">
        <f aca="false">(K83-K326)+K181</f>
        <v>140.306894140748</v>
      </c>
      <c r="L261" s="1" t="n">
        <f aca="false">(L83-L326)+L181</f>
        <v>153.00009483582</v>
      </c>
      <c r="M261" s="1" t="n">
        <f aca="false">(M83-M326)+M181</f>
        <v>164.839026400822</v>
      </c>
      <c r="N261" s="1" t="n">
        <f aca="false">(N83-N326)+N181</f>
        <v>177.796088160239</v>
      </c>
      <c r="O261" s="1" t="n">
        <f aca="false">(O83-O326)+O181</f>
        <v>191.975611829384</v>
      </c>
      <c r="P261" s="1" t="n">
        <f aca="false">(P83-P326)+P181</f>
        <v>206.025215197444</v>
      </c>
      <c r="Q261" s="1" t="n">
        <f aca="false">(Q83-Q326)+Q181</f>
        <v>220.205058498671</v>
      </c>
      <c r="R261" s="1" t="n">
        <f aca="false">(R83-R326)+R181</f>
        <v>227.146023893646</v>
      </c>
      <c r="S261" s="1" t="n">
        <f aca="false">(S83-S326)+S181</f>
        <v>232.712860787371</v>
      </c>
      <c r="T261" s="1" t="n">
        <f aca="false">(T83-T326)+T181</f>
        <v>238.093760800139</v>
      </c>
      <c r="U261" s="1" t="n">
        <f aca="false">(U83-U326)+U181</f>
        <v>243.561443922713</v>
      </c>
      <c r="V261" s="1" t="n">
        <f aca="false">(V83-V326)+V181</f>
        <v>249.154361551258</v>
      </c>
      <c r="W261" s="1" t="n">
        <f aca="false">(W83-W326)+W181</f>
        <v>253.670946252158</v>
      </c>
      <c r="X261" s="1" t="n">
        <f aca="false">(X83-X326)+X181</f>
        <v>257.886925108444</v>
      </c>
      <c r="Y261" s="1" t="n">
        <f aca="false">(Y83-Y326)+Y181</f>
        <v>262.030897789904</v>
      </c>
      <c r="Z261" s="1" t="n">
        <f aca="false">(Z83-Z326)+Z181</f>
        <v>266.143401604625</v>
      </c>
      <c r="AA261" s="1" t="n">
        <f aca="false">(AA83-AA326)+AA181</f>
        <v>270.232211850874</v>
      </c>
      <c r="AB261" s="1" t="n">
        <f aca="false">(AB83-AB326)+AB181</f>
        <v>274.297995679326</v>
      </c>
      <c r="AC261" s="1" t="n">
        <f aca="false">(AC83-AC326)+AC181</f>
        <v>278.341428820095</v>
      </c>
      <c r="AD261" s="1" t="n">
        <f aca="false">(AD83-AD326)+AD181</f>
        <v>282.363201230085</v>
      </c>
      <c r="AE261" s="1" t="n">
        <f aca="false">(AE83-AE326)+AE181</f>
        <v>286.364025145884</v>
      </c>
      <c r="AF261" s="1" t="n">
        <f aca="false">(AF83-AF326)+AF181</f>
        <v>290.344635238681</v>
      </c>
    </row>
    <row r="262" customFormat="false" ht="14.25" hidden="false" customHeight="true" outlineLevel="0" collapsed="false">
      <c r="B262" s="1" t="s">
        <v>1257</v>
      </c>
      <c r="C262" s="1" t="n">
        <f aca="false">$C$260*C261</f>
        <v>0.864941998127893</v>
      </c>
      <c r="D262" s="1" t="n">
        <f aca="false">$C$260*D261</f>
        <v>1.74885558534827</v>
      </c>
      <c r="E262" s="1" t="n">
        <f aca="false">$C$260*E261</f>
        <v>2.66917187136415</v>
      </c>
      <c r="F262" s="1" t="n">
        <f aca="false">$C$260*F261</f>
        <v>3.67454351967217</v>
      </c>
      <c r="G262" s="1" t="n">
        <f aca="false">$C$260*G261</f>
        <v>4.63103743657618</v>
      </c>
      <c r="H262" s="1" t="n">
        <f aca="false">$C$260*H261</f>
        <v>5.1953870431008</v>
      </c>
      <c r="I262" s="1" t="n">
        <f aca="false">$C$260*I261</f>
        <v>5.78835174944699</v>
      </c>
      <c r="J262" s="1" t="n">
        <f aca="false">$C$260*J261</f>
        <v>6.39490020505591</v>
      </c>
      <c r="K262" s="1" t="n">
        <f aca="false">$C$260*K261</f>
        <v>7.01534470703741</v>
      </c>
      <c r="L262" s="1" t="n">
        <f aca="false">$C$260*L261</f>
        <v>7.65000474179102</v>
      </c>
      <c r="M262" s="1" t="n">
        <f aca="false">$C$260*M261</f>
        <v>8.24195132004108</v>
      </c>
      <c r="N262" s="1" t="n">
        <f aca="false">$C$260*N261</f>
        <v>8.88980440801196</v>
      </c>
      <c r="O262" s="1" t="n">
        <f aca="false">$C$260*O261</f>
        <v>9.59878059146919</v>
      </c>
      <c r="P262" s="1" t="n">
        <f aca="false">$C$260*P261</f>
        <v>10.3012607598722</v>
      </c>
      <c r="Q262" s="1" t="n">
        <f aca="false">$C$260*Q261</f>
        <v>11.0102529249335</v>
      </c>
      <c r="R262" s="1" t="n">
        <f aca="false">$C$260*R261</f>
        <v>11.3573011946823</v>
      </c>
      <c r="S262" s="1" t="n">
        <f aca="false">$C$260*S261</f>
        <v>11.6356430393685</v>
      </c>
      <c r="T262" s="1" t="n">
        <f aca="false">$C$260*T261</f>
        <v>11.9046880400069</v>
      </c>
      <c r="U262" s="1" t="n">
        <f aca="false">$C$260*U261</f>
        <v>12.1780721961356</v>
      </c>
      <c r="V262" s="1" t="n">
        <f aca="false">$C$260*V261</f>
        <v>12.4577180775629</v>
      </c>
      <c r="W262" s="1" t="n">
        <f aca="false">$C$260*W261</f>
        <v>12.6835473126079</v>
      </c>
      <c r="X262" s="1" t="n">
        <f aca="false">$C$260*X261</f>
        <v>12.8943462554222</v>
      </c>
      <c r="Y262" s="1" t="n">
        <f aca="false">$C$260*Y261</f>
        <v>13.1015448894952</v>
      </c>
      <c r="Z262" s="1" t="n">
        <f aca="false">$C$260*Z261</f>
        <v>13.3071700802312</v>
      </c>
      <c r="AA262" s="1" t="n">
        <f aca="false">$C$260*AA261</f>
        <v>13.5116105925437</v>
      </c>
      <c r="AB262" s="1" t="n">
        <f aca="false">$C$260*AB261</f>
        <v>13.7148997839663</v>
      </c>
      <c r="AC262" s="1" t="n">
        <f aca="false">$C$260*AC261</f>
        <v>13.9170714410048</v>
      </c>
      <c r="AD262" s="1" t="n">
        <f aca="false">$C$260*AD261</f>
        <v>14.1181600615043</v>
      </c>
      <c r="AE262" s="1" t="n">
        <f aca="false">$C$260*AE261</f>
        <v>14.3182012572942</v>
      </c>
      <c r="AF262" s="1" t="n">
        <f aca="false">$C$260*AF261</f>
        <v>14.517231761934</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24.087125368031</v>
      </c>
      <c r="G263" s="1" t="n">
        <f aca="false">MAX(0,(G70+F121-F227)*0.25/0.55)</f>
        <v>27.2752715234446</v>
      </c>
      <c r="H263" s="1" t="n">
        <f aca="false">MAX(0,(H70+G121-G227)*0.25/0.55)</f>
        <v>30.4634176788583</v>
      </c>
      <c r="I263" s="1" t="n">
        <f aca="false">MAX(0,(I70+H121-H227)*0.25/0.55)</f>
        <v>33.6515638342719</v>
      </c>
      <c r="J263" s="1" t="n">
        <f aca="false">MAX(0,(J70+I121-I227)*0.25/0.55)</f>
        <v>36.8397099896855</v>
      </c>
      <c r="K263" s="1" t="n">
        <f aca="false">MAX(0,(K70+J121-J227)*0.25/0.55)</f>
        <v>40.0278561450992</v>
      </c>
      <c r="L263" s="1" t="n">
        <f aca="false">MAX(0,(L70+K121-K227)*0.25/0.55)</f>
        <v>43.2160023005128</v>
      </c>
      <c r="M263" s="1" t="n">
        <f aca="false">MAX(0,(M70+L121-L227)*0.25/0.55)</f>
        <v>44.4867176746903</v>
      </c>
      <c r="N263" s="1" t="n">
        <f aca="false">MAX(0,(N70+M121-M227)*0.25/0.55)</f>
        <v>45.7592489999763</v>
      </c>
      <c r="O263" s="1" t="n">
        <f aca="false">MAX(0,(O70+N121-N227)*0.25/0.55)</f>
        <v>47.12345853042</v>
      </c>
      <c r="P263" s="1" t="n">
        <f aca="false">MAX(0,(P70+O121-O227)*0.25/0.55)</f>
        <v>48.5962789770995</v>
      </c>
      <c r="Q263" s="1" t="n">
        <f aca="false">MAX(0,(Q70+P121-P227)*0.25/0.55)</f>
        <v>50.1275663634794</v>
      </c>
      <c r="R263" s="1" t="n">
        <f aca="false">MAX(0,(R70+Q121-Q227)*0.25/0.55)</f>
        <v>51.7225554546747</v>
      </c>
      <c r="S263" s="1" t="n">
        <f aca="false">MAX(0,(S70+R121-R227)*0.25/0.55)</f>
        <v>53.2364694460032</v>
      </c>
      <c r="T263" s="1" t="n">
        <f aca="false">MAX(0,(T70+S121-S227)*0.25/0.55)</f>
        <v>54.6927134713878</v>
      </c>
      <c r="U263" s="1" t="n">
        <f aca="false">MAX(0,(U70+T121-T227)*0.25/0.55)</f>
        <v>56.0980410634042</v>
      </c>
      <c r="V263" s="1" t="n">
        <f aca="false">MAX(0,(V70+U121-U227)*0.25/0.55)</f>
        <v>57.4552127388513</v>
      </c>
      <c r="W263" s="1" t="n">
        <f aca="false">MAX(0,(W70+V121-V227)*0.25/0.55)</f>
        <v>58.771139195243</v>
      </c>
      <c r="X263" s="1" t="n">
        <f aca="false">MAX(0,(X70+W121-W227)*0.25/0.55)</f>
        <v>60.065756778719</v>
      </c>
      <c r="Y263" s="1" t="n">
        <f aca="false">MAX(0,(Y70+X121-X227)*0.25/0.55)</f>
        <v>61.3630340612918</v>
      </c>
      <c r="Z263" s="1" t="n">
        <f aca="false">MAX(0,(Z70+Y121-Y227)*0.25/0.55)</f>
        <v>62.6630649303394</v>
      </c>
      <c r="AA263" s="1" t="n">
        <f aca="false">MAX(0,(AA70+Z121-Z227)*0.25/0.55)</f>
        <v>63.9659465874643</v>
      </c>
      <c r="AB263" s="1" t="n">
        <f aca="false">MAX(0,(AB70+AA121-AA227)*0.25/0.55)</f>
        <v>65.2717796654858</v>
      </c>
      <c r="AC263" s="1" t="n">
        <f aca="false">MAX(0,(AC70+AB121-AB227)*0.25/0.55)</f>
        <v>66.5806683495614</v>
      </c>
      <c r="AD263" s="1" t="n">
        <f aca="false">MAX(0,(AD70+AC121-AC227)*0.25/0.55)</f>
        <v>67.8927205025849</v>
      </c>
      <c r="AE263" s="1" t="n">
        <f aca="false">MAX(0,(AE70+AD121-AD227)*0.25/0.55)</f>
        <v>69.2080477950102</v>
      </c>
      <c r="AF263" s="1" t="n">
        <f aca="false">MAX(0,(AF70+AE121-AE227)*0.25/0.55)</f>
        <v>70.526765839258</v>
      </c>
    </row>
    <row r="264" customFormat="false" ht="14.25" hidden="false" customHeight="true" outlineLevel="0" collapsed="false">
      <c r="B264" s="1" t="s">
        <v>1259</v>
      </c>
      <c r="C264" s="1" t="n">
        <f aca="false">MAX(0,C262-C263)</f>
        <v>0.828578361764256</v>
      </c>
      <c r="D264" s="1" t="n">
        <f aca="false">MAX(0,D262-D263)</f>
        <v>1.67484467625736</v>
      </c>
      <c r="E264" s="1" t="n">
        <f aca="false">MAX(0,E262-E263)</f>
        <v>2.55618474081869</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0.0207144590441064</v>
      </c>
      <c r="D265" s="1" t="n">
        <f aca="false">D264*MAX(0,$C$10-01_Supuestos!$I$134)</f>
        <v>0.0418711169064341</v>
      </c>
      <c r="E265" s="1" t="n">
        <f aca="false">E264*MAX(0,$C$10-01_Supuestos!$I$134)</f>
        <v>0.0639046185204673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23.785904948517</v>
      </c>
      <c r="D266" s="1" t="n">
        <f aca="false">IF(D263&gt;0,D262/D263,0)</f>
        <v>23.6297000919164</v>
      </c>
      <c r="E266" s="1" t="n">
        <f aca="false">IF(E263&gt;0,E262/E263,0)</f>
        <v>23.6236804889062</v>
      </c>
      <c r="F266" s="1" t="n">
        <f aca="false">IF(F263&gt;0,F262/F263,0)</f>
        <v>0.152552181446654</v>
      </c>
      <c r="G266" s="1" t="n">
        <f aca="false">IF(G263&gt;0,G262/G263,0)</f>
        <v>0.169788866541458</v>
      </c>
      <c r="H266" s="1" t="n">
        <f aca="false">IF(H263&gt;0,H262/H263,0)</f>
        <v>0.170545114073213</v>
      </c>
      <c r="I266" s="1" t="n">
        <f aca="false">IF(I263&gt;0,I262/I263,0)</f>
        <v>0.172008402877014</v>
      </c>
      <c r="J266" s="1" t="n">
        <f aca="false">IF(J263&gt;0,J262/J263,0)</f>
        <v>0.173587148401721</v>
      </c>
      <c r="K266" s="1" t="n">
        <f aca="false">IF(K263&gt;0,K262/K263,0)</f>
        <v>0.175261564886391</v>
      </c>
      <c r="L266" s="1" t="n">
        <f aca="false">IF(L263&gt;0,L262/L263,0)</f>
        <v>0.177017871495723</v>
      </c>
      <c r="M266" s="1" t="n">
        <f aca="false">IF(M263&gt;0,M262/M263,0)</f>
        <v>0.185267687769425</v>
      </c>
      <c r="N266" s="1" t="n">
        <f aca="false">IF(N263&gt;0,N262/N263,0)</f>
        <v>0.194273389583307</v>
      </c>
      <c r="O266" s="1" t="n">
        <f aca="false">IF(O263&gt;0,O262/O263,0)</f>
        <v>0.20369431469621</v>
      </c>
      <c r="P266" s="1" t="n">
        <f aca="false">IF(P263&gt;0,P262/P263,0)</f>
        <v>0.211976327749838</v>
      </c>
      <c r="Q266" s="1" t="n">
        <f aca="false">IF(Q263&gt;0,Q262/Q263,0)</f>
        <v>0.219644673054686</v>
      </c>
      <c r="R266" s="1" t="n">
        <f aca="false">IF(R263&gt;0,R262/R263,0)</f>
        <v>0.21958120775055</v>
      </c>
      <c r="S266" s="1" t="n">
        <f aca="false">IF(S263&gt;0,S262/S263,0)</f>
        <v>0.218565264760285</v>
      </c>
      <c r="T266" s="1" t="n">
        <f aca="false">IF(T263&gt;0,T262/T263,0)</f>
        <v>0.217664973712354</v>
      </c>
      <c r="U266" s="1" t="n">
        <f aca="false">IF(U263&gt;0,U262/U263,0)</f>
        <v>0.21708551609443</v>
      </c>
      <c r="V266" s="1" t="n">
        <f aca="false">IF(V263&gt;0,V262/V263,0)</f>
        <v>0.216824853372077</v>
      </c>
      <c r="W266" s="1" t="n">
        <f aca="false">IF(W263&gt;0,W262/W263,0)</f>
        <v>0.215812514208241</v>
      </c>
      <c r="X266" s="1" t="n">
        <f aca="false">IF(X263&gt;0,X262/X263,0)</f>
        <v>0.214670503577017</v>
      </c>
      <c r="Y266" s="1" t="n">
        <f aca="false">IF(Y263&gt;0,Y262/Y263,0)</f>
        <v>0.213508753110364</v>
      </c>
      <c r="Z266" s="1" t="n">
        <f aca="false">IF(Z263&gt;0,Z262/Z263,0)</f>
        <v>0.212360664053449</v>
      </c>
      <c r="AA266" s="1" t="n">
        <f aca="false">IF(AA263&gt;0,AA262/AA263,0)</f>
        <v>0.211231308428595</v>
      </c>
      <c r="AB266" s="1" t="n">
        <f aca="false">IF(AB263&gt;0,AB262/AB263,0)</f>
        <v>0.210119899507174</v>
      </c>
      <c r="AC266" s="1" t="n">
        <f aca="false">IF(AC263&gt;0,AC262/AC263,0)</f>
        <v>0.209025709503807</v>
      </c>
      <c r="AD266" s="1" t="n">
        <f aca="false">IF(AD263&gt;0,AD262/AD263,0)</f>
        <v>0.207948068025448</v>
      </c>
      <c r="AE266" s="1" t="n">
        <f aca="false">IF(AE263&gt;0,AE262/AE263,0)</f>
        <v>0.206886362402589</v>
      </c>
      <c r="AF266" s="1" t="n">
        <f aca="false">IF(AF263&gt;0,AF262/AF263,0)</f>
        <v>0.205840032350571</v>
      </c>
    </row>
    <row r="267" customFormat="false" ht="14.25" hidden="false" customHeight="true" outlineLevel="0" collapsed="false">
      <c r="B267" s="1" t="s">
        <v>1262</v>
      </c>
      <c r="C267" s="1" t="n">
        <f aca="false">C120-C264</f>
        <v>18.2587090387421</v>
      </c>
      <c r="D267" s="1" t="n">
        <f aca="false">D120-D264</f>
        <v>33.4261100952274</v>
      </c>
      <c r="E267" s="1" t="n">
        <f aca="false">E120-E264</f>
        <v>50.039643692662</v>
      </c>
      <c r="F267" s="1" t="n">
        <f aca="false">F120-F264</f>
        <v>60.012755083567</v>
      </c>
      <c r="G267" s="1" t="n">
        <f aca="false">G120-G264</f>
        <v>70.3293152108917</v>
      </c>
      <c r="H267" s="1" t="n">
        <f aca="false">H120-H264</f>
        <v>81.8701903754187</v>
      </c>
      <c r="I267" s="1" t="n">
        <f aca="false">I120-I264</f>
        <v>94.7246416813146</v>
      </c>
      <c r="J267" s="1" t="n">
        <f aca="false">J120-J264</f>
        <v>108.621554244419</v>
      </c>
      <c r="K267" s="1" t="n">
        <f aca="false">K120-K264</f>
        <v>123.588597856861</v>
      </c>
      <c r="L267" s="1" t="n">
        <f aca="false">L120-L264</f>
        <v>139.655873621496</v>
      </c>
      <c r="M267" s="1" t="n">
        <f aca="false">M120-M264</f>
        <v>139.21173081533</v>
      </c>
      <c r="N267" s="1" t="n">
        <f aca="false">N120-N264</f>
        <v>139.681108050747</v>
      </c>
      <c r="O267" s="1" t="n">
        <f aca="false">O120-O264</f>
        <v>141.110632364956</v>
      </c>
      <c r="P267" s="1" t="n">
        <f aca="false">P120-P264</f>
        <v>142.185129881058</v>
      </c>
      <c r="Q267" s="1" t="n">
        <f aca="false">Q120-Q264</f>
        <v>143.091385025753</v>
      </c>
      <c r="R267" s="1" t="n">
        <f aca="false">R120-R264</f>
        <v>144.964390050212</v>
      </c>
      <c r="S267" s="1" t="n">
        <f aca="false">S120-S264</f>
        <v>146.599017367584</v>
      </c>
      <c r="T267" s="1" t="n">
        <f aca="false">T120-T264</f>
        <v>147.966818713874</v>
      </c>
      <c r="U267" s="1" t="n">
        <f aca="false">U120-U264</f>
        <v>149.338410332689</v>
      </c>
      <c r="V267" s="1" t="n">
        <f aca="false">V120-V264</f>
        <v>150.750319165238</v>
      </c>
      <c r="W267" s="1" t="n">
        <f aca="false">W120-W264</f>
        <v>152.27303655939</v>
      </c>
      <c r="X267" s="1" t="n">
        <f aca="false">X120-X264</f>
        <v>153.694591890865</v>
      </c>
      <c r="Y267" s="1" t="n">
        <f aca="false">Y120-Y264</f>
        <v>155.004582433457</v>
      </c>
      <c r="Z267" s="1" t="n">
        <f aca="false">Z120-Z264</f>
        <v>156.250655358765</v>
      </c>
      <c r="AA267" s="1" t="n">
        <f aca="false">AA120-AA264</f>
        <v>157.448986324205</v>
      </c>
      <c r="AB267" s="1" t="n">
        <f aca="false">AB120-AB264</f>
        <v>158.608770531948</v>
      </c>
      <c r="AC267" s="1" t="n">
        <f aca="false">AC120-AC264</f>
        <v>159.739207785323</v>
      </c>
      <c r="AD267" s="1" t="n">
        <f aca="false">AD120-AD264</f>
        <v>160.849532689716</v>
      </c>
      <c r="AE267" s="1" t="n">
        <f aca="false">AE120-AE264</f>
        <v>161.949046826257</v>
      </c>
      <c r="AF267" s="1" t="n">
        <f aca="false">AF120-AF264</f>
        <v>163.047142766117</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0.864941998127893</v>
      </c>
      <c r="D270" s="1" t="n">
        <f aca="false">01_Supuestos!$C$173*D261</f>
        <v>1.74885558534827</v>
      </c>
      <c r="E270" s="1" t="n">
        <f aca="false">01_Supuestos!$C$173*E261</f>
        <v>2.66917187136415</v>
      </c>
      <c r="F270" s="1" t="n">
        <f aca="false">01_Supuestos!$C$173*F261</f>
        <v>3.67454351967217</v>
      </c>
      <c r="G270" s="1" t="n">
        <f aca="false">01_Supuestos!$C$173*G261</f>
        <v>4.63103743657618</v>
      </c>
      <c r="H270" s="1" t="n">
        <f aca="false">01_Supuestos!$C$173*H261</f>
        <v>5.1953870431008</v>
      </c>
      <c r="I270" s="1" t="n">
        <f aca="false">01_Supuestos!$C$173*I261</f>
        <v>5.78835174944699</v>
      </c>
      <c r="J270" s="1" t="n">
        <f aca="false">01_Supuestos!$C$173*J261</f>
        <v>6.39490020505591</v>
      </c>
      <c r="K270" s="1" t="n">
        <f aca="false">01_Supuestos!$C$173*K261</f>
        <v>7.01534470703741</v>
      </c>
      <c r="L270" s="1" t="n">
        <f aca="false">01_Supuestos!$C$173*L261</f>
        <v>7.65000474179102</v>
      </c>
      <c r="M270" s="1" t="n">
        <f aca="false">01_Supuestos!$C$173*M261</f>
        <v>8.24195132004108</v>
      </c>
      <c r="N270" s="1" t="n">
        <f aca="false">01_Supuestos!$C$173*N261</f>
        <v>8.88980440801196</v>
      </c>
      <c r="O270" s="1" t="n">
        <f aca="false">01_Supuestos!$C$173*O261</f>
        <v>9.59878059146919</v>
      </c>
      <c r="P270" s="1" t="n">
        <f aca="false">01_Supuestos!$C$173*P261</f>
        <v>10.3012607598722</v>
      </c>
      <c r="Q270" s="1" t="n">
        <f aca="false">01_Supuestos!$C$173*Q261</f>
        <v>11.0102529249335</v>
      </c>
      <c r="R270" s="1" t="n">
        <f aca="false">01_Supuestos!$C$173*R261</f>
        <v>11.3573011946823</v>
      </c>
      <c r="S270" s="1" t="n">
        <f aca="false">01_Supuestos!$C$173*S261</f>
        <v>11.6356430393685</v>
      </c>
      <c r="T270" s="1" t="n">
        <f aca="false">01_Supuestos!$C$173*T261</f>
        <v>11.9046880400069</v>
      </c>
      <c r="U270" s="1" t="n">
        <f aca="false">01_Supuestos!$C$173*U261</f>
        <v>12.1780721961356</v>
      </c>
      <c r="V270" s="1" t="n">
        <f aca="false">01_Supuestos!$C$173*V261</f>
        <v>12.4577180775629</v>
      </c>
      <c r="W270" s="1" t="n">
        <f aca="false">01_Supuestos!$C$173*W261</f>
        <v>12.6835473126079</v>
      </c>
      <c r="X270" s="1" t="n">
        <f aca="false">01_Supuestos!$C$173*X261</f>
        <v>12.8943462554222</v>
      </c>
      <c r="Y270" s="1" t="n">
        <f aca="false">01_Supuestos!$C$173*Y261</f>
        <v>13.1015448894952</v>
      </c>
      <c r="Z270" s="1" t="n">
        <f aca="false">01_Supuestos!$C$173*Z261</f>
        <v>13.3071700802312</v>
      </c>
      <c r="AA270" s="1" t="n">
        <f aca="false">01_Supuestos!$C$173*AA261</f>
        <v>13.5116105925437</v>
      </c>
      <c r="AB270" s="1" t="n">
        <f aca="false">01_Supuestos!$C$173*AB261</f>
        <v>13.7148997839663</v>
      </c>
      <c r="AC270" s="1" t="n">
        <f aca="false">01_Supuestos!$C$173*AC261</f>
        <v>13.9170714410048</v>
      </c>
      <c r="AD270" s="1" t="n">
        <f aca="false">01_Supuestos!$C$173*AD261</f>
        <v>14.1181600615043</v>
      </c>
      <c r="AE270" s="1" t="n">
        <f aca="false">01_Supuestos!$C$173*AE261</f>
        <v>14.3182012572942</v>
      </c>
      <c r="AF270" s="1" t="n">
        <f aca="false">01_Supuestos!$C$173*AF261</f>
        <v>14.517231761934</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3.67454351967217</v>
      </c>
      <c r="G271" s="1" t="n">
        <f aca="false">MIN(G270,G263)</f>
        <v>4.63103743657618</v>
      </c>
      <c r="H271" s="1" t="n">
        <f aca="false">MIN(H270,H263)</f>
        <v>5.1953870431008</v>
      </c>
      <c r="I271" s="1" t="n">
        <f aca="false">MIN(I270,I263)</f>
        <v>5.78835174944699</v>
      </c>
      <c r="J271" s="1" t="n">
        <f aca="false">MIN(J270,J263)</f>
        <v>6.39490020505591</v>
      </c>
      <c r="K271" s="1" t="n">
        <f aca="false">MIN(K270,K263)</f>
        <v>7.01534470703741</v>
      </c>
      <c r="L271" s="1" t="n">
        <f aca="false">MIN(L270,L263)</f>
        <v>7.65000474179102</v>
      </c>
      <c r="M271" s="1" t="n">
        <f aca="false">MIN(M270,M263)</f>
        <v>8.24195132004108</v>
      </c>
      <c r="N271" s="1" t="n">
        <f aca="false">MIN(N270,N263)</f>
        <v>8.88980440801196</v>
      </c>
      <c r="O271" s="1" t="n">
        <f aca="false">MIN(O270,O263)</f>
        <v>9.59878059146919</v>
      </c>
      <c r="P271" s="1" t="n">
        <f aca="false">MIN(P270,P263)</f>
        <v>10.3012607598722</v>
      </c>
      <c r="Q271" s="1" t="n">
        <f aca="false">MIN(Q270,Q263)</f>
        <v>11.0102529249335</v>
      </c>
      <c r="R271" s="1" t="n">
        <f aca="false">MIN(R270,R263)</f>
        <v>11.3573011946823</v>
      </c>
      <c r="S271" s="1" t="n">
        <f aca="false">MIN(S270,S263)</f>
        <v>11.6356430393685</v>
      </c>
      <c r="T271" s="1" t="n">
        <f aca="false">MIN(T270,T263)</f>
        <v>11.9046880400069</v>
      </c>
      <c r="U271" s="1" t="n">
        <f aca="false">MIN(U270,U263)</f>
        <v>12.1780721961356</v>
      </c>
      <c r="V271" s="1" t="n">
        <f aca="false">MIN(V270,V263)</f>
        <v>12.4577180775629</v>
      </c>
      <c r="W271" s="1" t="n">
        <f aca="false">MIN(W270,W263)</f>
        <v>12.6835473126079</v>
      </c>
      <c r="X271" s="1" t="n">
        <f aca="false">MIN(X270,X263)</f>
        <v>12.8943462554222</v>
      </c>
      <c r="Y271" s="1" t="n">
        <f aca="false">MIN(Y270,Y263)</f>
        <v>13.1015448894952</v>
      </c>
      <c r="Z271" s="1" t="n">
        <f aca="false">MIN(Z270,Z263)</f>
        <v>13.3071700802312</v>
      </c>
      <c r="AA271" s="1" t="n">
        <f aca="false">MIN(AA270,AA263)</f>
        <v>13.5116105925437</v>
      </c>
      <c r="AB271" s="1" t="n">
        <f aca="false">MIN(AB270,AB263)</f>
        <v>13.7148997839663</v>
      </c>
      <c r="AC271" s="1" t="n">
        <f aca="false">MIN(AC270,AC263)</f>
        <v>13.9170714410048</v>
      </c>
      <c r="AD271" s="1" t="n">
        <f aca="false">MIN(AD270,AD263)</f>
        <v>14.1181600615043</v>
      </c>
      <c r="AE271" s="1" t="n">
        <f aca="false">MIN(AE270,AE263)</f>
        <v>14.3182012572942</v>
      </c>
      <c r="AF271" s="1" t="n">
        <f aca="false">MIN(AF270,AF263)</f>
        <v>14.517231761934</v>
      </c>
    </row>
    <row r="272" customFormat="false" ht="14.25" hidden="false" customHeight="true" outlineLevel="0" collapsed="false">
      <c r="B272" s="1" t="s">
        <v>1267</v>
      </c>
      <c r="C272" s="1" t="n">
        <f aca="false">MIN(C270-C271,MAX(0,C120))</f>
        <v>0.828578361764256</v>
      </c>
      <c r="D272" s="1" t="n">
        <f aca="false">MIN(D270-D271,MAX(0,D120))</f>
        <v>1.67484467625736</v>
      </c>
      <c r="E272" s="1" t="n">
        <f aca="false">MIN(E270-E271,MAX(0,E120))</f>
        <v>2.55618474081869</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0.0174885558534827</v>
      </c>
      <c r="E274" s="1" t="n">
        <f aca="false">IF(01_Supuestos!$C$174="Sí",01_Supuestos!$C$172*E271,01_Supuestos!$I$134*(E271+MIN(MIN(E270-E271,MAX(0,D120)),E264))+$C$10*MAX(0,MIN(E270-E271,MAX(0,D120))-E264))</f>
        <v>0.0266917187136415</v>
      </c>
      <c r="F274" s="1" t="n">
        <f aca="false">IF(01_Supuestos!$C$174="Sí",01_Supuestos!$C$172*F271,01_Supuestos!$I$134*(F271+MIN(MIN(F270-F271,MAX(0,E120)),F264))+$C$10*MAX(0,MIN(F270-F271,MAX(0,E120))-F264))</f>
        <v>0.0367454351967217</v>
      </c>
      <c r="G274" s="1" t="n">
        <f aca="false">IF(01_Supuestos!$C$174="Sí",01_Supuestos!$C$172*G271,01_Supuestos!$I$134*(G271+MIN(MIN(G270-G271,MAX(0,F120)),G264))+$C$10*MAX(0,MIN(G270-G271,MAX(0,F120))-G264))</f>
        <v>0.0463103743657618</v>
      </c>
      <c r="H274" s="1" t="n">
        <f aca="false">IF(01_Supuestos!$C$174="Sí",01_Supuestos!$C$172*H271,01_Supuestos!$I$134*(H271+MIN(MIN(H270-H271,MAX(0,G120)),H264))+$C$10*MAX(0,MIN(H270-H271,MAX(0,G120))-H264))</f>
        <v>0.051953870431008</v>
      </c>
      <c r="I274" s="1" t="n">
        <f aca="false">IF(01_Supuestos!$C$174="Sí",01_Supuestos!$C$172*I271,01_Supuestos!$I$134*(I271+MIN(MIN(I270-I271,MAX(0,H120)),I264))+$C$10*MAX(0,MIN(I270-I271,MAX(0,H120))-I264))</f>
        <v>0.0578835174944699</v>
      </c>
      <c r="J274" s="1" t="n">
        <f aca="false">IF(01_Supuestos!$C$174="Sí",01_Supuestos!$C$172*J271,01_Supuestos!$I$134*(J271+MIN(MIN(J270-J271,MAX(0,I120)),J264))+$C$10*MAX(0,MIN(J270-J271,MAX(0,I120))-J264))</f>
        <v>0.0639490020505591</v>
      </c>
      <c r="K274" s="1" t="n">
        <f aca="false">IF(01_Supuestos!$C$174="Sí",01_Supuestos!$C$172*K271,01_Supuestos!$I$134*(K271+MIN(MIN(K270-K271,MAX(0,J120)),K264))+$C$10*MAX(0,MIN(K270-K271,MAX(0,J120))-K264))</f>
        <v>0.0701534470703741</v>
      </c>
      <c r="L274" s="1" t="n">
        <f aca="false">IF(01_Supuestos!$C$174="Sí",01_Supuestos!$C$172*L271,01_Supuestos!$I$134*(L271+MIN(MIN(L270-L271,MAX(0,K120)),L264))+$C$10*MAX(0,MIN(L270-L271,MAX(0,K120))-L264))</f>
        <v>0.0765000474179103</v>
      </c>
      <c r="M274" s="1" t="n">
        <f aca="false">IF(01_Supuestos!$C$174="Sí",01_Supuestos!$C$172*M271,01_Supuestos!$I$134*(M271+MIN(MIN(M270-M271,MAX(0,L120)),M264))+$C$10*MAX(0,MIN(M270-M271,MAX(0,L120))-M264))</f>
        <v>0.0824195132004108</v>
      </c>
      <c r="N274" s="1" t="n">
        <f aca="false">IF(01_Supuestos!$C$174="Sí",01_Supuestos!$C$172*N271,01_Supuestos!$I$134*(N271+MIN(MIN(N270-N271,MAX(0,M120)),N264))+$C$10*MAX(0,MIN(N270-N271,MAX(0,M120))-N264))</f>
        <v>0.0888980440801196</v>
      </c>
      <c r="O274" s="1" t="n">
        <f aca="false">IF(01_Supuestos!$C$174="Sí",01_Supuestos!$C$172*O271,01_Supuestos!$I$134*(O271+MIN(MIN(O270-O271,MAX(0,N120)),O264))+$C$10*MAX(0,MIN(O270-O271,MAX(0,N120))-O264))</f>
        <v>0.0959878059146919</v>
      </c>
      <c r="P274" s="1" t="n">
        <f aca="false">IF(01_Supuestos!$C$174="Sí",01_Supuestos!$C$172*P271,01_Supuestos!$I$134*(P271+MIN(MIN(P270-P271,MAX(0,O120)),P264))+$C$10*MAX(0,MIN(P270-P271,MAX(0,O120))-P264))</f>
        <v>0.103012607598722</v>
      </c>
      <c r="Q274" s="1" t="n">
        <f aca="false">IF(01_Supuestos!$C$174="Sí",01_Supuestos!$C$172*Q271,01_Supuestos!$I$134*(Q271+MIN(MIN(Q270-Q271,MAX(0,P120)),Q264))+$C$10*MAX(0,MIN(Q270-Q271,MAX(0,P120))-Q264))</f>
        <v>0.110102529249335</v>
      </c>
      <c r="R274" s="1" t="n">
        <f aca="false">IF(01_Supuestos!$C$174="Sí",01_Supuestos!$C$172*R271,01_Supuestos!$I$134*(R271+MIN(MIN(R270-R271,MAX(0,Q120)),R264))+$C$10*MAX(0,MIN(R270-R271,MAX(0,Q120))-R264))</f>
        <v>0.113573011946823</v>
      </c>
      <c r="S274" s="1" t="n">
        <f aca="false">IF(01_Supuestos!$C$174="Sí",01_Supuestos!$C$172*S271,01_Supuestos!$I$134*(S271+MIN(MIN(S270-S271,MAX(0,R120)),S264))+$C$10*MAX(0,MIN(S270-S271,MAX(0,R120))-S264))</f>
        <v>0.116356430393685</v>
      </c>
      <c r="T274" s="1" t="n">
        <f aca="false">IF(01_Supuestos!$C$174="Sí",01_Supuestos!$C$172*T271,01_Supuestos!$I$134*(T271+MIN(MIN(T270-T271,MAX(0,S120)),T264))+$C$10*MAX(0,MIN(T270-T271,MAX(0,S120))-T264))</f>
        <v>0.119046880400069</v>
      </c>
      <c r="U274" s="1" t="n">
        <f aca="false">IF(01_Supuestos!$C$174="Sí",01_Supuestos!$C$172*U271,01_Supuestos!$I$134*(U271+MIN(MIN(U270-U271,MAX(0,T120)),U264))+$C$10*MAX(0,MIN(U270-U271,MAX(0,T120))-U264))</f>
        <v>0.121780721961356</v>
      </c>
      <c r="V274" s="1" t="n">
        <f aca="false">IF(01_Supuestos!$C$174="Sí",01_Supuestos!$C$172*V271,01_Supuestos!$I$134*(V271+MIN(MIN(V270-V271,MAX(0,U120)),V264))+$C$10*MAX(0,MIN(V270-V271,MAX(0,U120))-V264))</f>
        <v>0.124577180775629</v>
      </c>
      <c r="W274" s="1" t="n">
        <f aca="false">IF(01_Supuestos!$C$174="Sí",01_Supuestos!$C$172*W271,01_Supuestos!$I$134*(W271+MIN(MIN(W270-W271,MAX(0,V120)),W264))+$C$10*MAX(0,MIN(W270-W271,MAX(0,V120))-W264))</f>
        <v>0.126835473126079</v>
      </c>
      <c r="X274" s="1" t="n">
        <f aca="false">IF(01_Supuestos!$C$174="Sí",01_Supuestos!$C$172*X271,01_Supuestos!$I$134*(X271+MIN(MIN(X270-X271,MAX(0,W120)),X264))+$C$10*MAX(0,MIN(X270-X271,MAX(0,W120))-X264))</f>
        <v>0.128943462554222</v>
      </c>
      <c r="Y274" s="1" t="n">
        <f aca="false">IF(01_Supuestos!$C$174="Sí",01_Supuestos!$C$172*Y271,01_Supuestos!$I$134*(Y271+MIN(MIN(Y270-Y271,MAX(0,X120)),Y264))+$C$10*MAX(0,MIN(Y270-Y271,MAX(0,X120))-Y264))</f>
        <v>0.131015448894952</v>
      </c>
      <c r="Z274" s="1" t="n">
        <f aca="false">IF(01_Supuestos!$C$174="Sí",01_Supuestos!$C$172*Z271,01_Supuestos!$I$134*(Z271+MIN(MIN(Z270-Z271,MAX(0,Y120)),Z264))+$C$10*MAX(0,MIN(Z270-Z271,MAX(0,Y120))-Z264))</f>
        <v>0.133071700802312</v>
      </c>
      <c r="AA274" s="1" t="n">
        <f aca="false">IF(01_Supuestos!$C$174="Sí",01_Supuestos!$C$172*AA271,01_Supuestos!$I$134*(AA271+MIN(MIN(AA270-AA271,MAX(0,Z120)),AA264))+$C$10*MAX(0,MIN(AA270-AA271,MAX(0,Z120))-AA264))</f>
        <v>0.135116105925437</v>
      </c>
      <c r="AB274" s="1" t="n">
        <f aca="false">IF(01_Supuestos!$C$174="Sí",01_Supuestos!$C$172*AB271,01_Supuestos!$I$134*(AB271+MIN(MIN(AB270-AB271,MAX(0,AA120)),AB264))+$C$10*MAX(0,MIN(AB270-AB271,MAX(0,AA120))-AB264))</f>
        <v>0.137148997839663</v>
      </c>
      <c r="AC274" s="1" t="n">
        <f aca="false">IF(01_Supuestos!$C$174="Sí",01_Supuestos!$C$172*AC271,01_Supuestos!$I$134*(AC271+MIN(MIN(AC270-AC271,MAX(0,AB120)),AC264))+$C$10*MAX(0,MIN(AC270-AC271,MAX(0,AB120))-AC264))</f>
        <v>0.139170714410048</v>
      </c>
      <c r="AD274" s="1" t="n">
        <f aca="false">IF(01_Supuestos!$C$174="Sí",01_Supuestos!$C$172*AD271,01_Supuestos!$I$134*(AD271+MIN(MIN(AD270-AD271,MAX(0,AC120)),AD264))+$C$10*MAX(0,MIN(AD270-AD271,MAX(0,AC120))-AD264))</f>
        <v>0.141181600615043</v>
      </c>
      <c r="AE274" s="1" t="n">
        <f aca="false">IF(01_Supuestos!$C$174="Sí",01_Supuestos!$C$172*AE271,01_Supuestos!$I$134*(AE271+MIN(MIN(AE270-AE271,MAX(0,AD120)),AE264))+$C$10*MAX(0,MIN(AE270-AE271,MAX(0,AD120))-AE264))</f>
        <v>0.143182012572942</v>
      </c>
      <c r="AF274" s="1" t="n">
        <f aca="false">IF(01_Supuestos!$C$174="Sí",01_Supuestos!$C$172*AF271,01_Supuestos!$I$134*(AF271+MIN(MIN(AF270-AF271,MAX(0,AE120)),AF264))+$C$10*MAX(0,MIN(AF270-AF271,MAX(0,AE120))-AF264))</f>
        <v>0.14517231761934</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18.2587090387421</v>
      </c>
      <c r="D276" s="1" t="n">
        <f aca="false">D120-MAX(D264,D272)</f>
        <v>33.4261100952274</v>
      </c>
      <c r="E276" s="1" t="n">
        <f aca="false">E120-MAX(E264,E272)</f>
        <v>50.039643692662</v>
      </c>
      <c r="F276" s="1" t="n">
        <f aca="false">F120-MAX(F264,F272)</f>
        <v>60.012755083567</v>
      </c>
      <c r="G276" s="1" t="n">
        <f aca="false">G120-MAX(G264,G272)</f>
        <v>70.3293152108917</v>
      </c>
      <c r="H276" s="1" t="n">
        <f aca="false">H120-MAX(H264,H272)</f>
        <v>81.8701903754187</v>
      </c>
      <c r="I276" s="1" t="n">
        <f aca="false">I120-MAX(I264,I272)</f>
        <v>94.7246416813146</v>
      </c>
      <c r="J276" s="1" t="n">
        <f aca="false">J120-MAX(J264,J272)</f>
        <v>108.621554244419</v>
      </c>
      <c r="K276" s="1" t="n">
        <f aca="false">K120-MAX(K264,K272)</f>
        <v>123.588597856861</v>
      </c>
      <c r="L276" s="1" t="n">
        <f aca="false">L120-MAX(L264,L272)</f>
        <v>139.655873621496</v>
      </c>
      <c r="M276" s="1" t="n">
        <f aca="false">M120-MAX(M264,M272)</f>
        <v>139.21173081533</v>
      </c>
      <c r="N276" s="1" t="n">
        <f aca="false">N120-MAX(N264,N272)</f>
        <v>139.681108050747</v>
      </c>
      <c r="O276" s="1" t="n">
        <f aca="false">O120-MAX(O264,O272)</f>
        <v>141.110632364956</v>
      </c>
      <c r="P276" s="1" t="n">
        <f aca="false">P120-MAX(P264,P272)</f>
        <v>142.185129881058</v>
      </c>
      <c r="Q276" s="1" t="n">
        <f aca="false">Q120-MAX(Q264,Q272)</f>
        <v>143.091385025753</v>
      </c>
      <c r="R276" s="1" t="n">
        <f aca="false">R120-MAX(R264,R272)</f>
        <v>144.964390050212</v>
      </c>
      <c r="S276" s="1" t="n">
        <f aca="false">S120-MAX(S264,S272)</f>
        <v>146.599017367584</v>
      </c>
      <c r="T276" s="1" t="n">
        <f aca="false">T120-MAX(T264,T272)</f>
        <v>147.966818713874</v>
      </c>
      <c r="U276" s="1" t="n">
        <f aca="false">U120-MAX(U264,U272)</f>
        <v>149.338410332689</v>
      </c>
      <c r="V276" s="1" t="n">
        <f aca="false">V120-MAX(V264,V272)</f>
        <v>150.750319165238</v>
      </c>
      <c r="W276" s="1" t="n">
        <f aca="false">W120-MAX(W264,W272)</f>
        <v>152.27303655939</v>
      </c>
      <c r="X276" s="1" t="n">
        <f aca="false">X120-MAX(X264,X272)</f>
        <v>153.694591890865</v>
      </c>
      <c r="Y276" s="1" t="n">
        <f aca="false">Y120-MAX(Y264,Y272)</f>
        <v>155.004582433457</v>
      </c>
      <c r="Z276" s="1" t="n">
        <f aca="false">Z120-MAX(Z264,Z272)</f>
        <v>156.250655358765</v>
      </c>
      <c r="AA276" s="1" t="n">
        <f aca="false">AA120-MAX(AA264,AA272)</f>
        <v>157.448986324205</v>
      </c>
      <c r="AB276" s="1" t="n">
        <f aca="false">AB120-MAX(AB264,AB272)</f>
        <v>158.608770531948</v>
      </c>
      <c r="AC276" s="1" t="n">
        <f aca="false">AC120-MAX(AC264,AC272)</f>
        <v>159.739207785323</v>
      </c>
      <c r="AD276" s="1" t="n">
        <f aca="false">AD120-MAX(AD264,AD272)</f>
        <v>160.849532689716</v>
      </c>
      <c r="AE276" s="1" t="n">
        <f aca="false">AE120-MAX(AE264,AE272)</f>
        <v>161.949046826257</v>
      </c>
      <c r="AF276" s="1" t="n">
        <f aca="false">AF120-MAX(AF264,AF272)</f>
        <v>163.047142766117</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0.909372549359519</v>
      </c>
      <c r="D284" s="1" t="n">
        <f aca="false">$C$279*D87</f>
        <v>2.96914173637251</v>
      </c>
      <c r="E284" s="1" t="n">
        <f aca="false">$C$279*E87</f>
        <v>5.33324906754524</v>
      </c>
      <c r="F284" s="1" t="n">
        <f aca="false">$C$279*F87</f>
        <v>2.36021098584659</v>
      </c>
      <c r="G284" s="1" t="n">
        <f aca="false">$C$279*G87</f>
        <v>5.98825463242479</v>
      </c>
      <c r="H284" s="1" t="n">
        <f aca="false">$C$279*H87</f>
        <v>9.71366460636227</v>
      </c>
      <c r="I284" s="1" t="n">
        <f aca="false">$C$279*I87</f>
        <v>13.5387262916024</v>
      </c>
      <c r="J284" s="1" t="n">
        <f aca="false">$C$279*J87</f>
        <v>17.4657753379984</v>
      </c>
      <c r="K284" s="1" t="n">
        <f aca="false">$C$279*K87</f>
        <v>21.4971989323257</v>
      </c>
      <c r="L284" s="1" t="n">
        <f aca="false">$C$279*L87</f>
        <v>25.6354370927818</v>
      </c>
      <c r="M284" s="1" t="n">
        <f aca="false">$C$279*M87</f>
        <v>34.0290958150806</v>
      </c>
      <c r="N284" s="1" t="n">
        <f aca="false">$C$279*N87</f>
        <v>41.4472082957484</v>
      </c>
      <c r="O284" s="1" t="n">
        <f aca="false">$C$279*O87</f>
        <v>46.2704401430508</v>
      </c>
      <c r="P284" s="1" t="n">
        <f aca="false">$C$279*P87</f>
        <v>51.2868407596732</v>
      </c>
      <c r="Q284" s="1" t="n">
        <f aca="false">$C$279*Q87</f>
        <v>56.4148324371237</v>
      </c>
      <c r="R284" s="1" t="n">
        <f aca="false">$C$279*R87</f>
        <v>58.2652387987185</v>
      </c>
      <c r="S284" s="1" t="n">
        <f aca="false">$C$279*S87</f>
        <v>59.6724435846194</v>
      </c>
      <c r="T284" s="1" t="n">
        <f aca="false">$C$279*T87</f>
        <v>61.1200464396047</v>
      </c>
      <c r="U284" s="1" t="n">
        <f aca="false">$C$279*U87</f>
        <v>62.6085698931568</v>
      </c>
      <c r="V284" s="1" t="n">
        <f aca="false">$C$279*V87</f>
        <v>64.1388328659332</v>
      </c>
      <c r="W284" s="1" t="n">
        <f aca="false">$C$279*W87</f>
        <v>65.1763410483477</v>
      </c>
      <c r="X284" s="1" t="n">
        <f aca="false">$C$279*X87</f>
        <v>66.0972568037507</v>
      </c>
      <c r="Y284" s="1" t="n">
        <f aca="false">$C$279*Y87</f>
        <v>66.9985695119788</v>
      </c>
      <c r="Z284" s="1" t="n">
        <f aca="false">$C$279*Z87</f>
        <v>67.8803370100475</v>
      </c>
      <c r="AA284" s="1" t="n">
        <f aca="false">$C$279*AA87</f>
        <v>68.7426186901271</v>
      </c>
      <c r="AB284" s="1" t="n">
        <f aca="false">$C$279*AB87</f>
        <v>69.5853681823538</v>
      </c>
      <c r="AC284" s="1" t="n">
        <f aca="false">$C$279*AC87</f>
        <v>70.4085404563823</v>
      </c>
      <c r="AD284" s="1" t="n">
        <f aca="false">$C$279*AD87</f>
        <v>71.2120917198519</v>
      </c>
      <c r="AE284" s="1" t="n">
        <f aca="false">$C$279*AE87</f>
        <v>71.9959793207098</v>
      </c>
      <c r="AF284" s="1" t="n">
        <f aca="false">$C$279*AF87</f>
        <v>72.7601616531544</v>
      </c>
    </row>
    <row r="285" customFormat="false" ht="14.25" hidden="false" customHeight="true" outlineLevel="0" collapsed="false">
      <c r="B285" s="84" t="s">
        <v>1280</v>
      </c>
      <c r="C285" s="1" t="n">
        <f aca="false">MAX(0/$C$280,0-C284)</f>
        <v>0</v>
      </c>
      <c r="D285" s="1" t="n">
        <f aca="false">MAX(C284*(1-$C$340)/$C$280,C284-D341-D284)</f>
        <v>0.0450139411932962</v>
      </c>
      <c r="E285" s="1" t="n">
        <f aca="false">MAX(D284*(1-$C$340)/$C$280,D284-E341-E284)</f>
        <v>0.146972515950439</v>
      </c>
      <c r="F285" s="1" t="n">
        <f aca="false">MAX(E284*(1-$C$340)/$C$280,E284-F341-F284)</f>
        <v>2.91970559102319</v>
      </c>
      <c r="G285" s="1" t="n">
        <f aca="false">MAX(F284*(1-$C$340)/$C$280,F284-G341-G284)</f>
        <v>0.116830443799406</v>
      </c>
      <c r="H285" s="1" t="n">
        <f aca="false">MAX(G284*(1-$C$340)/$C$280,G284-H341-H284)</f>
        <v>0.296418604305027</v>
      </c>
      <c r="I285" s="1" t="n">
        <f aca="false">MAX(H284*(1-$C$340)/$C$280,H284-I341-I284)</f>
        <v>0.480826398014932</v>
      </c>
      <c r="J285" s="1" t="n">
        <f aca="false">MAX(I284*(1-$C$340)/$C$280,I284-J341-J284)</f>
        <v>0.670166951434317</v>
      </c>
      <c r="K285" s="1" t="n">
        <f aca="false">MAX(J284*(1-$C$340)/$C$280,J284-K341-K284)</f>
        <v>0.864555879230921</v>
      </c>
      <c r="L285" s="1" t="n">
        <f aca="false">MAX(K284*(1-$C$340)/$C$280,K284-L341-L284)</f>
        <v>1.06411134715012</v>
      </c>
      <c r="M285" s="1" t="n">
        <f aca="false">MAX(L284*(1-$C$340)/$C$280,L284-M341-M284)</f>
        <v>1.2689541360927</v>
      </c>
      <c r="N285" s="1" t="n">
        <f aca="false">MAX(M284*(1-$C$340)/$C$280,M284-N341-N284)</f>
        <v>1.68444024284649</v>
      </c>
      <c r="O285" s="1" t="n">
        <f aca="false">MAX(N284*(1-$C$340)/$C$280,N284-O341-O284)</f>
        <v>2.05163681063955</v>
      </c>
      <c r="P285" s="1" t="n">
        <f aca="false">MAX(O284*(1-$C$340)/$C$280,O284-P341-P284)</f>
        <v>2.29038678708101</v>
      </c>
      <c r="Q285" s="1" t="n">
        <f aca="false">MAX(P284*(1-$C$340)/$C$280,P284-Q341-Q284)</f>
        <v>2.53869861760382</v>
      </c>
      <c r="R285" s="1" t="n">
        <f aca="false">MAX(Q284*(1-$C$340)/$C$280,Q284-R341-R284)</f>
        <v>2.79253420563762</v>
      </c>
      <c r="S285" s="1" t="n">
        <f aca="false">MAX(R284*(1-$C$340)/$C$280,R284-S341-S284)</f>
        <v>2.88412932053657</v>
      </c>
      <c r="T285" s="1" t="n">
        <f aca="false">MAX(S284*(1-$C$340)/$C$280,S284-T341-T284)</f>
        <v>2.95378595743866</v>
      </c>
      <c r="U285" s="1" t="n">
        <f aca="false">MAX(T284*(1-$C$340)/$C$280,T284-U341-U284)</f>
        <v>3.02544229876043</v>
      </c>
      <c r="V285" s="1" t="n">
        <f aca="false">MAX(U284*(1-$C$340)/$C$280,U284-V341-V284)</f>
        <v>3.09912420971126</v>
      </c>
      <c r="W285" s="1" t="n">
        <f aca="false">MAX(V284*(1-$C$340)/$C$280,V284-W341-W284)</f>
        <v>3.17487222686369</v>
      </c>
      <c r="X285" s="1" t="n">
        <f aca="false">MAX(W284*(1-$C$340)/$C$280,W284-X341-X284)</f>
        <v>3.22622888189321</v>
      </c>
      <c r="Y285" s="1" t="n">
        <f aca="false">MAX(X284*(1-$C$340)/$C$280,X284-Y341-Y284)</f>
        <v>3.27181421178566</v>
      </c>
      <c r="Z285" s="1" t="n">
        <f aca="false">MAX(Y284*(1-$C$340)/$C$280,Y284-Z341-Z284)</f>
        <v>3.31642919084295</v>
      </c>
      <c r="AA285" s="1" t="n">
        <f aca="false">MAX(Z284*(1-$C$340)/$C$280,Z284-AA341-AA284)</f>
        <v>3.36007668199735</v>
      </c>
      <c r="AB285" s="1" t="n">
        <f aca="false">MAX(AA284*(1-$C$340)/$C$280,AA284-AB341-AB284)</f>
        <v>3.40275962516129</v>
      </c>
      <c r="AC285" s="1" t="n">
        <f aca="false">MAX(AB284*(1-$C$340)/$C$280,AB284-AC341-AC284)</f>
        <v>3.44447572502651</v>
      </c>
      <c r="AD285" s="1" t="n">
        <f aca="false">MAX(AC284*(1-$C$340)/$C$280,AC284-AD341-AD284)</f>
        <v>3.48522275259092</v>
      </c>
      <c r="AE285" s="1" t="n">
        <f aca="false">MAX(AD284*(1-$C$340)/$C$280,AD284-AE341-AE284)</f>
        <v>3.52499854013267</v>
      </c>
      <c r="AF285" s="1" t="n">
        <f aca="false">MAX(AE284*(1-$C$340)/$C$280,AE284-AF341-AF284)</f>
        <v>3.56380097637513</v>
      </c>
    </row>
    <row r="286" customFormat="false" ht="14.25" hidden="false" customHeight="true" outlineLevel="0" collapsed="false">
      <c r="B286" s="84" t="s">
        <v>1281</v>
      </c>
      <c r="C286" s="1" t="n">
        <f aca="false">C284-0+C285</f>
        <v>0.909372549359519</v>
      </c>
      <c r="D286" s="1" t="n">
        <f aca="false">D284-C284+D285+D341</f>
        <v>2.11387685369988</v>
      </c>
      <c r="E286" s="1" t="n">
        <f aca="false">E284-D284+E285+E341</f>
        <v>2.5407712644869</v>
      </c>
      <c r="F286" s="1" t="n">
        <f aca="false">F284-E284+F285+F341</f>
        <v>0</v>
      </c>
      <c r="G286" s="1" t="n">
        <f aca="false">G284-F284+G285+G341</f>
        <v>3.76847620023607</v>
      </c>
      <c r="H286" s="1" t="n">
        <f aca="false">H284-G284+H285+H341</f>
        <v>4.08171112456676</v>
      </c>
      <c r="I286" s="1" t="n">
        <f aca="false">I284-H284+I285+I341</f>
        <v>4.40302472931865</v>
      </c>
      <c r="J286" s="1" t="n">
        <f aca="false">J284-I284+J285+J341</f>
        <v>4.73260326074638</v>
      </c>
      <c r="K286" s="1" t="n">
        <f aca="false">K284-J284+K285+K341</f>
        <v>5.07063722693817</v>
      </c>
      <c r="L286" s="1" t="n">
        <f aca="false">L284-K284+L285+L341</f>
        <v>5.41732149692954</v>
      </c>
      <c r="M286" s="1" t="n">
        <f aca="false">M284-L284+M285+M341</f>
        <v>9.91896722931928</v>
      </c>
      <c r="N286" s="1" t="n">
        <f aca="false">N284-M284+N285+N341</f>
        <v>9.44284368166513</v>
      </c>
      <c r="O286" s="1" t="n">
        <f aca="false">O284-N284+O285+O341</f>
        <v>7.28934074089938</v>
      </c>
      <c r="P286" s="1" t="n">
        <f aca="false">P284-O284+P285+P341</f>
        <v>7.76949180513397</v>
      </c>
      <c r="Q286" s="1" t="n">
        <f aca="false">Q284-P284+Q285+Q341</f>
        <v>8.17955870265105</v>
      </c>
      <c r="R286" s="1" t="n">
        <f aca="false">R284-Q284+R285+R341</f>
        <v>5.20708889160368</v>
      </c>
      <c r="S286" s="1" t="n">
        <f aca="false">S284-R284+S285+S341</f>
        <v>4.87398649442463</v>
      </c>
      <c r="T286" s="1" t="n">
        <f aca="false">T284-S284+T285+T341</f>
        <v>4.9981132482701</v>
      </c>
      <c r="U286" s="1" t="n">
        <f aca="false">U284-T284+U285+U341</f>
        <v>5.12516621670863</v>
      </c>
      <c r="V286" s="1" t="n">
        <f aca="false">V284-U284+V285+V341</f>
        <v>5.25547288141921</v>
      </c>
      <c r="W286" s="1" t="n">
        <f aca="false">W284-V284+W285+W341</f>
        <v>4.85376873793755</v>
      </c>
      <c r="X286" s="1" t="n">
        <f aca="false">X284-W284+X285+X341</f>
        <v>4.79890804777969</v>
      </c>
      <c r="Y286" s="1" t="n">
        <f aca="false">Y284-X284+Y285+Y341</f>
        <v>4.83409948805127</v>
      </c>
      <c r="Z286" s="1" t="n">
        <f aca="false">Z284-Y284+Z285+Z341</f>
        <v>4.86818238403142</v>
      </c>
      <c r="AA286" s="1" t="n">
        <f aca="false">AA284-Z284+AA285+AA341</f>
        <v>4.9011617321774</v>
      </c>
      <c r="AB286" s="1" t="n">
        <f aca="false">AB284-AA284+AB285+AB341</f>
        <v>4.93293530428926</v>
      </c>
      <c r="AC286" s="1" t="n">
        <f aca="false">AC284-AB284+AC285+AC341</f>
        <v>4.96350168087854</v>
      </c>
      <c r="AD286" s="1" t="n">
        <f aca="false">AD284-AC284+AD285+AD341</f>
        <v>4.9928594206244</v>
      </c>
      <c r="AE286" s="1" t="n">
        <f aca="false">AE284-AD284+AE285+AE341</f>
        <v>5.02100705818901</v>
      </c>
      <c r="AF286" s="1" t="n">
        <f aca="false">AF284-AE284+AF285+AF341</f>
        <v>5.04794310202685</v>
      </c>
    </row>
    <row r="287" customFormat="false" ht="14.25" hidden="false" customHeight="true" outlineLevel="0" collapsed="false">
      <c r="B287" s="84" t="s">
        <v>1282</v>
      </c>
      <c r="C287" s="1" t="n">
        <f aca="false">C284*(1-$C$340)*$C$175</f>
        <v>0.0387119894262347</v>
      </c>
      <c r="D287" s="1" t="n">
        <f aca="false">D284*(1-$C$340)*$C$175</f>
        <v>0.126396363717378</v>
      </c>
      <c r="E287" s="1" t="n">
        <f aca="false">E284*(1-$C$340)*$C$175</f>
        <v>0.227036412805401</v>
      </c>
      <c r="F287" s="1" t="n">
        <f aca="false">F284*(1-$C$340)*$C$175</f>
        <v>0.10047418166749</v>
      </c>
      <c r="G287" s="1" t="n">
        <f aca="false">G284*(1-$C$340)*$C$175</f>
        <v>0.254919999702323</v>
      </c>
      <c r="H287" s="1" t="n">
        <f aca="false">H284*(1-$C$340)*$C$175</f>
        <v>0.413510702292842</v>
      </c>
      <c r="I287" s="1" t="n">
        <f aca="false">I284*(1-$C$340)*$C$175</f>
        <v>0.576343578233513</v>
      </c>
      <c r="J287" s="1" t="n">
        <f aca="false">J284*(1-$C$340)*$C$175</f>
        <v>0.743518056138592</v>
      </c>
      <c r="K287" s="1" t="n">
        <f aca="false">K284*(1-$C$340)*$C$175</f>
        <v>0.915135758549104</v>
      </c>
      <c r="L287" s="1" t="n">
        <f aca="false">L284*(1-$C$340)*$C$175</f>
        <v>1.09130055703972</v>
      </c>
      <c r="M287" s="1" t="n">
        <f aca="false">M284*(1-$C$340)*$C$175</f>
        <v>1.44861860884798</v>
      </c>
      <c r="N287" s="1" t="n">
        <f aca="false">N284*(1-$C$340)*$C$175</f>
        <v>1.76440765715001</v>
      </c>
      <c r="O287" s="1" t="n">
        <f aca="false">O284*(1-$C$340)*$C$175</f>
        <v>1.96973263688967</v>
      </c>
      <c r="P287" s="1" t="n">
        <f aca="false">P284*(1-$C$340)*$C$175</f>
        <v>2.18328081113929</v>
      </c>
      <c r="Q287" s="1" t="n">
        <f aca="false">Q284*(1-$C$340)*$C$175</f>
        <v>2.40157941684836</v>
      </c>
      <c r="R287" s="1" t="n">
        <f aca="false">R284*(1-$C$340)*$C$175</f>
        <v>2.48035121566145</v>
      </c>
      <c r="S287" s="1" t="n">
        <f aca="false">S284*(1-$C$340)*$C$175</f>
        <v>2.54025592339725</v>
      </c>
      <c r="T287" s="1" t="n">
        <f aca="false">T284*(1-$C$340)*$C$175</f>
        <v>2.60188037693397</v>
      </c>
      <c r="U287" s="1" t="n">
        <f aca="false">U284*(1-$C$340)*$C$175</f>
        <v>2.66524682035169</v>
      </c>
      <c r="V287" s="1" t="n">
        <f aca="false">V284*(1-$C$340)*$C$175</f>
        <v>2.73039011510278</v>
      </c>
      <c r="W287" s="1" t="n">
        <f aca="false">W284*(1-$C$340)*$C$175</f>
        <v>2.77455683842816</v>
      </c>
      <c r="X287" s="1" t="n">
        <f aca="false">X284*(1-$C$340)*$C$175</f>
        <v>2.81376022213567</v>
      </c>
      <c r="Y287" s="1" t="n">
        <f aca="false">Y284*(1-$C$340)*$C$175</f>
        <v>2.85212910412494</v>
      </c>
      <c r="Z287" s="1" t="n">
        <f aca="false">Z284*(1-$C$340)*$C$175</f>
        <v>2.88966594651772</v>
      </c>
      <c r="AA287" s="1" t="n">
        <f aca="false">AA284*(1-$C$340)*$C$175</f>
        <v>2.92637327763871</v>
      </c>
      <c r="AB287" s="1" t="n">
        <f aca="false">AB284*(1-$C$340)*$C$175</f>
        <v>2.9622491235228</v>
      </c>
      <c r="AC287" s="1" t="n">
        <f aca="false">AC284*(1-$C$340)*$C$175</f>
        <v>2.99729156722819</v>
      </c>
      <c r="AD287" s="1" t="n">
        <f aca="false">AD284*(1-$C$340)*$C$175</f>
        <v>3.0314987445141</v>
      </c>
      <c r="AE287" s="1" t="n">
        <f aca="false">AE284*(1-$C$340)*$C$175</f>
        <v>3.06486883968261</v>
      </c>
      <c r="AF287" s="1" t="n">
        <f aca="false">AF284*(1-$C$340)*$C$175</f>
        <v>3.09740008157478</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1.25580018721076</v>
      </c>
      <c r="D289" s="1" t="n">
        <f aca="false">(1-$C$279)*D87</f>
        <v>4.1002433502287</v>
      </c>
      <c r="E289" s="1" t="n">
        <f aca="false">(1-$C$279)*E87</f>
        <v>7.36496299803866</v>
      </c>
      <c r="F289" s="1" t="n">
        <f aca="false">(1-$C$279)*F87</f>
        <v>3.25933898045482</v>
      </c>
      <c r="G289" s="1" t="n">
        <f aca="false">(1-$C$279)*G87</f>
        <v>8.26949449239614</v>
      </c>
      <c r="H289" s="1" t="n">
        <f aca="false">(1-$C$279)*H87</f>
        <v>13.4141082659289</v>
      </c>
      <c r="I289" s="1" t="n">
        <f aca="false">(1-$C$279)*I87</f>
        <v>18.6963363074509</v>
      </c>
      <c r="J289" s="1" t="n">
        <f aca="false">(1-$C$279)*J87</f>
        <v>24.1194040381883</v>
      </c>
      <c r="K289" s="1" t="n">
        <f aca="false">(1-$C$279)*K87</f>
        <v>29.6866080494021</v>
      </c>
      <c r="L289" s="1" t="n">
        <f aca="false">(1-$C$279)*L87</f>
        <v>35.4013178900321</v>
      </c>
      <c r="M289" s="1" t="n">
        <f aca="false">(1-$C$279)*M87</f>
        <v>46.9925608874923</v>
      </c>
      <c r="N289" s="1" t="n">
        <f aca="false">(1-$C$279)*N87</f>
        <v>57.2366209798431</v>
      </c>
      <c r="O289" s="1" t="n">
        <f aca="false">(1-$C$279)*O87</f>
        <v>63.8972744832606</v>
      </c>
      <c r="P289" s="1" t="n">
        <f aca="false">(1-$C$279)*P87</f>
        <v>70.8246848585964</v>
      </c>
      <c r="Q289" s="1" t="n">
        <f aca="false">(1-$C$279)*Q87</f>
        <v>77.9061971750756</v>
      </c>
      <c r="R289" s="1" t="n">
        <f aca="false">(1-$C$279)*R87</f>
        <v>80.4615202458494</v>
      </c>
      <c r="S289" s="1" t="n">
        <f aca="false">(1-$C$279)*S87</f>
        <v>82.4048030454268</v>
      </c>
      <c r="T289" s="1" t="n">
        <f aca="false">(1-$C$279)*T87</f>
        <v>84.4038736546922</v>
      </c>
      <c r="U289" s="1" t="n">
        <f aca="false">(1-$C$279)*U87</f>
        <v>86.4594536619785</v>
      </c>
      <c r="V289" s="1" t="n">
        <f aca="false">(1-$C$279)*V87</f>
        <v>88.5726739577173</v>
      </c>
      <c r="W289" s="1" t="n">
        <f aca="false">(1-$C$279)*W87</f>
        <v>90.0054233524802</v>
      </c>
      <c r="X289" s="1" t="n">
        <f aca="false">(1-$C$279)*X87</f>
        <v>91.2771641575605</v>
      </c>
      <c r="Y289" s="1" t="n">
        <f aca="false">(1-$C$279)*Y87</f>
        <v>92.5218340879708</v>
      </c>
      <c r="Z289" s="1" t="n">
        <f aca="false">(1-$C$279)*Z87</f>
        <v>93.7395130138751</v>
      </c>
      <c r="AA289" s="1" t="n">
        <f aca="false">(1-$C$279)*AA87</f>
        <v>94.9302829530326</v>
      </c>
      <c r="AB289" s="1" t="n">
        <f aca="false">(1-$C$279)*AB87</f>
        <v>96.0940798708695</v>
      </c>
      <c r="AC289" s="1" t="n">
        <f aca="false">(1-$C$279)*AC87</f>
        <v>97.2308415826232</v>
      </c>
      <c r="AD289" s="1" t="n">
        <f aca="false">(1-$C$279)*AD87</f>
        <v>98.3405076131289</v>
      </c>
      <c r="AE289" s="1" t="n">
        <f aca="false">(1-$C$279)*AE87</f>
        <v>99.4230190619325</v>
      </c>
      <c r="AF289" s="1" t="n">
        <f aca="false">(1-$C$279)*AF87</f>
        <v>100.478318473404</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0.248648437067731</v>
      </c>
      <c r="E290" s="1" t="n">
        <f aca="false">MAX(D289*(1-$C$340)/$C$281+IF(AND(01_Supuestos!$C$189&gt;0,E$39=01_Supuestos!$C$189),01_Supuestos!$C$190*D289*(1-$C$340)*(1-1/$C$281),0),D289-E342-E289)</f>
        <v>0.811848183345282</v>
      </c>
      <c r="F290" s="1" t="n">
        <f aca="false">MAX(E289*(1-$C$340)/$C$281+IF(AND(01_Supuestos!$C$189&gt;0,F$39=01_Supuestos!$C$189),01_Supuestos!$C$190*E289*(1-$C$340)*(1-1/$C$281),0),E289-F342-F289)</f>
        <v>4.03197438760346</v>
      </c>
      <c r="G290" s="1" t="n">
        <f aca="false">MAX(F289*(1-$C$340)/$C$281+IF(AND(01_Supuestos!$C$189&gt;0,G$39=01_Supuestos!$C$189),01_Supuestos!$C$190*F289*(1-$C$340)*(1-1/$C$281),0),F289-G342-G289)</f>
        <v>0.645349118130055</v>
      </c>
      <c r="H290" s="1" t="n">
        <f aca="false">MAX(G289*(1-$C$340)/$C$281+IF(AND(01_Supuestos!$C$189&gt;0,H$39=01_Supuestos!$C$189),01_Supuestos!$C$190*G289*(1-$C$340)*(1-1/$C$281),0),G289-H342-H289)</f>
        <v>1.63735990949444</v>
      </c>
      <c r="I290" s="1" t="n">
        <f aca="false">MAX(H289*(1-$C$340)/$C$281+IF(AND(01_Supuestos!$C$189&gt;0,I$39=01_Supuestos!$C$189),01_Supuestos!$C$190*H289*(1-$C$340)*(1-1/$C$281),0),H289-I342-I289)</f>
        <v>2.65599343665391</v>
      </c>
      <c r="J290" s="1" t="n">
        <f aca="false">MAX(I289*(1-$C$340)/$C$281+IF(AND(01_Supuestos!$C$189&gt;0,J$39=01_Supuestos!$C$189),01_Supuestos!$C$190*I289*(1-$C$340)*(1-1/$C$281),0),I289-J342-J289)</f>
        <v>3.70187458887528</v>
      </c>
      <c r="K290" s="1" t="n">
        <f aca="false">MAX(J289*(1-$C$340)/$C$281+IF(AND(01_Supuestos!$C$189&gt;0,K$39=01_Supuestos!$C$189),01_Supuestos!$C$190*J289*(1-$C$340)*(1-1/$C$281),0),J289-K342-K289)</f>
        <v>4.77564199956128</v>
      </c>
      <c r="L290" s="1" t="n">
        <f aca="false">MAX(K289*(1-$C$340)/$C$281+IF(AND(01_Supuestos!$C$189&gt;0,L$39=01_Supuestos!$C$189),01_Supuestos!$C$190*K289*(1-$C$340)*(1-1/$C$281),0),K289-L342-L289)</f>
        <v>5.87794839378162</v>
      </c>
      <c r="M290" s="1" t="n">
        <f aca="false">MAX(L289*(1-$C$340)/$C$281+IF(AND(01_Supuestos!$C$189&gt;0,M$39=01_Supuestos!$C$189),01_Supuestos!$C$190*L289*(1-$C$340)*(1-1/$C$281),0),L289-M342-M289)</f>
        <v>7.00946094222635</v>
      </c>
      <c r="N290" s="1" t="n">
        <f aca="false">MAX(M289*(1-$C$340)/$C$281+IF(AND(01_Supuestos!$C$189&gt;0,N$39=01_Supuestos!$C$189),01_Supuestos!$C$190*M289*(1-$C$340)*(1-1/$C$281),0),M289-N342-N289)</f>
        <v>9.30452705572347</v>
      </c>
      <c r="O290" s="1" t="n">
        <f aca="false">MAX(N289*(1-$C$340)/$C$281+IF(AND(01_Supuestos!$C$189&gt;0,O$39=01_Supuestos!$C$189),01_Supuestos!$C$190*N289*(1-$C$340)*(1-1/$C$281),0),N289-O342-O289)</f>
        <v>11.3328509540089</v>
      </c>
      <c r="P290" s="1" t="n">
        <f aca="false">MAX(O289*(1-$C$340)/$C$281+IF(AND(01_Supuestos!$C$189&gt;0,P$39=01_Supuestos!$C$189),01_Supuestos!$C$190*O289*(1-$C$340)*(1-1/$C$281),0),O289-P342-P289)</f>
        <v>12.6516603476856</v>
      </c>
      <c r="Q290" s="1" t="n">
        <f aca="false">MAX(P289*(1-$C$340)/$C$281+IF(AND(01_Supuestos!$C$189&gt;0,Q$39=01_Supuestos!$C$189),01_Supuestos!$C$190*P289*(1-$C$340)*(1-1/$C$281),0),P289-Q342-Q289)</f>
        <v>14.0232876020021</v>
      </c>
      <c r="R290" s="1" t="n">
        <f aca="false">MAX(Q289*(1-$C$340)/$C$281+IF(AND(01_Supuestos!$C$189&gt;0,R$39=01_Supuestos!$C$189),01_Supuestos!$C$190*Q289*(1-$C$340)*(1-1/$C$281),0),Q289-R342-R289)</f>
        <v>15.425427040665</v>
      </c>
      <c r="S290" s="1" t="n">
        <f aca="false">MAX(R289*(1-$C$340)/$C$281+IF(AND(01_Supuestos!$C$189&gt;0,S$39=01_Supuestos!$C$189),01_Supuestos!$C$190*R289*(1-$C$340)*(1-1/$C$281),0),R289-S342-S289)</f>
        <v>15.9313810086782</v>
      </c>
      <c r="T290" s="1" t="n">
        <f aca="false">MAX(S289*(1-$C$340)/$C$281+IF(AND(01_Supuestos!$C$189&gt;0,T$39=01_Supuestos!$C$189),01_Supuestos!$C$190*S289*(1-$C$340)*(1-1/$C$281),0),S289-T342-T289)</f>
        <v>16.3161510029945</v>
      </c>
      <c r="U290" s="1" t="n">
        <f aca="false">MAX(T289*(1-$C$340)/$C$281+IF(AND(01_Supuestos!$C$189&gt;0,U$39=01_Supuestos!$C$189),01_Supuestos!$C$190*T289*(1-$C$340)*(1-1/$C$281),0),T289-U342-U289)</f>
        <v>16.711966983629</v>
      </c>
      <c r="V290" s="1" t="n">
        <f aca="false">MAX(U289*(1-$C$340)/$C$281+IF(AND(01_Supuestos!$C$189&gt;0,V$39=01_Supuestos!$C$189),01_Supuestos!$C$190*U289*(1-$C$340)*(1-1/$C$281),0),U289-V342-V289)</f>
        <v>17.1189718250717</v>
      </c>
      <c r="W290" s="1" t="n">
        <f aca="false">MAX(V289*(1-$C$340)/$C$281+IF(AND(01_Supuestos!$C$189&gt;0,W$39=01_Supuestos!$C$189),01_Supuestos!$C$190*V289*(1-$C$340)*(1-1/$C$281),0),V289-W342-W289)</f>
        <v>17.537389443628</v>
      </c>
      <c r="X290" s="1" t="n">
        <f aca="false">MAX(W289*(1-$C$340)/$C$281+IF(AND(01_Supuestos!$C$189&gt;0,X$39=01_Supuestos!$C$189),01_Supuestos!$C$190*W289*(1-$C$340)*(1-1/$C$281),0),W289-X342-X289)</f>
        <v>17.8210738237911</v>
      </c>
      <c r="Y290" s="1" t="n">
        <f aca="false">MAX(X289*(1-$C$340)/$C$281+IF(AND(01_Supuestos!$C$189&gt;0,Y$39=01_Supuestos!$C$189),01_Supuestos!$C$190*X289*(1-$C$340)*(1-1/$C$281),0),X289-Y342-Y289)</f>
        <v>18.072878503197</v>
      </c>
      <c r="Z290" s="1" t="n">
        <f aca="false">MAX(Y289*(1-$C$340)/$C$281+IF(AND(01_Supuestos!$C$189&gt;0,Z$39=01_Supuestos!$C$189),01_Supuestos!$C$190*Y289*(1-$C$340)*(1-1/$C$281),0),Y289-Z342-Z289)</f>
        <v>18.3193231494182</v>
      </c>
      <c r="AA290" s="1" t="n">
        <f aca="false">MAX(Z289*(1-$C$340)/$C$281+IF(AND(01_Supuestos!$C$189&gt;0,AA$39=01_Supuestos!$C$189),01_Supuestos!$C$190*Z289*(1-$C$340)*(1-1/$C$281),0),Z289-AA342-AA289)</f>
        <v>18.5604235767473</v>
      </c>
      <c r="AB290" s="1" t="n">
        <f aca="false">MAX(AA289*(1-$C$340)/$C$281+IF(AND(01_Supuestos!$C$189&gt;0,AB$39=01_Supuestos!$C$189),01_Supuestos!$C$190*AA289*(1-$C$340)*(1-1/$C$281),0),AA289-AB342-AB289)</f>
        <v>18.7961960247005</v>
      </c>
      <c r="AC290" s="1" t="n">
        <f aca="false">MAX(AB289*(1-$C$340)/$C$281+IF(AND(01_Supuestos!$C$189&gt;0,AC$39=01_Supuestos!$C$189),01_Supuestos!$C$190*AB289*(1-$C$340)*(1-1/$C$281),0),AB289-AC342-AC289)</f>
        <v>19.0266278144322</v>
      </c>
      <c r="AD290" s="1" t="n">
        <f aca="false">MAX(AC289*(1-$C$340)/$C$281+IF(AND(01_Supuestos!$C$189&gt;0,AD$39=01_Supuestos!$C$189),01_Supuestos!$C$190*AC289*(1-$C$340)*(1-1/$C$281),0),AC289-AD342-AD289)</f>
        <v>19.2517066333594</v>
      </c>
      <c r="AE290" s="1" t="n">
        <f aca="false">MAX(AD289*(1-$C$340)/$C$281+IF(AND(01_Supuestos!$C$189&gt;0,AE$39=01_Supuestos!$C$189),01_Supuestos!$C$190*AD289*(1-$C$340)*(1-1/$C$281),0),AD289-AE342-AE289)</f>
        <v>19.4714205073995</v>
      </c>
      <c r="AF290" s="1" t="n">
        <f aca="false">MAX(AE289*(1-$C$340)/$C$281+IF(AND(01_Supuestos!$C$189&gt;0,AF$39=01_Supuestos!$C$189),01_Supuestos!$C$190*AE289*(1-$C$340)*(1-1/$C$281),0),AE289-AF342-AF289)</f>
        <v>19.6857577742626</v>
      </c>
    </row>
    <row r="291" customFormat="false" ht="14.25" hidden="false" customHeight="true" outlineLevel="0" collapsed="false">
      <c r="B291" s="84" t="s">
        <v>1281</v>
      </c>
      <c r="C291" s="1" t="n">
        <f aca="false">C289-0+C290</f>
        <v>1.25580018721076</v>
      </c>
      <c r="D291" s="1" t="n">
        <f aca="false">D289-C289+D290+D342</f>
        <v>3.10564960195777</v>
      </c>
      <c r="E291" s="1" t="n">
        <f aca="false">E289-D289+E290+E342</f>
        <v>4.11757026465754</v>
      </c>
      <c r="F291" s="1" t="n">
        <f aca="false">F289-E289+F290+F342</f>
        <v>0</v>
      </c>
      <c r="G291" s="1" t="n">
        <f aca="false">G289-F289+G290+G342</f>
        <v>5.68809801987592</v>
      </c>
      <c r="H291" s="1" t="n">
        <f aca="false">H289-G289+H290+H342</f>
        <v>6.86466862795111</v>
      </c>
      <c r="I291" s="1" t="n">
        <f aca="false">I289-H289+I290+I342</f>
        <v>8.07236256083524</v>
      </c>
      <c r="J291" s="1" t="n">
        <f aca="false">J289-I289+J290+J342</f>
        <v>9.31190568268718</v>
      </c>
      <c r="K291" s="1" t="n">
        <f aca="false">K289-J289+K290+K342</f>
        <v>10.584040051157</v>
      </c>
      <c r="L291" s="1" t="n">
        <f aca="false">L289-K289+L290+L342</f>
        <v>11.8895243149056</v>
      </c>
      <c r="M291" s="1" t="n">
        <f aca="false">M289-L289+M290+M342</f>
        <v>18.9547171185869</v>
      </c>
      <c r="N291" s="1" t="n">
        <f aca="false">N289-M289+N290+N342</f>
        <v>20.0185127569492</v>
      </c>
      <c r="O291" s="1" t="n">
        <f aca="false">O289-N289+O290+O342</f>
        <v>18.5658706672249</v>
      </c>
      <c r="P291" s="1" t="n">
        <f aca="false">P289-O289+P290+P342</f>
        <v>20.218043467854</v>
      </c>
      <c r="Q291" s="1" t="n">
        <f aca="false">Q289-P289+Q290+Q342</f>
        <v>21.8130467670673</v>
      </c>
      <c r="R291" s="1" t="n">
        <f aca="false">R289-Q289+R290+R342</f>
        <v>18.7598120831895</v>
      </c>
      <c r="S291" s="1" t="n">
        <f aca="false">S289-R289+S290+S342</f>
        <v>18.6792790107141</v>
      </c>
      <c r="T291" s="1" t="n">
        <f aca="false">T289-S289+T290+T342</f>
        <v>19.1392696427141</v>
      </c>
      <c r="U291" s="1" t="n">
        <f aca="false">U289-T289+U290+U342</f>
        <v>19.6115857274623</v>
      </c>
      <c r="V291" s="1" t="n">
        <f aca="false">V289-U289+V290+V342</f>
        <v>20.0967866574303</v>
      </c>
      <c r="W291" s="1" t="n">
        <f aca="false">W289-V289+W290+W342</f>
        <v>19.8558655779681</v>
      </c>
      <c r="X291" s="1" t="n">
        <f aca="false">X289-W289+X290+X342</f>
        <v>19.9928688623962</v>
      </c>
      <c r="Y291" s="1" t="n">
        <f aca="false">Y289-X289+Y290+Y342</f>
        <v>20.2303200751828</v>
      </c>
      <c r="Z291" s="1" t="n">
        <f aca="false">Z289-Y289+Z290+Z342</f>
        <v>20.4622204162023</v>
      </c>
      <c r="AA291" s="1" t="n">
        <f aca="false">AA289-Z289+AA290+AA342</f>
        <v>20.6885886460435</v>
      </c>
      <c r="AB291" s="1" t="n">
        <f aca="false">AB289-AA289+AB290+AB342</f>
        <v>20.9092957720677</v>
      </c>
      <c r="AC291" s="1" t="n">
        <f aca="false">AC289-AB289+AC290+AC342</f>
        <v>21.1243303248945</v>
      </c>
      <c r="AD291" s="1" t="n">
        <f aca="false">AD289-AC289+AD290+AD342</f>
        <v>21.3336810796913</v>
      </c>
      <c r="AE291" s="1" t="n">
        <f aca="false">AE289-AD289+AE290+AE342</f>
        <v>21.5373370323345</v>
      </c>
      <c r="AF291" s="1" t="n">
        <f aca="false">AF289-AE289+AF290+AF342</f>
        <v>21.7352873763531</v>
      </c>
    </row>
    <row r="292" customFormat="false" ht="14.25" hidden="false" customHeight="true" outlineLevel="0" collapsed="false">
      <c r="B292" s="84" t="s">
        <v>1282</v>
      </c>
      <c r="C292" s="1" t="n">
        <f aca="false">C289*(1-$C$340)*$C$175</f>
        <v>0.0534594139695622</v>
      </c>
      <c r="D292" s="1" t="n">
        <f aca="false">D289*(1-$C$340)*$C$175</f>
        <v>0.174547359419236</v>
      </c>
      <c r="E292" s="1" t="n">
        <f aca="false">E289*(1-$C$340)*$C$175</f>
        <v>0.313526474826506</v>
      </c>
      <c r="F292" s="1" t="n">
        <f aca="false">F289*(1-$C$340)*$C$175</f>
        <v>0.138750060397962</v>
      </c>
      <c r="G292" s="1" t="n">
        <f aca="false">G289*(1-$C$340)*$C$175</f>
        <v>0.352032380541304</v>
      </c>
      <c r="H292" s="1" t="n">
        <f aca="false">H289*(1-$C$340)*$C$175</f>
        <v>0.571038588880591</v>
      </c>
      <c r="I292" s="1" t="n">
        <f aca="false">I289*(1-$C$340)*$C$175</f>
        <v>0.795903036608184</v>
      </c>
      <c r="J292" s="1" t="n">
        <f aca="false">J289*(1-$C$340)*$C$175</f>
        <v>1.02676302990568</v>
      </c>
      <c r="K292" s="1" t="n">
        <f aca="false">K289*(1-$C$340)*$C$175</f>
        <v>1.26375890466305</v>
      </c>
      <c r="L292" s="1" t="n">
        <f aca="false">L289*(1-$C$340)*$C$175</f>
        <v>1.50703410257866</v>
      </c>
      <c r="M292" s="1" t="n">
        <f aca="false">M289*(1-$C$340)*$C$175</f>
        <v>2.00047331698055</v>
      </c>
      <c r="N292" s="1" t="n">
        <f aca="false">N289*(1-$C$340)*$C$175</f>
        <v>2.43656295511192</v>
      </c>
      <c r="O292" s="1" t="n">
        <f aca="false">O289*(1-$C$340)*$C$175</f>
        <v>2.7201069747524</v>
      </c>
      <c r="P292" s="1" t="n">
        <f aca="false">P289*(1-$C$340)*$C$175</f>
        <v>3.01500683443045</v>
      </c>
      <c r="Q292" s="1" t="n">
        <f aca="false">Q289*(1-$C$340)*$C$175</f>
        <v>3.31646681374297</v>
      </c>
      <c r="R292" s="1" t="n">
        <f aca="false">R289*(1-$C$340)*$C$175</f>
        <v>3.42524691686581</v>
      </c>
      <c r="S292" s="1" t="n">
        <f aca="false">S289*(1-$C$340)*$C$175</f>
        <v>3.50797246564382</v>
      </c>
      <c r="T292" s="1" t="n">
        <f aca="false">T289*(1-$C$340)*$C$175</f>
        <v>3.59307290148024</v>
      </c>
      <c r="U292" s="1" t="n">
        <f aca="false">U289*(1-$C$340)*$C$175</f>
        <v>3.68057894239042</v>
      </c>
      <c r="V292" s="1" t="n">
        <f aca="false">V289*(1-$C$340)*$C$175</f>
        <v>3.77053873038002</v>
      </c>
      <c r="W292" s="1" t="n">
        <f aca="false">W289*(1-$C$340)*$C$175</f>
        <v>3.83153087211508</v>
      </c>
      <c r="X292" s="1" t="n">
        <f aca="false">X289*(1-$C$340)*$C$175</f>
        <v>3.88566887818735</v>
      </c>
      <c r="Y292" s="1" t="n">
        <f aca="false">Y289*(1-$C$340)*$C$175</f>
        <v>3.93865447712492</v>
      </c>
      <c r="Z292" s="1" t="n">
        <f aca="false">Z289*(1-$C$340)*$C$175</f>
        <v>3.99049106900066</v>
      </c>
      <c r="AA292" s="1" t="n">
        <f aca="false">AA289*(1-$C$340)*$C$175</f>
        <v>4.0411821453106</v>
      </c>
      <c r="AB292" s="1" t="n">
        <f aca="false">AB289*(1-$C$340)*$C$175</f>
        <v>4.09072498010292</v>
      </c>
      <c r="AC292" s="1" t="n">
        <f aca="false">AC289*(1-$C$340)*$C$175</f>
        <v>4.13911692617227</v>
      </c>
      <c r="AD292" s="1" t="n">
        <f aca="false">AD289*(1-$C$340)*$C$175</f>
        <v>4.1863554090909</v>
      </c>
      <c r="AE292" s="1" t="n">
        <f aca="false">AE289*(1-$C$340)*$C$175</f>
        <v>4.23243792146647</v>
      </c>
      <c r="AF292" s="1" t="n">
        <f aca="false">AF289*(1-$C$340)*$C$175</f>
        <v>4.27736201741279</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32.7283871805361</v>
      </c>
      <c r="G294" s="116" t="n">
        <f aca="false">G85</f>
        <v>34.2346905763938</v>
      </c>
      <c r="H294" s="116" t="n">
        <f aca="false">H85</f>
        <v>35.7424929420516</v>
      </c>
      <c r="I294" s="116" t="n">
        <f aca="false">I85</f>
        <v>37.2517193290193</v>
      </c>
      <c r="J294" s="116" t="n">
        <f aca="false">J85</f>
        <v>38.7622985362316</v>
      </c>
      <c r="K294" s="116" t="n">
        <f aca="false">K85</f>
        <v>40.2741629226761</v>
      </c>
      <c r="L294" s="116" t="n">
        <f aca="false">L85</f>
        <v>41.7872482293912</v>
      </c>
      <c r="M294" s="116" t="n">
        <f aca="false">M85</f>
        <v>33.429798583513</v>
      </c>
      <c r="N294" s="116" t="n">
        <f aca="false">N85</f>
        <v>27.6625094820743</v>
      </c>
      <c r="O294" s="116" t="n">
        <f aca="false">O85</f>
        <v>28.3470899227807</v>
      </c>
      <c r="P294" s="116" t="n">
        <f aca="false">P85</f>
        <v>28.8516194354516</v>
      </c>
      <c r="Q294" s="116" t="n">
        <f aca="false">Q85</f>
        <v>29.3767677777575</v>
      </c>
      <c r="R294" s="116" t="n">
        <f aca="false">R85</f>
        <v>29.9155829607449</v>
      </c>
      <c r="S294" s="116" t="n">
        <f aca="false">S85</f>
        <v>30.4438692413889</v>
      </c>
      <c r="T294" s="116" t="n">
        <f aca="false">T85</f>
        <v>30.9651814421812</v>
      </c>
      <c r="U294" s="116" t="n">
        <f aca="false">U85</f>
        <v>31.4803273166818</v>
      </c>
      <c r="V294" s="116" t="n">
        <f aca="false">V85</f>
        <v>31.9894561182184</v>
      </c>
      <c r="W294" s="116" t="n">
        <f aca="false">W85</f>
        <v>32.4826453449321</v>
      </c>
      <c r="X294" s="116" t="n">
        <f aca="false">X85</f>
        <v>32.9628888591602</v>
      </c>
      <c r="Y294" s="116" t="n">
        <f aca="false">Y85</f>
        <v>33.4338462662789</v>
      </c>
      <c r="Z294" s="116" t="n">
        <f aca="false">Z85</f>
        <v>33.8952381969415</v>
      </c>
      <c r="AA294" s="116" t="n">
        <f aca="false">AA85</f>
        <v>34.3467861012521</v>
      </c>
      <c r="AB294" s="116" t="n">
        <f aca="false">AB85</f>
        <v>34.7884674493719</v>
      </c>
      <c r="AC294" s="116" t="n">
        <f aca="false">AC85</f>
        <v>35.2202604239473</v>
      </c>
      <c r="AD294" s="116" t="n">
        <f aca="false">AD85</f>
        <v>35.6421438698713</v>
      </c>
      <c r="AE294" s="116" t="n">
        <f aca="false">AE85</f>
        <v>36.0540972460407</v>
      </c>
      <c r="AF294" s="116" t="n">
        <f aca="false">AF85</f>
        <v>36.4561005789916</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3.27283871805361</v>
      </c>
      <c r="H295" s="1" t="n">
        <f aca="false">MAX(G294/$C$282,G294-H294)</f>
        <v>3.42346905763938</v>
      </c>
      <c r="I295" s="1" t="n">
        <f aca="false">MAX(H294/$C$282,H294-I294)</f>
        <v>3.57424929420516</v>
      </c>
      <c r="J295" s="1" t="n">
        <f aca="false">MAX(I294/$C$282,I294-J294)</f>
        <v>3.72517193290193</v>
      </c>
      <c r="K295" s="1" t="n">
        <f aca="false">MAX(J294/$C$282,J294-K294)</f>
        <v>3.87622985362315</v>
      </c>
      <c r="L295" s="1" t="n">
        <f aca="false">MAX(K294/$C$282,K294-L294)</f>
        <v>4.02741629226761</v>
      </c>
      <c r="M295" s="1" t="n">
        <f aca="false">MAX(L294/$C$282,L294-M294)</f>
        <v>8.35744964587825</v>
      </c>
      <c r="N295" s="1" t="n">
        <f aca="false">MAX(M294/$C$282,M294-N294)</f>
        <v>5.76728910143867</v>
      </c>
      <c r="O295" s="1" t="n">
        <f aca="false">MAX(N294/$C$282,N294-O294)</f>
        <v>2.76625094820743</v>
      </c>
      <c r="P295" s="1" t="n">
        <f aca="false">MAX(O294/$C$282,O294-P294)</f>
        <v>2.83470899227807</v>
      </c>
      <c r="Q295" s="1" t="n">
        <f aca="false">MAX(P294/$C$282,P294-Q294)</f>
        <v>2.88516194354516</v>
      </c>
      <c r="R295" s="1" t="n">
        <f aca="false">MAX(Q294/$C$282,Q294-R294)</f>
        <v>2.93767677777575</v>
      </c>
      <c r="S295" s="1" t="n">
        <f aca="false">MAX(R294/$C$282,R294-S294)</f>
        <v>2.99155829607449</v>
      </c>
      <c r="T295" s="1" t="n">
        <f aca="false">MAX(S294/$C$282,S294-T294)</f>
        <v>3.04438692413889</v>
      </c>
      <c r="U295" s="1" t="n">
        <f aca="false">MAX(T294/$C$282,T294-U294)</f>
        <v>3.09651814421812</v>
      </c>
      <c r="V295" s="1" t="n">
        <f aca="false">MAX(U294/$C$282,U294-V294)</f>
        <v>3.14803273166818</v>
      </c>
      <c r="W295" s="1" t="n">
        <f aca="false">MAX(V294/$C$282,V294-W294)</f>
        <v>3.19894561182184</v>
      </c>
      <c r="X295" s="1" t="n">
        <f aca="false">MAX(W294/$C$282,W294-X294)</f>
        <v>3.24826453449321</v>
      </c>
      <c r="Y295" s="1" t="n">
        <f aca="false">MAX(X294/$C$282,X294-Y294)</f>
        <v>3.29628888591602</v>
      </c>
      <c r="Z295" s="1" t="n">
        <f aca="false">MAX(Y294/$C$282,Y294-Z294)</f>
        <v>3.34338462662789</v>
      </c>
      <c r="AA295" s="1" t="n">
        <f aca="false">MAX(Z294/$C$282,Z294-AA294)</f>
        <v>3.38952381969415</v>
      </c>
      <c r="AB295" s="1" t="n">
        <f aca="false">MAX(AA294/$C$282,AA294-AB294)</f>
        <v>3.43467861012521</v>
      </c>
      <c r="AC295" s="1" t="n">
        <f aca="false">MAX(AB294/$C$282,AB294-AC294)</f>
        <v>3.47884674493719</v>
      </c>
      <c r="AD295" s="1" t="n">
        <f aca="false">MAX(AC294/$C$282,AC294-AD294)</f>
        <v>3.52202604239473</v>
      </c>
      <c r="AE295" s="1" t="n">
        <f aca="false">MAX(AD294/$C$282,AD294-AE294)</f>
        <v>3.56421438698713</v>
      </c>
      <c r="AF295" s="1" t="n">
        <f aca="false">MAX(AE294/$C$282,AE294-AF294)</f>
        <v>3.60540972460407</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18.5684169133116</v>
      </c>
      <c r="G296" s="1" t="n">
        <f aca="false">G294-F294+G295</f>
        <v>4.77914211391135</v>
      </c>
      <c r="H296" s="1" t="n">
        <f aca="false">H294-G294+H295</f>
        <v>4.93127142329713</v>
      </c>
      <c r="I296" s="1" t="n">
        <f aca="false">I294-H294+I295</f>
        <v>5.0834756811729</v>
      </c>
      <c r="J296" s="1" t="n">
        <f aca="false">J294-I294+J295</f>
        <v>5.23575114011417</v>
      </c>
      <c r="K296" s="1" t="n">
        <f aca="false">K294-J294+K295</f>
        <v>5.38809424006767</v>
      </c>
      <c r="L296" s="1" t="n">
        <f aca="false">L294-K294+L295</f>
        <v>5.54050159898278</v>
      </c>
      <c r="M296" s="1" t="n">
        <f aca="false">M294-L294+M295</f>
        <v>0</v>
      </c>
      <c r="N296" s="1" t="n">
        <f aca="false">N294-M294+N295</f>
        <v>0</v>
      </c>
      <c r="O296" s="1" t="n">
        <f aca="false">O294-N294+O295</f>
        <v>3.45083138891384</v>
      </c>
      <c r="P296" s="1" t="n">
        <f aca="false">P294-O294+P295</f>
        <v>3.33923850494896</v>
      </c>
      <c r="Q296" s="1" t="n">
        <f aca="false">Q294-P294+Q295</f>
        <v>3.41031028585102</v>
      </c>
      <c r="R296" s="1" t="n">
        <f aca="false">R294-Q294+R295</f>
        <v>3.47649196076319</v>
      </c>
      <c r="S296" s="1" t="n">
        <f aca="false">S294-R294+S295</f>
        <v>3.51984457671844</v>
      </c>
      <c r="T296" s="1" t="n">
        <f aca="false">T294-S294+T295</f>
        <v>3.56569912493127</v>
      </c>
      <c r="U296" s="1" t="n">
        <f aca="false">U294-T294+U295</f>
        <v>3.61166401871867</v>
      </c>
      <c r="V296" s="1" t="n">
        <f aca="false">V294-U294+V295</f>
        <v>3.65716153320478</v>
      </c>
      <c r="W296" s="1" t="n">
        <f aca="false">W294-V294+W295</f>
        <v>3.69213483853557</v>
      </c>
      <c r="X296" s="1" t="n">
        <f aca="false">X294-W294+X295</f>
        <v>3.72850804872126</v>
      </c>
      <c r="Y296" s="1" t="n">
        <f aca="false">Y294-X294+Y295</f>
        <v>3.76724629303476</v>
      </c>
      <c r="Z296" s="1" t="n">
        <f aca="false">Z294-Y294+Z295</f>
        <v>3.8047765572905</v>
      </c>
      <c r="AA296" s="1" t="n">
        <f aca="false">AA294-Z294+AA295</f>
        <v>3.84107172400474</v>
      </c>
      <c r="AB296" s="1" t="n">
        <f aca="false">AB294-AA294+AB295</f>
        <v>3.87635995824498</v>
      </c>
      <c r="AC296" s="1" t="n">
        <f aca="false">AC294-AB294+AC295</f>
        <v>3.91063971951258</v>
      </c>
      <c r="AD296" s="1" t="n">
        <f aca="false">AD294-AC294+AD295</f>
        <v>3.94390948831872</v>
      </c>
      <c r="AE296" s="1" t="n">
        <f aca="false">AE294-AD294+AE295</f>
        <v>3.97616776315653</v>
      </c>
      <c r="AF296" s="1" t="n">
        <f aca="false">AF294-AE294+AF295</f>
        <v>4.00741305755499</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1.30913548722144</v>
      </c>
      <c r="G297" s="1" t="n">
        <f aca="false">G294*01_Supuestos!$I$126</f>
        <v>1.36938762305575</v>
      </c>
      <c r="H297" s="1" t="n">
        <f aca="false">H294*01_Supuestos!$I$126</f>
        <v>1.42969971768206</v>
      </c>
      <c r="I297" s="1" t="n">
        <f aca="false">I294*01_Supuestos!$I$126</f>
        <v>1.49006877316077</v>
      </c>
      <c r="J297" s="1" t="n">
        <f aca="false">J294*01_Supuestos!$I$126</f>
        <v>1.55049194144926</v>
      </c>
      <c r="K297" s="1" t="n">
        <f aca="false">K294*01_Supuestos!$I$126</f>
        <v>1.61096651690704</v>
      </c>
      <c r="L297" s="1" t="n">
        <f aca="false">L294*01_Supuestos!$I$126</f>
        <v>1.67148992917565</v>
      </c>
      <c r="M297" s="1" t="n">
        <f aca="false">M294*01_Supuestos!$I$126</f>
        <v>1.33719194334052</v>
      </c>
      <c r="N297" s="1" t="n">
        <f aca="false">N294*01_Supuestos!$I$126</f>
        <v>1.10650037928297</v>
      </c>
      <c r="O297" s="1" t="n">
        <f aca="false">O294*01_Supuestos!$I$126</f>
        <v>1.13388359691123</v>
      </c>
      <c r="P297" s="1" t="n">
        <f aca="false">P294*01_Supuestos!$I$126</f>
        <v>1.15406477741806</v>
      </c>
      <c r="Q297" s="1" t="n">
        <f aca="false">Q294*01_Supuestos!$I$126</f>
        <v>1.1750707111103</v>
      </c>
      <c r="R297" s="1" t="n">
        <f aca="false">R294*01_Supuestos!$I$126</f>
        <v>1.1966233184298</v>
      </c>
      <c r="S297" s="1" t="n">
        <f aca="false">S294*01_Supuestos!$I$126</f>
        <v>1.21775476965555</v>
      </c>
      <c r="T297" s="1" t="n">
        <f aca="false">T294*01_Supuestos!$I$126</f>
        <v>1.23860725768725</v>
      </c>
      <c r="U297" s="1" t="n">
        <f aca="false">U294*01_Supuestos!$I$126</f>
        <v>1.25921309266727</v>
      </c>
      <c r="V297" s="1" t="n">
        <f aca="false">V294*01_Supuestos!$I$126</f>
        <v>1.27957824472874</v>
      </c>
      <c r="W297" s="1" t="n">
        <f aca="false">W294*01_Supuestos!$I$126</f>
        <v>1.29930581379729</v>
      </c>
      <c r="X297" s="1" t="n">
        <f aca="false">X294*01_Supuestos!$I$126</f>
        <v>1.31851555436641</v>
      </c>
      <c r="Y297" s="1" t="n">
        <f aca="false">Y294*01_Supuestos!$I$126</f>
        <v>1.33735385065116</v>
      </c>
      <c r="Z297" s="1" t="n">
        <f aca="false">Z294*01_Supuestos!$I$126</f>
        <v>1.35580952787766</v>
      </c>
      <c r="AA297" s="1" t="n">
        <f aca="false">AA294*01_Supuestos!$I$126</f>
        <v>1.37387144405008</v>
      </c>
      <c r="AB297" s="1" t="n">
        <f aca="false">AB294*01_Supuestos!$I$126</f>
        <v>1.39153869797488</v>
      </c>
      <c r="AC297" s="1" t="n">
        <f aca="false">AC294*01_Supuestos!$I$126</f>
        <v>1.40881041695789</v>
      </c>
      <c r="AD297" s="1" t="n">
        <f aca="false">AD294*01_Supuestos!$I$126</f>
        <v>1.42568575479485</v>
      </c>
      <c r="AE297" s="1" t="n">
        <f aca="false">AE294*01_Supuestos!$I$126</f>
        <v>1.44216388984163</v>
      </c>
      <c r="AF297" s="1" t="n">
        <f aca="false">AF294*01_Supuestos!$I$126</f>
        <v>1.45824402315966</v>
      </c>
    </row>
    <row r="298" customFormat="false" ht="14.25" hidden="false" customHeight="true" outlineLevel="0" collapsed="false">
      <c r="B298" s="84" t="s">
        <v>1290</v>
      </c>
      <c r="C298" s="116" t="n">
        <f aca="false">C86</f>
        <v>0.4875</v>
      </c>
      <c r="D298" s="116" t="n">
        <f aca="false">D86</f>
        <v>0.9862125</v>
      </c>
      <c r="E298" s="116" t="n">
        <f aca="false">E86</f>
        <v>1.4963953875</v>
      </c>
      <c r="F298" s="116" t="n">
        <f aca="false">F86</f>
        <v>2.0183124814125</v>
      </c>
      <c r="G298" s="116" t="n">
        <f aca="false">G86</f>
        <v>2.55223366848499</v>
      </c>
      <c r="H298" s="116" t="n">
        <f aca="false">H86</f>
        <v>3.09843504286014</v>
      </c>
      <c r="I298" s="116" t="n">
        <f aca="false">I86</f>
        <v>3.65719904884592</v>
      </c>
      <c r="J298" s="116" t="n">
        <f aca="false">J86</f>
        <v>4.22881462696938</v>
      </c>
      <c r="K298" s="116" t="n">
        <f aca="false">K86</f>
        <v>4.81357736338968</v>
      </c>
      <c r="L298" s="116" t="n">
        <f aca="false">L86</f>
        <v>5.41178964274764</v>
      </c>
      <c r="M298" s="116" t="n">
        <f aca="false">M86</f>
        <v>6.02376080453083</v>
      </c>
      <c r="N298" s="116" t="n">
        <f aca="false">N86</f>
        <v>6.64980730303504</v>
      </c>
      <c r="O298" s="116" t="n">
        <f aca="false">O86</f>
        <v>7.29025287100485</v>
      </c>
      <c r="P298" s="116" t="n">
        <f aca="false">P86</f>
        <v>7.94542868703796</v>
      </c>
      <c r="Q298" s="116" t="n">
        <f aca="false">Q86</f>
        <v>8.61567354683983</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9.87707419714526</v>
      </c>
      <c r="X298" s="116" t="n">
        <f aca="false">X86</f>
        <v>10.0177531484459</v>
      </c>
      <c r="Y298" s="116" t="n">
        <f aca="false">Y86</f>
        <v>10.1554868350647</v>
      </c>
      <c r="Z298" s="116" t="n">
        <f aca="false">Z86</f>
        <v>10.2902678010981</v>
      </c>
      <c r="AA298" s="116" t="n">
        <f aca="false">AA86</f>
        <v>10.4220888286533</v>
      </c>
      <c r="AB298" s="116" t="n">
        <f aca="false">AB86</f>
        <v>10.5509429211892</v>
      </c>
      <c r="AC298" s="116" t="n">
        <f aca="false">AC86</f>
        <v>10.6768232875238</v>
      </c>
      <c r="AD298" s="116" t="n">
        <f aca="false">AD86</f>
        <v>10.7997233264659</v>
      </c>
      <c r="AE298" s="116" t="n">
        <f aca="false">AE86</f>
        <v>10.9196366120359</v>
      </c>
      <c r="AF298" s="116" t="n">
        <f aca="false">AF86</f>
        <v>11.0365568792395</v>
      </c>
    </row>
    <row r="299" customFormat="false" ht="14.25" hidden="false" customHeight="true" outlineLevel="0" collapsed="false">
      <c r="B299" s="144" t="s">
        <v>1291</v>
      </c>
      <c r="C299" s="1" t="n">
        <f aca="false">C286+C291+C296</f>
        <v>9.2625</v>
      </c>
      <c r="D299" s="1" t="n">
        <f aca="false">D286+D291+D296</f>
        <v>10.5005843319697</v>
      </c>
      <c r="E299" s="1" t="n">
        <f aca="false">E286+E291+E296</f>
        <v>11.8898546540016</v>
      </c>
      <c r="F299" s="1" t="n">
        <f aca="false">F286+F291+F296</f>
        <v>18.5684169133116</v>
      </c>
      <c r="G299" s="1" t="n">
        <f aca="false">G286+G291+G296</f>
        <v>14.2357163340233</v>
      </c>
      <c r="H299" s="1" t="n">
        <f aca="false">H286+H291+H296</f>
        <v>15.877651175815</v>
      </c>
      <c r="I299" s="1" t="n">
        <f aca="false">I286+I291+I296</f>
        <v>17.5588629713268</v>
      </c>
      <c r="J299" s="1" t="n">
        <f aca="false">J286+J291+J296</f>
        <v>19.2802600835477</v>
      </c>
      <c r="K299" s="1" t="n">
        <f aca="false">K286+K291+K296</f>
        <v>21.0427715181628</v>
      </c>
      <c r="L299" s="1" t="n">
        <f aca="false">L286+L291+L296</f>
        <v>22.8473474108179</v>
      </c>
      <c r="M299" s="1" t="n">
        <f aca="false">M286+M291+M296</f>
        <v>28.8736843479061</v>
      </c>
      <c r="N299" s="1" t="n">
        <f aca="false">N286+N291+N296</f>
        <v>29.4613564386143</v>
      </c>
      <c r="O299" s="1" t="n">
        <f aca="false">O286+O291+O296</f>
        <v>29.3060427970381</v>
      </c>
      <c r="P299" s="1" t="n">
        <f aca="false">P286+P291+P296</f>
        <v>31.3267737779369</v>
      </c>
      <c r="Q299" s="1" t="n">
        <f aca="false">Q286+Q291+Q296</f>
        <v>33.4029157555694</v>
      </c>
      <c r="R299" s="1" t="n">
        <f aca="false">R286+R291+R296</f>
        <v>27.4433929355564</v>
      </c>
      <c r="S299" s="1" t="n">
        <f aca="false">S286+S291+S296</f>
        <v>27.0731100818571</v>
      </c>
      <c r="T299" s="1" t="n">
        <f aca="false">T286+T291+T296</f>
        <v>27.7030820159155</v>
      </c>
      <c r="U299" s="1" t="n">
        <f aca="false">U286+U291+U296</f>
        <v>28.3484159628896</v>
      </c>
      <c r="V299" s="1" t="n">
        <f aca="false">V286+V291+V296</f>
        <v>29.0094210720543</v>
      </c>
      <c r="W299" s="1" t="n">
        <f aca="false">W286+W291+W296</f>
        <v>28.4017691544412</v>
      </c>
      <c r="X299" s="1" t="n">
        <f aca="false">X286+X291+X296</f>
        <v>28.5202849588972</v>
      </c>
      <c r="Y299" s="1" t="n">
        <f aca="false">Y286+Y291+Y296</f>
        <v>28.8316658562689</v>
      </c>
      <c r="Z299" s="1" t="n">
        <f aca="false">Z286+Z291+Z296</f>
        <v>29.1351793575242</v>
      </c>
      <c r="AA299" s="1" t="n">
        <f aca="false">AA286+AA291+AA296</f>
        <v>29.4308221022257</v>
      </c>
      <c r="AB299" s="1" t="n">
        <f aca="false">AB286+AB291+AB296</f>
        <v>29.7185910346019</v>
      </c>
      <c r="AC299" s="1" t="n">
        <f aca="false">AC286+AC291+AC296</f>
        <v>29.9984717252856</v>
      </c>
      <c r="AD299" s="1" t="n">
        <f aca="false">AD286+AD291+AD296</f>
        <v>30.2704499886344</v>
      </c>
      <c r="AE299" s="1" t="n">
        <f aca="false">AE286+AE291+AE296</f>
        <v>30.53451185368</v>
      </c>
      <c r="AF299" s="1" t="n">
        <f aca="false">AF286+AF291+AF296</f>
        <v>30.790643535935</v>
      </c>
    </row>
    <row r="300" customFormat="false" ht="14.25" hidden="false" customHeight="true" outlineLevel="0" collapsed="false">
      <c r="B300" s="144" t="s">
        <v>1292</v>
      </c>
      <c r="C300" s="1" t="n">
        <f aca="false">C285+C290+C295</f>
        <v>0</v>
      </c>
      <c r="D300" s="1" t="n">
        <f aca="false">D285+D290+D295</f>
        <v>1.003395104604</v>
      </c>
      <c r="E300" s="1" t="n">
        <f aca="false">E285+E290+E295</f>
        <v>2.1256859406356</v>
      </c>
      <c r="F300" s="1" t="n">
        <f aca="false">F285+F290+F295</f>
        <v>8.52501000831826</v>
      </c>
      <c r="G300" s="1" t="n">
        <f aca="false">G285+G290+G295</f>
        <v>4.03501827998307</v>
      </c>
      <c r="H300" s="1" t="n">
        <f aca="false">H285+H290+H295</f>
        <v>5.35724757143885</v>
      </c>
      <c r="I300" s="1" t="n">
        <f aca="false">I285+I290+I295</f>
        <v>6.711069128874</v>
      </c>
      <c r="J300" s="1" t="n">
        <f aca="false">J285+J290+J295</f>
        <v>8.09721347321152</v>
      </c>
      <c r="K300" s="1" t="n">
        <f aca="false">K285+K290+K295</f>
        <v>9.51642773241536</v>
      </c>
      <c r="L300" s="1" t="n">
        <f aca="false">L285+L290+L295</f>
        <v>10.9694760331993</v>
      </c>
      <c r="M300" s="1" t="n">
        <f aca="false">M285+M290+M295</f>
        <v>16.6358647241973</v>
      </c>
      <c r="N300" s="1" t="n">
        <f aca="false">N285+N290+N295</f>
        <v>16.7562564000086</v>
      </c>
      <c r="O300" s="1" t="n">
        <f aca="false">O285+O290+O295</f>
        <v>16.1507387128559</v>
      </c>
      <c r="P300" s="1" t="n">
        <f aca="false">P285+P290+P295</f>
        <v>17.7767561270447</v>
      </c>
      <c r="Q300" s="1" t="n">
        <f aca="false">Q285+Q290+Q295</f>
        <v>19.4471481631511</v>
      </c>
      <c r="R300" s="1" t="n">
        <f aca="false">R285+R290+R295</f>
        <v>21.1556380240783</v>
      </c>
      <c r="S300" s="1" t="n">
        <f aca="false">S285+S290+S295</f>
        <v>21.8070686252892</v>
      </c>
      <c r="T300" s="1" t="n">
        <f aca="false">T285+T290+T295</f>
        <v>22.3143238845721</v>
      </c>
      <c r="U300" s="1" t="n">
        <f aca="false">U285+U290+U295</f>
        <v>22.8339274266076</v>
      </c>
      <c r="V300" s="1" t="n">
        <f aca="false">V285+V290+V295</f>
        <v>23.3661287664512</v>
      </c>
      <c r="W300" s="1" t="n">
        <f aca="false">W285+W290+W295</f>
        <v>23.9112072823135</v>
      </c>
      <c r="X300" s="1" t="n">
        <f aca="false">X285+X290+X295</f>
        <v>24.2955672401775</v>
      </c>
      <c r="Y300" s="1" t="n">
        <f aca="false">Y285+Y290+Y295</f>
        <v>24.6409816008987</v>
      </c>
      <c r="Z300" s="1" t="n">
        <f aca="false">Z285+Z290+Z295</f>
        <v>24.9791369668891</v>
      </c>
      <c r="AA300" s="1" t="n">
        <f aca="false">AA285+AA290+AA295</f>
        <v>25.3100240784388</v>
      </c>
      <c r="AB300" s="1" t="n">
        <f aca="false">AB285+AB290+AB295</f>
        <v>25.633634259987</v>
      </c>
      <c r="AC300" s="1" t="n">
        <f aca="false">AC285+AC290+AC295</f>
        <v>25.9499502843959</v>
      </c>
      <c r="AD300" s="1" t="n">
        <f aca="false">AD285+AD290+AD295</f>
        <v>26.258955428345</v>
      </c>
      <c r="AE300" s="1" t="n">
        <f aca="false">AE285+AE290+AE295</f>
        <v>26.5606334345193</v>
      </c>
      <c r="AF300" s="1" t="n">
        <f aca="false">AF285+AF290+AF295</f>
        <v>26.8549684752418</v>
      </c>
    </row>
    <row r="301" customFormat="false" ht="14.25" hidden="false" customHeight="true" outlineLevel="0" collapsed="false">
      <c r="B301" s="144" t="s">
        <v>1293</v>
      </c>
      <c r="C301" s="1" t="n">
        <f aca="false">C284+C289+C294</f>
        <v>9.2625</v>
      </c>
      <c r="D301" s="1" t="n">
        <f aca="false">D284+D289+D294</f>
        <v>18.7380375</v>
      </c>
      <c r="E301" s="1" t="n">
        <f aca="false">E284+E289+E294</f>
        <v>28.4315123625</v>
      </c>
      <c r="F301" s="1" t="n">
        <f aca="false">F284+F289+F294</f>
        <v>38.3479371468375</v>
      </c>
      <c r="G301" s="1" t="n">
        <f aca="false">G284+G289+G294</f>
        <v>48.4924397012148</v>
      </c>
      <c r="H301" s="1" t="n">
        <f aca="false">H284+H289+H294</f>
        <v>58.8702658143427</v>
      </c>
      <c r="I301" s="1" t="n">
        <f aca="false">I284+I289+I294</f>
        <v>69.4867819280726</v>
      </c>
      <c r="J301" s="1" t="n">
        <f aca="false">J284+J289+J294</f>
        <v>80.3474779124182</v>
      </c>
      <c r="K301" s="1" t="n">
        <f aca="false">K284+K289+K294</f>
        <v>91.4579699044039</v>
      </c>
      <c r="L301" s="1" t="n">
        <f aca="false">L284+L289+L294</f>
        <v>102.824003212205</v>
      </c>
      <c r="M301" s="1" t="n">
        <f aca="false">M284+M289+M294</f>
        <v>114.451455286086</v>
      </c>
      <c r="N301" s="1" t="n">
        <f aca="false">N284+N289+N294</f>
        <v>126.346338757666</v>
      </c>
      <c r="O301" s="1" t="n">
        <f aca="false">O284+O289+O294</f>
        <v>138.514804549092</v>
      </c>
      <c r="P301" s="1" t="n">
        <f aca="false">P284+P289+P294</f>
        <v>150.963145053721</v>
      </c>
      <c r="Q301" s="1" t="n">
        <f aca="false">Q284+Q289+Q294</f>
        <v>163.697797389957</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187.66440974576</v>
      </c>
      <c r="X301" s="1" t="n">
        <f aca="false">X284+X289+X294</f>
        <v>190.337309820471</v>
      </c>
      <c r="Y301" s="1" t="n">
        <f aca="false">Y284+Y289+Y294</f>
        <v>192.954249866229</v>
      </c>
      <c r="Z301" s="1" t="n">
        <f aca="false">Z284+Z289+Z294</f>
        <v>195.515088220864</v>
      </c>
      <c r="AA301" s="1" t="n">
        <f aca="false">AA284+AA289+AA294</f>
        <v>198.019687744412</v>
      </c>
      <c r="AB301" s="1" t="n">
        <f aca="false">AB284+AB289+AB294</f>
        <v>200.467915502595</v>
      </c>
      <c r="AC301" s="1" t="n">
        <f aca="false">AC284+AC289+AC294</f>
        <v>202.859642462953</v>
      </c>
      <c r="AD301" s="1" t="n">
        <f aca="false">AD284+AD289+AD294</f>
        <v>205.194743202852</v>
      </c>
      <c r="AE301" s="1" t="n">
        <f aca="false">AE284+AE289+AE294</f>
        <v>207.473095628683</v>
      </c>
      <c r="AF301" s="1" t="n">
        <f aca="false">AF284+AF289+AF294</f>
        <v>209.69458070555</v>
      </c>
    </row>
    <row r="302" customFormat="false" ht="14.25" hidden="false" customHeight="true" outlineLevel="0" collapsed="false">
      <c r="B302" s="144" t="s">
        <v>1294</v>
      </c>
      <c r="C302" s="1" t="n">
        <f aca="false">C287+C292+C297</f>
        <v>0.376064493932986</v>
      </c>
      <c r="D302" s="1" t="n">
        <f aca="false">D287+D292+D297</f>
        <v>0.767689819672565</v>
      </c>
      <c r="E302" s="1" t="n">
        <f aca="false">E287+E292+E297</f>
        <v>1.16989489950855</v>
      </c>
      <c r="F302" s="1" t="n">
        <f aca="false">F287+F292+F297</f>
        <v>1.54835972928689</v>
      </c>
      <c r="G302" s="1" t="n">
        <f aca="false">G287+G292+G297</f>
        <v>1.97634000329938</v>
      </c>
      <c r="H302" s="1" t="n">
        <f aca="false">H287+H292+H297</f>
        <v>2.4142490088555</v>
      </c>
      <c r="I302" s="1" t="n">
        <f aca="false">I287+I292+I297</f>
        <v>2.86231538800247</v>
      </c>
      <c r="J302" s="1" t="n">
        <f aca="false">J287+J292+J297</f>
        <v>3.32077302749353</v>
      </c>
      <c r="K302" s="1" t="n">
        <f aca="false">K287+K292+K297</f>
        <v>3.78986118011919</v>
      </c>
      <c r="L302" s="1" t="n">
        <f aca="false">L287+L292+L297</f>
        <v>4.26982458879404</v>
      </c>
      <c r="M302" s="1" t="n">
        <f aca="false">M287+M292+M297</f>
        <v>4.78628386916905</v>
      </c>
      <c r="N302" s="1" t="n">
        <f aca="false">N287+N292+N297</f>
        <v>5.3074709915449</v>
      </c>
      <c r="O302" s="1" t="n">
        <f aca="false">O287+O292+O297</f>
        <v>5.8237232085533</v>
      </c>
      <c r="P302" s="1" t="n">
        <f aca="false">P287+P292+P297</f>
        <v>6.3523524229878</v>
      </c>
      <c r="Q302" s="1" t="n">
        <f aca="false">Q287+Q292+Q297</f>
        <v>6.89311694170162</v>
      </c>
      <c r="R302" s="1" t="n">
        <f aca="false">R287+R292+R297</f>
        <v>7.10222145095705</v>
      </c>
      <c r="S302" s="1" t="n">
        <f aca="false">S287+S292+S297</f>
        <v>7.26598315869662</v>
      </c>
      <c r="T302" s="1" t="n">
        <f aca="false">T287+T292+T297</f>
        <v>7.43356053610146</v>
      </c>
      <c r="U302" s="1" t="n">
        <f aca="false">U287+U292+U297</f>
        <v>7.60503885540938</v>
      </c>
      <c r="V302" s="1" t="n">
        <f aca="false">V287+V292+V297</f>
        <v>7.78050709021153</v>
      </c>
      <c r="W302" s="1" t="n">
        <f aca="false">W287+W292+W297</f>
        <v>7.90539352434053</v>
      </c>
      <c r="X302" s="1" t="n">
        <f aca="false">X287+X292+X297</f>
        <v>8.01794465468943</v>
      </c>
      <c r="Y302" s="1" t="n">
        <f aca="false">Y287+Y292+Y297</f>
        <v>8.12813743190101</v>
      </c>
      <c r="Z302" s="1" t="n">
        <f aca="false">Z287+Z292+Z297</f>
        <v>8.23596654339605</v>
      </c>
      <c r="AA302" s="1" t="n">
        <f aca="false">AA287+AA292+AA297</f>
        <v>8.34142686699939</v>
      </c>
      <c r="AB302" s="1" t="n">
        <f aca="false">AB287+AB292+AB297</f>
        <v>8.44451280160059</v>
      </c>
      <c r="AC302" s="1" t="n">
        <f aca="false">AC287+AC292+AC297</f>
        <v>8.54521891035835</v>
      </c>
      <c r="AD302" s="1" t="n">
        <f aca="false">AD287+AD292+AD297</f>
        <v>8.64353990839984</v>
      </c>
      <c r="AE302" s="1" t="n">
        <f aca="false">AE287+AE292+AE297</f>
        <v>8.73947065099071</v>
      </c>
      <c r="AF302" s="1" t="n">
        <f aca="false">AF287+AF292+AF297</f>
        <v>8.83300612214724</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272.736559837801</v>
      </c>
      <c r="G307" s="116" t="n">
        <f aca="false">G81</f>
        <v>285.289088136615</v>
      </c>
      <c r="H307" s="116" t="n">
        <f aca="false">H81</f>
        <v>297.85410785043</v>
      </c>
      <c r="I307" s="116" t="n">
        <f aca="false">I81</f>
        <v>310.430994408494</v>
      </c>
      <c r="J307" s="116" t="n">
        <f aca="false">J81</f>
        <v>323.019154468596</v>
      </c>
      <c r="K307" s="116" t="n">
        <f aca="false">K81</f>
        <v>335.618024355634</v>
      </c>
      <c r="L307" s="116" t="n">
        <f aca="false">L81</f>
        <v>348.22706857826</v>
      </c>
      <c r="M307" s="116" t="n">
        <f aca="false">M81</f>
        <v>359.047046157698</v>
      </c>
      <c r="N307" s="116" t="n">
        <f aca="false">N81</f>
        <v>368.833459760991</v>
      </c>
      <c r="O307" s="116" t="n">
        <f aca="false">O81</f>
        <v>377.96119897041</v>
      </c>
      <c r="P307" s="116" t="n">
        <f aca="false">P81</f>
        <v>384.688259139355</v>
      </c>
      <c r="Q307" s="116" t="n">
        <f aca="false">Q81</f>
        <v>391.690237036766</v>
      </c>
      <c r="R307" s="116" t="n">
        <f aca="false">R81</f>
        <v>398.874439476599</v>
      </c>
      <c r="S307" s="116" t="n">
        <f aca="false">S81</f>
        <v>405.918256551851</v>
      </c>
      <c r="T307" s="116" t="n">
        <f aca="false">T81</f>
        <v>412.86908589575</v>
      </c>
      <c r="U307" s="116" t="n">
        <f aca="false">U81</f>
        <v>419.737697555757</v>
      </c>
      <c r="V307" s="116" t="n">
        <f aca="false">V81</f>
        <v>426.526081576245</v>
      </c>
      <c r="W307" s="116" t="n">
        <f aca="false">W81</f>
        <v>433.101937932428</v>
      </c>
      <c r="X307" s="116" t="n">
        <f aca="false">X81</f>
        <v>439.505184788802</v>
      </c>
      <c r="Y307" s="116" t="n">
        <f aca="false">Y81</f>
        <v>445.784616883719</v>
      </c>
      <c r="Z307" s="116" t="n">
        <f aca="false">Z81</f>
        <v>451.936509292554</v>
      </c>
      <c r="AA307" s="116" t="n">
        <f aca="false">AA81</f>
        <v>457.957148016695</v>
      </c>
      <c r="AB307" s="116" t="n">
        <f aca="false">AB81</f>
        <v>463.846232658292</v>
      </c>
      <c r="AC307" s="116" t="n">
        <f aca="false">AC81</f>
        <v>469.603472319297</v>
      </c>
      <c r="AD307" s="116" t="n">
        <f aca="false">AD81</f>
        <v>475.228584931617</v>
      </c>
      <c r="AE307" s="116" t="n">
        <f aca="false">AE81</f>
        <v>480.721296613876</v>
      </c>
      <c r="AF307" s="116" t="n">
        <f aca="false">AF81</f>
        <v>486.081341053221</v>
      </c>
    </row>
    <row r="308" customFormat="false" ht="14.25" hidden="false" customHeight="true" outlineLevel="0" collapsed="false">
      <c r="B308" s="84" t="s">
        <v>1300</v>
      </c>
      <c r="C308" s="1" t="n">
        <f aca="false">C301</f>
        <v>9.2625</v>
      </c>
      <c r="D308" s="1" t="n">
        <f aca="false">D301</f>
        <v>18.7380375</v>
      </c>
      <c r="E308" s="1" t="n">
        <f aca="false">E301</f>
        <v>28.4315123625</v>
      </c>
      <c r="F308" s="1" t="n">
        <f aca="false">F301</f>
        <v>38.3479371468375</v>
      </c>
      <c r="G308" s="1" t="n">
        <f aca="false">G301</f>
        <v>48.4924397012148</v>
      </c>
      <c r="H308" s="1" t="n">
        <f aca="false">H301</f>
        <v>58.8702658143427</v>
      </c>
      <c r="I308" s="1" t="n">
        <f aca="false">I301</f>
        <v>69.4867819280726</v>
      </c>
      <c r="J308" s="1" t="n">
        <f aca="false">J301</f>
        <v>80.3474779124182</v>
      </c>
      <c r="K308" s="1" t="n">
        <f aca="false">K301</f>
        <v>91.4579699044039</v>
      </c>
      <c r="L308" s="1" t="n">
        <f aca="false">L301</f>
        <v>102.824003212205</v>
      </c>
      <c r="M308" s="1" t="n">
        <f aca="false">M301</f>
        <v>114.451455286086</v>
      </c>
      <c r="N308" s="1" t="n">
        <f aca="false">N301</f>
        <v>126.346338757666</v>
      </c>
      <c r="O308" s="1" t="n">
        <f aca="false">O301</f>
        <v>138.514804549092</v>
      </c>
      <c r="P308" s="1" t="n">
        <f aca="false">P301</f>
        <v>150.963145053721</v>
      </c>
      <c r="Q308" s="1" t="n">
        <f aca="false">Q301</f>
        <v>163.697797389957</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187.66440974576</v>
      </c>
      <c r="X308" s="1" t="n">
        <f aca="false">X301</f>
        <v>190.337309820471</v>
      </c>
      <c r="Y308" s="1" t="n">
        <f aca="false">Y301</f>
        <v>192.954249866229</v>
      </c>
      <c r="Z308" s="1" t="n">
        <f aca="false">Z301</f>
        <v>195.515088220864</v>
      </c>
      <c r="AA308" s="1" t="n">
        <f aca="false">AA301</f>
        <v>198.019687744412</v>
      </c>
      <c r="AB308" s="1" t="n">
        <f aca="false">AB301</f>
        <v>200.467915502595</v>
      </c>
      <c r="AC308" s="1" t="n">
        <f aca="false">AC301</f>
        <v>202.859642462953</v>
      </c>
      <c r="AD308" s="1" t="n">
        <f aca="false">AD301</f>
        <v>205.194743202852</v>
      </c>
      <c r="AE308" s="1" t="n">
        <f aca="false">AE301</f>
        <v>207.473095628683</v>
      </c>
      <c r="AF308" s="1" t="n">
        <f aca="false">AF301</f>
        <v>209.69458070555</v>
      </c>
    </row>
    <row r="309" customFormat="false" ht="14.25" hidden="false" customHeight="true" outlineLevel="0" collapsed="false">
      <c r="B309" s="84" t="s">
        <v>1301</v>
      </c>
      <c r="C309" s="1" t="n">
        <f aca="false">C307-C308</f>
        <v>49.8818938619143</v>
      </c>
      <c r="D309" s="1" t="n">
        <f aca="false">D307-D308</f>
        <v>78.5007326116566</v>
      </c>
      <c r="E309" s="1" t="n">
        <f aca="false">E307-E308</f>
        <v>102.679323445134</v>
      </c>
      <c r="F309" s="1" t="n">
        <f aca="false">F307-F308</f>
        <v>234.388622690963</v>
      </c>
      <c r="G309" s="1" t="n">
        <f aca="false">G307-G308</f>
        <v>236.7966484354</v>
      </c>
      <c r="H309" s="1" t="n">
        <f aca="false">H307-H308</f>
        <v>238.983842036087</v>
      </c>
      <c r="I309" s="1" t="n">
        <f aca="false">I307-I308</f>
        <v>240.944212480422</v>
      </c>
      <c r="J309" s="1" t="n">
        <f aca="false">J307-J308</f>
        <v>242.671676556178</v>
      </c>
      <c r="K309" s="1" t="n">
        <f aca="false">K307-K308</f>
        <v>244.16005445123</v>
      </c>
      <c r="L309" s="1" t="n">
        <f aca="false">L307-L308</f>
        <v>245.403065366055</v>
      </c>
      <c r="M309" s="1" t="n">
        <f aca="false">M307-M308</f>
        <v>244.595590871613</v>
      </c>
      <c r="N309" s="1" t="n">
        <f aca="false">N307-N308</f>
        <v>242.487121003325</v>
      </c>
      <c r="O309" s="1" t="n">
        <f aca="false">O307-O308</f>
        <v>239.446394421318</v>
      </c>
      <c r="P309" s="1" t="n">
        <f aca="false">P307-P308</f>
        <v>233.725114085634</v>
      </c>
      <c r="Q309" s="1" t="n">
        <f aca="false">Q307-Q308</f>
        <v>227.99243964681</v>
      </c>
      <c r="R309" s="1" t="n">
        <f aca="false">R307-R308</f>
        <v>230.232097471286</v>
      </c>
      <c r="S309" s="1" t="n">
        <f aca="false">S307-S308</f>
        <v>233.397140680416</v>
      </c>
      <c r="T309" s="1" t="n">
        <f aca="false">T307-T308</f>
        <v>236.379984359272</v>
      </c>
      <c r="U309" s="1" t="n">
        <f aca="false">U307-U308</f>
        <v>239.18934668394</v>
      </c>
      <c r="V309" s="1" t="n">
        <f aca="false">V307-V308</f>
        <v>241.825118634376</v>
      </c>
      <c r="W309" s="1" t="n">
        <f aca="false">W307-W308</f>
        <v>245.437528186668</v>
      </c>
      <c r="X309" s="1" t="n">
        <f aca="false">X307-X308</f>
        <v>249.167874968331</v>
      </c>
      <c r="Y309" s="1" t="n">
        <f aca="false">Y307-Y308</f>
        <v>252.83036701749</v>
      </c>
      <c r="Z309" s="1" t="n">
        <f aca="false">Z307-Z308</f>
        <v>256.421421071689</v>
      </c>
      <c r="AA309" s="1" t="n">
        <f aca="false">AA307-AA308</f>
        <v>259.937460272283</v>
      </c>
      <c r="AB309" s="1" t="n">
        <f aca="false">AB307-AB308</f>
        <v>263.378317155697</v>
      </c>
      <c r="AC309" s="1" t="n">
        <f aca="false">AC307-AC308</f>
        <v>266.743829856344</v>
      </c>
      <c r="AD309" s="1" t="n">
        <f aca="false">AD307-AD308</f>
        <v>270.033841728765</v>
      </c>
      <c r="AE309" s="1" t="n">
        <f aca="false">AE307-AE308</f>
        <v>273.248200985193</v>
      </c>
      <c r="AF309" s="1" t="n">
        <f aca="false">AF307-AF308</f>
        <v>276.386760347671</v>
      </c>
    </row>
    <row r="310" customFormat="false" ht="14.25" hidden="false" customHeight="true" outlineLevel="0" collapsed="false">
      <c r="B310" s="84" t="s">
        <v>1302</v>
      </c>
      <c r="C310" s="1" t="n">
        <f aca="false">IF(C307&gt;0,100*C308/C307,0)</f>
        <v>15.6608249661419</v>
      </c>
      <c r="D310" s="1" t="n">
        <f aca="false">IF(D307&gt;0,100*D308/D307,0)</f>
        <v>19.2701300916122</v>
      </c>
      <c r="E310" s="1" t="n">
        <f aca="false">IF(E307&gt;0,100*E308/E307,0)</f>
        <v>21.6850973356731</v>
      </c>
      <c r="F310" s="1" t="n">
        <f aca="false">IF(F307&gt;0,100*F308/F307,0)</f>
        <v>14.0604314909755</v>
      </c>
      <c r="G310" s="1" t="n">
        <f aca="false">IF(G307&gt;0,100*G308/G307,0)</f>
        <v>16.9976496535309</v>
      </c>
      <c r="H310" s="1" t="n">
        <f aca="false">IF(H307&gt;0,100*H308/H307,0)</f>
        <v>19.7647990283568</v>
      </c>
      <c r="I310" s="1" t="n">
        <f aca="false">IF(I307&gt;0,100*I308/I307,0)</f>
        <v>22.383970408778</v>
      </c>
      <c r="J310" s="1" t="n">
        <f aca="false">IF(J307&gt;0,100*J308/J307,0)</f>
        <v>24.8739050922844</v>
      </c>
      <c r="K310" s="1" t="n">
        <f aca="false">IF(K307&gt;0,100*K308/K307,0)</f>
        <v>27.2506132768041</v>
      </c>
      <c r="L310" s="1" t="n">
        <f aca="false">IF(L307&gt;0,100*L308/L307,0)</f>
        <v>29.5278605514541</v>
      </c>
      <c r="M310" s="1" t="n">
        <f aca="false">IF(M307&gt;0,100*M308/M307,0)</f>
        <v>31.8764508748576</v>
      </c>
      <c r="N310" s="1" t="n">
        <f aca="false">IF(N307&gt;0,100*N308/N307,0)</f>
        <v>34.255660763408</v>
      </c>
      <c r="O310" s="1" t="n">
        <f aca="false">IF(O307&gt;0,100*O308/O307,0)</f>
        <v>36.6478900285043</v>
      </c>
      <c r="P310" s="1" t="n">
        <f aca="false">IF(P307&gt;0,100*P308/P307,0)</f>
        <v>39.2429821984856</v>
      </c>
      <c r="Q310" s="1" t="n">
        <f aca="false">IF(Q307&gt;0,100*Q308/Q307,0)</f>
        <v>41.7926672434757</v>
      </c>
      <c r="R310" s="1" t="n">
        <f aca="false">IF(R307&gt;0,100*R308/R307,0)</f>
        <v>42.2795559992775</v>
      </c>
      <c r="S310" s="1" t="n">
        <f aca="false">IF(S307&gt;0,100*S308/S307,0)</f>
        <v>42.5014428611681</v>
      </c>
      <c r="T310" s="1" t="n">
        <f aca="false">IF(T307&gt;0,100*T308/T307,0)</f>
        <v>42.7469887103734</v>
      </c>
      <c r="U310" s="1" t="n">
        <f aca="false">IF(U307&gt;0,100*U308/U307,0)</f>
        <v>43.014566459767</v>
      </c>
      <c r="V310" s="1" t="n">
        <f aca="false">IF(V307&gt;0,100*V308/V307,0)</f>
        <v>43.3035565514068</v>
      </c>
      <c r="W310" s="1" t="n">
        <f aca="false">IF(W307&gt;0,100*W308/W307,0)</f>
        <v>43.3303094051357</v>
      </c>
      <c r="X310" s="1" t="n">
        <f aca="false">IF(X307&gt;0,100*X308/X307,0)</f>
        <v>43.3071818963717</v>
      </c>
      <c r="Y310" s="1" t="n">
        <f aca="false">IF(Y307&gt;0,100*Y308/Y307,0)</f>
        <v>43.2841876005246</v>
      </c>
      <c r="Z310" s="1" t="n">
        <f aca="false">IF(Z307&gt;0,100*Z308/Z307,0)</f>
        <v>43.2616272863011</v>
      </c>
      <c r="AA310" s="1" t="n">
        <f aca="false">IF(AA307&gt;0,100*AA308/AA307,0)</f>
        <v>43.2397853384293</v>
      </c>
      <c r="AB310" s="1" t="n">
        <f aca="false">IF(AB307&gt;0,100*AB308/AB307,0)</f>
        <v>43.218614572704</v>
      </c>
      <c r="AC310" s="1" t="n">
        <f aca="false">IF(AC307&gt;0,100*AC308/AC307,0)</f>
        <v>43.1980712282772</v>
      </c>
      <c r="AD310" s="1" t="n">
        <f aca="false">IF(AD307&gt;0,100*AD308/AD307,0)</f>
        <v>43.1781146397956</v>
      </c>
      <c r="AE310" s="1" t="n">
        <f aca="false">IF(AE307&gt;0,100*AE308/AE307,0)</f>
        <v>43.1587069451864</v>
      </c>
      <c r="AF310" s="1" t="n">
        <f aca="false">IF(AF307&gt;0,100*AF308/AF307,0)</f>
        <v>43.1398128245762</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12.0384856508805</v>
      </c>
      <c r="G313" s="116" t="n">
        <f aca="false">G111</f>
        <v>11.9686104803045</v>
      </c>
      <c r="H313" s="116" t="n">
        <f aca="false">H111</f>
        <v>11.9220198581063</v>
      </c>
      <c r="I313" s="116" t="n">
        <f aca="false">I111</f>
        <v>11.8972211454721</v>
      </c>
      <c r="J313" s="116" t="n">
        <f aca="false">J111</f>
        <v>11.8928175157698</v>
      </c>
      <c r="K313" s="116" t="n">
        <f aca="false">K111</f>
        <v>11.9075017979621</v>
      </c>
      <c r="L313" s="116" t="n">
        <f aca="false">L111</f>
        <v>11.9400507159457</v>
      </c>
      <c r="M313" s="116" t="n">
        <f aca="false">M111</f>
        <v>12.0815481177673</v>
      </c>
      <c r="N313" s="116" t="n">
        <f aca="false">N111</f>
        <v>12.2891228407001</v>
      </c>
      <c r="O313" s="116" t="n">
        <f aca="false">O111</f>
        <v>12.550086887955</v>
      </c>
      <c r="P313" s="116" t="n">
        <f aca="false">P111</f>
        <v>13.0189356222772</v>
      </c>
      <c r="Q313" s="116" t="n">
        <f aca="false">Q111</f>
        <v>13.47639191512</v>
      </c>
      <c r="R313" s="116" t="n">
        <f aca="false">R111</f>
        <v>13.9181912001576</v>
      </c>
      <c r="S313" s="116" t="n">
        <f aca="false">S111</f>
        <v>14.3450258769335</v>
      </c>
      <c r="T313" s="116" t="n">
        <f aca="false">T111</f>
        <v>14.7575434190715</v>
      </c>
      <c r="U313" s="116" t="n">
        <f aca="false">U111</f>
        <v>15.1563492852328</v>
      </c>
      <c r="V313" s="116" t="n">
        <f aca="false">V111</f>
        <v>15.5420096416593</v>
      </c>
      <c r="W313" s="116" t="n">
        <f aca="false">W111</f>
        <v>15.9150539084887</v>
      </c>
      <c r="X313" s="116" t="n">
        <f aca="false">X111</f>
        <v>16.2759771412383</v>
      </c>
      <c r="Y313" s="116" t="n">
        <f aca="false">Y111</f>
        <v>16.6252422581189</v>
      </c>
      <c r="Z313" s="116" t="n">
        <f aca="false">Z111</f>
        <v>16.9632821231507</v>
      </c>
      <c r="AA313" s="116" t="n">
        <f aca="false">AA111</f>
        <v>17.2905014944087</v>
      </c>
      <c r="AB313" s="116" t="n">
        <f aca="false">AB111</f>
        <v>17.6072788461221</v>
      </c>
      <c r="AC313" s="116" t="n">
        <f aca="false">AC111</f>
        <v>17.913968072787</v>
      </c>
      <c r="AD313" s="116" t="n">
        <f aca="false">AD111</f>
        <v>18.2109000829274</v>
      </c>
      <c r="AE313" s="116" t="n">
        <f aca="false">AE111</f>
        <v>18.4983842896424</v>
      </c>
      <c r="AF313" s="116" t="n">
        <f aca="false">AF111</f>
        <v>18.7767100046175</v>
      </c>
    </row>
    <row r="314" customFormat="false" ht="14.25" hidden="false" customHeight="true" outlineLevel="0" collapsed="false">
      <c r="B314" s="84" t="s">
        <v>1306</v>
      </c>
      <c r="C314" s="1" t="n">
        <f aca="false">C302</f>
        <v>0.376064493932986</v>
      </c>
      <c r="D314" s="1" t="n">
        <f aca="false">D302</f>
        <v>0.767689819672565</v>
      </c>
      <c r="E314" s="1" t="n">
        <f aca="false">E302</f>
        <v>1.16989489950855</v>
      </c>
      <c r="F314" s="1" t="n">
        <f aca="false">F302</f>
        <v>1.54835972928689</v>
      </c>
      <c r="G314" s="1" t="n">
        <f aca="false">G302</f>
        <v>1.97634000329938</v>
      </c>
      <c r="H314" s="1" t="n">
        <f aca="false">H302</f>
        <v>2.4142490088555</v>
      </c>
      <c r="I314" s="1" t="n">
        <f aca="false">I302</f>
        <v>2.86231538800247</v>
      </c>
      <c r="J314" s="1" t="n">
        <f aca="false">J302</f>
        <v>3.32077302749353</v>
      </c>
      <c r="K314" s="1" t="n">
        <f aca="false">K302</f>
        <v>3.78986118011919</v>
      </c>
      <c r="L314" s="1" t="n">
        <f aca="false">L302</f>
        <v>4.26982458879404</v>
      </c>
      <c r="M314" s="1" t="n">
        <f aca="false">M302</f>
        <v>4.78628386916905</v>
      </c>
      <c r="N314" s="1" t="n">
        <f aca="false">N302</f>
        <v>5.3074709915449</v>
      </c>
      <c r="O314" s="1" t="n">
        <f aca="false">O302</f>
        <v>5.8237232085533</v>
      </c>
      <c r="P314" s="1" t="n">
        <f aca="false">P302</f>
        <v>6.3523524229878</v>
      </c>
      <c r="Q314" s="1" t="n">
        <f aca="false">Q302</f>
        <v>6.89311694170162</v>
      </c>
      <c r="R314" s="1" t="n">
        <f aca="false">R302</f>
        <v>7.10222145095705</v>
      </c>
      <c r="S314" s="1" t="n">
        <f aca="false">S302</f>
        <v>7.26598315869662</v>
      </c>
      <c r="T314" s="1" t="n">
        <f aca="false">T302</f>
        <v>7.43356053610146</v>
      </c>
      <c r="U314" s="1" t="n">
        <f aca="false">U302</f>
        <v>7.60503885540938</v>
      </c>
      <c r="V314" s="1" t="n">
        <f aca="false">V302</f>
        <v>7.78050709021153</v>
      </c>
      <c r="W314" s="1" t="n">
        <f aca="false">W302</f>
        <v>7.90539352434053</v>
      </c>
      <c r="X314" s="1" t="n">
        <f aca="false">X302</f>
        <v>8.01794465468943</v>
      </c>
      <c r="Y314" s="1" t="n">
        <f aca="false">Y302</f>
        <v>8.12813743190101</v>
      </c>
      <c r="Z314" s="1" t="n">
        <f aca="false">Z302</f>
        <v>8.23596654339605</v>
      </c>
      <c r="AA314" s="1" t="n">
        <f aca="false">AA302</f>
        <v>8.34142686699939</v>
      </c>
      <c r="AB314" s="1" t="n">
        <f aca="false">AB302</f>
        <v>8.44451280160059</v>
      </c>
      <c r="AC314" s="1" t="n">
        <f aca="false">AC302</f>
        <v>8.54521891035835</v>
      </c>
      <c r="AD314" s="1" t="n">
        <f aca="false">AD302</f>
        <v>8.64353990839984</v>
      </c>
      <c r="AE314" s="1" t="n">
        <f aca="false">AE302</f>
        <v>8.73947065099071</v>
      </c>
      <c r="AF314" s="1" t="n">
        <f aca="false">AF302</f>
        <v>8.83300612214724</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52.2444175987078</v>
      </c>
      <c r="D316" s="1" t="n">
        <f aca="false">IF(D313&gt;0,100*(D314+D315)/D313,0)</f>
        <v>42.6300405640515</v>
      </c>
      <c r="E316" s="1" t="n">
        <f aca="false">IF(E313&gt;0,100*(E314+E315)/E313,0)</f>
        <v>40.3961029298429</v>
      </c>
      <c r="F316" s="1" t="n">
        <f aca="false">IF(F313&gt;0,100*(F314+F315)/F313,0)</f>
        <v>22.4333257218225</v>
      </c>
      <c r="G316" s="1" t="n">
        <f aca="false">IF(G313&gt;0,100*(G314+G315)/G313,0)</f>
        <v>26.3808384562599</v>
      </c>
      <c r="H316" s="1" t="n">
        <f aca="false">IF(H313&gt;0,100*(H314+H315)/H313,0)</f>
        <v>30.4047119514212</v>
      </c>
      <c r="I316" s="1" t="n">
        <f aca="false">IF(I313&gt;0,100*(I314+I315)/I313,0)</f>
        <v>34.4886196139328</v>
      </c>
      <c r="J316" s="1" t="n">
        <f aca="false">IF(J313&gt;0,100*(J314+J315)/J313,0)</f>
        <v>38.6171466755349</v>
      </c>
      <c r="K316" s="1" t="n">
        <f aca="false">IF(K313&gt;0,100*(K314+K315)/K313,0)</f>
        <v>42.7759942167427</v>
      </c>
      <c r="L316" s="1" t="n">
        <f aca="false">IF(L313&gt;0,100*(L314+L315)/L313,0)</f>
        <v>46.9521285964989</v>
      </c>
      <c r="M316" s="1" t="n">
        <f aca="false">IF(M313&gt;0,100*(M314+M315)/M313,0)</f>
        <v>50.9535224414336</v>
      </c>
      <c r="N316" s="1" t="n">
        <f aca="false">IF(N313&gt;0,100*(N314+N315)/N313,0)</f>
        <v>54.6125529249727</v>
      </c>
      <c r="O316" s="1" t="n">
        <f aca="false">IF(O313&gt;0,100*(O314+O315)/O313,0)</f>
        <v>57.8701511418802</v>
      </c>
      <c r="P316" s="1" t="n">
        <f aca="false">IF(P313&gt;0,100*(P314+P315)/P313,0)</f>
        <v>60.1228815325443</v>
      </c>
      <c r="Q316" s="1" t="n">
        <f aca="false">IF(Q313&gt;0,100*(Q314+Q315)/Q313,0)</f>
        <v>62.3683177447035</v>
      </c>
      <c r="R316" s="1" t="n">
        <f aca="false">IF(R313&gt;0,100*(R314+R315)/R313,0)</f>
        <v>62.162535093009</v>
      </c>
      <c r="S316" s="1" t="n">
        <f aca="false">IF(S313&gt;0,100*(S314+S315)/S313,0)</f>
        <v>61.7245604766815</v>
      </c>
      <c r="T316" s="1" t="n">
        <f aca="false">IF(T313&gt;0,100*(T314+T315)/T313,0)</f>
        <v>61.4037974901046</v>
      </c>
      <c r="U316" s="1" t="n">
        <f aca="false">IF(U313&gt;0,100*(U314+U315)/U313,0)</f>
        <v>61.1880440917993</v>
      </c>
      <c r="V316" s="1" t="n">
        <f aca="false">IF(V313&gt;0,100*(V314+V315)/V313,0)</f>
        <v>61.0671528823146</v>
      </c>
      <c r="W316" s="1" t="n">
        <f aca="false">IF(W313&gt;0,100*(W314+W315)/W313,0)</f>
        <v>60.6891636747742</v>
      </c>
      <c r="X316" s="1" t="n">
        <f aca="false">IF(X313&gt;0,100*(X314+X315)/X313,0)</f>
        <v>60.3041964878993</v>
      </c>
      <c r="Y316" s="1" t="n">
        <f aca="false">IF(Y313&gt;0,100*(Y314+Y315)/Y313,0)</f>
        <v>59.970367183328</v>
      </c>
      <c r="Z316" s="1" t="n">
        <f aca="false">IF(Z313&gt;0,100*(Z314+Z315)/Z313,0)</f>
        <v>59.6824358646675</v>
      </c>
      <c r="AA316" s="1" t="n">
        <f aca="false">IF(AA313&gt;0,100*(AA314+AA315)/AA313,0)</f>
        <v>59.4358910664099</v>
      </c>
      <c r="AB316" s="1" t="n">
        <f aca="false">IF(AB313&gt;0,100*(AB314+AB315)/AB313,0)</f>
        <v>59.2268293013492</v>
      </c>
      <c r="AC316" s="1" t="n">
        <f aca="false">IF(AC313&gt;0,100*(AC314+AC315)/AC313,0)</f>
        <v>59.051864205692</v>
      </c>
      <c r="AD316" s="1" t="n">
        <f aca="false">IF(AD313&gt;0,100*(AD314+AD315)/AD313,0)</f>
        <v>58.9080489109797</v>
      </c>
      <c r="AE316" s="1" t="n">
        <f aca="false">IF(AE313&gt;0,100*(AE314+AE315)/AE313,0)</f>
        <v>58.792812122248</v>
      </c>
      <c r="AF316" s="1" t="n">
        <f aca="false">IF(AF313&gt;0,100*(AF314+AF315)/AF313,0)</f>
        <v>58.7039051636766</v>
      </c>
    </row>
    <row r="317" customFormat="false" ht="14.25" hidden="false" customHeight="true" outlineLevel="0" collapsed="false">
      <c r="B317" s="1" t="s">
        <v>1309</v>
      </c>
      <c r="C317" s="1" t="n">
        <f aca="false">$C$329*C291</f>
        <v>0.837200124807176</v>
      </c>
      <c r="D317" s="1" t="n">
        <f aca="false">$C$329*D291</f>
        <v>2.07043306797185</v>
      </c>
      <c r="E317" s="1" t="n">
        <f aca="false">$C$329*E291</f>
        <v>2.74504684310502</v>
      </c>
      <c r="F317" s="1" t="n">
        <f aca="false">$C$329*F291</f>
        <v>0</v>
      </c>
      <c r="G317" s="1" t="n">
        <f aca="false">$C$329*G291</f>
        <v>3.79206534658395</v>
      </c>
      <c r="H317" s="1" t="n">
        <f aca="false">$C$329*H291</f>
        <v>4.57644575196741</v>
      </c>
      <c r="I317" s="1" t="n">
        <f aca="false">$C$329*I291</f>
        <v>5.38157504055682</v>
      </c>
      <c r="J317" s="1" t="n">
        <f aca="false">$C$329*J291</f>
        <v>6.20793712179145</v>
      </c>
      <c r="K317" s="1" t="n">
        <f aca="false">$C$329*K291</f>
        <v>7.05602670077133</v>
      </c>
      <c r="L317" s="1" t="n">
        <f aca="false">$C$329*L291</f>
        <v>7.92634954327039</v>
      </c>
      <c r="M317" s="1" t="n">
        <f aca="false">$C$329*M291</f>
        <v>12.6364780790579</v>
      </c>
      <c r="N317" s="1" t="n">
        <f aca="false">$C$329*N291</f>
        <v>13.3456751712995</v>
      </c>
      <c r="O317" s="1" t="n">
        <f aca="false">$C$329*O291</f>
        <v>12.3772471114833</v>
      </c>
      <c r="P317" s="1" t="n">
        <f aca="false">$C$329*P291</f>
        <v>13.478695645236</v>
      </c>
      <c r="Q317" s="1" t="n">
        <f aca="false">$C$329*Q291</f>
        <v>14.5420311780449</v>
      </c>
      <c r="R317" s="1" t="n">
        <f aca="false">$C$329*R291</f>
        <v>12.506541388793</v>
      </c>
      <c r="S317" s="1" t="n">
        <f aca="false">$C$329*S291</f>
        <v>12.4528526738094</v>
      </c>
      <c r="T317" s="1" t="n">
        <f aca="false">$C$329*T291</f>
        <v>12.7595130951427</v>
      </c>
      <c r="U317" s="1" t="n">
        <f aca="false">$C$329*U291</f>
        <v>13.0743904849749</v>
      </c>
      <c r="V317" s="1" t="n">
        <f aca="false">$C$329*V291</f>
        <v>13.3978577716202</v>
      </c>
      <c r="W317" s="1" t="n">
        <f aca="false">$C$329*W291</f>
        <v>13.2372437186454</v>
      </c>
      <c r="X317" s="1" t="n">
        <f aca="false">$C$329*X291</f>
        <v>13.3285792415975</v>
      </c>
      <c r="Y317" s="1" t="n">
        <f aca="false">$C$329*Y291</f>
        <v>13.4868800501219</v>
      </c>
      <c r="Z317" s="1" t="n">
        <f aca="false">$C$329*Z291</f>
        <v>13.6414802774682</v>
      </c>
      <c r="AA317" s="1" t="n">
        <f aca="false">$C$329*AA291</f>
        <v>13.7923924306957</v>
      </c>
      <c r="AB317" s="1" t="n">
        <f aca="false">$C$329*AB291</f>
        <v>13.9395305147118</v>
      </c>
      <c r="AC317" s="1" t="n">
        <f aca="false">$C$329*AC291</f>
        <v>14.082886883263</v>
      </c>
      <c r="AD317" s="1" t="n">
        <f aca="false">$C$329*AD291</f>
        <v>14.2224540531276</v>
      </c>
      <c r="AE317" s="1" t="n">
        <f aca="false">$C$329*AE291</f>
        <v>14.358224688223</v>
      </c>
      <c r="AF317" s="1" t="n">
        <f aca="false">$C$329*AF291</f>
        <v>14.4901915842354</v>
      </c>
    </row>
    <row r="318" customFormat="false" ht="14.25" hidden="false" customHeight="true" outlineLevel="0" collapsed="false">
      <c r="B318" s="146" t="s">
        <v>1310</v>
      </c>
      <c r="C318" s="1" t="n">
        <f aca="false">$C$329*(C290+(1-$C$279)*C332)</f>
        <v>0</v>
      </c>
      <c r="D318" s="1" t="n">
        <f aca="false">$C$329*(D290+(1-$C$279)*D332)</f>
        <v>0.168695825148646</v>
      </c>
      <c r="E318" s="1" t="n">
        <f aca="false">$C$329*(E290+(1-$C$279)*E332)</f>
        <v>0.550799356714055</v>
      </c>
      <c r="F318" s="1" t="n">
        <f aca="false">$C$329*(F290+(1-$C$279)*F332)</f>
        <v>2.70516783873106</v>
      </c>
      <c r="G318" s="1" t="n">
        <f aca="false">$C$329*(G290+(1-$C$279)*G332)</f>
        <v>0.437837869707764</v>
      </c>
      <c r="H318" s="1" t="n">
        <f aca="false">$C$329*(H290+(1-$C$279)*H332)</f>
        <v>1.11086876014522</v>
      </c>
      <c r="I318" s="1" t="n">
        <f aca="false">$C$329*(I290+(1-$C$279)*I332)</f>
        <v>1.80196187705644</v>
      </c>
      <c r="J318" s="1" t="n">
        <f aca="false">$C$329*(J290+(1-$C$279)*J332)</f>
        <v>2.5115411773009</v>
      </c>
      <c r="K318" s="1" t="n">
        <f aca="false">$C$329*(K290+(1-$C$279)*K332)</f>
        <v>3.24003994246329</v>
      </c>
      <c r="L318" s="1" t="n">
        <f aca="false">$C$329*(L290+(1-$C$279)*L332)</f>
        <v>3.98790101463635</v>
      </c>
      <c r="M318" s="1" t="n">
        <f aca="false">$C$329*(M290+(1-$C$279)*M332)</f>
        <v>4.75557703656097</v>
      </c>
      <c r="N318" s="1" t="n">
        <f aca="false">$C$329*(N290+(1-$C$279)*N332)</f>
        <v>6.31266734588646</v>
      </c>
      <c r="O318" s="1" t="n">
        <f aca="false">$C$329*(O290+(1-$C$279)*O332)</f>
        <v>7.68878608495892</v>
      </c>
      <c r="P318" s="1" t="n">
        <f aca="false">$C$329*(P290+(1-$C$279)*P332)</f>
        <v>8.58353387225134</v>
      </c>
      <c r="Q318" s="1" t="n">
        <f aca="false">$C$329*(Q290+(1-$C$279)*Q332)</f>
        <v>9.51411599933811</v>
      </c>
      <c r="R318" s="1" t="n">
        <f aca="false">$C$329*(R290+(1-$C$279)*R332)</f>
        <v>10.4653991538518</v>
      </c>
      <c r="S318" s="1" t="n">
        <f aca="false">$C$329*(S290+(1-$C$279)*S332)</f>
        <v>10.8086642196924</v>
      </c>
      <c r="T318" s="1" t="n">
        <f aca="false">$C$329*(T290+(1-$C$279)*T332)</f>
        <v>11.069711875769</v>
      </c>
      <c r="U318" s="1" t="n">
        <f aca="false">$C$329*(U290+(1-$C$279)*U332)</f>
        <v>11.3382536942803</v>
      </c>
      <c r="V318" s="1" t="n">
        <f aca="false">$C$329*(V290+(1-$C$279)*V332)</f>
        <v>11.6143866085924</v>
      </c>
      <c r="W318" s="1" t="n">
        <f aca="false">$C$329*(W290+(1-$C$279)*W332)</f>
        <v>11.8982625349867</v>
      </c>
      <c r="X318" s="1" t="n">
        <f aca="false">$C$329*(X290+(1-$C$279)*X332)</f>
        <v>12.0907285370165</v>
      </c>
      <c r="Y318" s="1" t="n">
        <f aca="false">$C$329*(Y290+(1-$C$279)*Y332)</f>
        <v>12.261565718499</v>
      </c>
      <c r="Z318" s="1" t="n">
        <f aca="false">$C$329*(Z290+(1-$C$279)*Z332)</f>
        <v>12.4287663791507</v>
      </c>
      <c r="AA318" s="1" t="n">
        <f aca="false">$C$329*(AA290+(1-$C$279)*AA332)</f>
        <v>12.5923412481972</v>
      </c>
      <c r="AB318" s="1" t="n">
        <f aca="false">$C$329*(AB290+(1-$C$279)*AB332)</f>
        <v>12.7523013433574</v>
      </c>
      <c r="AC318" s="1" t="n">
        <f aca="false">$C$329*(AC290+(1-$C$279)*AC332)</f>
        <v>12.9086380626535</v>
      </c>
      <c r="AD318" s="1" t="n">
        <f aca="false">$C$329*(AD290+(1-$C$279)*AD332)</f>
        <v>13.061343052599</v>
      </c>
      <c r="AE318" s="1" t="n">
        <f aca="false">$C$329*(AE290+(1-$C$279)*AE332)</f>
        <v>13.2104081893636</v>
      </c>
      <c r="AF318" s="1" t="n">
        <f aca="false">$C$329*(AF290+(1-$C$279)*AF332)</f>
        <v>13.3558255606529</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0.251160037442153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0.705938293034522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1.03324892271706</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0.278073245206539</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1.13761960397518</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1.75706994519918</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2.07806646684135</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2.40753468814584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2.74567204066887</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3.09268036776925</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4.59388263245066</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5.28377778079841</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5.06509102829762</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5.29742382596405</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5.72800122227586</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5.22507017497385</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5.00276844482755</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5.08932790439971</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5.21485582203042</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5.34379308761402</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5.32837610785875</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5.33950656117802</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5.39624909221039</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5.45866503231781</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5.51959968131623</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5.57902850764301</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5.6369405061192</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5.69333265721281</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5.74820200204871</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5.80154563618761</v>
      </c>
    </row>
    <row r="320" customFormat="false" ht="14.25" hidden="false" customHeight="true" outlineLevel="0" collapsed="false">
      <c r="B320" s="147" t="s">
        <v>1312</v>
      </c>
      <c r="C320" s="1" t="n">
        <f aca="false">01_Supuestos!$C$185*C317</f>
        <v>0.251160037442153</v>
      </c>
      <c r="D320" s="1" t="n">
        <f aca="false">01_Supuestos!$C$185*D317</f>
        <v>0.621129920391555</v>
      </c>
      <c r="E320" s="1" t="n">
        <f aca="false">01_Supuestos!$C$185*E317</f>
        <v>0.823514052931507</v>
      </c>
      <c r="F320" s="1" t="n">
        <f aca="false">01_Supuestos!$C$185*F317</f>
        <v>0</v>
      </c>
      <c r="G320" s="1" t="n">
        <f aca="false">01_Supuestos!$C$185*G317</f>
        <v>1.13761960397518</v>
      </c>
      <c r="H320" s="1" t="n">
        <f aca="false">01_Supuestos!$C$185*H317</f>
        <v>1.37293372559022</v>
      </c>
      <c r="I320" s="1" t="n">
        <f aca="false">01_Supuestos!$C$185*I317</f>
        <v>1.61447251216705</v>
      </c>
      <c r="J320" s="1" t="n">
        <f aca="false">01_Supuestos!$C$185*J317</f>
        <v>1.86238113653744</v>
      </c>
      <c r="K320" s="1" t="n">
        <f aca="false">01_Supuestos!$C$185*K317</f>
        <v>2.1168080102314</v>
      </c>
      <c r="L320" s="1" t="n">
        <f aca="false">01_Supuestos!$C$185*L317</f>
        <v>2.37790486298112</v>
      </c>
      <c r="M320" s="1" t="n">
        <f aca="false">01_Supuestos!$C$185*M317</f>
        <v>3.79094342371737</v>
      </c>
      <c r="N320" s="1" t="n">
        <f aca="false">01_Supuestos!$C$185*N317</f>
        <v>4.00370255138984</v>
      </c>
      <c r="O320" s="1" t="n">
        <f aca="false">01_Supuestos!$C$185*O317</f>
        <v>3.71317413344498</v>
      </c>
      <c r="P320" s="1" t="n">
        <f aca="false">01_Supuestos!$C$185*P317</f>
        <v>4.04360869357079</v>
      </c>
      <c r="Q320" s="1" t="n">
        <f aca="false">01_Supuestos!$C$185*Q317</f>
        <v>4.36260935341346</v>
      </c>
      <c r="R320" s="1" t="n">
        <f aca="false">01_Supuestos!$C$185*R317</f>
        <v>3.75196241663791</v>
      </c>
      <c r="S320" s="1" t="n">
        <f aca="false">01_Supuestos!$C$185*S317</f>
        <v>3.73585580214281</v>
      </c>
      <c r="T320" s="1" t="n">
        <f aca="false">01_Supuestos!$C$185*T317</f>
        <v>3.82785392854282</v>
      </c>
      <c r="U320" s="1" t="n">
        <f aca="false">01_Supuestos!$C$185*U317</f>
        <v>3.92231714549246</v>
      </c>
      <c r="V320" s="1" t="n">
        <f aca="false">01_Supuestos!$C$185*V317</f>
        <v>4.01935733148607</v>
      </c>
      <c r="W320" s="1" t="n">
        <f aca="false">01_Supuestos!$C$185*W317</f>
        <v>3.97117311559362</v>
      </c>
      <c r="X320" s="1" t="n">
        <f aca="false">01_Supuestos!$C$185*X317</f>
        <v>3.99857377247924</v>
      </c>
      <c r="Y320" s="1" t="n">
        <f aca="false">01_Supuestos!$C$185*Y317</f>
        <v>4.04606401503657</v>
      </c>
      <c r="Z320" s="1" t="n">
        <f aca="false">01_Supuestos!$C$185*Z317</f>
        <v>4.09244408324046</v>
      </c>
      <c r="AA320" s="1" t="n">
        <f aca="false">01_Supuestos!$C$185*AA317</f>
        <v>4.1377177292087</v>
      </c>
      <c r="AB320" s="1" t="n">
        <f aca="false">01_Supuestos!$C$185*AB317</f>
        <v>4.18185915441353</v>
      </c>
      <c r="AC320" s="1" t="n">
        <f aca="false">01_Supuestos!$C$185*AC317</f>
        <v>4.2248660649789</v>
      </c>
      <c r="AD320" s="1" t="n">
        <f aca="false">01_Supuestos!$C$185*AD317</f>
        <v>4.26673621593826</v>
      </c>
      <c r="AE320" s="1" t="n">
        <f aca="false">01_Supuestos!$C$185*AE317</f>
        <v>4.30746740646689</v>
      </c>
      <c r="AF320" s="1" t="n">
        <f aca="false">01_Supuestos!$C$185*AF317</f>
        <v>4.34705747527062</v>
      </c>
    </row>
    <row r="321" customFormat="false" ht="14.25" hidden="false" customHeight="true" outlineLevel="0" collapsed="false">
      <c r="B321" s="148" t="s">
        <v>1313</v>
      </c>
      <c r="C321" s="1" t="n">
        <f aca="false">C320-C323</f>
        <v>0.251160037442153</v>
      </c>
      <c r="D321" s="1" t="n">
        <f aca="false">C321+D320-D323</f>
        <v>0.705938293034522</v>
      </c>
      <c r="E321" s="1" t="n">
        <f aca="false">D321+E320-E323</f>
        <v>1.03324892271706</v>
      </c>
      <c r="F321" s="1" t="n">
        <f aca="false">E321+F320-F323</f>
        <v>0.278073245206539</v>
      </c>
      <c r="G321" s="1" t="n">
        <f aca="false">F321+G320-G323</f>
        <v>1.13761960397518</v>
      </c>
      <c r="H321" s="1" t="n">
        <f aca="false">G321+H320-H323</f>
        <v>1.75706994519918</v>
      </c>
      <c r="I321" s="1" t="n">
        <f aca="false">H321+I320-I323</f>
        <v>2.07806646684135</v>
      </c>
      <c r="J321" s="1" t="n">
        <f aca="false">I321+J320-J323</f>
        <v>2.40753468814584</v>
      </c>
      <c r="K321" s="1" t="n">
        <f aca="false">J321+K320-K323</f>
        <v>2.74567204066887</v>
      </c>
      <c r="L321" s="1" t="n">
        <f aca="false">K321+L320-L323</f>
        <v>3.09268036776925</v>
      </c>
      <c r="M321" s="1" t="n">
        <f aca="false">L321+M320-M323</f>
        <v>4.59388263245066</v>
      </c>
      <c r="N321" s="1" t="n">
        <f aca="false">M321+N320-N323</f>
        <v>5.28377778079841</v>
      </c>
      <c r="O321" s="1" t="n">
        <f aca="false">N321+O320-O323</f>
        <v>5.06509102829762</v>
      </c>
      <c r="P321" s="1" t="n">
        <f aca="false">O321+P320-P323</f>
        <v>5.29742382596405</v>
      </c>
      <c r="Q321" s="1" t="n">
        <f aca="false">P321+Q320-Q323</f>
        <v>5.72800122227586</v>
      </c>
      <c r="R321" s="1" t="n">
        <f aca="false">Q321+R320-R323</f>
        <v>5.22507017497385</v>
      </c>
      <c r="S321" s="1" t="n">
        <f aca="false">R321+S320-S323</f>
        <v>5.00276844482755</v>
      </c>
      <c r="T321" s="1" t="n">
        <f aca="false">S321+T320-T323</f>
        <v>5.08932790439971</v>
      </c>
      <c r="U321" s="1" t="n">
        <f aca="false">T321+U320-U323</f>
        <v>5.21485582203042</v>
      </c>
      <c r="V321" s="1" t="n">
        <f aca="false">U321+V320-V323</f>
        <v>5.34379308761402</v>
      </c>
      <c r="W321" s="1" t="n">
        <f aca="false">V321+W320-W323</f>
        <v>5.32837610785875</v>
      </c>
      <c r="X321" s="1" t="n">
        <f aca="false">W321+X320-X323</f>
        <v>5.33950656117802</v>
      </c>
      <c r="Y321" s="1" t="n">
        <f aca="false">X321+Y320-Y323</f>
        <v>5.39624909221039</v>
      </c>
      <c r="Z321" s="1" t="n">
        <f aca="false">Y321+Z320-Z323</f>
        <v>5.45866503231781</v>
      </c>
      <c r="AA321" s="1" t="n">
        <f aca="false">Z321+AA320-AA323</f>
        <v>5.51959968131623</v>
      </c>
      <c r="AB321" s="1" t="n">
        <f aca="false">AA321+AB320-AB323</f>
        <v>5.57902850764301</v>
      </c>
      <c r="AC321" s="1" t="n">
        <f aca="false">AB321+AC320-AC323</f>
        <v>5.6369405061192</v>
      </c>
      <c r="AD321" s="1" t="n">
        <f aca="false">AC321+AD320-AD323</f>
        <v>5.69333265721281</v>
      </c>
      <c r="AE321" s="1" t="n">
        <f aca="false">AD321+AE320-AE323</f>
        <v>5.74820200204871</v>
      </c>
      <c r="AF321" s="1" t="n">
        <f aca="false">AE321+AF320-AF323</f>
        <v>5.80154563618761</v>
      </c>
    </row>
    <row r="322" customFormat="false" ht="14.25" hidden="false" customHeight="true" outlineLevel="0" collapsed="false">
      <c r="B322" s="148" t="s">
        <v>1314</v>
      </c>
      <c r="C322" s="1" t="n">
        <f aca="false">$C$172*C83</f>
        <v>1.95</v>
      </c>
      <c r="D322" s="1" t="n">
        <f aca="false">$C$172*D83</f>
        <v>3.94485</v>
      </c>
      <c r="E322" s="1" t="n">
        <f aca="false">$C$172*E83</f>
        <v>5.98558155</v>
      </c>
      <c r="F322" s="1" t="n">
        <f aca="false">$C$172*F83</f>
        <v>8.07324992565</v>
      </c>
      <c r="G322" s="1" t="n">
        <f aca="false">$C$172*G83</f>
        <v>10.2089346739399</v>
      </c>
      <c r="H322" s="1" t="n">
        <f aca="false">$C$172*H83</f>
        <v>12.3937401714406</v>
      </c>
      <c r="I322" s="1" t="n">
        <f aca="false">$C$172*I83</f>
        <v>14.6287961953837</v>
      </c>
      <c r="J322" s="1" t="n">
        <f aca="false">$C$172*J83</f>
        <v>16.9152585078775</v>
      </c>
      <c r="K322" s="1" t="n">
        <f aca="false">$C$172*K83</f>
        <v>19.2543094535587</v>
      </c>
      <c r="L322" s="1" t="n">
        <f aca="false">$C$172*L83</f>
        <v>21.6471585709906</v>
      </c>
      <c r="M322" s="1" t="n">
        <f aca="false">$C$172*M83</f>
        <v>24.0950432181233</v>
      </c>
      <c r="N322" s="1" t="n">
        <f aca="false">$C$172*N83</f>
        <v>26.5992292121402</v>
      </c>
      <c r="O322" s="1" t="n">
        <f aca="false">$C$172*O83</f>
        <v>29.1610114840194</v>
      </c>
      <c r="P322" s="1" t="n">
        <f aca="false">$C$172*P83</f>
        <v>31.7817147481518</v>
      </c>
      <c r="Q322" s="1" t="n">
        <f aca="false">$C$172*Q83</f>
        <v>34.4626941873593</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39.5082967885811</v>
      </c>
      <c r="X322" s="1" t="n">
        <f aca="false">$C$172*X83</f>
        <v>40.0710125937835</v>
      </c>
      <c r="Y322" s="1" t="n">
        <f aca="false">$C$172*Y83</f>
        <v>40.6219473402586</v>
      </c>
      <c r="Z322" s="1" t="n">
        <f aca="false">$C$172*Z83</f>
        <v>41.1610712043925</v>
      </c>
      <c r="AA322" s="1" t="n">
        <f aca="false">$C$172*AA83</f>
        <v>41.688355314613</v>
      </c>
      <c r="AB322" s="1" t="n">
        <f aca="false">$C$172*AB83</f>
        <v>42.2037716847569</v>
      </c>
      <c r="AC322" s="1" t="n">
        <f aca="false">$C$172*AC83</f>
        <v>42.7072931500953</v>
      </c>
      <c r="AD322" s="1" t="n">
        <f aca="false">$C$172*AD83</f>
        <v>43.1988933058636</v>
      </c>
      <c r="AE322" s="1" t="n">
        <f aca="false">$C$172*AE83</f>
        <v>43.6785464481438</v>
      </c>
      <c r="AF322" s="1" t="n">
        <f aca="false">$C$172*AF83</f>
        <v>44.1462275169578</v>
      </c>
    </row>
    <row r="323" customFormat="false" ht="14.25" hidden="false" customHeight="true" outlineLevel="0" collapsed="false">
      <c r="B323" s="148" t="s">
        <v>1315</v>
      </c>
      <c r="C323" s="1" t="n">
        <f aca="false">MAX(0,MIN(C318,C320,C320-C319))</f>
        <v>0</v>
      </c>
      <c r="D323" s="1" t="n">
        <f aca="false">MAX(0,MIN(D318,C321+D320,C321+D320-D319))</f>
        <v>0.166351664799186</v>
      </c>
      <c r="E323" s="1" t="n">
        <f aca="false">MAX(0,MIN(E318,D321+E320,D321+E320-E319))</f>
        <v>0.496203423248973</v>
      </c>
      <c r="F323" s="1" t="n">
        <f aca="false">MAX(0,MIN(F318,E321+F320,E321+F320-F319))</f>
        <v>0.755175677510516</v>
      </c>
      <c r="G323" s="1" t="n">
        <f aca="false">MAX(0,MIN(G318,F321+G320,F321+G320-G319))</f>
        <v>0.278073245206539</v>
      </c>
      <c r="H323" s="1" t="n">
        <f aca="false">MAX(0,MIN(H318,G321+H320,G321+H320-H319))</f>
        <v>0.753483384366231</v>
      </c>
      <c r="I323" s="1" t="n">
        <f aca="false">MAX(0,MIN(I318,H321+I320,H321+I320-I319))</f>
        <v>1.29347599052488</v>
      </c>
      <c r="J323" s="1" t="n">
        <f aca="false">MAX(0,MIN(J318,I321+J320,I321+J320-J319))</f>
        <v>1.53291291523294</v>
      </c>
      <c r="K323" s="1" t="n">
        <f aca="false">MAX(0,MIN(K318,J321+K320,J321+K320-K319))</f>
        <v>1.77867065770837</v>
      </c>
      <c r="L323" s="1" t="n">
        <f aca="false">MAX(0,MIN(L318,K321+L320,K321+L320-L319))</f>
        <v>2.03089653588074</v>
      </c>
      <c r="M323" s="1" t="n">
        <f aca="false">MAX(0,MIN(M318,L321+M320,L321+M320-M319))</f>
        <v>2.28974115903596</v>
      </c>
      <c r="N323" s="1" t="n">
        <f aca="false">MAX(0,MIN(N318,M321+N320,M321+N320-N319))</f>
        <v>3.3138074030421</v>
      </c>
      <c r="O323" s="1" t="n">
        <f aca="false">MAX(0,MIN(O318,N321+O320,N321+O320-O319))</f>
        <v>3.93186088594577</v>
      </c>
      <c r="P323" s="1" t="n">
        <f aca="false">MAX(0,MIN(P318,O321+P320,O321+P320-P319))</f>
        <v>3.81127589590436</v>
      </c>
      <c r="Q323" s="1" t="n">
        <f aca="false">MAX(0,MIN(Q318,P321+Q320,P321+Q320-Q319))</f>
        <v>3.93203195710164</v>
      </c>
      <c r="R323" s="1" t="n">
        <f aca="false">MAX(0,MIN(R318,Q321+R320,Q321+R320-R319))</f>
        <v>4.25489346393992</v>
      </c>
      <c r="S323" s="1" t="n">
        <f aca="false">MAX(0,MIN(S318,R321+S320,R321+S320-S319))</f>
        <v>3.95815753228912</v>
      </c>
      <c r="T323" s="1" t="n">
        <f aca="false">MAX(0,MIN(T318,S321+T320,S321+T320-T319))</f>
        <v>3.74129446897066</v>
      </c>
      <c r="U323" s="1" t="n">
        <f aca="false">MAX(0,MIN(U318,T321+U320,T321+U320-U319))</f>
        <v>3.79678922786175</v>
      </c>
      <c r="V323" s="1" t="n">
        <f aca="false">MAX(0,MIN(V318,U321+V320,U321+V320-V319))</f>
        <v>3.89042006590246</v>
      </c>
      <c r="W323" s="1" t="n">
        <f aca="false">MAX(0,MIN(W318,V321+W320,V321+W320-W319))</f>
        <v>3.98659009534889</v>
      </c>
      <c r="X323" s="1" t="n">
        <f aca="false">MAX(0,MIN(X318,W321+X320,W321+X320-X319))</f>
        <v>3.98744331915997</v>
      </c>
      <c r="Y323" s="1" t="n">
        <f aca="false">MAX(0,MIN(Y318,X321+Y320,X321+Y320-Y319))</f>
        <v>3.9893214840042</v>
      </c>
      <c r="Z323" s="1" t="n">
        <f aca="false">MAX(0,MIN(Z318,Y321+Z320,Y321+Z320-Z319))</f>
        <v>4.03002814313305</v>
      </c>
      <c r="AA323" s="1" t="n">
        <f aca="false">MAX(0,MIN(AA318,Z321+AA320,Z321+AA320-AA319))</f>
        <v>4.07678308021028</v>
      </c>
      <c r="AB323" s="1" t="n">
        <f aca="false">MAX(0,MIN(AB318,AA321+AB320,AA321+AB320-AB319))</f>
        <v>4.12243032808676</v>
      </c>
      <c r="AC323" s="1" t="n">
        <f aca="false">MAX(0,MIN(AC318,AB321+AC320,AB321+AC320-AC319))</f>
        <v>4.1669540665027</v>
      </c>
      <c r="AD323" s="1" t="n">
        <f aca="false">MAX(0,MIN(AD318,AC321+AD320,AC321+AD320-AD319))</f>
        <v>4.21034406484466</v>
      </c>
      <c r="AE323" s="1" t="n">
        <f aca="false">MAX(0,MIN(AE318,AD321+AE320,AD321+AE320-AE319))</f>
        <v>4.25259806163099</v>
      </c>
      <c r="AF323" s="1" t="n">
        <f aca="false">MAX(0,MIN(AF318,AE321+AF320,AE321+AF320-AF319))</f>
        <v>4.29371384113173</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0.251160037442153</v>
      </c>
      <c r="D326" s="1" t="n">
        <f aca="false">IF(01_Supuestos!$C$184="Sí",D321,$C$172*D83)</f>
        <v>0.705938293034522</v>
      </c>
      <c r="E326" s="1" t="n">
        <f aca="false">IF(01_Supuestos!$C$184="Sí",E321,$C$172*E83)</f>
        <v>1.03324892271706</v>
      </c>
      <c r="F326" s="1" t="n">
        <f aca="false">IF(01_Supuestos!$C$184="Sí",F321,$C$172*F83)</f>
        <v>0.278073245206539</v>
      </c>
      <c r="G326" s="1" t="n">
        <f aca="false">IF(01_Supuestos!$C$184="Sí",G321,$C$172*G83)</f>
        <v>1.13761960397518</v>
      </c>
      <c r="H326" s="1" t="n">
        <f aca="false">IF(01_Supuestos!$C$184="Sí",H321,$C$172*H83)</f>
        <v>1.75706994519918</v>
      </c>
      <c r="I326" s="1" t="n">
        <f aca="false">IF(01_Supuestos!$C$184="Sí",I321,$C$172*I83)</f>
        <v>2.07806646684135</v>
      </c>
      <c r="J326" s="1" t="n">
        <f aca="false">IF(01_Supuestos!$C$184="Sí",J321,$C$172*J83)</f>
        <v>2.40753468814584</v>
      </c>
      <c r="K326" s="1" t="n">
        <f aca="false">IF(01_Supuestos!$C$184="Sí",K321,$C$172*K83)</f>
        <v>2.74567204066887</v>
      </c>
      <c r="L326" s="1" t="n">
        <f aca="false">IF(01_Supuestos!$C$184="Sí",L321,$C$172*L83)</f>
        <v>3.09268036776925</v>
      </c>
      <c r="M326" s="1" t="n">
        <f aca="false">IF(01_Supuestos!$C$184="Sí",M321,$C$172*M83)</f>
        <v>4.59388263245066</v>
      </c>
      <c r="N326" s="1" t="n">
        <f aca="false">IF(01_Supuestos!$C$184="Sí",N321,$C$172*N83)</f>
        <v>5.28377778079841</v>
      </c>
      <c r="O326" s="1" t="n">
        <f aca="false">IF(01_Supuestos!$C$184="Sí",O321,$C$172*O83)</f>
        <v>5.06509102829762</v>
      </c>
      <c r="P326" s="1" t="n">
        <f aca="false">IF(01_Supuestos!$C$184="Sí",P321,$C$172*P83)</f>
        <v>5.29742382596405</v>
      </c>
      <c r="Q326" s="1" t="n">
        <f aca="false">IF(01_Supuestos!$C$184="Sí",Q321,$C$172*Q83)</f>
        <v>5.72800122227586</v>
      </c>
      <c r="R326" s="1" t="n">
        <f aca="false">IF(01_Supuestos!$C$184="Sí",R321,$C$172*R83)</f>
        <v>5.22507017497385</v>
      </c>
      <c r="S326" s="1" t="n">
        <f aca="false">IF(01_Supuestos!$C$184="Sí",S321,$C$172*S83)</f>
        <v>5.00276844482755</v>
      </c>
      <c r="T326" s="1" t="n">
        <f aca="false">IF(01_Supuestos!$C$184="Sí",T321,$C$172*T83)</f>
        <v>5.08932790439971</v>
      </c>
      <c r="U326" s="1" t="n">
        <f aca="false">IF(01_Supuestos!$C$184="Sí",U321,$C$172*U83)</f>
        <v>5.21485582203042</v>
      </c>
      <c r="V326" s="1" t="n">
        <f aca="false">IF(01_Supuestos!$C$184="Sí",V321,$C$172*V83)</f>
        <v>5.34379308761402</v>
      </c>
      <c r="W326" s="1" t="n">
        <f aca="false">IF(01_Supuestos!$C$184="Sí",W321,$C$172*W83)</f>
        <v>5.32837610785875</v>
      </c>
      <c r="X326" s="1" t="n">
        <f aca="false">IF(01_Supuestos!$C$184="Sí",X321,$C$172*X83)</f>
        <v>5.33950656117802</v>
      </c>
      <c r="Y326" s="1" t="n">
        <f aca="false">IF(01_Supuestos!$C$184="Sí",Y321,$C$172*Y83)</f>
        <v>5.39624909221039</v>
      </c>
      <c r="Z326" s="1" t="n">
        <f aca="false">IF(01_Supuestos!$C$184="Sí",Z321,$C$172*Z83)</f>
        <v>5.45866503231781</v>
      </c>
      <c r="AA326" s="1" t="n">
        <f aca="false">IF(01_Supuestos!$C$184="Sí",AA321,$C$172*AA83)</f>
        <v>5.51959968131623</v>
      </c>
      <c r="AB326" s="1" t="n">
        <f aca="false">IF(01_Supuestos!$C$184="Sí",AB321,$C$172*AB83)</f>
        <v>5.57902850764301</v>
      </c>
      <c r="AC326" s="1" t="n">
        <f aca="false">IF(01_Supuestos!$C$184="Sí",AC321,$C$172*AC83)</f>
        <v>5.6369405061192</v>
      </c>
      <c r="AD326" s="1" t="n">
        <f aca="false">IF(01_Supuestos!$C$184="Sí",AD321,$C$172*AD83)</f>
        <v>5.69333265721281</v>
      </c>
      <c r="AE326" s="1" t="n">
        <f aca="false">IF(01_Supuestos!$C$184="Sí",AE321,$C$172*AE83)</f>
        <v>5.74820200204871</v>
      </c>
      <c r="AF326" s="1" t="n">
        <f aca="false">IF(01_Supuestos!$C$184="Sí",AF321,$C$172*AF83)</f>
        <v>5.80154563618761</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0.0271157935160219</v>
      </c>
      <c r="E327" s="1" t="n">
        <f aca="false">IF(01_Supuestos!$C$184="Sí",MAX(0.001,IF(D299&gt;0,D320/D299,$C$328*(1-$C$279))),$C$172)</f>
        <v>0.0591519386688306</v>
      </c>
      <c r="F327" s="1" t="n">
        <f aca="false">IF(01_Supuestos!$C$184="Sí",MAX(0.001,IF(E299&gt;0,E320/E299,$C$328*(1-$C$279))),$C$172)</f>
        <v>0.0692619108387795</v>
      </c>
      <c r="G327" s="1" t="n">
        <f aca="false">IF(01_Supuestos!$C$184="Sí",MAX(0.001,IF(F299&gt;0,F320/F299,$C$328*(1-$C$279))),$C$172)</f>
        <v>0.001</v>
      </c>
      <c r="H327" s="1" t="n">
        <f aca="false">IF(01_Supuestos!$C$184="Sí",MAX(0.001,IF(G299&gt;0,G320/G299,$C$328*(1-$C$279))),$C$172)</f>
        <v>0.0799130565180114</v>
      </c>
      <c r="I327" s="1" t="n">
        <f aca="false">IF(01_Supuestos!$C$184="Sí",MAX(0.001,IF(H299&gt;0,H320/H299,$C$328*(1-$C$279))),$C$172)</f>
        <v>0.0864695735148464</v>
      </c>
      <c r="J327" s="1" t="n">
        <f aca="false">IF(01_Supuestos!$C$184="Sí",MAX(0.001,IF(I299&gt;0,I320/I299,$C$328*(1-$C$279))),$C$172)</f>
        <v>0.0919463016941042</v>
      </c>
      <c r="K327" s="1" t="n">
        <f aca="false">IF(01_Supuestos!$C$184="Sí",MAX(0.001,IF(J299&gt;0,J320/J299,$C$328*(1-$C$279))),$C$172)</f>
        <v>0.0965952289267429</v>
      </c>
      <c r="L327" s="1" t="n">
        <f aca="false">IF(01_Supuestos!$C$184="Sí",MAX(0.001,IF(K299&gt;0,K320/K299,$C$328*(1-$C$279))),$C$172)</f>
        <v>0.100595494676369</v>
      </c>
      <c r="M327" s="1" t="n">
        <f aca="false">IF(01_Supuestos!$C$184="Sí",MAX(0.001,IF(L299&gt;0,L320/L299,$C$328*(1-$C$279))),$C$172)</f>
        <v>0.104077940437637</v>
      </c>
      <c r="N327" s="1" t="n">
        <f aca="false">IF(01_Supuestos!$C$184="Sí",MAX(0.001,IF(M299&gt;0,M320/M299,$C$328*(1-$C$279))),$C$172)</f>
        <v>0.131294066182873</v>
      </c>
      <c r="O327" s="1" t="n">
        <f aca="false">IF(01_Supuestos!$C$184="Sí",MAX(0.001,IF(N299&gt;0,N320/N299,$C$328*(1-$C$279))),$C$172)</f>
        <v>0.135896748669124</v>
      </c>
      <c r="P327" s="1" t="n">
        <f aca="false">IF(01_Supuestos!$C$184="Sí",MAX(0.001,IF(O299&gt;0,O320/O299,$C$328*(1-$C$279))),$C$172)</f>
        <v>0.126703361458964</v>
      </c>
      <c r="Q327" s="1" t="n">
        <f aca="false">IF(01_Supuestos!$C$184="Sí",MAX(0.001,IF(P299&gt;0,P320/P299,$C$328*(1-$C$279))),$C$172)</f>
        <v>0.129078363518514</v>
      </c>
      <c r="R327" s="1" t="n">
        <f aca="false">IF(01_Supuestos!$C$184="Sí",MAX(0.001,IF(Q299&gt;0,Q320/Q299,$C$328*(1-$C$279))),$C$172)</f>
        <v>0.130605644888533</v>
      </c>
      <c r="S327" s="1" t="n">
        <f aca="false">IF(01_Supuestos!$C$184="Sí",MAX(0.001,IF(R299&gt;0,R320/R299,$C$328*(1-$C$279))),$C$172)</f>
        <v>0.136716419338105</v>
      </c>
      <c r="T327" s="1" t="n">
        <f aca="false">IF(01_Supuestos!$C$184="Sí",MAX(0.001,IF(S299&gt;0,S320/S299,$C$328*(1-$C$279))),$C$172)</f>
        <v>0.137991379300244</v>
      </c>
      <c r="U327" s="1" t="n">
        <f aca="false">IF(01_Supuestos!$C$184="Sí",MAX(0.001,IF(T299&gt;0,T320/T299,$C$328*(1-$C$279))),$C$172)</f>
        <v>0.138174298669863</v>
      </c>
      <c r="V327" s="1" t="n">
        <f aca="false">IF(01_Supuestos!$C$184="Sí",MAX(0.001,IF(U299&gt;0,U320/U299,$C$328*(1-$C$279))),$C$172)</f>
        <v>0.138361069296679</v>
      </c>
      <c r="W327" s="1" t="n">
        <f aca="false">IF(01_Supuestos!$C$184="Sí",MAX(0.001,IF(V299&gt;0,V320/V299,$C$328*(1-$C$279))),$C$172)</f>
        <v>0.138553517545307</v>
      </c>
      <c r="X327" s="1" t="n">
        <f aca="false">IF(01_Supuestos!$C$184="Sí",MAX(0.001,IF(W299&gt;0,W320/W299,$C$328*(1-$C$279))),$C$172)</f>
        <v>0.139821329227748</v>
      </c>
      <c r="Y327" s="1" t="n">
        <f aca="false">IF(01_Supuestos!$C$184="Sí",MAX(0.001,IF(X299&gt;0,X320/X299,$C$328*(1-$C$279))),$C$172)</f>
        <v>0.140201045615144</v>
      </c>
      <c r="Z327" s="1" t="n">
        <f aca="false">IF(01_Supuestos!$C$184="Sí",MAX(0.001,IF(Y299&gt;0,Y320/Y299,$C$328*(1-$C$279))),$C$172)</f>
        <v>0.140334035334862</v>
      </c>
      <c r="AA327" s="1" t="n">
        <f aca="false">IF(01_Supuestos!$C$184="Sí",MAX(0.001,IF(Z299&gt;0,Z320/Z299,$C$328*(1-$C$279))),$C$172)</f>
        <v>0.140464008579497</v>
      </c>
      <c r="AB327" s="1" t="n">
        <f aca="false">IF(01_Supuestos!$C$184="Sí",MAX(0.001,IF(AA299&gt;0,AA320/AA299,$C$328*(1-$C$279))),$C$172)</f>
        <v>0.140591306448616</v>
      </c>
      <c r="AC327" s="1" t="n">
        <f aca="false">IF(01_Supuestos!$C$184="Sí",MAX(0.001,IF(AB299&gt;0,AB320/AB299,$C$328*(1-$C$279))),$C$172)</f>
        <v>0.140715256303521</v>
      </c>
      <c r="AD327" s="1" t="n">
        <f aca="false">IF(01_Supuestos!$C$184="Sí",MAX(0.001,IF(AC299&gt;0,AC320/AC299,$C$328*(1-$C$279))),$C$172)</f>
        <v>0.140836043371429</v>
      </c>
      <c r="AE327" s="1" t="n">
        <f aca="false">IF(01_Supuestos!$C$184="Sí",MAX(0.001,IF(AD299&gt;0,AD320/AD299,$C$328*(1-$C$279))),$C$172)</f>
        <v>0.140953841701735</v>
      </c>
      <c r="AF327" s="1" t="n">
        <f aca="false">IF(01_Supuestos!$C$184="Sí",MAX(0.001,IF(AE299&gt;0,AE320/AE299,$C$328*(1-$C$279))),$C$172)</f>
        <v>0.141068815087272</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0.0216517273657028</v>
      </c>
      <c r="E330" s="1" t="n">
        <f aca="false">E343</f>
        <v>0.070693850866012</v>
      </c>
      <c r="F330" s="1" t="n">
        <f aca="false">F343</f>
        <v>0.126982120655839</v>
      </c>
      <c r="G330" s="1" t="n">
        <f aca="false">G343</f>
        <v>0.0561954996630142</v>
      </c>
      <c r="H330" s="1" t="n">
        <f aca="false">H343</f>
        <v>0.142577491248209</v>
      </c>
      <c r="I330" s="1" t="n">
        <f aca="false">I343</f>
        <v>0.231277728722911</v>
      </c>
      <c r="J330" s="1" t="n">
        <f aca="false">J343</f>
        <v>0.322350625990533</v>
      </c>
      <c r="K330" s="1" t="n">
        <f aca="false">K343</f>
        <v>0.415851793761867</v>
      </c>
      <c r="L330" s="1" t="n">
        <f aca="false">L343</f>
        <v>0.511838069817278</v>
      </c>
      <c r="M330" s="1" t="n">
        <f aca="false">M343</f>
        <v>0.610367549828139</v>
      </c>
      <c r="N330" s="1" t="n">
        <f aca="false">N343</f>
        <v>0.810216567025728</v>
      </c>
      <c r="O330" s="1" t="n">
        <f aca="false">O343</f>
        <v>0.986838292755915</v>
      </c>
      <c r="P330" s="1" t="n">
        <f aca="false">P343</f>
        <v>1.10167714626311</v>
      </c>
      <c r="Q330" s="1" t="n">
        <f aca="false">Q343</f>
        <v>1.2211152561827</v>
      </c>
      <c r="R330" s="1" t="n">
        <f aca="false">R343</f>
        <v>1.34321029612199</v>
      </c>
      <c r="S330" s="1" t="n">
        <f aca="false">S343</f>
        <v>1.38726759044568</v>
      </c>
      <c r="T330" s="1" t="n">
        <f aca="false">T343</f>
        <v>1.42077246630046</v>
      </c>
      <c r="U330" s="1" t="n">
        <f aca="false">U343</f>
        <v>1.45523920094297</v>
      </c>
      <c r="V330" s="1" t="n">
        <f aca="false">V343</f>
        <v>1.49068023555135</v>
      </c>
      <c r="W330" s="1" t="n">
        <f aca="false">W343</f>
        <v>1.5271150682365</v>
      </c>
      <c r="X330" s="1" t="n">
        <f aca="false">X343</f>
        <v>1.55181764400828</v>
      </c>
      <c r="Y330" s="1" t="n">
        <f aca="false">Y343</f>
        <v>1.57374420961311</v>
      </c>
      <c r="Z330" s="1" t="n">
        <f aca="false">Z343</f>
        <v>1.5952040359995</v>
      </c>
      <c r="AA330" s="1" t="n">
        <f aca="false">AA343</f>
        <v>1.61619850023923</v>
      </c>
      <c r="AB330" s="1" t="n">
        <f aca="false">AB343</f>
        <v>1.6367290164316</v>
      </c>
      <c r="AC330" s="1" t="n">
        <f aca="false">AC343</f>
        <v>1.65679448053223</v>
      </c>
      <c r="AD330" s="1" t="n">
        <f aca="false">AD343</f>
        <v>1.67639382039005</v>
      </c>
      <c r="AE330" s="1" t="n">
        <f aca="false">AE343</f>
        <v>1.69552599332981</v>
      </c>
      <c r="AF330" s="1" t="n">
        <f aca="false">AF343</f>
        <v>1.71418998382642</v>
      </c>
    </row>
    <row r="331" customFormat="false" ht="14.25" hidden="false" customHeight="true" outlineLevel="0" collapsed="false">
      <c r="B331" s="1" t="s">
        <v>1324</v>
      </c>
      <c r="C331" s="1" t="n">
        <f aca="false">C330*$C$338</f>
        <v>0</v>
      </c>
      <c r="D331" s="1" t="n">
        <f aca="false">D330*$C$338</f>
        <v>0.00757810457799599</v>
      </c>
      <c r="E331" s="1" t="n">
        <f aca="false">E330*$C$338</f>
        <v>0.0247428478031042</v>
      </c>
      <c r="F331" s="1" t="n">
        <f aca="false">F330*$C$338</f>
        <v>0.0444437422295437</v>
      </c>
      <c r="G331" s="1" t="n">
        <f aca="false">G330*$C$338</f>
        <v>0.019668424882055</v>
      </c>
      <c r="H331" s="1" t="n">
        <f aca="false">H330*$C$338</f>
        <v>0.0499021219368733</v>
      </c>
      <c r="I331" s="1" t="n">
        <f aca="false">I330*$C$338</f>
        <v>0.0809472050530189</v>
      </c>
      <c r="J331" s="1" t="n">
        <f aca="false">J330*$C$338</f>
        <v>0.112822719096686</v>
      </c>
      <c r="K331" s="1" t="n">
        <f aca="false">K330*$C$338</f>
        <v>0.145548127816653</v>
      </c>
      <c r="L331" s="1" t="n">
        <f aca="false">L330*$C$338</f>
        <v>0.179143324436047</v>
      </c>
      <c r="M331" s="1" t="n">
        <f aca="false">M330*$C$338</f>
        <v>0.213628642439849</v>
      </c>
      <c r="N331" s="1" t="n">
        <f aca="false">N330*$C$338</f>
        <v>0.283575798459005</v>
      </c>
      <c r="O331" s="1" t="n">
        <f aca="false">O330*$C$338</f>
        <v>0.34539340246457</v>
      </c>
      <c r="P331" s="1" t="n">
        <f aca="false">P330*$C$338</f>
        <v>0.38558700119209</v>
      </c>
      <c r="Q331" s="1" t="n">
        <f aca="false">Q330*$C$338</f>
        <v>0.427390339663943</v>
      </c>
      <c r="R331" s="1" t="n">
        <f aca="false">R330*$C$338</f>
        <v>0.470123603642698</v>
      </c>
      <c r="S331" s="1" t="n">
        <f aca="false">S330*$C$338</f>
        <v>0.485543656655988</v>
      </c>
      <c r="T331" s="1" t="n">
        <f aca="false">T330*$C$338</f>
        <v>0.497270363205162</v>
      </c>
      <c r="U331" s="1" t="n">
        <f aca="false">U330*$C$338</f>
        <v>0.509333720330039</v>
      </c>
      <c r="V331" s="1" t="n">
        <f aca="false">V330*$C$338</f>
        <v>0.521738082442973</v>
      </c>
      <c r="W331" s="1" t="n">
        <f aca="false">W330*$C$338</f>
        <v>0.534490273882777</v>
      </c>
      <c r="X331" s="1" t="n">
        <f aca="false">X330*$C$338</f>
        <v>0.543136175402898</v>
      </c>
      <c r="Y331" s="1" t="n">
        <f aca="false">Y330*$C$338</f>
        <v>0.550810473364589</v>
      </c>
      <c r="Z331" s="1" t="n">
        <f aca="false">Z330*$C$338</f>
        <v>0.558321412599824</v>
      </c>
      <c r="AA331" s="1" t="n">
        <f aca="false">AA330*$C$338</f>
        <v>0.565669475083729</v>
      </c>
      <c r="AB331" s="1" t="n">
        <f aca="false">AB330*$C$338</f>
        <v>0.572855155751059</v>
      </c>
      <c r="AC331" s="1" t="n">
        <f aca="false">AC330*$C$338</f>
        <v>0.579878068186281</v>
      </c>
      <c r="AD331" s="1" t="n">
        <f aca="false">AD330*$C$338</f>
        <v>0.586737837136519</v>
      </c>
      <c r="AE331" s="1" t="n">
        <f aca="false">AE330*$C$338</f>
        <v>0.593434097665433</v>
      </c>
      <c r="AF331" s="1" t="n">
        <f aca="false">AF330*$C$338</f>
        <v>0.599966494339248</v>
      </c>
    </row>
    <row r="332" customFormat="false" ht="14.25" hidden="false" customHeight="true" outlineLevel="0" collapsed="false">
      <c r="B332" s="1" t="s">
        <v>1325</v>
      </c>
      <c r="C332" s="1" t="n">
        <f aca="false">IF($C$339&lt;=0,C331,IF($C$339=1,0,0))</f>
        <v>0</v>
      </c>
      <c r="D332" s="1" t="n">
        <f aca="false">IF($C$339&lt;=0,D331,IF($C$339=1,C331,0))</f>
        <v>0.00757810457799599</v>
      </c>
      <c r="E332" s="1" t="n">
        <f aca="false">IF($C$339&lt;=0,E331,IF($C$339=1,D331,C331))</f>
        <v>0.0247428478031042</v>
      </c>
      <c r="F332" s="1" t="n">
        <f aca="false">IF($C$339&lt;=0,F331,IF($C$339=1,E331,D331))</f>
        <v>0.0444437422295437</v>
      </c>
      <c r="G332" s="1" t="n">
        <f aca="false">IF($C$339&lt;=0,G331,IF($C$339=1,F331,E331))</f>
        <v>0.019668424882055</v>
      </c>
      <c r="H332" s="1" t="n">
        <f aca="false">IF($C$339&lt;=0,H331,IF($C$339=1,G331,F331))</f>
        <v>0.0499021219368733</v>
      </c>
      <c r="I332" s="1" t="n">
        <f aca="false">IF($C$339&lt;=0,I331,IF($C$339=1,H331,G331))</f>
        <v>0.0809472050530189</v>
      </c>
      <c r="J332" s="1" t="n">
        <f aca="false">IF($C$339&lt;=0,J331,IF($C$339=1,I331,H331))</f>
        <v>0.112822719096686</v>
      </c>
      <c r="K332" s="1" t="n">
        <f aca="false">IF($C$339&lt;=0,K331,IF($C$339=1,J331,I331))</f>
        <v>0.145548127816653</v>
      </c>
      <c r="L332" s="1" t="n">
        <f aca="false">IF($C$339&lt;=0,L331,IF($C$339=1,K331,J331))</f>
        <v>0.179143324436047</v>
      </c>
      <c r="M332" s="1" t="n">
        <f aca="false">IF($C$339&lt;=0,M331,IF($C$339=1,L331,K331))</f>
        <v>0.213628642439849</v>
      </c>
      <c r="N332" s="1" t="n">
        <f aca="false">IF($C$339&lt;=0,N331,IF($C$339=1,M331,L331))</f>
        <v>0.283575798459005</v>
      </c>
      <c r="O332" s="1" t="n">
        <f aca="false">IF($C$339&lt;=0,O331,IF($C$339=1,N331,M331))</f>
        <v>0.34539340246457</v>
      </c>
      <c r="P332" s="1" t="n">
        <f aca="false">IF($C$339&lt;=0,P331,IF($C$339=1,O331,N331))</f>
        <v>0.38558700119209</v>
      </c>
      <c r="Q332" s="1" t="n">
        <f aca="false">IF($C$339&lt;=0,Q331,IF($C$339=1,P331,O331))</f>
        <v>0.427390339663943</v>
      </c>
      <c r="R332" s="1" t="n">
        <f aca="false">IF($C$339&lt;=0,R331,IF($C$339=1,Q331,P331))</f>
        <v>0.470123603642698</v>
      </c>
      <c r="S332" s="1" t="n">
        <f aca="false">IF($C$339&lt;=0,S331,IF($C$339=1,R331,Q331))</f>
        <v>0.485543656655988</v>
      </c>
      <c r="T332" s="1" t="n">
        <f aca="false">IF($C$339&lt;=0,T331,IF($C$339=1,S331,R331))</f>
        <v>0.497270363205162</v>
      </c>
      <c r="U332" s="1" t="n">
        <f aca="false">IF($C$339&lt;=0,U331,IF($C$339=1,T331,S331))</f>
        <v>0.509333720330039</v>
      </c>
      <c r="V332" s="1" t="n">
        <f aca="false">IF($C$339&lt;=0,V331,IF($C$339=1,U331,T331))</f>
        <v>0.521738082442973</v>
      </c>
      <c r="W332" s="1" t="n">
        <f aca="false">IF($C$339&lt;=0,W331,IF($C$339=1,V331,U331))</f>
        <v>0.534490273882777</v>
      </c>
      <c r="X332" s="1" t="n">
        <f aca="false">IF($C$339&lt;=0,X331,IF($C$339=1,W331,V331))</f>
        <v>0.543136175402898</v>
      </c>
      <c r="Y332" s="1" t="n">
        <f aca="false">IF($C$339&lt;=0,Y331,IF($C$339=1,X331,W331))</f>
        <v>0.550810473364589</v>
      </c>
      <c r="Z332" s="1" t="n">
        <f aca="false">IF($C$339&lt;=0,Z331,IF($C$339=1,Y331,X331))</f>
        <v>0.558321412599824</v>
      </c>
      <c r="AA332" s="1" t="n">
        <f aca="false">IF($C$339&lt;=0,AA331,IF($C$339=1,Z331,Y331))</f>
        <v>0.565669475083729</v>
      </c>
      <c r="AB332" s="1" t="n">
        <f aca="false">IF($C$339&lt;=0,AB331,IF($C$339=1,AA331,Z331))</f>
        <v>0.572855155751059</v>
      </c>
      <c r="AC332" s="1" t="n">
        <f aca="false">IF($C$339&lt;=0,AC331,IF($C$339=1,AB331,AA331))</f>
        <v>0.579878068186281</v>
      </c>
      <c r="AD332" s="1" t="n">
        <f aca="false">IF($C$339&lt;=0,AD331,IF($C$339=1,AC331,AB331))</f>
        <v>0.586737837136519</v>
      </c>
      <c r="AE332" s="1" t="n">
        <f aca="false">IF($C$339&lt;=0,AE331,IF($C$339=1,AD331,AC331))</f>
        <v>0.593434097665433</v>
      </c>
      <c r="AF332" s="1" t="n">
        <f aca="false">IF($C$339&lt;=0,AF331,IF($C$339=1,AE331,AD331))</f>
        <v>0.599966494339248</v>
      </c>
    </row>
    <row r="333" customFormat="false" ht="14.25" hidden="false" customHeight="true" outlineLevel="0" collapsed="false">
      <c r="B333" s="1" t="s">
        <v>1326</v>
      </c>
      <c r="C333" s="1" t="n">
        <f aca="false">C330-C331</f>
        <v>0</v>
      </c>
      <c r="D333" s="1" t="n">
        <f aca="false">D330-D331</f>
        <v>0.0140736227877068</v>
      </c>
      <c r="E333" s="1" t="n">
        <f aca="false">E330-E331</f>
        <v>0.0459510030629078</v>
      </c>
      <c r="F333" s="1" t="n">
        <f aca="false">F330-F331</f>
        <v>0.0825383784262954</v>
      </c>
      <c r="G333" s="1" t="n">
        <f aca="false">G330-G331</f>
        <v>0.0365270747809592</v>
      </c>
      <c r="H333" s="1" t="n">
        <f aca="false">H330-H331</f>
        <v>0.0926753693113361</v>
      </c>
      <c r="I333" s="1" t="n">
        <f aca="false">I330-I331</f>
        <v>0.150330523669892</v>
      </c>
      <c r="J333" s="1" t="n">
        <f aca="false">J330-J331</f>
        <v>0.209527906893846</v>
      </c>
      <c r="K333" s="1" t="n">
        <f aca="false">K330-K331</f>
        <v>0.270303665945214</v>
      </c>
      <c r="L333" s="1" t="n">
        <f aca="false">L330-L331</f>
        <v>0.332694745381231</v>
      </c>
      <c r="M333" s="1" t="n">
        <f aca="false">M330-M331</f>
        <v>0.39673890738829</v>
      </c>
      <c r="N333" s="1" t="n">
        <f aca="false">N330-N331</f>
        <v>0.526640768566724</v>
      </c>
      <c r="O333" s="1" t="n">
        <f aca="false">O330-O331</f>
        <v>0.641444890291345</v>
      </c>
      <c r="P333" s="1" t="n">
        <f aca="false">P330-P331</f>
        <v>0.716090145071024</v>
      </c>
      <c r="Q333" s="1" t="n">
        <f aca="false">Q330-Q331</f>
        <v>0.793724916518752</v>
      </c>
      <c r="R333" s="1" t="n">
        <f aca="false">R330-R331</f>
        <v>0.873086692479296</v>
      </c>
      <c r="S333" s="1" t="n">
        <f aca="false">S330-S331</f>
        <v>0.901723933789692</v>
      </c>
      <c r="T333" s="1" t="n">
        <f aca="false">T330-T331</f>
        <v>0.923502103095301</v>
      </c>
      <c r="U333" s="1" t="n">
        <f aca="false">U330-U331</f>
        <v>0.945905480612929</v>
      </c>
      <c r="V333" s="1" t="n">
        <f aca="false">V330-V331</f>
        <v>0.968942153108379</v>
      </c>
      <c r="W333" s="1" t="n">
        <f aca="false">W330-W331</f>
        <v>0.992624794353728</v>
      </c>
      <c r="X333" s="1" t="n">
        <f aca="false">X330-X331</f>
        <v>1.00868146860538</v>
      </c>
      <c r="Y333" s="1" t="n">
        <f aca="false">Y330-Y331</f>
        <v>1.02293373624852</v>
      </c>
      <c r="Z333" s="1" t="n">
        <f aca="false">Z330-Z331</f>
        <v>1.03688262339967</v>
      </c>
      <c r="AA333" s="1" t="n">
        <f aca="false">AA330-AA331</f>
        <v>1.0505290251555</v>
      </c>
      <c r="AB333" s="1" t="n">
        <f aca="false">AB330-AB331</f>
        <v>1.06387386068054</v>
      </c>
      <c r="AC333" s="1" t="n">
        <f aca="false">AC330-AC331</f>
        <v>1.07691641234595</v>
      </c>
      <c r="AD333" s="1" t="n">
        <f aca="false">AD330-AD331</f>
        <v>1.08965598325354</v>
      </c>
      <c r="AE333" s="1" t="n">
        <f aca="false">AE330-AE331</f>
        <v>1.10209189566438</v>
      </c>
      <c r="AF333" s="1" t="n">
        <f aca="false">AF330-AF331</f>
        <v>1.11422348948717</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01_Supuestos!$C$191</f>
        <v>0.35</v>
      </c>
      <c r="D338" s="1" t="s">
        <v>1347</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0.00909372549359519</v>
      </c>
      <c r="E341" s="1" t="n">
        <f aca="false">D284*$C$340</f>
        <v>0.029691417363725</v>
      </c>
      <c r="F341" s="1" t="n">
        <f aca="false">E284*$C$340</f>
        <v>0.0533324906754524</v>
      </c>
      <c r="G341" s="1" t="n">
        <f aca="false">F284*$C$340</f>
        <v>0.0236021098584659</v>
      </c>
      <c r="H341" s="1" t="n">
        <f aca="false">G284*$C$340</f>
        <v>0.0598825463242479</v>
      </c>
      <c r="I341" s="1" t="n">
        <f aca="false">H284*$C$340</f>
        <v>0.0971366460636227</v>
      </c>
      <c r="J341" s="1" t="n">
        <f aca="false">I284*$C$340</f>
        <v>0.135387262916024</v>
      </c>
      <c r="K341" s="1" t="n">
        <f aca="false">J284*$C$340</f>
        <v>0.174657753379984</v>
      </c>
      <c r="L341" s="1" t="n">
        <f aca="false">K284*$C$340</f>
        <v>0.214971989323257</v>
      </c>
      <c r="M341" s="1" t="n">
        <f aca="false">L284*$C$340</f>
        <v>0.256354370927818</v>
      </c>
      <c r="N341" s="1" t="n">
        <f aca="false">M284*$C$340</f>
        <v>0.340290958150806</v>
      </c>
      <c r="O341" s="1" t="n">
        <f aca="false">N284*$C$340</f>
        <v>0.414472082957484</v>
      </c>
      <c r="P341" s="1" t="n">
        <f aca="false">O284*$C$340</f>
        <v>0.462704401430508</v>
      </c>
      <c r="Q341" s="1" t="n">
        <f aca="false">P284*$C$340</f>
        <v>0.512868407596732</v>
      </c>
      <c r="R341" s="1" t="n">
        <f aca="false">Q284*$C$340</f>
        <v>0.564148324371237</v>
      </c>
      <c r="S341" s="1" t="n">
        <f aca="false">R284*$C$340</f>
        <v>0.582652387987185</v>
      </c>
      <c r="T341" s="1" t="n">
        <f aca="false">S284*$C$340</f>
        <v>0.596724435846194</v>
      </c>
      <c r="U341" s="1" t="n">
        <f aca="false">T284*$C$340</f>
        <v>0.611200464396047</v>
      </c>
      <c r="V341" s="1" t="n">
        <f aca="false">U284*$C$340</f>
        <v>0.626085698931568</v>
      </c>
      <c r="W341" s="1" t="n">
        <f aca="false">V284*$C$340</f>
        <v>0.641388328659332</v>
      </c>
      <c r="X341" s="1" t="n">
        <f aca="false">W284*$C$340</f>
        <v>0.651763410483477</v>
      </c>
      <c r="Y341" s="1" t="n">
        <f aca="false">X284*$C$340</f>
        <v>0.660972568037507</v>
      </c>
      <c r="Z341" s="1" t="n">
        <f aca="false">Y284*$C$340</f>
        <v>0.669985695119788</v>
      </c>
      <c r="AA341" s="1" t="n">
        <f aca="false">Z284*$C$340</f>
        <v>0.678803370100475</v>
      </c>
      <c r="AB341" s="1" t="n">
        <f aca="false">AA284*$C$340</f>
        <v>0.687426186901271</v>
      </c>
      <c r="AC341" s="1" t="n">
        <f aca="false">AB284*$C$340</f>
        <v>0.695853681823538</v>
      </c>
      <c r="AD341" s="1" t="n">
        <f aca="false">AC284*$C$340</f>
        <v>0.704085404563823</v>
      </c>
      <c r="AE341" s="1" t="n">
        <f aca="false">AD284*$C$340</f>
        <v>0.712120917198519</v>
      </c>
      <c r="AF341" s="1" t="n">
        <f aca="false">AE284*$C$340</f>
        <v>0.719959793207098</v>
      </c>
    </row>
    <row r="342" customFormat="false" ht="14.25" hidden="false" customHeight="true" outlineLevel="0" collapsed="false">
      <c r="B342" s="1" t="s">
        <v>1336</v>
      </c>
      <c r="C342" s="1" t="n">
        <f aca="false">0*$C$340</f>
        <v>0</v>
      </c>
      <c r="D342" s="1" t="n">
        <f aca="false">C289*$C$340</f>
        <v>0.0125580018721076</v>
      </c>
      <c r="E342" s="1" t="n">
        <f aca="false">D289*$C$340</f>
        <v>0.041002433502287</v>
      </c>
      <c r="F342" s="1" t="n">
        <f aca="false">E289*$C$340</f>
        <v>0.0736496299803866</v>
      </c>
      <c r="G342" s="1" t="n">
        <f aca="false">F289*$C$340</f>
        <v>0.0325933898045482</v>
      </c>
      <c r="H342" s="1" t="n">
        <f aca="false">G289*$C$340</f>
        <v>0.0826949449239614</v>
      </c>
      <c r="I342" s="1" t="n">
        <f aca="false">H289*$C$340</f>
        <v>0.134141082659289</v>
      </c>
      <c r="J342" s="1" t="n">
        <f aca="false">I289*$C$340</f>
        <v>0.186963363074509</v>
      </c>
      <c r="K342" s="1" t="n">
        <f aca="false">J289*$C$340</f>
        <v>0.241194040381883</v>
      </c>
      <c r="L342" s="1" t="n">
        <f aca="false">K289*$C$340</f>
        <v>0.296866080494021</v>
      </c>
      <c r="M342" s="1" t="n">
        <f aca="false">L289*$C$340</f>
        <v>0.354013178900321</v>
      </c>
      <c r="N342" s="1" t="n">
        <f aca="false">M289*$C$340</f>
        <v>0.469925608874923</v>
      </c>
      <c r="O342" s="1" t="n">
        <f aca="false">N289*$C$340</f>
        <v>0.572366209798431</v>
      </c>
      <c r="P342" s="1" t="n">
        <f aca="false">O289*$C$340</f>
        <v>0.638972744832606</v>
      </c>
      <c r="Q342" s="1" t="n">
        <f aca="false">P289*$C$340</f>
        <v>0.708246848585964</v>
      </c>
      <c r="R342" s="1" t="n">
        <f aca="false">Q289*$C$340</f>
        <v>0.779061971750756</v>
      </c>
      <c r="S342" s="1" t="n">
        <f aca="false">R289*$C$340</f>
        <v>0.804615202458494</v>
      </c>
      <c r="T342" s="1" t="n">
        <f aca="false">S289*$C$340</f>
        <v>0.824048030454268</v>
      </c>
      <c r="U342" s="1" t="n">
        <f aca="false">T289*$C$340</f>
        <v>0.844038736546922</v>
      </c>
      <c r="V342" s="1" t="n">
        <f aca="false">U289*$C$340</f>
        <v>0.864594536619785</v>
      </c>
      <c r="W342" s="1" t="n">
        <f aca="false">V289*$C$340</f>
        <v>0.885726739577173</v>
      </c>
      <c r="X342" s="1" t="n">
        <f aca="false">W289*$C$340</f>
        <v>0.900054233524802</v>
      </c>
      <c r="Y342" s="1" t="n">
        <f aca="false">X289*$C$340</f>
        <v>0.912771641575605</v>
      </c>
      <c r="Z342" s="1" t="n">
        <f aca="false">Y289*$C$340</f>
        <v>0.925218340879708</v>
      </c>
      <c r="AA342" s="1" t="n">
        <f aca="false">Z289*$C$340</f>
        <v>0.937395130138751</v>
      </c>
      <c r="AB342" s="1" t="n">
        <f aca="false">AA289*$C$340</f>
        <v>0.949302829530326</v>
      </c>
      <c r="AC342" s="1" t="n">
        <f aca="false">AB289*$C$340</f>
        <v>0.960940798708695</v>
      </c>
      <c r="AD342" s="1" t="n">
        <f aca="false">AC289*$C$340</f>
        <v>0.972308415826232</v>
      </c>
      <c r="AE342" s="1" t="n">
        <f aca="false">AD289*$C$340</f>
        <v>0.983405076131289</v>
      </c>
      <c r="AF342" s="1" t="n">
        <f aca="false">AE289*$C$340</f>
        <v>0.994230190619325</v>
      </c>
    </row>
    <row r="343" customFormat="false" ht="14.25" hidden="false" customHeight="true" outlineLevel="0" collapsed="false">
      <c r="B343" s="1" t="s">
        <v>1337</v>
      </c>
      <c r="C343" s="1" t="n">
        <f aca="false">C341+C342</f>
        <v>0</v>
      </c>
      <c r="D343" s="1" t="n">
        <f aca="false">D341+D342</f>
        <v>0.0216517273657028</v>
      </c>
      <c r="E343" s="1" t="n">
        <f aca="false">E341+E342</f>
        <v>0.070693850866012</v>
      </c>
      <c r="F343" s="1" t="n">
        <f aca="false">F341+F342</f>
        <v>0.126982120655839</v>
      </c>
      <c r="G343" s="1" t="n">
        <f aca="false">G341+G342</f>
        <v>0.0561954996630142</v>
      </c>
      <c r="H343" s="1" t="n">
        <f aca="false">H341+H342</f>
        <v>0.142577491248209</v>
      </c>
      <c r="I343" s="1" t="n">
        <f aca="false">I341+I342</f>
        <v>0.231277728722911</v>
      </c>
      <c r="J343" s="1" t="n">
        <f aca="false">J341+J342</f>
        <v>0.322350625990533</v>
      </c>
      <c r="K343" s="1" t="n">
        <f aca="false">K341+K342</f>
        <v>0.415851793761867</v>
      </c>
      <c r="L343" s="1" t="n">
        <f aca="false">L341+L342</f>
        <v>0.511838069817278</v>
      </c>
      <c r="M343" s="1" t="n">
        <f aca="false">M341+M342</f>
        <v>0.610367549828139</v>
      </c>
      <c r="N343" s="1" t="n">
        <f aca="false">N341+N342</f>
        <v>0.810216567025728</v>
      </c>
      <c r="O343" s="1" t="n">
        <f aca="false">O341+O342</f>
        <v>0.986838292755915</v>
      </c>
      <c r="P343" s="1" t="n">
        <f aca="false">P341+P342</f>
        <v>1.10167714626311</v>
      </c>
      <c r="Q343" s="1" t="n">
        <f aca="false">Q341+Q342</f>
        <v>1.2211152561827</v>
      </c>
      <c r="R343" s="1" t="n">
        <f aca="false">R341+R342</f>
        <v>1.34321029612199</v>
      </c>
      <c r="S343" s="1" t="n">
        <f aca="false">S341+S342</f>
        <v>1.38726759044568</v>
      </c>
      <c r="T343" s="1" t="n">
        <f aca="false">T341+T342</f>
        <v>1.42077246630046</v>
      </c>
      <c r="U343" s="1" t="n">
        <f aca="false">U341+U342</f>
        <v>1.45523920094297</v>
      </c>
      <c r="V343" s="1" t="n">
        <f aca="false">V341+V342</f>
        <v>1.49068023555135</v>
      </c>
      <c r="W343" s="1" t="n">
        <f aca="false">W341+W342</f>
        <v>1.5271150682365</v>
      </c>
      <c r="X343" s="1" t="n">
        <f aca="false">X341+X342</f>
        <v>1.55181764400828</v>
      </c>
      <c r="Y343" s="1" t="n">
        <f aca="false">Y341+Y342</f>
        <v>1.57374420961311</v>
      </c>
      <c r="Z343" s="1" t="n">
        <f aca="false">Z341+Z342</f>
        <v>1.5952040359995</v>
      </c>
      <c r="AA343" s="1" t="n">
        <f aca="false">AA341+AA342</f>
        <v>1.61619850023923</v>
      </c>
      <c r="AB343" s="1" t="n">
        <f aca="false">AB341+AB342</f>
        <v>1.6367290164316</v>
      </c>
      <c r="AC343" s="1" t="n">
        <f aca="false">AC341+AC342</f>
        <v>1.65679448053223</v>
      </c>
      <c r="AD343" s="1" t="n">
        <f aca="false">AD341+AD342</f>
        <v>1.67639382039005</v>
      </c>
      <c r="AE343" s="1" t="n">
        <f aca="false">AE341+AE342</f>
        <v>1.69552599332981</v>
      </c>
      <c r="AF343" s="1" t="n">
        <f aca="false">AF341+AF342</f>
        <v>1.71418998382642</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1352</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23.0825399625578</v>
      </c>
      <c r="D72" s="116" t="n">
        <f aca="false">IF($C$173="Sí",(D83-D326)+D181,$C$15*C83)</f>
        <v>47.0141338127306</v>
      </c>
      <c r="E72" s="116" t="n">
        <f aca="false">IF($C$173="Sí",(E83-E326)+E181,$C$15*D83)</f>
        <v>72.0117690154988</v>
      </c>
      <c r="F72" s="116" t="n">
        <f aca="false">IF($C$173="Sí",(F83-F326)+F181,$C$15*E83)</f>
        <v>99.3789970213181</v>
      </c>
      <c r="G72" s="116" t="n">
        <f aca="false">IF($C$173="Sí",(G83-G326)+G181,$C$15*F83)</f>
        <v>125.050508141178</v>
      </c>
      <c r="H72" s="116" t="n">
        <f aca="false">IF($C$173="Sí",(H83-H326)+H181,$C$15*G83)</f>
        <v>143.227099216829</v>
      </c>
      <c r="I72" s="116" t="n">
        <f aca="false">IF($C$173="Sí",(I83-I326)+I181,$C$15*H83)</f>
        <v>162.310504350449</v>
      </c>
      <c r="J72" s="116" t="n">
        <f aca="false">IF($C$173="Sí",(J83-J326)+J181,$C$15*I83)</f>
        <v>181.831877487746</v>
      </c>
      <c r="K72" s="116" t="n">
        <f aca="false">IF($C$173="Sí",(K83-K326)+K181,$C$15*J83)</f>
        <v>193.7424910854</v>
      </c>
      <c r="L72" s="116" t="n">
        <f aca="false">IF($C$173="Sí",(L83-L326)+L181,$C$15*K83)</f>
        <v>199.076779260159</v>
      </c>
      <c r="M72" s="116" t="n">
        <f aca="false">IF($C$173="Sí",(M83-M326)+M181,$C$15*L83)</f>
        <v>202.716388742764</v>
      </c>
      <c r="N72" s="116" t="n">
        <f aca="false">IF($C$173="Sí",(N83-N326)+N181,$C$15*M83)</f>
        <v>207.146752447881</v>
      </c>
      <c r="O72" s="116" t="n">
        <f aca="false">IF($C$173="Sí",(O83-O326)+O181,$C$15*N83)</f>
        <v>212.566404343349</v>
      </c>
      <c r="P72" s="116" t="n">
        <f aca="false">IF($C$173="Sí",(P83-P326)+P181,$C$15*O83)</f>
        <v>217.638405456127</v>
      </c>
      <c r="Q72" s="116" t="n">
        <f aca="false">IF($C$173="Sí",(Q83-Q326)+Q181,$C$15*P83)</f>
        <v>222.638047792928</v>
      </c>
      <c r="R72" s="116" t="n">
        <f aca="false">IF($C$173="Sí",(R83-R326)+R181,$C$15*Q83)</f>
        <v>227.757710474245</v>
      </c>
      <c r="S72" s="116" t="n">
        <f aca="false">IF($C$173="Sí",(S83-S326)+S181,$C$15*R83)</f>
        <v>232.994414025054</v>
      </c>
      <c r="T72" s="116" t="n">
        <f aca="false">IF($C$173="Sí",(T83-T326)+T181,$C$15*S83)</f>
        <v>238.351168140274</v>
      </c>
      <c r="U72" s="116" t="n">
        <f aca="false">IF($C$173="Sí",(U83-U326)+U181,$C$15*T83)</f>
        <v>243.830779524503</v>
      </c>
      <c r="V72" s="116" t="n">
        <f aca="false">IF($C$173="Sí",(V83-V326)+V181,$C$15*U83)</f>
        <v>249.436104026649</v>
      </c>
      <c r="W72" s="116" t="n">
        <f aca="false">IF($C$173="Sí",(W83-W326)+W181,$C$15*V83)</f>
        <v>255.168854966273</v>
      </c>
      <c r="X72" s="116" t="n">
        <f aca="false">IF($C$173="Sí",(X83-X326)+X181,$C$15*W83)</f>
        <v>261.032589781022</v>
      </c>
      <c r="Y72" s="116" t="n">
        <f aca="false">IF($C$173="Sí",(Y83-Y326)+Y181,$C$15*X83)</f>
        <v>267.030690985673</v>
      </c>
      <c r="Z72" s="116" t="n">
        <f aca="false">IF($C$173="Sí",(Z83-Z326)+Z181,$C$15*Y83)</f>
        <v>273.166287332856</v>
      </c>
      <c r="AA72" s="116" t="n">
        <f aca="false">IF($C$173="Sí",(AA83-AA326)+AA181,$C$15*Z83)</f>
        <v>279.442579015975</v>
      </c>
      <c r="AB72" s="116" t="n">
        <f aca="false">IF($C$173="Sí",(AB83-AB326)+AB181,$C$15*AA83)</f>
        <v>285.862865850165</v>
      </c>
      <c r="AC72" s="116" t="n">
        <f aca="false">IF($C$173="Sí",(AC83-AC326)+AC181,$C$15*AB83)</f>
        <v>292.430509873549</v>
      </c>
      <c r="AD72" s="116" t="n">
        <f aca="false">IF($C$173="Sí",(AD83-AD326)+AD181,$C$15*AC83)</f>
        <v>299.148942609487</v>
      </c>
      <c r="AE72" s="116" t="n">
        <f aca="false">IF($C$173="Sí",(AE83-AE326)+AE181,$C$15*AD83)</f>
        <v>306.021674035579</v>
      </c>
      <c r="AF72" s="116" t="n">
        <f aca="false">IF($C$173="Sí",(AF83-AF326)+AF181,$C$15*AE83)</f>
        <v>313.052294430517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23.0825399625578</v>
      </c>
      <c r="D73" s="116" t="n">
        <f aca="false">D72-C72</f>
        <v>23.9315938501728</v>
      </c>
      <c r="E73" s="116" t="n">
        <f aca="false">E72-D72</f>
        <v>24.9976352027682</v>
      </c>
      <c r="F73" s="116" t="n">
        <f aca="false">F72-E72</f>
        <v>27.3672280058192</v>
      </c>
      <c r="G73" s="116" t="n">
        <f aca="false">G72-F72</f>
        <v>25.6715111198599</v>
      </c>
      <c r="H73" s="116" t="n">
        <f aca="false">H72-G72</f>
        <v>18.1765910756509</v>
      </c>
      <c r="I73" s="116" t="n">
        <f aca="false">I72-H72</f>
        <v>19.0834051336199</v>
      </c>
      <c r="J73" s="116" t="n">
        <f aca="false">J72-I72</f>
        <v>19.5213731372978</v>
      </c>
      <c r="K73" s="116" t="n">
        <f aca="false">K72-J72</f>
        <v>11.9106135976535</v>
      </c>
      <c r="L73" s="116" t="n">
        <f aca="false">L72-K72</f>
        <v>5.3342881747592</v>
      </c>
      <c r="M73" s="116" t="n">
        <f aca="false">M72-L72</f>
        <v>3.63960948260481</v>
      </c>
      <c r="N73" s="116" t="n">
        <f aca="false">N72-M72</f>
        <v>4.4303637051172</v>
      </c>
      <c r="O73" s="116" t="n">
        <f aca="false">O72-N72</f>
        <v>5.41965189546809</v>
      </c>
      <c r="P73" s="116" t="n">
        <f aca="false">P72-O72</f>
        <v>5.07200111277757</v>
      </c>
      <c r="Q73" s="116" t="n">
        <f aca="false">Q72-P72</f>
        <v>4.99964233680112</v>
      </c>
      <c r="R73" s="116" t="n">
        <f aca="false">R72-Q72</f>
        <v>5.11966268131729</v>
      </c>
      <c r="S73" s="116" t="n">
        <f aca="false">S72-R72</f>
        <v>5.23670355080884</v>
      </c>
      <c r="T73" s="116" t="n">
        <f aca="false">T72-S72</f>
        <v>5.35675411522033</v>
      </c>
      <c r="U73" s="116" t="n">
        <f aca="false">U72-T72</f>
        <v>5.47961138422883</v>
      </c>
      <c r="V73" s="116" t="n">
        <f aca="false">V72-U72</f>
        <v>5.60532450214538</v>
      </c>
      <c r="W73" s="116" t="n">
        <f aca="false">W72-V72</f>
        <v>5.73275093962448</v>
      </c>
      <c r="X73" s="116" t="n">
        <f aca="false">X72-W72</f>
        <v>5.86373481474868</v>
      </c>
      <c r="Y73" s="116" t="n">
        <f aca="false">Y72-X72</f>
        <v>5.99810120465077</v>
      </c>
      <c r="Z73" s="116" t="n">
        <f aca="false">Z72-Y72</f>
        <v>6.13559634718331</v>
      </c>
      <c r="AA73" s="116" t="n">
        <f aca="false">AA72-Z72</f>
        <v>6.27629168311955</v>
      </c>
      <c r="AB73" s="116" t="n">
        <f aca="false">AB72-AA72</f>
        <v>6.42028683418982</v>
      </c>
      <c r="AC73" s="116" t="n">
        <f aca="false">AC72-AB72</f>
        <v>6.56764402338416</v>
      </c>
      <c r="AD73" s="116" t="n">
        <f aca="false">AD72-AC72</f>
        <v>6.718432735938</v>
      </c>
      <c r="AE73" s="116" t="n">
        <f aca="false">AE72-AD72</f>
        <v>6.87273142609126</v>
      </c>
      <c r="AF73" s="116" t="n">
        <f aca="false">AF72-AE72</f>
        <v>7.03062039493796</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17.5436450078253</v>
      </c>
      <c r="N75" s="116" t="n">
        <f aca="false">$C$19*M81</f>
        <v>18.2057393077881</v>
      </c>
      <c r="O75" s="116" t="n">
        <f aca="false">$C$19*N81</f>
        <v>18.857128312589</v>
      </c>
      <c r="P75" s="116" t="n">
        <f aca="false">$C$19*O81</f>
        <v>19.4721046965341</v>
      </c>
      <c r="Q75" s="116" t="n">
        <f aca="false">$C$19*P81</f>
        <v>19.9596856713382</v>
      </c>
      <c r="R75" s="116" t="n">
        <f aca="false">$C$19*Q81</f>
        <v>20.4508338478408</v>
      </c>
      <c r="S75" s="116" t="n">
        <f aca="false">$C$19*R81</f>
        <v>20.9409094868431</v>
      </c>
      <c r="T75" s="116" t="n">
        <f aca="false">$C$19*S81</f>
        <v>21.4303690366331</v>
      </c>
      <c r="U75" s="116" t="n">
        <f aca="false">$C$19*T81</f>
        <v>21.9199907575986</v>
      </c>
      <c r="V75" s="116" t="n">
        <f aca="false">$C$19*U81</f>
        <v>22.4105374495031</v>
      </c>
      <c r="W75" s="116" t="n">
        <f aca="false">$C$19*V81</f>
        <v>22.902768286286</v>
      </c>
      <c r="X75" s="116" t="n">
        <f aca="false">$C$19*W81</f>
        <v>23.3904973952468</v>
      </c>
      <c r="Y75" s="116" t="n">
        <f aca="false">$C$19*X81</f>
        <v>23.8745192951472</v>
      </c>
      <c r="Z75" s="116" t="n">
        <f aca="false">$C$19*Y81</f>
        <v>24.3556346397177</v>
      </c>
      <c r="AA75" s="116" t="n">
        <f aca="false">$C$19*Z81</f>
        <v>24.8346488037831</v>
      </c>
      <c r="AB75" s="116" t="n">
        <f aca="false">$C$19*AA81</f>
        <v>25.312373080824</v>
      </c>
      <c r="AC75" s="116" t="n">
        <f aca="false">$C$19*AB81</f>
        <v>25.7897774283822</v>
      </c>
      <c r="AD75" s="116" t="n">
        <f aca="false">$C$19*AC81</f>
        <v>26.2678373993322</v>
      </c>
      <c r="AE75" s="116" t="n">
        <f aca="false">$C$19*AD81</f>
        <v>26.7475354281572</v>
      </c>
      <c r="AF75" s="116" t="n">
        <f aca="false">$C$19*AE81</f>
        <v>27.2298621400026</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561.929775426278</v>
      </c>
      <c r="E76" s="116" t="n">
        <f aca="false">(IF($C$173="Sí",(MAX(0,E74-D96)+MAX(0,D276+E53-E75))/E327,E73+MAX(0,E74-D96)+MAX(0,D276+E53-E75)))+IF($C$173="Sí",MAX(0,$C$226*(E70+D121)*0.3/0.55-D227)/E327,0)</f>
        <v>570.995628847226</v>
      </c>
      <c r="F76" s="116" t="n">
        <f aca="false">(IF($C$173="Sí",(MAX(0,F74-E96)+MAX(0,E276+F53-F75))/F327,F73+MAX(0,F74-E96)+MAX(0,E276+F53-F75)))+IF($C$173="Sí",MAX(0,$C$226*(F70+E121)*0.3/0.55-E227)/F327,0)</f>
        <v>686.611127578746</v>
      </c>
      <c r="G76" s="116" t="n">
        <f aca="false">(IF($C$173="Sí",(MAX(0,G74-F96)+MAX(0,F276+G53-G75))/G327,G73+MAX(0,G74-F96)+MAX(0,F276+G53-G75)))+IF($C$173="Sí",MAX(0,$C$226*(G70+F121)*0.3/0.55-F227)/G327,0)</f>
        <v>2286.75666606198</v>
      </c>
      <c r="H76" s="116" t="n">
        <f aca="false">(IF($C$173="Sí",(MAX(0,H74-G96)+MAX(0,G276+H53-H75))/H327,H73+MAX(0,H74-G96)+MAX(0,G276+H53-H75)))+IF($C$173="Sí",MAX(0,$C$226*(H70+G121)*0.3/0.55-G227)/H327,0)</f>
        <v>783.019616428668</v>
      </c>
      <c r="I76" s="116" t="n">
        <f aca="false">(IF($C$173="Sí",(MAX(0,I74-H96)+MAX(0,H276+I53-I75))/I327,I73+MAX(0,I74-H96)+MAX(0,H276+I53-I75)))+IF($C$173="Sí",MAX(0,$C$226*(I70+H121)*0.3/0.55-H227)/I327,0)</f>
        <v>867.093409018714</v>
      </c>
      <c r="J76" s="116" t="n">
        <f aca="false">(IF($C$173="Sí",(MAX(0,J74-I96)+MAX(0,I276+J53-J75))/J327,J73+MAX(0,J74-I96)+MAX(0,I276+J53-J75)))+IF($C$173="Sí",MAX(0,$C$226*(J70+I121)*0.3/0.55-I227)/J327,0)</f>
        <v>967.665779279426</v>
      </c>
      <c r="K76" s="116" t="n">
        <f aca="false">(IF($C$173="Sí",(MAX(0,K74-J96)+MAX(0,J276+K53-K75))/K327,K73+MAX(0,K74-J96)+MAX(0,J276+K53-K75)))+IF($C$173="Sí",MAX(0,$C$226*(K70+J121)*0.3/0.55-J227)/K327,0)</f>
        <v>1079.79221164145</v>
      </c>
      <c r="L76" s="116" t="n">
        <f aca="false">(IF($C$173="Sí",(MAX(0,L74-K96)+MAX(0,K276+L53-L75))/L327,L73+MAX(0,L74-K96)+MAX(0,K276+L53-L75)))+IF($C$173="Sí",MAX(0,$C$226*(L70+K121)*0.3/0.55-K227)/L327,0)</f>
        <v>1193.0456437936</v>
      </c>
      <c r="M76" s="116" t="n">
        <f aca="false">(IF($C$173="Sí",(MAX(0,M74-L96)+MAX(0,L276+M53-M75))/M327,M73+MAX(0,M74-L96)+MAX(0,L276+M53-M75)))+IF($C$173="Sí",MAX(0,$C$226*(M70+L121)*0.3/0.55-L227)/M327,0)</f>
        <v>1149.78688034412</v>
      </c>
      <c r="N76" s="116" t="n">
        <f aca="false">(IF($C$173="Sí",(MAX(0,N74-M96)+MAX(0,M276+N53-N75))/N327,N73+MAX(0,N74-M96)+MAX(0,M276+N53-N75)))+IF($C$173="Sí",MAX(0,$C$226*(N70+M121)*0.3/0.55-M227)/N327,0)</f>
        <v>947.35190036665</v>
      </c>
      <c r="O76" s="116" t="n">
        <f aca="false">(IF($C$173="Sí",(MAX(0,O74-N96)+MAX(0,N276+O53-O75))/O327,O73+MAX(0,O74-N96)+MAX(0,N276+O53-O75)))+IF($C$173="Sí",MAX(0,$C$226*(O70+N121)*0.3/0.55-N227)/O327,0)</f>
        <v>916.442130704627</v>
      </c>
      <c r="P76" s="116" t="n">
        <f aca="false">(IF($C$173="Sí",(MAX(0,P74-O96)+MAX(0,O276+P53-P75))/P327,P73+MAX(0,P74-O96)+MAX(0,O276+P53-P75)))+IF($C$173="Sí",MAX(0,$C$226*(P70+O121)*0.3/0.55-O227)/P327,0)</f>
        <v>1016.95117334552</v>
      </c>
      <c r="Q76" s="116" t="n">
        <f aca="false">(IF($C$173="Sí",(MAX(0,Q74-P96)+MAX(0,P276+Q53-Q75))/Q327,Q73+MAX(0,Q74-P96)+MAX(0,P276+Q53-Q75)))+IF($C$173="Sí",MAX(0,$C$226*(Q70+P121)*0.3/0.55-P227)/Q327,0)</f>
        <v>1016.92852847709</v>
      </c>
      <c r="R76" s="116" t="n">
        <f aca="false">(IF($C$173="Sí",(MAX(0,R74-Q96)+MAX(0,Q276+R53-R75))/R327,R73+MAX(0,R74-Q96)+MAX(0,Q276+R53-R75)))+IF($C$173="Sí",MAX(0,$C$226*(R70+Q121)*0.3/0.55-Q227)/R327,0)</f>
        <v>1021.72164534214</v>
      </c>
      <c r="S76" s="116" t="n">
        <f aca="false">(IF($C$173="Sí",(MAX(0,S74-R96)+MAX(0,R276+S53-S75))/S327,S73+MAX(0,S74-R96)+MAX(0,R276+S53-S75)))+IF($C$173="Sí",MAX(0,$C$226*(S70+R121)*0.3/0.55-R227)/S327,0)</f>
        <v>1026.5179553147</v>
      </c>
      <c r="T76" s="116" t="n">
        <f aca="false">(IF($C$173="Sí",(MAX(0,T74-S96)+MAX(0,S276+T53-T75))/T327,T73+MAX(0,T74-S96)+MAX(0,S276+T53-T75)))+IF($C$173="Sí",MAX(0,$C$226*(T70+S121)*0.3/0.55-S227)/T327,0)</f>
        <v>1031.51242801213</v>
      </c>
      <c r="U76" s="116" t="n">
        <f aca="false">(IF($C$173="Sí",(MAX(0,U74-T96)+MAX(0,T276+U53-U75))/U327,U73+MAX(0,U74-T96)+MAX(0,T276+U53-U75)))+IF($C$173="Sí",MAX(0,$C$226*(U70+T121)*0.3/0.55-T227)/U327,0)</f>
        <v>1036.72646888158</v>
      </c>
      <c r="V76" s="116" t="n">
        <f aca="false">(IF($C$173="Sí",(MAX(0,V74-U96)+MAX(0,U276+V53-V75))/V327,V73+MAX(0,V74-U96)+MAX(0,U276+V53-V75)))+IF($C$173="Sí",MAX(0,$C$226*(V70+U121)*0.3/0.55-U227)/V327,0)</f>
        <v>1042.16444276797</v>
      </c>
      <c r="W76" s="116" t="n">
        <f aca="false">(IF($C$173="Sí",(MAX(0,W74-V96)+MAX(0,V276+W53-W75))/W327,W73+MAX(0,W74-V96)+MAX(0,V276+W53-W75)))+IF($C$173="Sí",MAX(0,$C$226*(W70+V121)*0.3/0.55-V227)/W327,0)</f>
        <v>1047.83085896734</v>
      </c>
      <c r="X76" s="116" t="n">
        <f aca="false">(IF($C$173="Sí",(MAX(0,X74-W96)+MAX(0,W276+X53-X75))/X327,X73+MAX(0,X74-W96)+MAX(0,W276+X53-X75)))+IF($C$173="Sí",MAX(0,$C$226*(X70+W121)*0.3/0.55-W227)/X327,0)</f>
        <v>1053.47137388607</v>
      </c>
      <c r="Y76" s="116" t="n">
        <f aca="false">(IF($C$173="Sí",(MAX(0,Y74-X96)+MAX(0,X276+Y53-Y75))/Y327,Y73+MAX(0,Y74-X96)+MAX(0,X276+Y53-Y75)))+IF($C$173="Sí",MAX(0,$C$226*(Y70+X121)*0.3/0.55-X227)/Y327,0)</f>
        <v>1059.3827577849</v>
      </c>
      <c r="Z76" s="116" t="n">
        <f aca="false">(IF($C$173="Sí",(MAX(0,Z74-Y96)+MAX(0,Y276+Z53-Z75))/Z327,Z73+MAX(0,Z74-Y96)+MAX(0,Y276+Z53-Z75)))+IF($C$173="Sí",MAX(0,$C$226*(Z70+Y121)*0.3/0.55-Y227)/Z327,0)</f>
        <v>1065.5733913149</v>
      </c>
      <c r="AA76" s="116" t="n">
        <f aca="false">(IF($C$173="Sí",(MAX(0,AA74-Z96)+MAX(0,Z276+AA53-AA75))/AA327,AA73+MAX(0,AA74-Z96)+MAX(0,Z276+AA53-AA75)))+IF($C$173="Sí",MAX(0,$C$226*(AA70+Z121)*0.3/0.55-Z227)/AA327,0)</f>
        <v>1072.04889268339</v>
      </c>
      <c r="AB76" s="116" t="n">
        <f aca="false">(IF($C$173="Sí",(MAX(0,AB74-AA96)+MAX(0,AA276+AB53-AB75))/AB327,AB73+MAX(0,AB74-AA96)+MAX(0,AA276+AB53-AB75)))+IF($C$173="Sí",MAX(0,$C$226*(AB70+AA121)*0.3/0.55-AA227)/AB327,0)</f>
        <v>1078.8146025105</v>
      </c>
      <c r="AC76" s="116" t="n">
        <f aca="false">(IF($C$173="Sí",(MAX(0,AC74-AB96)+MAX(0,AB276+AC53-AC75))/AC327,AC73+MAX(0,AC74-AB96)+MAX(0,AB276+AC53-AC75)))+IF($C$173="Sí",MAX(0,$C$226*(AC70+AB121)*0.3/0.55-AB227)/AC327,0)</f>
        <v>1085.88065723563</v>
      </c>
      <c r="AD76" s="116" t="n">
        <f aca="false">(IF($C$173="Sí",(MAX(0,AD74-AC96)+MAX(0,AC276+AD53-AD75))/AD327,AD73+MAX(0,AD74-AC96)+MAX(0,AC276+AD53-AD75)))+IF($C$173="Sí",MAX(0,$C$226*(AD70+AC121)*0.3/0.55-AC227)/AD327,0)</f>
        <v>1093.25095555864</v>
      </c>
      <c r="AE76" s="116" t="n">
        <f aca="false">(IF($C$173="Sí",(MAX(0,AE74-AD96)+MAX(0,AD276+AE53-AE75))/AE327,AE73+MAX(0,AE74-AD96)+MAX(0,AD276+AE53-AE75)))+IF($C$173="Sí",MAX(0,$C$226*(AE70+AD121)*0.3/0.55-AD227)/AE327,0)</f>
        <v>1100.92911818182</v>
      </c>
      <c r="AF76" s="116" t="n">
        <f aca="false">(IF($C$173="Sí",(MAX(0,AF74-AE96)+MAX(0,AE276+AF53-AF75))/AF327,AF73+MAX(0,AF74-AE96)+MAX(0,AE276+AF53-AF75)))+IF($C$173="Sí",MAX(0,$C$226*(AF70+AE121)*0.3/0.55-AE227)/AF327,0)</f>
        <v>1108.91856554221</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16.25</v>
      </c>
      <c r="D78" s="116" t="n">
        <f aca="false">MIN(MIN(C83+IF(D$39&lt;=01_Supuestos!$C$182,01_Supuestos!$C$181,$C$174)*D41,C83+D76),IF(01_Supuestos!$C$179&gt;0,01_Supuestos!$C$179/(1-01_Supuestos!$C$179)*64_Inflacion!$C$5*D41/$C$41,1E+099))</f>
        <v>32.87375</v>
      </c>
      <c r="E78" s="116" t="n">
        <f aca="false">MIN(MIN(D83+IF(E$39&lt;=01_Supuestos!$C$182,01_Supuestos!$C$181,$C$174)*E41,D83+E76),IF(01_Supuestos!$C$179&gt;0,01_Supuestos!$C$179/(1-01_Supuestos!$C$179)*64_Inflacion!$C$5*E41/$C$41,1E+099))</f>
        <v>49.87984625</v>
      </c>
      <c r="F78" s="116" t="n">
        <f aca="false">MIN(MIN(E83+IF(F$39&lt;=01_Supuestos!$C$182,01_Supuestos!$C$181,$C$174)*F41,E83+F76),IF(01_Supuestos!$C$179&gt;0,01_Supuestos!$C$179/(1-01_Supuestos!$C$179)*64_Inflacion!$C$5*F41/$C$41,1E+099))</f>
        <v>67.27708271375</v>
      </c>
      <c r="G78" s="116" t="n">
        <f aca="false">MIN(MIN(F83+IF(G$39&lt;=01_Supuestos!$C$182,01_Supuestos!$C$181,$C$174)*G41,F83+G76),IF(01_Supuestos!$C$179&gt;0,01_Supuestos!$C$179/(1-01_Supuestos!$C$179)*64_Inflacion!$C$5*G41/$C$41,1E+099))</f>
        <v>85.0744556161662</v>
      </c>
      <c r="H78" s="116" t="n">
        <f aca="false">MIN(MIN(G83+IF(H$39&lt;=01_Supuestos!$C$182,01_Supuestos!$C$181,$C$174)*H41,G83+H76),IF(01_Supuestos!$C$179&gt;0,01_Supuestos!$C$179/(1-01_Supuestos!$C$179)*64_Inflacion!$C$5*H41/$C$41,1E+099))</f>
        <v>103.281168095338</v>
      </c>
      <c r="I78" s="116" t="n">
        <f aca="false">MIN(MIN(H83+IF(I$39&lt;=01_Supuestos!$C$182,01_Supuestos!$C$181,$C$174)*I41,H83+I76),IF(01_Supuestos!$C$179&gt;0,01_Supuestos!$C$179/(1-01_Supuestos!$C$179)*64_Inflacion!$C$5*I41/$C$41,1E+099))</f>
        <v>121.906634961531</v>
      </c>
      <c r="J78" s="116" t="n">
        <f aca="false">MIN(MIN(I83+IF(J$39&lt;=01_Supuestos!$C$182,01_Supuestos!$C$181,$C$174)*J41,I83+J76),IF(01_Supuestos!$C$179&gt;0,01_Supuestos!$C$179/(1-01_Supuestos!$C$179)*64_Inflacion!$C$5*J41/$C$41,1E+099))</f>
        <v>140.960487565646</v>
      </c>
      <c r="K78" s="116" t="n">
        <f aca="false">MIN(MIN(J83+IF(K$39&lt;=01_Supuestos!$C$182,01_Supuestos!$C$181,$C$174)*K41,J83+K76),IF(01_Supuestos!$C$179&gt;0,01_Supuestos!$C$179/(1-01_Supuestos!$C$179)*64_Inflacion!$C$5*K41/$C$41,1E+099))</f>
        <v>151.395715055628</v>
      </c>
      <c r="L78" s="116" t="n">
        <f aca="false">MIN(MIN(K83+IF(L$39&lt;=01_Supuestos!$C$182,01_Supuestos!$C$181,$C$174)*L41,K83+L76),IF(01_Supuestos!$C$179&gt;0,01_Supuestos!$C$179/(1-01_Supuestos!$C$179)*64_Inflacion!$C$5*L41/$C$41,1E+099))</f>
        <v>154.877816501908</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16.25</v>
      </c>
      <c r="D79" s="116" t="n">
        <f aca="false">MAX(0,MIN(D67,$C$9*(D69+D68+C121),D78))</f>
        <v>32.87375</v>
      </c>
      <c r="E79" s="116" t="n">
        <f aca="false">MAX(0,MIN(E67,$C$9*(E69+E68+D121),E78))</f>
        <v>49.87984625</v>
      </c>
      <c r="F79" s="116" t="n">
        <f aca="false">MAX(0,MIN(F67,$C$9*(F69+F68+E121),F78))</f>
        <v>67.27708271375</v>
      </c>
      <c r="G79" s="116" t="n">
        <f aca="false">MAX(0,MIN(G67,$C$9*(G69+G68+F121),G78))</f>
        <v>85.0744556161662</v>
      </c>
      <c r="H79" s="116" t="n">
        <f aca="false">MAX(0,MIN(H67,$C$9*(H69+H68+G121),H78))</f>
        <v>103.281168095338</v>
      </c>
      <c r="I79" s="116" t="n">
        <f aca="false">MAX(0,MIN(I67,$C$9*(I69+I68+H121),I78))</f>
        <v>121.906634961531</v>
      </c>
      <c r="J79" s="116" t="n">
        <f aca="false">MAX(0,MIN(J67,$C$9*(J69+J68+I121),J78))</f>
        <v>140.960487565646</v>
      </c>
      <c r="K79" s="116" t="n">
        <f aca="false">MAX(0,MIN(K67,$C$9*(K69+K68+J121),K78))</f>
        <v>151.395715055628</v>
      </c>
      <c r="L79" s="116" t="n">
        <f aca="false">MAX(0,MIN(L67,$C$9*(L69+L68+K121),L78))</f>
        <v>154.877816501908</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350.872900156507</v>
      </c>
      <c r="M81" s="116" t="n">
        <f aca="false">M69+M80+L121</f>
        <v>364.114786155762</v>
      </c>
      <c r="N81" s="116" t="n">
        <f aca="false">N69+N80+M121</f>
        <v>377.142566251781</v>
      </c>
      <c r="O81" s="116" t="n">
        <f aca="false">O69+O80+N121</f>
        <v>389.442093930683</v>
      </c>
      <c r="P81" s="116" t="n">
        <f aca="false">P69+P80+O121</f>
        <v>399.193713426763</v>
      </c>
      <c r="Q81" s="116" t="n">
        <f aca="false">Q69+Q80+P121</f>
        <v>409.016676956816</v>
      </c>
      <c r="R81" s="116" t="n">
        <f aca="false">R69+R80+Q121</f>
        <v>418.818189736861</v>
      </c>
      <c r="S81" s="116" t="n">
        <f aca="false">S69+S80+R121</f>
        <v>428.607380732661</v>
      </c>
      <c r="T81" s="116" t="n">
        <f aca="false">T69+T80+S121</f>
        <v>438.399815151972</v>
      </c>
      <c r="U81" s="116" t="n">
        <f aca="false">U69+U80+T121</f>
        <v>448.210748990061</v>
      </c>
      <c r="V81" s="116" t="n">
        <f aca="false">V69+V80+U121</f>
        <v>458.055365725721</v>
      </c>
      <c r="W81" s="116" t="n">
        <f aca="false">W69+W80+V121</f>
        <v>467.809947904936</v>
      </c>
      <c r="X81" s="116" t="n">
        <f aca="false">X69+X80+W121</f>
        <v>477.490385902944</v>
      </c>
      <c r="Y81" s="116" t="n">
        <f aca="false">Y69+Y80+X121</f>
        <v>487.112692794355</v>
      </c>
      <c r="Z81" s="116" t="n">
        <f aca="false">Z69+Z80+Y121</f>
        <v>496.692976075662</v>
      </c>
      <c r="AA81" s="116" t="n">
        <f aca="false">AA69+AA80+Z121</f>
        <v>506.24746161648</v>
      </c>
      <c r="AB81" s="116" t="n">
        <f aca="false">AB69+AB80+AA121</f>
        <v>515.795548567645</v>
      </c>
      <c r="AC81" s="116" t="n">
        <f aca="false">AC69+AC80+AB121</f>
        <v>525.356747986645</v>
      </c>
      <c r="AD81" s="116" t="n">
        <f aca="false">AD69+AD80+AC121</f>
        <v>534.950708563144</v>
      </c>
      <c r="AE81" s="116" t="n">
        <f aca="false">AE69+AE80+AD121</f>
        <v>544.597242800051</v>
      </c>
      <c r="AF81" s="116" t="n">
        <f aca="false">AF69+AF80+AE121</f>
        <v>554.316352545308</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16.25</v>
      </c>
      <c r="D83" s="136" t="n">
        <f aca="false">D79+D82</f>
        <v>32.87375</v>
      </c>
      <c r="E83" s="136" t="n">
        <f aca="false">E79+E82</f>
        <v>49.87984625</v>
      </c>
      <c r="F83" s="136" t="n">
        <f aca="false">F79+F82</f>
        <v>67.27708271375</v>
      </c>
      <c r="G83" s="136" t="n">
        <f aca="false">G79+G82</f>
        <v>85.0744556161662</v>
      </c>
      <c r="H83" s="136" t="n">
        <f aca="false">H79+H82</f>
        <v>103.281168095338</v>
      </c>
      <c r="I83" s="136" t="n">
        <f aca="false">I79+I82</f>
        <v>121.906634961531</v>
      </c>
      <c r="J83" s="136" t="n">
        <f aca="false">J79+J82</f>
        <v>140.960487565646</v>
      </c>
      <c r="K83" s="136" t="n">
        <f aca="false">K79+K82</f>
        <v>151.395715055628</v>
      </c>
      <c r="L83" s="136" t="n">
        <f aca="false">L79+L82</f>
        <v>154.877816501908</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42.8143938619143</v>
      </c>
      <c r="D84" s="116" t="n">
        <f aca="false">D67-D79+D80-D82</f>
        <v>64.2021961116566</v>
      </c>
      <c r="E84" s="116" t="n">
        <f aca="false">E67-E79+E80-E82</f>
        <v>80.9824178704342</v>
      </c>
      <c r="F84" s="116" t="n">
        <f aca="false">F67-F79+F80-F82</f>
        <v>152.467801314383</v>
      </c>
      <c r="G84" s="116" t="n">
        <f aca="false">G67-G79+G80-G82</f>
        <v>140.209035168871</v>
      </c>
      <c r="H84" s="116" t="n">
        <f aca="false">H67-H79+H80-H82</f>
        <v>127.553420861603</v>
      </c>
      <c r="I84" s="116" t="n">
        <f aca="false">I67-I79+I80-I82</f>
        <v>114.490919011565</v>
      </c>
      <c r="J84" s="116" t="n">
        <f aca="false">J67-J79+J80-J82</f>
        <v>101.011304925642</v>
      </c>
      <c r="K84" s="116" t="n">
        <f aca="false">K67-K79+K80-K82</f>
        <v>96.1610257807876</v>
      </c>
      <c r="L84" s="116" t="n">
        <f aca="false">L67-L79+L80-L82</f>
        <v>98.2740470152246</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42.1047480187808</v>
      </c>
      <c r="M85" s="116" t="n">
        <f aca="false">IF(AND($C$31&gt;0,M$39&gt;10),MIN(M83,MAX(01_Supuestos!$I$137*M81,L85*(1-1/MAX(1,$C$31)))),MIN(IF(M$39&lt;=10,01_Supuestos!$I$136,01_Supuestos!$I$137)*M81,M83))</f>
        <v>33.6837984150246</v>
      </c>
      <c r="N85" s="116" t="n">
        <f aca="false">IF(AND($C$31&gt;0,N$39&gt;10),MIN(N83,MAX(01_Supuestos!$I$137*N81,M85*(1-1/MAX(1,$C$31)))),MIN(IF(N$39&lt;=10,01_Supuestos!$I$136,01_Supuestos!$I$137)*N81,N83))</f>
        <v>28.2856924688836</v>
      </c>
      <c r="O85" s="116" t="n">
        <f aca="false">IF(AND($C$31&gt;0,O$39&gt;10),MIN(O83,MAX(01_Supuestos!$I$137*O81,N85*(1-1/MAX(1,$C$31)))),MIN(IF(O$39&lt;=10,01_Supuestos!$I$136,01_Supuestos!$I$137)*O81,O83))</f>
        <v>29.2081570448012</v>
      </c>
      <c r="P85" s="116" t="n">
        <f aca="false">IF(AND($C$31&gt;0,P$39&gt;10),MIN(P83,MAX(01_Supuestos!$I$137*P81,O85*(1-1/MAX(1,$C$31)))),MIN(IF(P$39&lt;=10,01_Supuestos!$I$136,01_Supuestos!$I$137)*P81,P83))</f>
        <v>29.9395285070072</v>
      </c>
      <c r="Q85" s="116" t="n">
        <f aca="false">IF(AND($C$31&gt;0,Q$39&gt;10),MIN(Q83,MAX(01_Supuestos!$I$137*Q81,P85*(1-1/MAX(1,$C$31)))),MIN(IF(Q$39&lt;=10,01_Supuestos!$I$136,01_Supuestos!$I$137)*Q81,Q83))</f>
        <v>30.6762507717612</v>
      </c>
      <c r="R85" s="116" t="n">
        <f aca="false">IF(AND($C$31&gt;0,R$39&gt;10),MIN(R83,MAX(01_Supuestos!$I$137*R81,Q85*(1-1/MAX(1,$C$31)))),MIN(IF(R$39&lt;=10,01_Supuestos!$I$136,01_Supuestos!$I$137)*R81,R83))</f>
        <v>31.4113642302646</v>
      </c>
      <c r="S85" s="116" t="n">
        <f aca="false">IF(AND($C$31&gt;0,S$39&gt;10),MIN(S83,MAX(01_Supuestos!$I$137*S81,R85*(1-1/MAX(1,$C$31)))),MIN(IF(S$39&lt;=10,01_Supuestos!$I$136,01_Supuestos!$I$137)*S81,S83))</f>
        <v>32.1455535549496</v>
      </c>
      <c r="T85" s="116" t="n">
        <f aca="false">IF(AND($C$31&gt;0,T$39&gt;10),MIN(T83,MAX(01_Supuestos!$I$137*T81,S85*(1-1/MAX(1,$C$31)))),MIN(IF(T$39&lt;=10,01_Supuestos!$I$136,01_Supuestos!$I$137)*T81,T83))</f>
        <v>32.8799861363979</v>
      </c>
      <c r="U85" s="116" t="n">
        <f aca="false">IF(AND($C$31&gt;0,U$39&gt;10),MIN(U83,MAX(01_Supuestos!$I$137*U81,T85*(1-1/MAX(1,$C$31)))),MIN(IF(U$39&lt;=10,01_Supuestos!$I$136,01_Supuestos!$I$137)*U81,U83))</f>
        <v>33.6158061742546</v>
      </c>
      <c r="V85" s="116" t="n">
        <f aca="false">IF(AND($C$31&gt;0,V$39&gt;10),MIN(V83,MAX(01_Supuestos!$I$137*V81,U85*(1-1/MAX(1,$C$31)))),MIN(IF(V$39&lt;=10,01_Supuestos!$I$136,01_Supuestos!$I$137)*V81,V83))</f>
        <v>34.3541524294291</v>
      </c>
      <c r="W85" s="116" t="n">
        <f aca="false">IF(AND($C$31&gt;0,W$39&gt;10),MIN(W83,MAX(01_Supuestos!$I$137*W81,V85*(1-1/MAX(1,$C$31)))),MIN(IF(W$39&lt;=10,01_Supuestos!$I$136,01_Supuestos!$I$137)*W81,W83))</f>
        <v>35.0857460928702</v>
      </c>
      <c r="X85" s="116" t="n">
        <f aca="false">IF(AND($C$31&gt;0,X$39&gt;10),MIN(X83,MAX(01_Supuestos!$I$137*X81,W85*(1-1/MAX(1,$C$31)))),MIN(IF(X$39&lt;=10,01_Supuestos!$I$136,01_Supuestos!$I$137)*X81,X83))</f>
        <v>35.8117789427208</v>
      </c>
      <c r="Y85" s="116" t="n">
        <f aca="false">IF(AND($C$31&gt;0,Y$39&gt;10),MIN(Y83,MAX(01_Supuestos!$I$137*Y81,X85*(1-1/MAX(1,$C$31)))),MIN(IF(Y$39&lt;=10,01_Supuestos!$I$136,01_Supuestos!$I$137)*Y81,Y83))</f>
        <v>36.5334519595766</v>
      </c>
      <c r="Z85" s="116" t="n">
        <f aca="false">IF(AND($C$31&gt;0,Z$39&gt;10),MIN(Z83,MAX(01_Supuestos!$I$137*Z81,Y85*(1-1/MAX(1,$C$31)))),MIN(IF(Z$39&lt;=10,01_Supuestos!$I$136,01_Supuestos!$I$137)*Z81,Z83))</f>
        <v>37.2519732056746</v>
      </c>
      <c r="AA85" s="116" t="n">
        <f aca="false">IF(AND($C$31&gt;0,AA$39&gt;10),MIN(AA83,MAX(01_Supuestos!$I$137*AA81,Z85*(1-1/MAX(1,$C$31)))),MIN(IF(AA$39&lt;=10,01_Supuestos!$I$136,01_Supuestos!$I$137)*AA81,AA83))</f>
        <v>37.968559621236</v>
      </c>
      <c r="AB85" s="116" t="n">
        <f aca="false">IF(AND($C$31&gt;0,AB$39&gt;10),MIN(AB83,MAX(01_Supuestos!$I$137*AB81,AA85*(1-1/MAX(1,$C$31)))),MIN(IF(AB$39&lt;=10,01_Supuestos!$I$136,01_Supuestos!$I$137)*AB81,AB83))</f>
        <v>38.6846661425734</v>
      </c>
      <c r="AC85" s="116" t="n">
        <f aca="false">IF(AND($C$31&gt;0,AC$39&gt;10),MIN(AC83,MAX(01_Supuestos!$I$137*AC81,AB85*(1-1/MAX(1,$C$31)))),MIN(IF(AC$39&lt;=10,01_Supuestos!$I$136,01_Supuestos!$I$137)*AC81,AC83))</f>
        <v>39.4017560989984</v>
      </c>
      <c r="AD85" s="116" t="n">
        <f aca="false">IF(AND($C$31&gt;0,AD$39&gt;10),MIN(AD83,MAX(01_Supuestos!$I$137*AD81,AC85*(1-1/MAX(1,$C$31)))),MIN(IF(AD$39&lt;=10,01_Supuestos!$I$136,01_Supuestos!$I$137)*AD81,AD83))</f>
        <v>40.1213031422358</v>
      </c>
      <c r="AE85" s="116" t="n">
        <f aca="false">IF(AND($C$31&gt;0,AE$39&gt;10),MIN(AE83,MAX(01_Supuestos!$I$137*AE81,AD85*(1-1/MAX(1,$C$31)))),MIN(IF(AE$39&lt;=10,01_Supuestos!$I$136,01_Supuestos!$I$137)*AE81,AE83))</f>
        <v>40.8447932100038</v>
      </c>
      <c r="AF85" s="116" t="n">
        <f aca="false">IF(AND($C$31&gt;0,AF$39&gt;10),MIN(AF83,MAX(01_Supuestos!$I$137*AF81,AE85*(1-1/MAX(1,$C$31)))),MIN(IF(AF$39&lt;=10,01_Supuestos!$I$136,01_Supuestos!$I$137)*AF81,AF83))</f>
        <v>41.5737264408981</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0.8125</v>
      </c>
      <c r="D86" s="116" t="n">
        <f aca="false">01_Supuestos!$I$127*D83</f>
        <v>1.6436875</v>
      </c>
      <c r="E86" s="116" t="n">
        <f aca="false">01_Supuestos!$I$127*E83</f>
        <v>2.4939923125</v>
      </c>
      <c r="F86" s="116" t="n">
        <f aca="false">01_Supuestos!$I$127*F83</f>
        <v>3.3638541356875</v>
      </c>
      <c r="G86" s="116" t="n">
        <f aca="false">01_Supuestos!$I$127*G83</f>
        <v>4.25372278080831</v>
      </c>
      <c r="H86" s="116" t="n">
        <f aca="false">01_Supuestos!$I$127*H83</f>
        <v>5.1640584047669</v>
      </c>
      <c r="I86" s="116" t="n">
        <f aca="false">01_Supuestos!$I$127*I83</f>
        <v>6.09533174807654</v>
      </c>
      <c r="J86" s="116" t="n">
        <f aca="false">01_Supuestos!$I$127*J83</f>
        <v>7.0480243782823</v>
      </c>
      <c r="K86" s="116" t="n">
        <f aca="false">01_Supuestos!$I$127*K83</f>
        <v>7.56978575278141</v>
      </c>
      <c r="L86" s="116" t="n">
        <f aca="false">01_Supuestos!$I$127*L83</f>
        <v>7.74389082509538</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8.34017273657028</v>
      </c>
      <c r="D87" s="116" t="n">
        <f aca="false">D83-D85-D86</f>
        <v>19.5614100866012</v>
      </c>
      <c r="E87" s="116" t="n">
        <f aca="false">E83-E85-E86</f>
        <v>31.6525536405839</v>
      </c>
      <c r="F87" s="116" t="n">
        <f aca="false">F83-F85-F86</f>
        <v>31.1706474309586</v>
      </c>
      <c r="G87" s="116" t="n">
        <f aca="false">G83-G85-G86</f>
        <v>46.5539717752099</v>
      </c>
      <c r="H87" s="116" t="n">
        <f aca="false">H83-H85-H86</f>
        <v>62.3209319587012</v>
      </c>
      <c r="I87" s="116" t="n">
        <f aca="false">I83-I85-I86</f>
        <v>78.4804909328415</v>
      </c>
      <c r="J87" s="116" t="n">
        <f aca="false">J83-J85-J86</f>
        <v>95.0418127742169</v>
      </c>
      <c r="K87" s="116" t="n">
        <f aca="false">K83-K85-K86</f>
        <v>103.410247052934</v>
      </c>
      <c r="L87" s="116" t="n">
        <f aca="false">L83-L85-L86</f>
        <v>105.029177658031</v>
      </c>
      <c r="M87" s="116" t="n">
        <f aca="false">M83-M85-M86</f>
        <v>116.834207552354</v>
      </c>
      <c r="N87" s="116" t="n">
        <f aca="false">N83-N85-N86</f>
        <v>125.694227635745</v>
      </c>
      <c r="O87" s="116" t="n">
        <f aca="false">O83-O85-O86</f>
        <v>128.313301222234</v>
      </c>
      <c r="P87" s="116" t="n">
        <f aca="false">P83-P85-P86</f>
        <v>131.20492330017</v>
      </c>
      <c r="Q87" s="116" t="n">
        <f aca="false">Q83-Q85-Q86</f>
        <v>134.174523426981</v>
      </c>
      <c r="R87" s="116" t="n">
        <f aca="false">R83-R85-R86</f>
        <v>137.230977775048</v>
      </c>
      <c r="S87" s="116" t="n">
        <f aca="false">S83-S85-S86</f>
        <v>140.375562316485</v>
      </c>
      <c r="T87" s="116" t="n">
        <f aca="false">T83-T85-T86</f>
        <v>143.60911540008</v>
      </c>
      <c r="U87" s="116" t="n">
        <f aca="false">U83-U85-U86</f>
        <v>146.932544697562</v>
      </c>
      <c r="V87" s="116" t="n">
        <f aca="false">V83-V85-V86</f>
        <v>150.34681051244</v>
      </c>
      <c r="W87" s="116" t="n">
        <f aca="false">W83-W85-W86</f>
        <v>153.863338996662</v>
      </c>
      <c r="X87" s="116" t="n">
        <f aca="false">X83-X85-X86</f>
        <v>157.48313510387</v>
      </c>
      <c r="Y87" s="116" t="n">
        <f aca="false">Y83-Y85-Y86</f>
        <v>161.207245110086</v>
      </c>
      <c r="Z87" s="116" t="n">
        <f aca="false">Z83-Z85-Z86</f>
        <v>165.03675989659</v>
      </c>
      <c r="AA87" s="116" t="n">
        <f aca="false">AA83-AA85-AA86</f>
        <v>168.972814342381</v>
      </c>
      <c r="AB87" s="116" t="n">
        <f aca="false">AB83-AB85-AB86</f>
        <v>173.016359422207</v>
      </c>
      <c r="AC87" s="116" t="n">
        <f aca="false">AC83-AC85-AC86</f>
        <v>177.168393053772</v>
      </c>
      <c r="AD87" s="116" t="n">
        <f aca="false">AD83-AD85-AD86</f>
        <v>181.429959441048</v>
      </c>
      <c r="AE87" s="116" t="n">
        <f aca="false">AE83-AE85-AE86</f>
        <v>185.802148412695</v>
      </c>
      <c r="AF87" s="116" t="n">
        <f aca="false">AF83-AF85-AF86</f>
        <v>190.286094839123</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0.045703125</v>
      </c>
      <c r="D88" s="116" t="n">
        <f aca="false">D86/01_Supuestos!$I$131*01_Supuestos!$I$129*01_Supuestos!$I$130*01_Supuestos!$I$128</f>
        <v>0.092457421875</v>
      </c>
      <c r="E88" s="116" t="n">
        <f aca="false">E86/01_Supuestos!$I$131*01_Supuestos!$I$129*01_Supuestos!$I$130*01_Supuestos!$I$128</f>
        <v>0.140287067578125</v>
      </c>
      <c r="F88" s="116" t="n">
        <f aca="false">F86/01_Supuestos!$I$131*01_Supuestos!$I$129*01_Supuestos!$I$130*01_Supuestos!$I$128</f>
        <v>0.189216795132422</v>
      </c>
      <c r="G88" s="116" t="n">
        <f aca="false">G86/01_Supuestos!$I$131*01_Supuestos!$I$129*01_Supuestos!$I$130*01_Supuestos!$I$128</f>
        <v>0.239271906420468</v>
      </c>
      <c r="H88" s="116" t="n">
        <f aca="false">H86/01_Supuestos!$I$131*01_Supuestos!$I$129*01_Supuestos!$I$130*01_Supuestos!$I$128</f>
        <v>0.290478285268138</v>
      </c>
      <c r="I88" s="116" t="n">
        <f aca="false">I86/01_Supuestos!$I$131*01_Supuestos!$I$129*01_Supuestos!$I$130*01_Supuestos!$I$128</f>
        <v>0.342862410829305</v>
      </c>
      <c r="J88" s="116" t="n">
        <f aca="false">J86/01_Supuestos!$I$131*01_Supuestos!$I$129*01_Supuestos!$I$130*01_Supuestos!$I$128</f>
        <v>0.39645137127838</v>
      </c>
      <c r="K88" s="116" t="n">
        <f aca="false">K86/01_Supuestos!$I$131*01_Supuestos!$I$129*01_Supuestos!$I$130*01_Supuestos!$I$128</f>
        <v>0.425800448593954</v>
      </c>
      <c r="L88" s="116" t="n">
        <f aca="false">L86/01_Supuestos!$I$131*01_Supuestos!$I$129*01_Supuestos!$I$130*01_Supuestos!$I$128</f>
        <v>0.435593858911615</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0.967460037442155</v>
      </c>
      <c r="D90" s="116" t="n">
        <f aca="false">D83-C83-D73+D185-D228</f>
        <v>0.850956149827201</v>
      </c>
      <c r="E90" s="116" t="n">
        <f aca="false">E83-D83-E73+E185-E228</f>
        <v>0.538439647231808</v>
      </c>
      <c r="F90" s="116" t="n">
        <f aca="false">F83-E83-F73+F185-F228</f>
        <v>-1.05607613166925</v>
      </c>
      <c r="G90" s="116" t="n">
        <f aca="false">G83-F83-G73+G185-G228</f>
        <v>1.43686273795536</v>
      </c>
      <c r="H90" s="116" t="n">
        <f aca="false">H83-G83-H73+H185-H228</f>
        <v>1.01253638773432</v>
      </c>
      <c r="I90" s="116" t="n">
        <f aca="false">I83-H83-I73+I185-I228</f>
        <v>0.547072261423196</v>
      </c>
      <c r="J90" s="116" t="n">
        <f aca="false">J83-I83-J73+J185-J228</f>
        <v>0.560605237831226</v>
      </c>
      <c r="K90" s="116" t="n">
        <f aca="false">K83-J83-K73+K185-K228</f>
        <v>-0.423613443924218</v>
      </c>
      <c r="L90" s="116" t="n">
        <f aca="false">L83-K83-L73+L185-L228</f>
        <v>-0.776223293466408</v>
      </c>
      <c r="M90" s="116" t="n">
        <f aca="false">M83-L83-M73+M185-M228</f>
        <v>1.02329089095768</v>
      </c>
      <c r="N90" s="116" t="n">
        <f aca="false">N83-M83-N73+N185-N228</f>
        <v>0.339783377037229</v>
      </c>
      <c r="O90" s="116" t="n">
        <f aca="false">O83-N83-O73+O185-O228</f>
        <v>-0.539791430424103</v>
      </c>
      <c r="P90" s="116" t="n">
        <f aca="false">P83-O83-P73+P185-P228</f>
        <v>-0.0799038570375146</v>
      </c>
      <c r="Q90" s="116" t="n">
        <f aca="false">Q83-P83-Q73+Q185-Q228</f>
        <v>0.10727315582087</v>
      </c>
      <c r="R90" s="116" t="n">
        <f aca="false">R83-Q83-R73+R185-R228</f>
        <v>0.104711867635004</v>
      </c>
      <c r="S90" s="116" t="n">
        <f aca="false">S83-R83-S73+S185-S228</f>
        <v>0.107831612769431</v>
      </c>
      <c r="T90" s="116" t="n">
        <f aca="false">T83-S83-T73+T185-T228</f>
        <v>0.11070535712021</v>
      </c>
      <c r="U90" s="116" t="n">
        <f aca="false">U83-T83-U73+U185-U228</f>
        <v>0.113599655975527</v>
      </c>
      <c r="V90" s="116" t="n">
        <f aca="false">V83-U83-V73+V185-V228</f>
        <v>0.11653039198373</v>
      </c>
      <c r="W90" s="116" t="n">
        <f aca="false">W83-V83-W73+W185-W228</f>
        <v>0.120706617069509</v>
      </c>
      <c r="X90" s="116" t="n">
        <f aca="false">X83-W83-X73+X185-X228</f>
        <v>0.124352265749309</v>
      </c>
      <c r="Y90" s="116" t="n">
        <f aca="false">Y83-X83-Y73+Y185-Y228</f>
        <v>0.127711878698719</v>
      </c>
      <c r="Z90" s="116" t="n">
        <f aca="false">Z83-Y83-Z73+Z185-Z228</f>
        <v>0.13111043708318</v>
      </c>
      <c r="AA90" s="116" t="n">
        <f aca="false">AA83-Z83-AA73+AA185-AA228</f>
        <v>0.134549357185051</v>
      </c>
      <c r="AB90" s="116" t="n">
        <f aca="false">AB83-AA83-AB73+AB185-AB228</f>
        <v>0.138003550041773</v>
      </c>
      <c r="AC90" s="116" t="n">
        <f aca="false">AC83-AB83-AC73+AC185-AC228</f>
        <v>0.141487039684762</v>
      </c>
      <c r="AD90" s="116" t="n">
        <f aca="false">AD83-AC83-AD73+AD185-AD228</f>
        <v>0.145008341581544</v>
      </c>
      <c r="AE90" s="116" t="n">
        <f aca="false">AE83-AD83-AE73+AE185-AE228</f>
        <v>0.148568796211222</v>
      </c>
      <c r="AF90" s="116" t="n">
        <f aca="false">AF83-AE83-AF73+AF185-AF228</f>
        <v>0.152169732477503</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0.967460037442155</v>
      </c>
      <c r="D92" s="116" t="n">
        <f aca="false">IF(D90&gt;0,IF($C$20="BC",MIN(D90-D91,MAX(0,C276+D53-D75)),MIN(D90,MAX(0,C276+D53-D75))),0)</f>
        <v>0.850956149827201</v>
      </c>
      <c r="E92" s="116" t="n">
        <f aca="false">IF(E90&gt;0,IF($C$20="BC",MIN(E90-E91,MAX(0,D276+E53-E75)),MIN(E90,MAX(0,D276+E53-E75))),0)</f>
        <v>0.538439647231808</v>
      </c>
      <c r="F92" s="116" t="n">
        <f aca="false">IF(F90&gt;0,IF($C$20="BC",MIN(F90-F91,MAX(0,E276+F53-F75)),MIN(F90,MAX(0,E276+F53-F75))),0)</f>
        <v>0</v>
      </c>
      <c r="G92" s="116" t="n">
        <f aca="false">IF(G90&gt;0,IF($C$20="BC",MIN(G90-G91,MAX(0,F276+G53-G75)),MIN(G90,MAX(0,F276+G53-G75))),0)</f>
        <v>1.43686273795536</v>
      </c>
      <c r="H92" s="116" t="n">
        <f aca="false">IF(H90&gt;0,IF($C$20="BC",MIN(H90-H91,MAX(0,G276+H53-H75)),MIN(H90,MAX(0,G276+H53-H75))),0)</f>
        <v>1.01253638773432</v>
      </c>
      <c r="I92" s="116" t="n">
        <f aca="false">IF(I90&gt;0,IF($C$20="BC",MIN(I90-I91,MAX(0,H276+I53-I75)),MIN(I90,MAX(0,H276+I53-I75))),0)</f>
        <v>0.547072261423196</v>
      </c>
      <c r="J92" s="116" t="n">
        <f aca="false">IF(J90&gt;0,IF($C$20="BC",MIN(J90-J91,MAX(0,I276+J53-J75)),MIN(J90,MAX(0,I276+J53-J75))),0)</f>
        <v>0.560605237831226</v>
      </c>
      <c r="K92" s="116" t="n">
        <f aca="false">IF(K90&gt;0,IF($C$20="BC",MIN(K90-K91,MAX(0,J276+K53-K75)),MIN(K90,MAX(0,J276+K53-K75))),0)</f>
        <v>0</v>
      </c>
      <c r="L92" s="116" t="n">
        <f aca="false">IF(L90&gt;0,IF($C$20="BC",MIN(L90-L91,MAX(0,K276+L53-L75)),MIN(L90,MAX(0,K276+L53-L75))),0)</f>
        <v>0</v>
      </c>
      <c r="M92" s="116" t="n">
        <f aca="false">IF(M90&gt;0,IF($C$20="BC",MIN(M90-M91,MAX(0,L276+M53-M75)),MIN(M90,MAX(0,L276+M53-M75))),0)</f>
        <v>1.02329089095768</v>
      </c>
      <c r="N92" s="116" t="n">
        <f aca="false">IF(N90&gt;0,IF($C$20="BC",MIN(N90-N91,MAX(0,M276+N53-N75)),MIN(N90,MAX(0,M276+N53-N75))),0)</f>
        <v>0.339783377037229</v>
      </c>
      <c r="O92" s="116" t="n">
        <f aca="false">IF(O90&gt;0,IF($C$20="BC",MIN(O90-O91,MAX(0,N276+O53-O75)),MIN(O90,MAX(0,N276+O53-O75))),0)</f>
        <v>0</v>
      </c>
      <c r="P92" s="116" t="n">
        <f aca="false">IF(P90&gt;0,IF($C$20="BC",MIN(P90-P91,MAX(0,O276+P53-P75)),MIN(P90,MAX(0,O276+P53-P75))),0)</f>
        <v>0</v>
      </c>
      <c r="Q92" s="116" t="n">
        <f aca="false">IF(Q90&gt;0,IF($C$20="BC",MIN(Q90-Q91,MAX(0,P276+Q53-Q75)),MIN(Q90,MAX(0,P276+Q53-Q75))),0)</f>
        <v>0.10727315582087</v>
      </c>
      <c r="R92" s="116" t="n">
        <f aca="false">IF(R90&gt;0,IF($C$20="BC",MIN(R90-R91,MAX(0,Q276+R53-R75)),MIN(R90,MAX(0,Q276+R53-R75))),0)</f>
        <v>0.104711867635004</v>
      </c>
      <c r="S92" s="116" t="n">
        <f aca="false">IF(S90&gt;0,IF($C$20="BC",MIN(S90-S91,MAX(0,R276+S53-S75)),MIN(S90,MAX(0,R276+S53-S75))),0)</f>
        <v>0.107831612769431</v>
      </c>
      <c r="T92" s="116" t="n">
        <f aca="false">IF(T90&gt;0,IF($C$20="BC",MIN(T90-T91,MAX(0,S276+T53-T75)),MIN(T90,MAX(0,S276+T53-T75))),0)</f>
        <v>0.11070535712021</v>
      </c>
      <c r="U92" s="116" t="n">
        <f aca="false">IF(U90&gt;0,IF($C$20="BC",MIN(U90-U91,MAX(0,T276+U53-U75)),MIN(U90,MAX(0,T276+U53-U75))),0)</f>
        <v>0.113599655975527</v>
      </c>
      <c r="V92" s="116" t="n">
        <f aca="false">IF(V90&gt;0,IF($C$20="BC",MIN(V90-V91,MAX(0,U276+V53-V75)),MIN(V90,MAX(0,U276+V53-V75))),0)</f>
        <v>0.11653039198373</v>
      </c>
      <c r="W92" s="116" t="n">
        <f aca="false">IF(W90&gt;0,IF($C$20="BC",MIN(W90-W91,MAX(0,V276+W53-W75)),MIN(W90,MAX(0,V276+W53-W75))),0)</f>
        <v>0.120706617069509</v>
      </c>
      <c r="X92" s="116" t="n">
        <f aca="false">IF(X90&gt;0,IF($C$20="BC",MIN(X90-X91,MAX(0,W276+X53-X75)),MIN(X90,MAX(0,W276+X53-X75))),0)</f>
        <v>0.124352265749309</v>
      </c>
      <c r="Y92" s="116" t="n">
        <f aca="false">IF(Y90&gt;0,IF($C$20="BC",MIN(Y90-Y91,MAX(0,X276+Y53-Y75)),MIN(Y90,MAX(0,X276+Y53-Y75))),0)</f>
        <v>0.127711878698719</v>
      </c>
      <c r="Z92" s="116" t="n">
        <f aca="false">IF(Z90&gt;0,IF($C$20="BC",MIN(Z90-Z91,MAX(0,Y276+Z53-Z75)),MIN(Z90,MAX(0,Y276+Z53-Z75))),0)</f>
        <v>0.13111043708318</v>
      </c>
      <c r="AA92" s="116" t="n">
        <f aca="false">IF(AA90&gt;0,IF($C$20="BC",MIN(AA90-AA91,MAX(0,Z276+AA53-AA75)),MIN(AA90,MAX(0,Z276+AA53-AA75))),0)</f>
        <v>0.134549357185051</v>
      </c>
      <c r="AB92" s="116" t="n">
        <f aca="false">IF(AB90&gt;0,IF($C$20="BC",MIN(AB90-AB91,MAX(0,AA276+AB53-AB75)),MIN(AB90,MAX(0,AA276+AB53-AB75))),0)</f>
        <v>0.138003550041773</v>
      </c>
      <c r="AC92" s="116" t="n">
        <f aca="false">IF(AC90&gt;0,IF($C$20="BC",MIN(AC90-AC91,MAX(0,AB276+AC53-AC75)),MIN(AC90,MAX(0,AB276+AC53-AC75))),0)</f>
        <v>0.141487039684762</v>
      </c>
      <c r="AD92" s="116" t="n">
        <f aca="false">IF(AD90&gt;0,IF($C$20="BC",MIN(AD90-AD91,MAX(0,AC276+AD53-AD75)),MIN(AD90,MAX(0,AC276+AD53-AD75))),0)</f>
        <v>0.145008341581544</v>
      </c>
      <c r="AE92" s="116" t="n">
        <f aca="false">IF(AE90&gt;0,IF($C$20="BC",MIN(AE90-AE91,MAX(0,AD276+AE53-AE75)),MIN(AE90,MAX(0,AD276+AE53-AE75))),0)</f>
        <v>0.148568796211222</v>
      </c>
      <c r="AF92" s="116" t="n">
        <f aca="false">IF(AF90&gt;0,IF($C$20="BC",MIN(AF90-AF91,MAX(0,AE276+AF53-AF75)),MIN(AF90,MAX(0,AE276+AF53-AF75))),0)</f>
        <v>0.152169732477503</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1.05607613166925</v>
      </c>
      <c r="G94" s="116" t="n">
        <f aca="false">IF(G90&lt;0,-G90-G93,0)</f>
        <v>0</v>
      </c>
      <c r="H94" s="116" t="n">
        <f aca="false">IF(H90&lt;0,-H90-H93,0)</f>
        <v>0</v>
      </c>
      <c r="I94" s="116" t="n">
        <f aca="false">IF(I90&lt;0,-I90-I93,0)</f>
        <v>0</v>
      </c>
      <c r="J94" s="116" t="n">
        <f aca="false">IF(J90&lt;0,-J90-J93,0)</f>
        <v>0</v>
      </c>
      <c r="K94" s="116" t="n">
        <f aca="false">IF(K90&lt;0,-K90-K93,0)</f>
        <v>0.423613443924218</v>
      </c>
      <c r="L94" s="116" t="n">
        <f aca="false">IF(L90&lt;0,-L90-L93,0)</f>
        <v>0.776223293466408</v>
      </c>
      <c r="M94" s="116" t="n">
        <f aca="false">IF(M90&lt;0,-M90-M93,0)</f>
        <v>0</v>
      </c>
      <c r="N94" s="116" t="n">
        <f aca="false">IF(N90&lt;0,-N90-N93,0)</f>
        <v>0</v>
      </c>
      <c r="O94" s="116" t="n">
        <f aca="false">IF(O90&lt;0,-O90-O93,0)</f>
        <v>0.539791430424103</v>
      </c>
      <c r="P94" s="116" t="n">
        <f aca="false">IF(P90&lt;0,-P90-P93,0)</f>
        <v>0.0799038570375146</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8.77182250391267</v>
      </c>
      <c r="M100" s="116" t="n">
        <f aca="false">$C$21*$C$22*M81</f>
        <v>9.10286965389406</v>
      </c>
      <c r="N100" s="116" t="n">
        <f aca="false">$C$21*$C$22*N81</f>
        <v>9.42856415629452</v>
      </c>
      <c r="O100" s="116" t="n">
        <f aca="false">$C$21*$C$22*O81</f>
        <v>9.73605234826707</v>
      </c>
      <c r="P100" s="116" t="n">
        <f aca="false">$C$21*$C$22*P81</f>
        <v>9.97984283566908</v>
      </c>
      <c r="Q100" s="116" t="n">
        <f aca="false">$C$21*$C$22*Q81</f>
        <v>10.2254169239204</v>
      </c>
      <c r="R100" s="116" t="n">
        <f aca="false">$C$21*$C$22*R81</f>
        <v>10.4704547434215</v>
      </c>
      <c r="S100" s="116" t="n">
        <f aca="false">$C$21*$C$22*S81</f>
        <v>10.7151845183165</v>
      </c>
      <c r="T100" s="116" t="n">
        <f aca="false">$C$21*$C$22*T81</f>
        <v>10.9599953787993</v>
      </c>
      <c r="U100" s="116" t="n">
        <f aca="false">$C$21*$C$22*U81</f>
        <v>11.2052687247515</v>
      </c>
      <c r="V100" s="116" t="n">
        <f aca="false">$C$21*$C$22*V81</f>
        <v>11.451384143143</v>
      </c>
      <c r="W100" s="116" t="n">
        <f aca="false">$C$21*$C$22*W81</f>
        <v>11.6952486976234</v>
      </c>
      <c r="X100" s="116" t="n">
        <f aca="false">$C$21*$C$22*X81</f>
        <v>11.9372596475736</v>
      </c>
      <c r="Y100" s="116" t="n">
        <f aca="false">$C$21*$C$22*Y81</f>
        <v>12.1778173198589</v>
      </c>
      <c r="Z100" s="116" t="n">
        <f aca="false">$C$21*$C$22*Z81</f>
        <v>12.4173244018915</v>
      </c>
      <c r="AA100" s="116" t="n">
        <f aca="false">$C$21*$C$22*AA81</f>
        <v>12.656186540412</v>
      </c>
      <c r="AB100" s="116" t="n">
        <f aca="false">$C$21*$C$22*AB81</f>
        <v>12.8948887141911</v>
      </c>
      <c r="AC100" s="116" t="n">
        <f aca="false">$C$21*$C$22*AC81</f>
        <v>13.1339186996661</v>
      </c>
      <c r="AD100" s="116" t="n">
        <f aca="false">$C$21*$C$22*AD81</f>
        <v>13.3737677140786</v>
      </c>
      <c r="AE100" s="116" t="n">
        <f aca="false">$C$21*$C$22*AE81</f>
        <v>13.6149310700013</v>
      </c>
      <c r="AF100" s="116" t="n">
        <f aca="false">$C$21*$C$22*AF81</f>
        <v>13.8579088136327</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0.00877182250391267</v>
      </c>
      <c r="N102" s="116" t="n">
        <f aca="false">M104*$C$24</f>
        <v>0.00910286965389406</v>
      </c>
      <c r="O102" s="116" t="n">
        <f aca="false">N104*$C$24</f>
        <v>0.00942856415629452</v>
      </c>
      <c r="P102" s="116" t="n">
        <f aca="false">O104*$C$24</f>
        <v>0.00973605234826707</v>
      </c>
      <c r="Q102" s="116" t="n">
        <f aca="false">P104*$C$24</f>
        <v>0.00997984283566908</v>
      </c>
      <c r="R102" s="116" t="n">
        <f aca="false">Q104*$C$24</f>
        <v>0.0102254169239204</v>
      </c>
      <c r="S102" s="116" t="n">
        <f aca="false">R104*$C$24</f>
        <v>0.0104704547434215</v>
      </c>
      <c r="T102" s="116" t="n">
        <f aca="false">S104*$C$24</f>
        <v>0.0107151845183165</v>
      </c>
      <c r="U102" s="116" t="n">
        <f aca="false">T104*$C$24</f>
        <v>0.0109599953787993</v>
      </c>
      <c r="V102" s="116" t="n">
        <f aca="false">U104*$C$24</f>
        <v>0.0112052687247515</v>
      </c>
      <c r="W102" s="116" t="n">
        <f aca="false">V104*$C$24</f>
        <v>0.011451384143143</v>
      </c>
      <c r="X102" s="116" t="n">
        <f aca="false">W104*$C$24</f>
        <v>0.0116952486976234</v>
      </c>
      <c r="Y102" s="116" t="n">
        <f aca="false">X104*$C$24</f>
        <v>0.0119372596475736</v>
      </c>
      <c r="Z102" s="116" t="n">
        <f aca="false">Y104*$C$24</f>
        <v>0.0121778173198589</v>
      </c>
      <c r="AA102" s="116" t="n">
        <f aca="false">Z104*$C$24</f>
        <v>0.0124173244018915</v>
      </c>
      <c r="AB102" s="116" t="n">
        <f aca="false">AA104*$C$24</f>
        <v>0.012656186540412</v>
      </c>
      <c r="AC102" s="116" t="n">
        <f aca="false">AB104*$C$24</f>
        <v>0.0128948887141911</v>
      </c>
      <c r="AD102" s="116" t="n">
        <f aca="false">AC104*$C$24</f>
        <v>0.0131339186996661</v>
      </c>
      <c r="AE102" s="116" t="n">
        <f aca="false">AD104*$C$24</f>
        <v>0.0133737677140786</v>
      </c>
      <c r="AF102" s="116" t="n">
        <f aca="false">AE104*$C$24</f>
        <v>0.0136149310700013</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0.351888701847482</v>
      </c>
      <c r="M103" s="116" t="n">
        <f aca="false">MIN(MAX(0,M100-L104-M101),MAX(0,L276))</f>
        <v>0.331047149981394</v>
      </c>
      <c r="N103" s="116" t="n">
        <f aca="false">MIN(MAX(0,N100-M104-N101),MAX(0,M276))</f>
        <v>0.325694502400459</v>
      </c>
      <c r="O103" s="116" t="n">
        <f aca="false">MIN(MAX(0,O100-N104-O101),MAX(0,N276))</f>
        <v>0.307488191972551</v>
      </c>
      <c r="P103" s="116" t="n">
        <f aca="false">MIN(MAX(0,P100-O104-P101),MAX(0,O276))</f>
        <v>0.243790487402009</v>
      </c>
      <c r="Q103" s="116" t="n">
        <f aca="false">MIN(MAX(0,Q100-P104-Q101),MAX(0,P276))</f>
        <v>0.24557408825132</v>
      </c>
      <c r="R103" s="116" t="n">
        <f aca="false">MIN(MAX(0,R100-Q104-R101),MAX(0,Q276))</f>
        <v>0.245037819501137</v>
      </c>
      <c r="S103" s="116" t="n">
        <f aca="false">MIN(MAX(0,S100-R104-S101),MAX(0,R276))</f>
        <v>0.244729774894994</v>
      </c>
      <c r="T103" s="116" t="n">
        <f aca="false">MIN(MAX(0,T100-S104-T101),MAX(0,S276))</f>
        <v>0.244810860482758</v>
      </c>
      <c r="U103" s="116" t="n">
        <f aca="false">MIN(MAX(0,U100-T104-U101),MAX(0,T276))</f>
        <v>0.245273345952239</v>
      </c>
      <c r="V103" s="116" t="n">
        <f aca="false">MIN(MAX(0,V100-U104-V101),MAX(0,U276))</f>
        <v>0.246115418391497</v>
      </c>
      <c r="W103" s="116" t="n">
        <f aca="false">MIN(MAX(0,W100-V104-W101),MAX(0,V276))</f>
        <v>0.243864554480378</v>
      </c>
      <c r="X103" s="116" t="n">
        <f aca="false">MIN(MAX(0,X100-W104-X101),MAX(0,W276))</f>
        <v>0.24201094995021</v>
      </c>
      <c r="Y103" s="116" t="n">
        <f aca="false">MIN(MAX(0,Y100-X104-Y101),MAX(0,X276))</f>
        <v>0.240557672285256</v>
      </c>
      <c r="Z103" s="116" t="n">
        <f aca="false">MIN(MAX(0,Z100-Y104-Z101),MAX(0,Y276))</f>
        <v>0.239507082032672</v>
      </c>
      <c r="AA103" s="116" t="n">
        <f aca="false">MIN(MAX(0,AA100-Z104-AA101),MAX(0,Z276))</f>
        <v>0.238862138520464</v>
      </c>
      <c r="AB103" s="116" t="n">
        <f aca="false">MIN(MAX(0,AB100-AA104-AB101),MAX(0,AA276))</f>
        <v>0.238702173779121</v>
      </c>
      <c r="AC103" s="116" t="n">
        <f aca="false">MIN(MAX(0,AC100-AB104-AC101),MAX(0,AB276))</f>
        <v>0.239029985474994</v>
      </c>
      <c r="AD103" s="116" t="n">
        <f aca="false">MIN(MAX(0,AD100-AC104-AD101),MAX(0,AC276))</f>
        <v>0.239849014412473</v>
      </c>
      <c r="AE103" s="116" t="n">
        <f aca="false">MIN(MAX(0,AE100-AD104-AE101),MAX(0,AD276))</f>
        <v>0.241163355922685</v>
      </c>
      <c r="AF103" s="116" t="n">
        <f aca="false">MIN(MAX(0,AF100-AE104-AF101),MAX(0,AE276))</f>
        <v>0.242977743631432</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8.77182250391267</v>
      </c>
      <c r="M104" s="136" t="n">
        <f aca="false">L104+M101+M103</f>
        <v>9.10286965389406</v>
      </c>
      <c r="N104" s="136" t="n">
        <f aca="false">M104+N101+N103</f>
        <v>9.42856415629452</v>
      </c>
      <c r="O104" s="136" t="n">
        <f aca="false">N104+O101+O103</f>
        <v>9.73605234826707</v>
      </c>
      <c r="P104" s="136" t="n">
        <f aca="false">O104+P101+P103</f>
        <v>9.97984283566908</v>
      </c>
      <c r="Q104" s="136" t="n">
        <f aca="false">P104+Q101+Q103</f>
        <v>10.2254169239204</v>
      </c>
      <c r="R104" s="136" t="n">
        <f aca="false">Q104+R101+R103</f>
        <v>10.4704547434215</v>
      </c>
      <c r="S104" s="136" t="n">
        <f aca="false">R104+S101+S103</f>
        <v>10.7151845183165</v>
      </c>
      <c r="T104" s="136" t="n">
        <f aca="false">S104+T101+T103</f>
        <v>10.9599953787993</v>
      </c>
      <c r="U104" s="136" t="n">
        <f aca="false">T104+U101+U103</f>
        <v>11.2052687247515</v>
      </c>
      <c r="V104" s="136" t="n">
        <f aca="false">U104+V101+V103</f>
        <v>11.451384143143</v>
      </c>
      <c r="W104" s="136" t="n">
        <f aca="false">V104+W101+W103</f>
        <v>11.6952486976234</v>
      </c>
      <c r="X104" s="136" t="n">
        <f aca="false">W104+X101+X103</f>
        <v>11.9372596475736</v>
      </c>
      <c r="Y104" s="136" t="n">
        <f aca="false">X104+Y101+Y103</f>
        <v>12.1778173198589</v>
      </c>
      <c r="Z104" s="136" t="n">
        <f aca="false">Y104+Z101+Z103</f>
        <v>12.4173244018915</v>
      </c>
      <c r="AA104" s="136" t="n">
        <f aca="false">Z104+AA101+AA103</f>
        <v>12.656186540412</v>
      </c>
      <c r="AB104" s="136" t="n">
        <f aca="false">AA104+AB101+AB103</f>
        <v>12.8948887141911</v>
      </c>
      <c r="AC104" s="136" t="n">
        <f aca="false">AB104+AC101+AC103</f>
        <v>13.1339186996661</v>
      </c>
      <c r="AD104" s="136" t="n">
        <f aca="false">AC104+AD101+AD103</f>
        <v>13.3737677140786</v>
      </c>
      <c r="AE104" s="136" t="n">
        <f aca="false">AD104+AE101+AE103</f>
        <v>13.6149310700013</v>
      </c>
      <c r="AF104" s="136" t="n">
        <f aca="false">AE104+AF101+AF103</f>
        <v>13.8579088136327</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68.3069918214476</v>
      </c>
      <c r="M105" s="139" t="n">
        <f aca="false">M104/($C$36*(1+$C$23)^(M$39-1))</f>
        <v>70.8848865469971</v>
      </c>
      <c r="N105" s="139" t="n">
        <f aca="false">N104/($C$36*(1+$C$23)^(N$39-1))</f>
        <v>73.4210997115743</v>
      </c>
      <c r="O105" s="139" t="n">
        <f aca="false">O104/($C$36*(1+$C$23)^(O$39-1))</f>
        <v>75.8155386556925</v>
      </c>
      <c r="P105" s="139" t="n">
        <f aca="false">P104/($C$36*(1+$C$23)^(P$39-1))</f>
        <v>77.7139576925219</v>
      </c>
      <c r="Q105" s="139" t="n">
        <f aca="false">Q104/($C$36*(1+$C$23)^(Q$39-1))</f>
        <v>79.6262657938611</v>
      </c>
      <c r="R105" s="139" t="n">
        <f aca="false">R104/($C$36*(1+$C$23)^(R$39-1))</f>
        <v>81.5343979209241</v>
      </c>
      <c r="S105" s="139" t="n">
        <f aca="false">S104/($C$36*(1+$C$23)^(S$39-1))</f>
        <v>83.4401312761944</v>
      </c>
      <c r="T105" s="139" t="n">
        <f aca="false">T104/($C$36*(1+$C$23)^(T$39-1))</f>
        <v>85.346496052424</v>
      </c>
      <c r="U105" s="139" t="n">
        <f aca="false">U104/($C$36*(1+$C$23)^(U$39-1))</f>
        <v>87.25646224571</v>
      </c>
      <c r="V105" s="139" t="n">
        <f aca="false">V104/($C$36*(1+$C$23)^(V$39-1))</f>
        <v>89.1729857348369</v>
      </c>
      <c r="W105" s="139" t="n">
        <f aca="false">W104/($C$36*(1+$C$23)^(W$39-1))</f>
        <v>91.0719815388448</v>
      </c>
      <c r="X105" s="139" t="n">
        <f aca="false">X104/($C$36*(1+$C$23)^(X$39-1))</f>
        <v>92.9565431532158</v>
      </c>
      <c r="Y105" s="139" t="n">
        <f aca="false">Y104/($C$36*(1+$C$23)^(Y$39-1))</f>
        <v>94.8297879602152</v>
      </c>
      <c r="Z105" s="139" t="n">
        <f aca="false">Z104/($C$36*(1+$C$23)^(Z$39-1))</f>
        <v>96.6948517239071</v>
      </c>
      <c r="AA105" s="139" t="n">
        <f aca="false">AA104/($C$36*(1+$C$23)^(AA$39-1))</f>
        <v>98.5548932529159</v>
      </c>
      <c r="AB105" s="139" t="n">
        <f aca="false">AB104/($C$36*(1+$C$23)^(AB$39-1))</f>
        <v>100.413689121713</v>
      </c>
      <c r="AC105" s="139" t="n">
        <f aca="false">AC104/($C$36*(1+$C$23)^(AC$39-1))</f>
        <v>102.275037690455</v>
      </c>
      <c r="AD105" s="139" t="n">
        <f aca="false">AD104/($C$36*(1+$C$23)^(AD$39-1))</f>
        <v>104.142764113162</v>
      </c>
      <c r="AE105" s="139" t="n">
        <f aca="false">AE104/($C$36*(1+$C$23)^(AE$39-1))</f>
        <v>106.020725434575</v>
      </c>
      <c r="AF105" s="139" t="n">
        <f aca="false">AF104/($C$36*(1+$C$23)^(AF$39-1))</f>
        <v>107.912815560615</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0.646732203282038</v>
      </c>
      <c r="D107" s="116" t="n">
        <f aca="false">D87*(1-$C$340)*$C$175+D85*01_Supuestos!$I$126+D55*D88</f>
        <v>1.31629133181358</v>
      </c>
      <c r="E107" s="116" t="n">
        <f aca="false">E87*(1-$C$340)*$C$175+E85*01_Supuestos!$I$126+E55*E88</f>
        <v>2.00305946537302</v>
      </c>
      <c r="F107" s="116" t="n">
        <f aca="false">F87*(1-$C$340)*$C$175+F85*01_Supuestos!$I$126+F55*F88</f>
        <v>2.66762242708909</v>
      </c>
      <c r="G107" s="116" t="n">
        <f aca="false">G87*(1-$C$340)*$C$175+G85*01_Supuestos!$I$126+G55*G88</f>
        <v>3.39441659859566</v>
      </c>
      <c r="H107" s="116" t="n">
        <f aca="false">H87*(1-$C$340)*$C$175+H85*01_Supuestos!$I$126+H55*H88</f>
        <v>4.13801521195154</v>
      </c>
      <c r="I107" s="116" t="n">
        <f aca="false">I87*(1-$C$340)*$C$175+I85*01_Supuestos!$I$126+I55*I88</f>
        <v>4.89880518130951</v>
      </c>
      <c r="J107" s="116" t="n">
        <f aca="false">J87*(1-$C$340)*$C$175+J85*01_Supuestos!$I$126+J55*J88</f>
        <v>5.67718230499575</v>
      </c>
      <c r="K107" s="116" t="n">
        <f aca="false">K87*(1-$C$340)*$C$175+K85*01_Supuestos!$I$126+K55*K88</f>
        <v>6.10140131750879</v>
      </c>
      <c r="L107" s="116" t="n">
        <f aca="false">L87*(1-$C$340)*$C$175+L85*01_Supuestos!$I$126+L55*L88</f>
        <v>6.23948769129845</v>
      </c>
      <c r="M107" s="116" t="n">
        <f aca="false">M87*(1-$C$340)*$C$175+M85*01_Supuestos!$I$126+M55*M88</f>
        <v>6.41076024219412</v>
      </c>
      <c r="N107" s="116" t="n">
        <f aca="false">N87*(1-$C$340)*$C$175+N85*01_Supuestos!$I$126+N55*N88</f>
        <v>6.57646079586133</v>
      </c>
      <c r="O107" s="116" t="n">
        <f aca="false">O87*(1-$C$340)*$C$175+O85*01_Supuestos!$I$126+O55*O88</f>
        <v>6.72691540464565</v>
      </c>
      <c r="P107" s="116" t="n">
        <f aca="false">P87*(1-$C$340)*$C$175+P85*01_Supuestos!$I$126+P55*P88</f>
        <v>6.88145826950754</v>
      </c>
      <c r="Q107" s="116" t="n">
        <f aca="false">Q87*(1-$C$340)*$C$175+Q85*01_Supuestos!$I$126+Q55*Q88</f>
        <v>7.03958953924262</v>
      </c>
      <c r="R107" s="116" t="n">
        <f aca="false">R87*(1-$C$340)*$C$175+R85*01_Supuestos!$I$126+R55*R88</f>
        <v>7.20141269063964</v>
      </c>
      <c r="S107" s="116" t="n">
        <f aca="false">S87*(1-$C$340)*$C$175+S85*01_Supuestos!$I$126+S55*S88</f>
        <v>7.36701050298393</v>
      </c>
      <c r="T107" s="116" t="n">
        <f aca="false">T87*(1-$C$340)*$C$175+T85*01_Supuestos!$I$126+T55*T88</f>
        <v>7.53646627865204</v>
      </c>
      <c r="U107" s="116" t="n">
        <f aca="false">U87*(1-$C$340)*$C$175+U85*01_Supuestos!$I$126+U55*U88</f>
        <v>7.70986538394621</v>
      </c>
      <c r="V107" s="116" t="n">
        <f aca="false">V87*(1-$C$340)*$C$175+V85*01_Supuestos!$I$126+V55*V88</f>
        <v>7.88729524249414</v>
      </c>
      <c r="W107" s="116" t="n">
        <f aca="false">W87*(1-$C$340)*$C$175+W85*01_Supuestos!$I$126+W55*W88</f>
        <v>8.06887617086959</v>
      </c>
      <c r="X107" s="116" t="n">
        <f aca="false">X87*(1-$C$340)*$C$175+X85*01_Supuestos!$I$126+X55*X88</f>
        <v>8.2546996603401</v>
      </c>
      <c r="Y107" s="116" t="n">
        <f aca="false">Y87*(1-$C$340)*$C$175+Y85*01_Supuestos!$I$126+Y55*Y88</f>
        <v>8.44485936031476</v>
      </c>
      <c r="Z107" s="116" t="n">
        <f aca="false">Z87*(1-$C$340)*$C$175+Z85*01_Supuestos!$I$126+Z55*Z88</f>
        <v>8.6394511348785</v>
      </c>
      <c r="AA107" s="116" t="n">
        <f aca="false">AA87*(1-$C$340)*$C$175+AA85*01_Supuestos!$I$126+AA55*AA88</f>
        <v>8.83857310889959</v>
      </c>
      <c r="AB107" s="116" t="n">
        <f aca="false">AB87*(1-$C$340)*$C$175+AB85*01_Supuestos!$I$126+AB55*AB88</f>
        <v>9.04232504312908</v>
      </c>
      <c r="AC107" s="116" t="n">
        <f aca="false">AC87*(1-$C$340)*$C$175+AC85*01_Supuestos!$I$126+AC55*AC88</f>
        <v>9.25080906694892</v>
      </c>
      <c r="AD107" s="116" t="n">
        <f aca="false">AD87*(1-$C$340)*$C$175+AD85*01_Supuestos!$I$126+AD55*AD88</f>
        <v>9.46412972771594</v>
      </c>
      <c r="AE107" s="116" t="n">
        <f aca="false">AE87*(1-$C$340)*$C$175+AE85*01_Supuestos!$I$126+AE55*AE88</f>
        <v>9.68239404127102</v>
      </c>
      <c r="AF107" s="116" t="n">
        <f aca="false">AF87*(1-$C$340)*$C$175+AF85*01_Supuestos!$I$126+AF55*AF88</f>
        <v>9.90571154388751</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2.30976995693067</v>
      </c>
      <c r="M109" s="116" t="n">
        <f aca="false">(M70+L121)*(0.3*$C$5+0.25*01_Supuestos!$I$134)/0.55-L227*$C$5</f>
        <v>2.43637503104242</v>
      </c>
      <c r="N109" s="116" t="n">
        <f aca="false">(N70+M121)*(0.3*$C$5+0.25*01_Supuestos!$I$134)/0.55-M227*$C$5</f>
        <v>2.58287744608585</v>
      </c>
      <c r="O109" s="116" t="n">
        <f aca="false">(O70+N121)*(0.3*$C$5+0.25*01_Supuestos!$I$134)/0.55-N227*$C$5</f>
        <v>2.73295206636623</v>
      </c>
      <c r="P109" s="116" t="n">
        <f aca="false">(P70+O121)*(0.3*$C$5+0.25*01_Supuestos!$I$134)/0.55-O227*$C$5</f>
        <v>2.88565984443407</v>
      </c>
      <c r="Q109" s="116" t="n">
        <f aca="false">(Q70+P121)*(0.3*$C$5+0.25*01_Supuestos!$I$134)/0.55-P227*$C$5</f>
        <v>3.03707759247343</v>
      </c>
      <c r="R109" s="116" t="n">
        <f aca="false">(R70+Q121)*(0.3*$C$5+0.25*01_Supuestos!$I$134)/0.55-Q227*$C$5</f>
        <v>3.18722678711183</v>
      </c>
      <c r="S109" s="116" t="n">
        <f aca="false">(S70+R121)*(0.3*$C$5+0.25*01_Supuestos!$I$134)/0.55-R227*$C$5</f>
        <v>3.33639054219843</v>
      </c>
      <c r="T109" s="116" t="n">
        <f aca="false">(T70+S121)*(0.3*$C$5+0.25*01_Supuestos!$I$134)/0.55-S227*$C$5</f>
        <v>3.48500210306845</v>
      </c>
      <c r="U109" s="116" t="n">
        <f aca="false">(U70+T121)*(0.3*$C$5+0.25*01_Supuestos!$I$134)/0.55-T227*$C$5</f>
        <v>3.63348539931604</v>
      </c>
      <c r="V109" s="116" t="n">
        <f aca="false">(V70+U121)*(0.3*$C$5+0.25*01_Supuestos!$I$134)/0.55-U227*$C$5</f>
        <v>3.78226062863262</v>
      </c>
      <c r="W109" s="116" t="n">
        <f aca="false">(W70+V121)*(0.3*$C$5+0.25*01_Supuestos!$I$134)/0.55-V227*$C$5</f>
        <v>3.93174491920311</v>
      </c>
      <c r="X109" s="116" t="n">
        <f aca="false">(X70+W121)*(0.3*$C$5+0.25*01_Supuestos!$I$134)/0.55-W227*$C$5</f>
        <v>4.08235717419467</v>
      </c>
      <c r="Y109" s="116" t="n">
        <f aca="false">(Y70+X121)*(0.3*$C$5+0.25*01_Supuestos!$I$134)/0.55-X227*$C$5</f>
        <v>4.23451686358236</v>
      </c>
      <c r="Z109" s="116" t="n">
        <f aca="false">(Z70+Y121)*(0.3*$C$5+0.25*01_Supuestos!$I$134)/0.55-Y227*$C$5</f>
        <v>4.38864333272737</v>
      </c>
      <c r="AA109" s="116" t="n">
        <f aca="false">(AA70+Z121)*(0.3*$C$5+0.25*01_Supuestos!$I$134)/0.55-Z227*$C$5</f>
        <v>4.54515634392664</v>
      </c>
      <c r="AB109" s="116" t="n">
        <f aca="false">(AB70+AA121)*(0.3*$C$5+0.25*01_Supuestos!$I$134)/0.55-AA227*$C$5</f>
        <v>4.7044765154349</v>
      </c>
      <c r="AC109" s="116" t="n">
        <f aca="false">(AC70+AB121)*(0.3*$C$5+0.25*01_Supuestos!$I$134)/0.55-AB227*$C$5</f>
        <v>4.86702590764621</v>
      </c>
      <c r="AD109" s="116" t="n">
        <f aca="false">(AD70+AC121)*(0.3*$C$5+0.25*01_Supuestos!$I$134)/0.55-AC227*$C$5</f>
        <v>5.03322862991614</v>
      </c>
      <c r="AE109" s="116" t="n">
        <f aca="false">(AE70+AD121)*(0.3*$C$5+0.25*01_Supuestos!$I$134)/0.55-AD227*$C$5</f>
        <v>5.20351145730646</v>
      </c>
      <c r="AF109" s="116" t="n">
        <f aca="false">(AF70+AE121)*(0.3*$C$5+0.25*01_Supuestos!$I$134)/0.55-AE227*$C$5</f>
        <v>5.37830443117562</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0.654178969192607</v>
      </c>
      <c r="E110" s="116" t="n">
        <f aca="false">D120*$C$10</f>
        <v>1.22247099622125</v>
      </c>
      <c r="F110" s="116" t="n">
        <f aca="false">E120*$C$10</f>
        <v>1.86111221006359</v>
      </c>
      <c r="G110" s="116" t="n">
        <f aca="false">F120*$C$10</f>
        <v>2.18410798066452</v>
      </c>
      <c r="H110" s="116" t="n">
        <f aca="false">G120*$C$10</f>
        <v>2.58939125427633</v>
      </c>
      <c r="I110" s="116" t="n">
        <f aca="false">H120*$C$10</f>
        <v>3.05862376164562</v>
      </c>
      <c r="J110" s="116" t="n">
        <f aca="false">I120*$C$10</f>
        <v>3.5953320838917</v>
      </c>
      <c r="K110" s="116" t="n">
        <f aca="false">J120*$C$10</f>
        <v>4.18503332984596</v>
      </c>
      <c r="L110" s="116" t="n">
        <f aca="false">K120*$C$10</f>
        <v>4.81110362222686</v>
      </c>
      <c r="M110" s="116" t="n">
        <f aca="false">L120*$C$10</f>
        <v>5.45018930030067</v>
      </c>
      <c r="N110" s="116" t="n">
        <f aca="false">M120*$C$10</f>
        <v>5.45072663504796</v>
      </c>
      <c r="O110" s="116" t="n">
        <f aca="false">N120*$C$10</f>
        <v>5.4765725546023</v>
      </c>
      <c r="P110" s="116" t="n">
        <f aca="false">O120*$C$10</f>
        <v>5.53506925441613</v>
      </c>
      <c r="Q110" s="116" t="n">
        <f aca="false">P120*$C$10</f>
        <v>5.58095846098309</v>
      </c>
      <c r="R110" s="116" t="n">
        <f aca="false">Q120*$C$10</f>
        <v>5.62152467703604</v>
      </c>
      <c r="S110" s="116" t="n">
        <f aca="false">R120*$C$10</f>
        <v>5.66352220432162</v>
      </c>
      <c r="T110" s="116" t="n">
        <f aca="false">S120*$C$10</f>
        <v>5.70677729124711</v>
      </c>
      <c r="U110" s="116" t="n">
        <f aca="false">T120*$C$10</f>
        <v>5.75131882751209</v>
      </c>
      <c r="V110" s="116" t="n">
        <f aca="false">U120*$C$10</f>
        <v>5.79716749142272</v>
      </c>
      <c r="W110" s="116" t="n">
        <f aca="false">V120*$C$10</f>
        <v>5.84434433751215</v>
      </c>
      <c r="X110" s="116" t="n">
        <f aca="false">W120*$C$10</f>
        <v>5.89295053219678</v>
      </c>
      <c r="Y110" s="116" t="n">
        <f aca="false">X120*$C$10</f>
        <v>5.94302815997839</v>
      </c>
      <c r="Z110" s="116" t="n">
        <f aca="false">Y120*$C$10</f>
        <v>5.99461157453333</v>
      </c>
      <c r="AA110" s="116" t="n">
        <f aca="false">Z120*$C$10</f>
        <v>6.04772463142463</v>
      </c>
      <c r="AB110" s="116" t="n">
        <f aca="false">AA120*$C$10</f>
        <v>6.10239201588681</v>
      </c>
      <c r="AC110" s="116" t="n">
        <f aca="false">AB120*$C$10</f>
        <v>6.15863752203524</v>
      </c>
      <c r="AD110" s="116" t="n">
        <f aca="false">AC120*$C$10</f>
        <v>6.21648538779887</v>
      </c>
      <c r="AE110" s="116" t="n">
        <f aca="false">AD120*$C$10</f>
        <v>6.2759604910244</v>
      </c>
      <c r="AF110" s="116" t="n">
        <f aca="false">AE120*$C$10</f>
        <v>6.33708860415217</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0.350872900156507</v>
      </c>
      <c r="M112" s="116" t="n">
        <f aca="false">M81*$C$7</f>
        <v>0.364114786155762</v>
      </c>
      <c r="N112" s="116" t="n">
        <f aca="false">N81*$C$7</f>
        <v>0.377142566251781</v>
      </c>
      <c r="O112" s="116" t="n">
        <f aca="false">O81*$C$7</f>
        <v>0.389442093930683</v>
      </c>
      <c r="P112" s="116" t="n">
        <f aca="false">P81*$C$7</f>
        <v>0.399193713426763</v>
      </c>
      <c r="Q112" s="116" t="n">
        <f aca="false">Q81*$C$7</f>
        <v>0.409016676956816</v>
      </c>
      <c r="R112" s="116" t="n">
        <f aca="false">R81*$C$7</f>
        <v>0.418818189736861</v>
      </c>
      <c r="S112" s="116" t="n">
        <f aca="false">S81*$C$7</f>
        <v>0.428607380732661</v>
      </c>
      <c r="T112" s="116" t="n">
        <f aca="false">T81*$C$7</f>
        <v>0.438399815151972</v>
      </c>
      <c r="U112" s="116" t="n">
        <f aca="false">U81*$C$7</f>
        <v>0.448210748990061</v>
      </c>
      <c r="V112" s="116" t="n">
        <f aca="false">V81*$C$7</f>
        <v>0.458055365725721</v>
      </c>
      <c r="W112" s="116" t="n">
        <f aca="false">W81*$C$7</f>
        <v>0.467809947904936</v>
      </c>
      <c r="X112" s="116" t="n">
        <f aca="false">X81*$C$7</f>
        <v>0.477490385902944</v>
      </c>
      <c r="Y112" s="116" t="n">
        <f aca="false">Y81*$C$7</f>
        <v>0.487112692794355</v>
      </c>
      <c r="Z112" s="116" t="n">
        <f aca="false">Z81*$C$7</f>
        <v>0.496692976075662</v>
      </c>
      <c r="AA112" s="116" t="n">
        <f aca="false">AA81*$C$7</f>
        <v>0.50624746161648</v>
      </c>
      <c r="AB112" s="116" t="n">
        <f aca="false">AB81*$C$7</f>
        <v>0.515795548567645</v>
      </c>
      <c r="AC112" s="116" t="n">
        <f aca="false">AC81*$C$7</f>
        <v>0.525356747986645</v>
      </c>
      <c r="AD112" s="116" t="n">
        <f aca="false">AD81*$C$7</f>
        <v>0.534950708563144</v>
      </c>
      <c r="AE112" s="116" t="n">
        <f aca="false">AE81*$C$7</f>
        <v>0.544597242800051</v>
      </c>
      <c r="AF112" s="116" t="n">
        <f aca="false">AF81*$C$7</f>
        <v>0.554316352545308</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-2.01171227134051</v>
      </c>
      <c r="D113" s="136" t="n">
        <f aca="false">D107+D109+D110-D111-D112-D108-D97-D98-D102+D184-D190-D229-D265-D268-D274</f>
        <v>-2.17790953942015</v>
      </c>
      <c r="E113" s="136" t="n">
        <f aca="false">E107+E109+E110-E111-E112-E108-E97-E98-E102+E184-E190-E229-E265-E268-E274</f>
        <v>-2.09203563630192</v>
      </c>
      <c r="F113" s="136" t="n">
        <f aca="false">F107+F109+F110-F111-F112-F108-F97-F98-F102+F184-F190-F229-F265-F268-F274</f>
        <v>-5.75109362807156</v>
      </c>
      <c r="G113" s="136" t="n">
        <f aca="false">G107+G109+G110-G111-G112-G108-G97-G98-G102+G184-G190-G229-G265-G268-G274</f>
        <v>-4.26587816308858</v>
      </c>
      <c r="H113" s="136" t="n">
        <f aca="false">H107+H109+H110-H111-H112-H108-H97-H98-H102+H184-H190-H229-H265-H268-H274</f>
        <v>-2.90696124873098</v>
      </c>
      <c r="I113" s="136" t="n">
        <f aca="false">I107+I109+I110-I111-I112-I108-I97-I98-I102+I184-I190-I229-I265-I268-I274</f>
        <v>-1.48946224449391</v>
      </c>
      <c r="J113" s="136" t="n">
        <f aca="false">J107+J109+J110-J111-J112-J108-J97-J98-J102+J184-J190-J229-J265-J268-J274</f>
        <v>-0.00782690826956399</v>
      </c>
      <c r="K113" s="136" t="n">
        <f aca="false">K107+K109+K110-K111-K112-K108-K97-K98-K102+K184-K190-K229-K265-K268-K274</f>
        <v>1.1570488246362</v>
      </c>
      <c r="L113" s="136" t="n">
        <f aca="false">L107+L109+L110-L111-L112-L108-L97-L98-L102+L184-L190-L229-L265-L268-L274</f>
        <v>2.08346475195701</v>
      </c>
      <c r="M113" s="136" t="n">
        <f aca="false">M107+M109+M110-M111-M112-M108-M97-M98-M102+M184-M190-M229-M265-M268-M274</f>
        <v>2.87388431222295</v>
      </c>
      <c r="N113" s="136" t="n">
        <f aca="false">N107+N109+N110-N111-N112-N108-N97-N98-N102+N184-N190-N229-N265-N268-N274</f>
        <v>2.97277308899369</v>
      </c>
      <c r="O113" s="136" t="n">
        <f aca="false">O107+O109+O110-O111-O112-O108-O97-O98-O102+O184-O190-O229-O265-O268-O274</f>
        <v>3.0310653272407</v>
      </c>
      <c r="P113" s="136" t="n">
        <f aca="false">P107+P109+P110-P111-P112-P108-P97-P98-P102+P184-P190-P229-P265-P268-P274</f>
        <v>2.92249295651611</v>
      </c>
      <c r="Q113" s="136" t="n">
        <f aca="false">Q107+Q109+Q110-Q111-Q112-Q108-Q97-Q98-Q102+Q184-Q190-Q229-Q265-Q268-Q274</f>
        <v>2.8139293040329</v>
      </c>
      <c r="R113" s="136" t="n">
        <f aca="false">R107+R109+R110-R111-R112-R108-R97-R98-R102+R184-R190-R229-R265-R268-R274</f>
        <v>2.71642696139088</v>
      </c>
      <c r="S113" s="136" t="n">
        <f aca="false">S107+S109+S110-S111-S112-S108-S97-S98-S102+S184-S190-S229-S265-S268-S274</f>
        <v>2.63632060755996</v>
      </c>
      <c r="T113" s="136" t="n">
        <f aca="false">T107+T109+T110-T111-T112-T108-T97-T98-T102+T184-T190-T229-T265-T268-T274</f>
        <v>2.57319870562285</v>
      </c>
      <c r="U113" s="136" t="n">
        <f aca="false">U107+U109+U110-U111-U112-U108-U97-U98-U102+U184-U190-U229-U265-U268-U274</f>
        <v>2.52688557663028</v>
      </c>
      <c r="V113" s="136" t="n">
        <f aca="false">V107+V109+V110-V111-V112-V108-V97-V98-V102+V184-V190-V229-V265-V268-V274</f>
        <v>2.49723317478965</v>
      </c>
      <c r="W113" s="136" t="n">
        <f aca="false">W107+W109+W110-W111-W112-W108-W97-W98-W102+W184-W190-W229-W265-W268-W274</f>
        <v>2.48429801187756</v>
      </c>
      <c r="X113" s="136" t="n">
        <f aca="false">X107+X109+X110-X111-X112-X108-X97-X98-X102+X184-X190-X229-X265-X268-X274</f>
        <v>2.48808507246632</v>
      </c>
      <c r="Y113" s="136" t="n">
        <f aca="false">Y107+Y109+Y110-Y111-Y112-Y108-Y97-Y98-Y102+Y184-Y190-Y229-Y265-Y268-Y274</f>
        <v>2.50856966563964</v>
      </c>
      <c r="Z113" s="136" t="n">
        <f aca="false">Z107+Z109+Z110-Z111-Z112-Z108-Z97-Z98-Z102+Z184-Z190-Z229-Z265-Z268-Z274</f>
        <v>2.54574957794764</v>
      </c>
      <c r="AA113" s="136" t="n">
        <f aca="false">AA107+AA109+AA110-AA111-AA112-AA108-AA97-AA98-AA102+AA184-AA190-AA229-AA265-AA268-AA274</f>
        <v>2.59964072414082</v>
      </c>
      <c r="AB113" s="136" t="n">
        <f aca="false">AB107+AB109+AB110-AB111-AB112-AB108-AB97-AB98-AB102+AB184-AB190-AB229-AB265-AB268-AB274</f>
        <v>2.67028336123846</v>
      </c>
      <c r="AC113" s="136" t="n">
        <f aca="false">AC107+AC109+AC110-AC111-AC112-AC108-AC97-AC98-AC102+AC184-AC190-AC229-AC265-AC268-AC274</f>
        <v>2.75774294950763</v>
      </c>
      <c r="AD113" s="136" t="n">
        <f aca="false">AD107+AD109+AD110-AD111-AD112-AD108-AD97-AD98-AD102+AD184-AD190-AD229-AD265-AD268-AD274</f>
        <v>2.86211055961532</v>
      </c>
      <c r="AE113" s="136" t="n">
        <f aca="false">AE107+AE109+AE110-AE111-AE112-AE108-AE97-AE98-AE102+AE184-AE190-AE229-AE265-AE268-AE274</f>
        <v>2.98350217614141</v>
      </c>
      <c r="AF113" s="136" t="n">
        <f aca="false">AF107+AF109+AF110-AF111-AF112-AF108-AF97-AF98-AF102+AF184-AF190-AF229-AF265-AF268-AF274</f>
        <v>3.12205814504732</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18.6908276912173</v>
      </c>
      <c r="D114" s="116" t="n">
        <f aca="false">C120+D53+D56-D57+(D58-D65)+D113-D92+D94-D95-D103+D60-D245</f>
        <v>34.9277427491786</v>
      </c>
      <c r="E114" s="116" t="n">
        <f aca="false">D120+E53+E56-E57+(E58-E65)+E113-E92+E94-E95-E103+E60-E245</f>
        <v>53.1746345732454</v>
      </c>
      <c r="F114" s="116" t="n">
        <f aca="false">E120+F53+F56-F57+(F58-F65)+F113-F92+F94-F95-F103+F60-F245</f>
        <v>62.4030851618434</v>
      </c>
      <c r="G114" s="116" t="n">
        <f aca="false">F120+G53+G56-G57+(G58-G65)+G113-G92+G94-G95-G103+G60-G245</f>
        <v>73.9826072650379</v>
      </c>
      <c r="H114" s="116" t="n">
        <f aca="false">G120+H53+H56-H57+(H58-H65)+H113-H92+H94-H95-H103+H60-H245</f>
        <v>87.389250332732</v>
      </c>
      <c r="I114" s="116" t="n">
        <f aca="false">H120+I53+I56-I57+(I58-I65)+I113-I92+I94-I95-I103+I60-I245</f>
        <v>102.723773825477</v>
      </c>
      <c r="J114" s="116" t="n">
        <f aca="false">I120+J53+J56-J57+(J58-J65)+J113-J92+J94-J95-J103+J60-J245</f>
        <v>119.572380852742</v>
      </c>
      <c r="K114" s="116" t="n">
        <f aca="false">J120+K53+K56-K57+(K58-K65)+K113-K92+K94-K95-K103+K60-K245</f>
        <v>138.617152316832</v>
      </c>
      <c r="L114" s="116" t="n">
        <f aca="false">K120+L53+L56-L57+(L58-L65)+L113-L92+L94-L95-L103+L60-L245</f>
        <v>157.803159046262</v>
      </c>
      <c r="M114" s="116" t="n">
        <f aca="false">L120+M53+M56-M57+(M58-M65)+M113-M92+M94-M95-M103+M60-M245</f>
        <v>158.608931027879</v>
      </c>
      <c r="N114" s="116" t="n">
        <f aca="false">M120+N53+N56-N57+(N58-N65)+N113-N92+N94-N95-N103+N60-N245</f>
        <v>159.446274649059</v>
      </c>
      <c r="O114" s="116" t="n">
        <f aca="false">N120+O53+O56-O57+(O58-O65)+O113-O92+O94-O95-O103+O60-O245</f>
        <v>161.175901167701</v>
      </c>
      <c r="P114" s="116" t="n">
        <f aca="false">O120+P53+P56-P57+(P58-P65)+P113-P92+P94-P95-P103+P60-P245</f>
        <v>162.378448984605</v>
      </c>
      <c r="Q114" s="116" t="n">
        <f aca="false">P120+Q53+Q56-Q57+(Q58-Q65)+Q113-Q92+Q94-Q95-Q103+Q60-Q245</f>
        <v>163.428920076491</v>
      </c>
      <c r="R114" s="116" t="n">
        <f aca="false">Q120+R53+R56-R57+(R58-R65)+R113-R92+R94-R95-R103+R60-R245</f>
        <v>164.531347084866</v>
      </c>
      <c r="S114" s="116" t="n">
        <f aca="false">R120+S53+S56-S57+(S58-S65)+S113-S92+S94-S95-S103+S60-S245</f>
        <v>165.687100357477</v>
      </c>
      <c r="T114" s="116" t="n">
        <f aca="false">S120+T53+T56-T57+(T58-T65)+T113-T92+T94-T95-T103+T60-T245</f>
        <v>166.896593777397</v>
      </c>
      <c r="U114" s="116" t="n">
        <f aca="false">T120+U53+U56-U57+(U58-U65)+U113-U92+U94-U95-U103+U60-U245</f>
        <v>168.160242474422</v>
      </c>
      <c r="V114" s="116" t="n">
        <f aca="false">U120+V53+V56-V57+(V58-V65)+V113-V92+V94-V95-V103+V60-V245</f>
        <v>169.478499960851</v>
      </c>
      <c r="W114" s="116" t="n">
        <f aca="false">V120+W53+W56-W57+(W58-W65)+W113-W92+W94-W95-W103+W60-W245</f>
        <v>170.8543132175</v>
      </c>
      <c r="X114" s="116" t="n">
        <f aca="false">W120+X53+X56-X57+(X58-X65)+X113-X92+X94-X95-X103+X60-X245</f>
        <v>172.288889643278</v>
      </c>
      <c r="Y114" s="116" t="n">
        <f aca="false">X120+Y53+Y56-Y57+(Y58-Y65)+Y113-Y92+Y94-Y95-Y103+Y60-Y245</f>
        <v>173.783186080878</v>
      </c>
      <c r="Z114" s="116" t="n">
        <f aca="false">Y120+Z53+Z56-Z57+(Z58-Z65)+Z113-Z92+Z94-Z95-Z103+Z60-Z245</f>
        <v>175.337881904366</v>
      </c>
      <c r="AA114" s="116" t="n">
        <f aca="false">Z120+AA53+AA56-AA57+(AA58-AA65)+AA113-AA92+AA94-AA95-AA103+AA60-AA245</f>
        <v>176.953698320907</v>
      </c>
      <c r="AB114" s="116" t="n">
        <f aca="false">AA120+AB53+AB56-AB57+(AB58-AB65)+AB113-AB92+AB94-AB95-AB103+AB60-AB245</f>
        <v>178.631355419388</v>
      </c>
      <c r="AC114" s="116" t="n">
        <f aca="false">AB120+AC53+AC56-AC57+(AC58-AC65)+AC113-AC92+AC94-AC95-AC103+AC60-AC245</f>
        <v>180.371611172332</v>
      </c>
      <c r="AD114" s="116" t="n">
        <f aca="false">AC120+AD53+AD56-AD57+(AD58-AD65)+AD113-AD92+AD94-AD95-AD103+AD60-AD245</f>
        <v>182.175267446027</v>
      </c>
      <c r="AE114" s="116" t="n">
        <f aca="false">AD120+AE53+AE56-AE57+(AE58-AE65)+AE113-AE92+AE94-AE95-AE103+AE60-AE245</f>
        <v>184.043176580489</v>
      </c>
      <c r="AF114" s="116" t="n">
        <f aca="false">AE120+AF53+AF56-AF57+(AF58-AF65)+AF113-AF92+AF94-AF95-AF103+AF60-AF245</f>
        <v>185.976240985108</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1.1570488246362</v>
      </c>
      <c r="L115" s="116" t="n">
        <f aca="false">IF(L113&gt;0,MIN(L113,01_Supuestos!$I$106*L81),0)</f>
        <v>2.08346475195701</v>
      </c>
      <c r="M115" s="116" t="n">
        <f aca="false">IF(M113&gt;0,MIN(M113,01_Supuestos!$I$106*M81),0)</f>
        <v>2.87388431222295</v>
      </c>
      <c r="N115" s="116" t="n">
        <f aca="false">IF(N113&gt;0,MIN(N113,01_Supuestos!$I$106*N81),0)</f>
        <v>2.97277308899369</v>
      </c>
      <c r="O115" s="116" t="n">
        <f aca="false">IF(O113&gt;0,MIN(O113,01_Supuestos!$I$106*O81),0)</f>
        <v>3.0310653272407</v>
      </c>
      <c r="P115" s="116" t="n">
        <f aca="false">IF(P113&gt;0,MIN(P113,01_Supuestos!$I$106*P81),0)</f>
        <v>2.92249295651611</v>
      </c>
      <c r="Q115" s="116" t="n">
        <f aca="false">IF(Q113&gt;0,MIN(Q113,01_Supuestos!$I$106*Q81),0)</f>
        <v>2.8139293040329</v>
      </c>
      <c r="R115" s="116" t="n">
        <f aca="false">IF(R113&gt;0,MIN(R113,01_Supuestos!$I$106*R81),0)</f>
        <v>2.71642696139088</v>
      </c>
      <c r="S115" s="116" t="n">
        <f aca="false">IF(S113&gt;0,MIN(S113,01_Supuestos!$I$106*S81),0)</f>
        <v>2.63632060755996</v>
      </c>
      <c r="T115" s="116" t="n">
        <f aca="false">IF(T113&gt;0,MIN(T113,01_Supuestos!$I$106*T81),0)</f>
        <v>2.57319870562285</v>
      </c>
      <c r="U115" s="116" t="n">
        <f aca="false">IF(U113&gt;0,MIN(U113,01_Supuestos!$I$106*U81),0)</f>
        <v>2.52688557663028</v>
      </c>
      <c r="V115" s="116" t="n">
        <f aca="false">IF(V113&gt;0,MIN(V113,01_Supuestos!$I$106*V81),0)</f>
        <v>2.49723317478965</v>
      </c>
      <c r="W115" s="116" t="n">
        <f aca="false">IF(W113&gt;0,MIN(W113,01_Supuestos!$I$106*W81),0)</f>
        <v>2.48429801187756</v>
      </c>
      <c r="X115" s="116" t="n">
        <f aca="false">IF(X113&gt;0,MIN(X113,01_Supuestos!$I$106*X81),0)</f>
        <v>2.48808507246632</v>
      </c>
      <c r="Y115" s="116" t="n">
        <f aca="false">IF(Y113&gt;0,MIN(Y113,01_Supuestos!$I$106*Y81),0)</f>
        <v>2.50856966563964</v>
      </c>
      <c r="Z115" s="116" t="n">
        <f aca="false">IF(Z113&gt;0,MIN(Z113,01_Supuestos!$I$106*Z81),0)</f>
        <v>2.54574957794764</v>
      </c>
      <c r="AA115" s="116" t="n">
        <f aca="false">IF(AA113&gt;0,MIN(AA113,01_Supuestos!$I$106*AA81),0)</f>
        <v>2.59964072414082</v>
      </c>
      <c r="AB115" s="116" t="n">
        <f aca="false">IF(AB113&gt;0,MIN(AB113,01_Supuestos!$I$106*AB81),0)</f>
        <v>2.67028336123846</v>
      </c>
      <c r="AC115" s="116" t="n">
        <f aca="false">IF(AC113&gt;0,MIN(AC113,01_Supuestos!$I$106*AC81),0)</f>
        <v>2.75774294950763</v>
      </c>
      <c r="AD115" s="116" t="n">
        <f aca="false">IF(AD113&gt;0,MIN(AD113,01_Supuestos!$I$106*AD81),0)</f>
        <v>2.86211055961532</v>
      </c>
      <c r="AE115" s="116" t="n">
        <f aca="false">IF(AE113&gt;0,MIN(AE113,01_Supuestos!$I$106*AE81),0)</f>
        <v>2.98350217614141</v>
      </c>
      <c r="AF115" s="116" t="n">
        <f aca="false">IF(AF113&gt;0,MIN(AF113,01_Supuestos!$I$106*AF81),0)</f>
        <v>3.12205814504732</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18.6908276912173</v>
      </c>
      <c r="D120" s="136" t="n">
        <f aca="false">D114-D115+D118+D119</f>
        <v>34.9277427491786</v>
      </c>
      <c r="E120" s="136" t="n">
        <f aca="false">E114-E115+E118+E119</f>
        <v>53.1746345732454</v>
      </c>
      <c r="F120" s="136" t="n">
        <f aca="false">F114-F115+F118+F119</f>
        <v>62.4030851618434</v>
      </c>
      <c r="G120" s="136" t="n">
        <f aca="false">G114-G115+G118+G119</f>
        <v>73.9826072650379</v>
      </c>
      <c r="H120" s="136" t="n">
        <f aca="false">H114-H115+H118+H119</f>
        <v>87.389250332732</v>
      </c>
      <c r="I120" s="136" t="n">
        <f aca="false">I114-I115+I118+I119</f>
        <v>102.723773825477</v>
      </c>
      <c r="J120" s="136" t="n">
        <f aca="false">J114-J115+J118+J119</f>
        <v>119.572380852742</v>
      </c>
      <c r="K120" s="136" t="n">
        <f aca="false">K114-K115+K118+K119</f>
        <v>137.460103492196</v>
      </c>
      <c r="L120" s="136" t="n">
        <f aca="false">L114-L115+L118+L119</f>
        <v>155.719694294305</v>
      </c>
      <c r="M120" s="136" t="n">
        <f aca="false">M114-M115+M118+M119</f>
        <v>155.735046715656</v>
      </c>
      <c r="N120" s="136" t="n">
        <f aca="false">N114-N115+N118+N119</f>
        <v>156.473501560066</v>
      </c>
      <c r="O120" s="136" t="n">
        <f aca="false">O114-O115+O118+O119</f>
        <v>158.144835840461</v>
      </c>
      <c r="P120" s="136" t="n">
        <f aca="false">P114-P115+P118+P119</f>
        <v>159.455956028088</v>
      </c>
      <c r="Q120" s="136" t="n">
        <f aca="false">Q114-Q115+Q118+Q119</f>
        <v>160.614990772458</v>
      </c>
      <c r="R120" s="136" t="n">
        <f aca="false">R114-R115+R118+R119</f>
        <v>161.814920123475</v>
      </c>
      <c r="S120" s="136" t="n">
        <f aca="false">S114-S115+S118+S119</f>
        <v>163.050779749917</v>
      </c>
      <c r="T120" s="136" t="n">
        <f aca="false">T114-T115+T118+T119</f>
        <v>164.323395071774</v>
      </c>
      <c r="U120" s="136" t="n">
        <f aca="false">U114-U115+U118+U119</f>
        <v>165.633356897792</v>
      </c>
      <c r="V120" s="136" t="n">
        <f aca="false">V114-V115+V118+V119</f>
        <v>166.981266786061</v>
      </c>
      <c r="W120" s="136" t="n">
        <f aca="false">W114-W115+W118+W119</f>
        <v>168.370015205622</v>
      </c>
      <c r="X120" s="136" t="n">
        <f aca="false">X114-X115+X118+X119</f>
        <v>169.800804570811</v>
      </c>
      <c r="Y120" s="136" t="n">
        <f aca="false">Y114-Y115+Y118+Y119</f>
        <v>171.274616415238</v>
      </c>
      <c r="Z120" s="136" t="n">
        <f aca="false">Z114-Z115+Z118+Z119</f>
        <v>172.792132326418</v>
      </c>
      <c r="AA120" s="136" t="n">
        <f aca="false">AA114-AA115+AA118+AA119</f>
        <v>174.354057596766</v>
      </c>
      <c r="AB120" s="136" t="n">
        <f aca="false">AB114-AB115+AB118+AB119</f>
        <v>175.96107205815</v>
      </c>
      <c r="AC120" s="136" t="n">
        <f aca="false">AC114-AC115+AC118+AC119</f>
        <v>177.613868222825</v>
      </c>
      <c r="AD120" s="136" t="n">
        <f aca="false">AD114-AD115+AD118+AD119</f>
        <v>179.313156886411</v>
      </c>
      <c r="AE120" s="136" t="n">
        <f aca="false">AE114-AE115+AE118+AE119</f>
        <v>181.059674404348</v>
      </c>
      <c r="AF120" s="136" t="n">
        <f aca="false">AF114-AF115+AF118+AF119</f>
        <v>182.854182840061</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1.1570488246362</v>
      </c>
      <c r="L121" s="116" t="n">
        <f aca="false">K121+L115</f>
        <v>3.2405135765932</v>
      </c>
      <c r="M121" s="116" t="n">
        <f aca="false">L121+M115</f>
        <v>6.11439788881616</v>
      </c>
      <c r="N121" s="116" t="n">
        <f aca="false">M121+N115</f>
        <v>9.08717097780984</v>
      </c>
      <c r="O121" s="116" t="n">
        <f aca="false">N121+O115</f>
        <v>12.1182363050505</v>
      </c>
      <c r="P121" s="116" t="n">
        <f aca="false">O121+P115</f>
        <v>15.0407292615667</v>
      </c>
      <c r="Q121" s="116" t="n">
        <f aca="false">P121+Q115</f>
        <v>17.8546585655996</v>
      </c>
      <c r="R121" s="116" t="n">
        <f aca="false">Q121+R115</f>
        <v>20.5710855269904</v>
      </c>
      <c r="S121" s="116" t="n">
        <f aca="false">R121+S115</f>
        <v>23.2074061345504</v>
      </c>
      <c r="T121" s="116" t="n">
        <f aca="false">S121+T115</f>
        <v>25.7806048401732</v>
      </c>
      <c r="U121" s="116" t="n">
        <f aca="false">T121+U115</f>
        <v>28.3074904168035</v>
      </c>
      <c r="V121" s="116" t="n">
        <f aca="false">U121+V115</f>
        <v>30.8047235915932</v>
      </c>
      <c r="W121" s="116" t="n">
        <f aca="false">V121+W115</f>
        <v>33.2890216034707</v>
      </c>
      <c r="X121" s="116" t="n">
        <f aca="false">W121+X115</f>
        <v>35.7771066759371</v>
      </c>
      <c r="Y121" s="116" t="n">
        <f aca="false">X121+Y115</f>
        <v>38.2856763415767</v>
      </c>
      <c r="Z121" s="116" t="n">
        <f aca="false">Y121+Z115</f>
        <v>40.8314259195243</v>
      </c>
      <c r="AA121" s="116" t="n">
        <f aca="false">Z121+AA115</f>
        <v>43.4310666436652</v>
      </c>
      <c r="AB121" s="116" t="n">
        <f aca="false">AA121+AB115</f>
        <v>46.1013500049036</v>
      </c>
      <c r="AC121" s="116" t="n">
        <f aca="false">AB121+AC115</f>
        <v>48.8590929544112</v>
      </c>
      <c r="AD121" s="116" t="n">
        <f aca="false">AC121+AD115</f>
        <v>51.7212035140266</v>
      </c>
      <c r="AE121" s="116" t="n">
        <f aca="false">AD121+AE115</f>
        <v>54.704705690168</v>
      </c>
      <c r="AF121" s="116" t="n">
        <f aca="false">AE121+AF115</f>
        <v>57.8267638352153</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0.2971213868635</v>
      </c>
      <c r="D122" s="87" t="n">
        <f aca="false">D276/(D81+D115)</f>
        <v>0.335782187805755</v>
      </c>
      <c r="E122" s="87" t="n">
        <f aca="false">E276/(E81+E115)</f>
        <v>0.378969693442552</v>
      </c>
      <c r="F122" s="87" t="n">
        <f aca="false">F276/(F81+F115)</f>
        <v>0.228704334144517</v>
      </c>
      <c r="G122" s="87" t="n">
        <f aca="false">G276/(G81+G115)</f>
        <v>0.259082346773926</v>
      </c>
      <c r="H122" s="87" t="n">
        <f aca="false">H276/(H81+H115)</f>
        <v>0.292956139576638</v>
      </c>
      <c r="I122" s="87" t="n">
        <f aca="false">I276/(I81+I115)</f>
        <v>0.330205856931193</v>
      </c>
      <c r="J122" s="87" t="n">
        <f aca="false">J276/(J81+J115)</f>
        <v>0.369139326196507</v>
      </c>
      <c r="K122" s="87" t="n">
        <f aca="false">K276/(K81+K115)</f>
        <v>0.406741569641296</v>
      </c>
      <c r="L122" s="87" t="n">
        <f aca="false">L276/(L81+L115)</f>
        <v>0.441186814508047</v>
      </c>
      <c r="M122" s="87" t="n">
        <f aca="false">M276/(M81+M115)</f>
        <v>0.424359276587645</v>
      </c>
      <c r="N122" s="87" t="n">
        <f aca="false">N276/(N81+N115)</f>
        <v>0.411647427413569</v>
      </c>
      <c r="O122" s="87" t="n">
        <f aca="false">O276/(O81+O115)</f>
        <v>0.402944334179378</v>
      </c>
      <c r="P122" s="87" t="n">
        <f aca="false">P276/(P81+P115)</f>
        <v>0.396541978405372</v>
      </c>
      <c r="Q122" s="87" t="n">
        <f aca="false">Q276/(Q81+Q115)</f>
        <v>0.390002560107751</v>
      </c>
      <c r="R122" s="87" t="n">
        <f aca="false">R276/(R81+R115)</f>
        <v>0.383871012518308</v>
      </c>
      <c r="S122" s="87" t="n">
        <f aca="false">S276/(S81+S115)</f>
        <v>0.378094286926829</v>
      </c>
      <c r="T122" s="87" t="n">
        <f aca="false">T276/(T81+T115)</f>
        <v>0.372638211200923</v>
      </c>
      <c r="U122" s="87" t="n">
        <f aca="false">U276/(U81+U115)</f>
        <v>0.367471771149132</v>
      </c>
      <c r="V122" s="87" t="n">
        <f aca="false">V276/(V81+V115)</f>
        <v>0.362567201194175</v>
      </c>
      <c r="W122" s="87" t="n">
        <f aca="false">W276/(W81+W115)</f>
        <v>0.35800994094111</v>
      </c>
      <c r="X122" s="87" t="n">
        <f aca="false">X276/(X81+X115)</f>
        <v>0.353767543418651</v>
      </c>
      <c r="Y122" s="87" t="n">
        <f aca="false">Y276/(Y81+Y115)</f>
        <v>0.349810413777184</v>
      </c>
      <c r="Z122" s="87" t="n">
        <f aca="false">Z276/(Z81+Z115)</f>
        <v>0.346111235862556</v>
      </c>
      <c r="AA122" s="87" t="n">
        <f aca="false">AA276/(AA81+AA115)</f>
        <v>0.342645279485258</v>
      </c>
      <c r="AB122" s="87" t="n">
        <f aca="false">AB276/(AB81+AB115)</f>
        <v>0.339387981274503</v>
      </c>
      <c r="AC122" s="87" t="n">
        <f aca="false">AC276/(AC81+AC115)</f>
        <v>0.336316975336126</v>
      </c>
      <c r="AD122" s="87" t="n">
        <f aca="false">AD276/(AD81+AD115)</f>
        <v>0.333411831236924</v>
      </c>
      <c r="AE122" s="87" t="n">
        <f aca="false">AE276/(AE81+AE115)</f>
        <v>0.330653837019452</v>
      </c>
      <c r="AF122" s="87" t="n">
        <f aca="false">AF276/(AF81+AF115)</f>
        <v>0.328025803987218</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2.01171227134051</v>
      </c>
      <c r="D127" s="116" t="n">
        <f aca="false">MAX(0,-D113)</f>
        <v>2.17790953942015</v>
      </c>
      <c r="E127" s="116" t="n">
        <f aca="false">MAX(0,-E113)</f>
        <v>2.09203563630192</v>
      </c>
      <c r="F127" s="116" t="n">
        <f aca="false">MAX(0,-F113)</f>
        <v>5.75109362807156</v>
      </c>
      <c r="G127" s="116" t="n">
        <f aca="false">MAX(0,-G113)</f>
        <v>4.26587816308858</v>
      </c>
      <c r="H127" s="116" t="n">
        <f aca="false">MAX(0,-H113)</f>
        <v>2.90696124873098</v>
      </c>
      <c r="I127" s="116" t="n">
        <f aca="false">MAX(0,-I113)</f>
        <v>1.48946224449391</v>
      </c>
      <c r="J127" s="116" t="n">
        <f aca="false">MAX(0,-J113)</f>
        <v>0.00782690826956399</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5.43531466747416</v>
      </c>
      <c r="D128" s="116" t="n">
        <f aca="false">IF(AVERAGE(E127:I127)&gt;0,D120/AVERAGE(E127:I127),99)</f>
        <v>10.5806818728381</v>
      </c>
      <c r="E128" s="116" t="n">
        <f aca="false">IF(AVERAGE(F127:J127)&gt;0,E120/AVERAGE(F127:J127),99)</f>
        <v>18.436244120949</v>
      </c>
      <c r="F128" s="116" t="n">
        <f aca="false">IF(AVERAGE(G127:K127)&gt;0,F120/AVERAGE(G127:K127),99)</f>
        <v>35.9874047408919</v>
      </c>
      <c r="G128" s="116" t="n">
        <f aca="false">IF(AVERAGE(H127:L127)&gt;0,G120/AVERAGE(H127:L127),99)</f>
        <v>83.9900102409415</v>
      </c>
      <c r="H128" s="116" t="n">
        <f aca="false">IF(AVERAGE(I127:M127)&gt;0,H120/AVERAGE(I127:M127),99)</f>
        <v>291.824896251476</v>
      </c>
      <c r="I128" s="116" t="n">
        <f aca="false">IF(AVERAGE(J127:N127)&gt;0,I120/AVERAGE(J127:N127),99)</f>
        <v>65622.1909645553</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0.05</v>
      </c>
      <c r="D129" s="87" t="n">
        <f aca="false">D83/D41</f>
        <v>0.0988758553274683</v>
      </c>
      <c r="E129" s="87" t="n">
        <f aca="false">E83/E41</f>
        <v>0.1466528400073</v>
      </c>
      <c r="F129" s="87" t="n">
        <f aca="false">F83/F41</f>
        <v>0.193355659831183</v>
      </c>
      <c r="G129" s="87" t="n">
        <f aca="false">G83/G41</f>
        <v>0.239008465133121</v>
      </c>
      <c r="H129" s="87" t="n">
        <f aca="false">H83/H41</f>
        <v>0.283634863277734</v>
      </c>
      <c r="I129" s="87" t="n">
        <f aca="false">I83/I41</f>
        <v>0.327257930867775</v>
      </c>
      <c r="J129" s="87" t="n">
        <f aca="false">J83/J41</f>
        <v>0.369900225677199</v>
      </c>
      <c r="K129" s="87" t="n">
        <f aca="false">K83/K41</f>
        <v>0.388351648351648</v>
      </c>
      <c r="L129" s="87" t="n">
        <f aca="false">L83/L41</f>
        <v>0.388351648351648</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0.0411328125</v>
      </c>
      <c r="D139" s="116" t="n">
        <f aca="false">(1-D55)*D88</f>
        <v>0.0832116796875</v>
      </c>
      <c r="E139" s="116" t="n">
        <f aca="false">(1-E55)*E88</f>
        <v>0.126258360820313</v>
      </c>
      <c r="F139" s="116" t="n">
        <f aca="false">(1-F55)*F88</f>
        <v>0.17029511561918</v>
      </c>
      <c r="G139" s="116" t="n">
        <f aca="false">(1-G55)*G88</f>
        <v>0.215344715778421</v>
      </c>
      <c r="H139" s="116" t="n">
        <f aca="false">(1-H55)*H88</f>
        <v>0.261430456741325</v>
      </c>
      <c r="I139" s="116" t="n">
        <f aca="false">(1-I55)*I88</f>
        <v>0.308576169746375</v>
      </c>
      <c r="J139" s="116" t="n">
        <f aca="false">(1-J55)*J88</f>
        <v>0.356806234150542</v>
      </c>
      <c r="K139" s="116" t="n">
        <f aca="false">(1-K55)*K88</f>
        <v>0.383220403734559</v>
      </c>
      <c r="L139" s="116" t="n">
        <f aca="false">(1-L55)*L88</f>
        <v>0.392034473020454</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-18.7901671875</v>
      </c>
      <c r="D140" s="116" t="n">
        <f aca="false">SUM(D133:D139)</f>
        <v>-18.7068014272125</v>
      </c>
      <c r="E140" s="116" t="n">
        <f aca="false">SUM(E133:E139)</f>
        <v>-18.6413222857616</v>
      </c>
      <c r="F140" s="116" t="n">
        <f aca="false">SUM(F133:F139)</f>
        <v>-17.8636508364938</v>
      </c>
      <c r="G140" s="116" t="n">
        <f aca="false">SUM(G133:G139)</f>
        <v>-17.8653844132417</v>
      </c>
      <c r="H140" s="116" t="n">
        <f aca="false">SUM(H133:H139)</f>
        <v>-17.8646159966349</v>
      </c>
      <c r="I140" s="116" t="n">
        <f aca="false">SUM(I133:I139)</f>
        <v>-17.8614874950308</v>
      </c>
      <c r="J140" s="116" t="n">
        <f aca="false">SUM(J133:J139)</f>
        <v>-17.8561312245794</v>
      </c>
      <c r="K140" s="116" t="n">
        <f aca="false">SUM(K133:K139)</f>
        <v>-17.8715957078359</v>
      </c>
      <c r="L140" s="116" t="n">
        <f aca="false">SUM(L133:L139)</f>
        <v>-17.9038055931194</v>
      </c>
      <c r="M140" s="116" t="n">
        <f aca="false">SUM(M133:M139)</f>
        <v>2.67413164707173</v>
      </c>
      <c r="N140" s="116" t="n">
        <f aca="false">SUM(N133:N139)</f>
        <v>2.65791430162299</v>
      </c>
      <c r="O140" s="116" t="n">
        <f aca="false">SUM(O133:O139)</f>
        <v>2.64625849627186</v>
      </c>
      <c r="P140" s="116" t="n">
        <f aca="false">SUM(P133:P139)</f>
        <v>2.65459820436939</v>
      </c>
      <c r="Q140" s="116" t="n">
        <f aca="false">SUM(Q133:Q139)</f>
        <v>2.66098965287782</v>
      </c>
      <c r="R140" s="116" t="n">
        <f aca="false">SUM(R133:R139)</f>
        <v>2.66504396132128</v>
      </c>
      <c r="S140" s="116" t="n">
        <f aca="false">SUM(S133:S139)</f>
        <v>2.6668209497267</v>
      </c>
      <c r="T140" s="116" t="n">
        <f aca="false">SUM(T133:T139)</f>
        <v>2.66637559194396</v>
      </c>
      <c r="U140" s="116" t="n">
        <f aca="false">SUM(U133:U139)</f>
        <v>2.66375829993186</v>
      </c>
      <c r="V140" s="116" t="n">
        <f aca="false">SUM(V133:V139)</f>
        <v>2.65901518891845</v>
      </c>
      <c r="W140" s="116" t="n">
        <f aca="false">SUM(W133:W139)</f>
        <v>2.65218832464956</v>
      </c>
      <c r="X140" s="116" t="n">
        <f aca="false">SUM(X133:X139)</f>
        <v>2.64331595385981</v>
      </c>
      <c r="Y140" s="116" t="n">
        <f aca="false">SUM(Y133:Y139)</f>
        <v>2.63243271902708</v>
      </c>
      <c r="Z140" s="116" t="n">
        <f aca="false">SUM(Z133:Z139)</f>
        <v>2.61956985840173</v>
      </c>
      <c r="AA140" s="116" t="n">
        <f aca="false">SUM(AA133:AA139)</f>
        <v>2.60475539223768</v>
      </c>
      <c r="AB140" s="116" t="n">
        <f aca="false">SUM(AB133:AB139)</f>
        <v>2.58801429609159</v>
      </c>
      <c r="AC140" s="116" t="n">
        <f aca="false">SUM(AC133:AC139)</f>
        <v>2.56936866199988</v>
      </c>
      <c r="AD140" s="116" t="n">
        <f aca="false">SUM(AD133:AD139)</f>
        <v>2.54883784829035</v>
      </c>
      <c r="AE140" s="116" t="n">
        <f aca="false">SUM(AE133:AE139)</f>
        <v>2.52643861873554</v>
      </c>
      <c r="AF140" s="116" t="n">
        <f aca="false">SUM(AF133:AF139)</f>
        <v>2.5021852717086</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-1.68418992075123</v>
      </c>
      <c r="M141" s="116" t="n">
        <f aca="false">-M85*01_Supuestos!$I$126</f>
        <v>-1.34735193660099</v>
      </c>
      <c r="N141" s="116" t="n">
        <f aca="false">-N85*01_Supuestos!$I$126</f>
        <v>-1.13142769875534</v>
      </c>
      <c r="O141" s="116" t="n">
        <f aca="false">-O85*01_Supuestos!$I$126</f>
        <v>-1.16832628179205</v>
      </c>
      <c r="P141" s="116" t="n">
        <f aca="false">-P85*01_Supuestos!$I$126</f>
        <v>-1.19758114028029</v>
      </c>
      <c r="Q141" s="116" t="n">
        <f aca="false">-Q85*01_Supuestos!$I$126</f>
        <v>-1.22705003087045</v>
      </c>
      <c r="R141" s="116" t="n">
        <f aca="false">-R85*01_Supuestos!$I$126</f>
        <v>-1.25645456921058</v>
      </c>
      <c r="S141" s="116" t="n">
        <f aca="false">-S85*01_Supuestos!$I$126</f>
        <v>-1.28582214219798</v>
      </c>
      <c r="T141" s="116" t="n">
        <f aca="false">-T85*01_Supuestos!$I$126</f>
        <v>-1.31519944545591</v>
      </c>
      <c r="U141" s="116" t="n">
        <f aca="false">-U85*01_Supuestos!$I$126</f>
        <v>-1.34463224697018</v>
      </c>
      <c r="V141" s="116" t="n">
        <f aca="false">-V85*01_Supuestos!$I$126</f>
        <v>-1.37416609717716</v>
      </c>
      <c r="W141" s="116" t="n">
        <f aca="false">-W85*01_Supuestos!$I$126</f>
        <v>-1.40342984371481</v>
      </c>
      <c r="X141" s="116" t="n">
        <f aca="false">-X85*01_Supuestos!$I$126</f>
        <v>-1.43247115770883</v>
      </c>
      <c r="Y141" s="116" t="n">
        <f aca="false">-Y85*01_Supuestos!$I$126</f>
        <v>-1.46133807838306</v>
      </c>
      <c r="Z141" s="116" t="n">
        <f aca="false">-Z85*01_Supuestos!$I$126</f>
        <v>-1.49007892822698</v>
      </c>
      <c r="AA141" s="116" t="n">
        <f aca="false">-AA85*01_Supuestos!$I$126</f>
        <v>-1.51874238484944</v>
      </c>
      <c r="AB141" s="116" t="n">
        <f aca="false">-AB85*01_Supuestos!$I$126</f>
        <v>-1.54738664570293</v>
      </c>
      <c r="AC141" s="116" t="n">
        <f aca="false">-AC85*01_Supuestos!$I$126</f>
        <v>-1.57607024395993</v>
      </c>
      <c r="AD141" s="116" t="n">
        <f aca="false">-AD85*01_Supuestos!$I$126</f>
        <v>-1.60485212568943</v>
      </c>
      <c r="AE141" s="116" t="n">
        <f aca="false">-AE85*01_Supuestos!$I$126</f>
        <v>-1.63379172840015</v>
      </c>
      <c r="AF141" s="116" t="n">
        <f aca="false">-AF85*01_Supuestos!$I$126</f>
        <v>-1.66294905763593</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1.13682819650708</v>
      </c>
      <c r="M142" s="116" t="n">
        <f aca="false">M85*01_Supuestos!$I$101</f>
        <v>0.909462557205665</v>
      </c>
      <c r="N142" s="116" t="n">
        <f aca="false">N85*01_Supuestos!$I$101</f>
        <v>0.763713696659856</v>
      </c>
      <c r="O142" s="116" t="n">
        <f aca="false">O85*01_Supuestos!$I$101</f>
        <v>0.788620240209633</v>
      </c>
      <c r="P142" s="116" t="n">
        <f aca="false">P85*01_Supuestos!$I$101</f>
        <v>0.808367269689195</v>
      </c>
      <c r="Q142" s="116" t="n">
        <f aca="false">Q85*01_Supuestos!$I$101</f>
        <v>0.828258770837552</v>
      </c>
      <c r="R142" s="116" t="n">
        <f aca="false">R85*01_Supuestos!$I$101</f>
        <v>0.848106834217144</v>
      </c>
      <c r="S142" s="116" t="n">
        <f aca="false">S85*01_Supuestos!$I$101</f>
        <v>0.867929945983639</v>
      </c>
      <c r="T142" s="116" t="n">
        <f aca="false">T85*01_Supuestos!$I$101</f>
        <v>0.887759625682742</v>
      </c>
      <c r="U142" s="116" t="n">
        <f aca="false">U85*01_Supuestos!$I$101</f>
        <v>0.907626766704873</v>
      </c>
      <c r="V142" s="116" t="n">
        <f aca="false">V85*01_Supuestos!$I$101</f>
        <v>0.927562115594585</v>
      </c>
      <c r="W142" s="116" t="n">
        <f aca="false">W85*01_Supuestos!$I$101</f>
        <v>0.947315144507495</v>
      </c>
      <c r="X142" s="116" t="n">
        <f aca="false">X85*01_Supuestos!$I$101</f>
        <v>0.966918031453463</v>
      </c>
      <c r="Y142" s="116" t="n">
        <f aca="false">Y85*01_Supuestos!$I$101</f>
        <v>0.986403202908568</v>
      </c>
      <c r="Z142" s="116" t="n">
        <f aca="false">Z85*01_Supuestos!$I$101</f>
        <v>1.00580327655321</v>
      </c>
      <c r="AA142" s="116" t="n">
        <f aca="false">AA85*01_Supuestos!$I$101</f>
        <v>1.02515110977337</v>
      </c>
      <c r="AB142" s="116" t="n">
        <f aca="false">AB85*01_Supuestos!$I$101</f>
        <v>1.04448598584948</v>
      </c>
      <c r="AC142" s="116" t="n">
        <f aca="false">AC85*01_Supuestos!$I$101</f>
        <v>1.06384741467296</v>
      </c>
      <c r="AD142" s="116" t="n">
        <f aca="false">AD85*01_Supuestos!$I$101</f>
        <v>1.08327518484037</v>
      </c>
      <c r="AE142" s="116" t="n">
        <f aca="false">AE85*01_Supuestos!$I$101</f>
        <v>1.1028094166701</v>
      </c>
      <c r="AF142" s="116" t="n">
        <f aca="false">AF85*01_Supuestos!$I$101</f>
        <v>1.12249061390425</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-18.8824324419246</v>
      </c>
      <c r="D148" s="136" t="n">
        <f aca="false">D140+D141+D142+D144+D145+D146+D147</f>
        <v>-18.8584939085867</v>
      </c>
      <c r="E148" s="136" t="n">
        <f aca="false">E140+E141+E142+E144+E145+E146+E147</f>
        <v>-18.8458551896215</v>
      </c>
      <c r="F148" s="136" t="n">
        <f aca="false">F140+F141+F142+F144+F145+F146+F147</f>
        <v>-18.2893043914061</v>
      </c>
      <c r="G148" s="136" t="n">
        <f aca="false">G140+G141+G142+G144+G145+G146+G147</f>
        <v>-18.3108523070236</v>
      </c>
      <c r="H148" s="136" t="n">
        <f aca="false">H140+H141+H142+H144+H145+H146+H147</f>
        <v>-18.3299663071492</v>
      </c>
      <c r="I148" s="136" t="n">
        <f aca="false">I140+I141+I142+I144+I145+I146+I147</f>
        <v>-18.3467880546788</v>
      </c>
      <c r="J148" s="136" t="n">
        <f aca="false">J140+J141+J142+J144+J145+J146+J147</f>
        <v>-18.3614496799503</v>
      </c>
      <c r="K148" s="136" t="n">
        <f aca="false">K140+K141+K142+K144+K145+K146+K147</f>
        <v>-18.3969995770847</v>
      </c>
      <c r="L148" s="136" t="n">
        <f aca="false">L140+L141+L142+L144+L145+L146+L147</f>
        <v>-18.4511673173636</v>
      </c>
      <c r="M148" s="136" t="n">
        <f aca="false">M140+M141+M142+M144+M145+M146+M147</f>
        <v>2.23624226767641</v>
      </c>
      <c r="N148" s="136" t="n">
        <f aca="false">N140+N141+N142+N144+N145+N146+N147</f>
        <v>2.2902002995275</v>
      </c>
      <c r="O148" s="136" t="n">
        <f aca="false">O140+O141+O142+O144+O145+O146+O147</f>
        <v>2.26655245468944</v>
      </c>
      <c r="P148" s="136" t="n">
        <f aca="false">P140+P141+P142+P144+P145+P146+P147</f>
        <v>2.2653843337783</v>
      </c>
      <c r="Q148" s="136" t="n">
        <f aca="false">Q140+Q141+Q142+Q144+Q145+Q146+Q147</f>
        <v>2.26219839284493</v>
      </c>
      <c r="R148" s="136" t="n">
        <f aca="false">R140+R141+R142+R144+R145+R146+R147</f>
        <v>2.25669622632784</v>
      </c>
      <c r="S148" s="136" t="n">
        <f aca="false">S140+S141+S142+S144+S145+S146+S147</f>
        <v>2.24892875351235</v>
      </c>
      <c r="T148" s="136" t="n">
        <f aca="false">T140+T141+T142+T144+T145+T146+T147</f>
        <v>2.23893577217079</v>
      </c>
      <c r="U148" s="136" t="n">
        <f aca="false">U140+U141+U142+U144+U145+U146+U147</f>
        <v>2.22675281966655</v>
      </c>
      <c r="V148" s="136" t="n">
        <f aca="false">V140+V141+V142+V144+V145+V146+V147</f>
        <v>2.21241120733587</v>
      </c>
      <c r="W148" s="136" t="n">
        <f aca="false">W140+W141+W142+W144+W145+W146+W147</f>
        <v>2.19607362544224</v>
      </c>
      <c r="X148" s="136" t="n">
        <f aca="false">X140+X141+X142+X144+X145+X146+X147</f>
        <v>2.17776282760444</v>
      </c>
      <c r="Y148" s="136" t="n">
        <f aca="false">Y140+Y141+Y142+Y144+Y145+Y146+Y147</f>
        <v>2.15749784355258</v>
      </c>
      <c r="Z148" s="136" t="n">
        <f aca="false">Z140+Z141+Z142+Z144+Z145+Z146+Z147</f>
        <v>2.13529420672796</v>
      </c>
      <c r="AA148" s="136" t="n">
        <f aca="false">AA140+AA141+AA142+AA144+AA145+AA146+AA147</f>
        <v>2.11116411716161</v>
      </c>
      <c r="AB148" s="136" t="n">
        <f aca="false">AB140+AB141+AB142+AB144+AB145+AB146+AB147</f>
        <v>2.08511363623814</v>
      </c>
      <c r="AC148" s="136" t="n">
        <f aca="false">AC140+AC141+AC142+AC144+AC145+AC146+AC147</f>
        <v>2.0571458327129</v>
      </c>
      <c r="AD148" s="136" t="n">
        <f aca="false">AD140+AD141+AD142+AD144+AD145+AD146+AD147</f>
        <v>2.02726090744129</v>
      </c>
      <c r="AE148" s="136" t="n">
        <f aca="false">AE140+AE141+AE142+AE144+AE145+AE146+AE147</f>
        <v>1.99545630700549</v>
      </c>
      <c r="AF148" s="136" t="n">
        <f aca="false">AF140+AF141+AF142+AF144+AF145+AF146+AF147</f>
        <v>1.96172682797693</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-18.8824324419246</v>
      </c>
      <c r="D149" s="138" t="n">
        <f aca="false">C149+D148</f>
        <v>-37.7409263505113</v>
      </c>
      <c r="E149" s="138" t="n">
        <f aca="false">D149+E148</f>
        <v>-56.5867815401328</v>
      </c>
      <c r="F149" s="138" t="n">
        <f aca="false">E149+F148</f>
        <v>-74.876085931539</v>
      </c>
      <c r="G149" s="138" t="n">
        <f aca="false">F149+G148</f>
        <v>-93.1869382385626</v>
      </c>
      <c r="H149" s="138" t="n">
        <f aca="false">G149+H148</f>
        <v>-111.516904545712</v>
      </c>
      <c r="I149" s="138" t="n">
        <f aca="false">H149+I148</f>
        <v>-129.863692600391</v>
      </c>
      <c r="J149" s="138" t="n">
        <f aca="false">I149+J148</f>
        <v>-148.225142280341</v>
      </c>
      <c r="K149" s="138" t="n">
        <f aca="false">J149+K148</f>
        <v>-166.622141857426</v>
      </c>
      <c r="L149" s="138" t="n">
        <f aca="false">K149+L148</f>
        <v>-185.073309174789</v>
      </c>
      <c r="M149" s="138" t="n">
        <f aca="false">L149+M148</f>
        <v>-182.837066907113</v>
      </c>
      <c r="N149" s="138" t="n">
        <f aca="false">M149+N148</f>
        <v>-180.546866607585</v>
      </c>
      <c r="O149" s="138" t="n">
        <f aca="false">N149+O148</f>
        <v>-178.280314152896</v>
      </c>
      <c r="P149" s="138" t="n">
        <f aca="false">O149+P148</f>
        <v>-176.014929819118</v>
      </c>
      <c r="Q149" s="138" t="n">
        <f aca="false">P149+Q148</f>
        <v>-173.752731426273</v>
      </c>
      <c r="R149" s="138" t="n">
        <f aca="false">Q149+R148</f>
        <v>-171.496035199945</v>
      </c>
      <c r="S149" s="138" t="n">
        <f aca="false">R149+S148</f>
        <v>-169.247106446432</v>
      </c>
      <c r="T149" s="138" t="n">
        <f aca="false">S149+T148</f>
        <v>-167.008170674262</v>
      </c>
      <c r="U149" s="138" t="n">
        <f aca="false">T149+U148</f>
        <v>-164.781417854595</v>
      </c>
      <c r="V149" s="138" t="n">
        <f aca="false">U149+V148</f>
        <v>-162.569006647259</v>
      </c>
      <c r="W149" s="138" t="n">
        <f aca="false">V149+W148</f>
        <v>-160.372933021817</v>
      </c>
      <c r="X149" s="138" t="n">
        <f aca="false">W149+X148</f>
        <v>-158.195170194212</v>
      </c>
      <c r="Y149" s="138" t="n">
        <f aca="false">X149+Y148</f>
        <v>-156.03767235066</v>
      </c>
      <c r="Z149" s="138" t="n">
        <f aca="false">Y149+Z148</f>
        <v>-153.902378143932</v>
      </c>
      <c r="AA149" s="138" t="n">
        <f aca="false">Z149+AA148</f>
        <v>-151.79121402677</v>
      </c>
      <c r="AB149" s="138" t="n">
        <f aca="false">AA149+AB148</f>
        <v>-149.706100390532</v>
      </c>
      <c r="AC149" s="138" t="n">
        <f aca="false">AB149+AC148</f>
        <v>-147.648954557819</v>
      </c>
      <c r="AD149" s="138" t="n">
        <f aca="false">AC149+AD148</f>
        <v>-145.621693650378</v>
      </c>
      <c r="AE149" s="138" t="n">
        <f aca="false">AD149+AE148</f>
        <v>-143.626237343372</v>
      </c>
      <c r="AF149" s="138" t="n">
        <f aca="false">AE149+AF148</f>
        <v>-141.664510515396</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16.25</v>
      </c>
      <c r="D152" s="116" t="n">
        <f aca="false">D83</f>
        <v>32.87375</v>
      </c>
      <c r="E152" s="116" t="n">
        <f aca="false">E83</f>
        <v>49.87984625</v>
      </c>
      <c r="F152" s="116" t="n">
        <f aca="false">F83</f>
        <v>67.27708271375</v>
      </c>
      <c r="G152" s="116" t="n">
        <f aca="false">G83</f>
        <v>85.0744556161662</v>
      </c>
      <c r="H152" s="116" t="n">
        <f aca="false">H83</f>
        <v>103.281168095338</v>
      </c>
      <c r="I152" s="116" t="n">
        <f aca="false">I83</f>
        <v>121.906634961531</v>
      </c>
      <c r="J152" s="116" t="n">
        <f aca="false">J83</f>
        <v>140.960487565646</v>
      </c>
      <c r="K152" s="116" t="n">
        <f aca="false">K83</f>
        <v>151.395715055628</v>
      </c>
      <c r="L152" s="116" t="n">
        <f aca="false">L83</f>
        <v>154.877816501908</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18.6908276912173</v>
      </c>
      <c r="D153" s="116" t="n">
        <f aca="false">D120</f>
        <v>34.9277427491786</v>
      </c>
      <c r="E153" s="116" t="n">
        <f aca="false">E120</f>
        <v>53.1746345732454</v>
      </c>
      <c r="F153" s="116" t="n">
        <f aca="false">F120</f>
        <v>62.4030851618434</v>
      </c>
      <c r="G153" s="116" t="n">
        <f aca="false">G120</f>
        <v>73.9826072650379</v>
      </c>
      <c r="H153" s="116" t="n">
        <f aca="false">H120</f>
        <v>87.389250332732</v>
      </c>
      <c r="I153" s="116" t="n">
        <f aca="false">I120</f>
        <v>102.723773825477</v>
      </c>
      <c r="J153" s="116" t="n">
        <f aca="false">J120</f>
        <v>119.572380852742</v>
      </c>
      <c r="K153" s="116" t="n">
        <f aca="false">K120</f>
        <v>137.460103492196</v>
      </c>
      <c r="L153" s="116" t="n">
        <f aca="false">L120</f>
        <v>155.719694294305</v>
      </c>
      <c r="M153" s="116" t="n">
        <f aca="false">M120</f>
        <v>155.735046715656</v>
      </c>
      <c r="N153" s="116" t="n">
        <f aca="false">N120</f>
        <v>156.473501560066</v>
      </c>
      <c r="O153" s="116" t="n">
        <f aca="false">O120</f>
        <v>158.144835840461</v>
      </c>
      <c r="P153" s="116" t="n">
        <f aca="false">P120</f>
        <v>159.455956028088</v>
      </c>
      <c r="Q153" s="116" t="n">
        <f aca="false">Q120</f>
        <v>160.614990772458</v>
      </c>
      <c r="R153" s="116" t="n">
        <f aca="false">R120</f>
        <v>161.814920123475</v>
      </c>
      <c r="S153" s="116" t="n">
        <f aca="false">S120</f>
        <v>163.050779749917</v>
      </c>
      <c r="T153" s="116" t="n">
        <f aca="false">T120</f>
        <v>164.323395071774</v>
      </c>
      <c r="U153" s="116" t="n">
        <f aca="false">U120</f>
        <v>165.633356897792</v>
      </c>
      <c r="V153" s="116" t="n">
        <f aca="false">V120</f>
        <v>166.981266786061</v>
      </c>
      <c r="W153" s="116" t="n">
        <f aca="false">W120</f>
        <v>168.370015205622</v>
      </c>
      <c r="X153" s="116" t="n">
        <f aca="false">X120</f>
        <v>169.800804570811</v>
      </c>
      <c r="Y153" s="116" t="n">
        <f aca="false">Y120</f>
        <v>171.274616415238</v>
      </c>
      <c r="Z153" s="116" t="n">
        <f aca="false">Z120</f>
        <v>172.792132326418</v>
      </c>
      <c r="AA153" s="116" t="n">
        <f aca="false">AA120</f>
        <v>174.354057596766</v>
      </c>
      <c r="AB153" s="116" t="n">
        <f aca="false">AB120</f>
        <v>175.96107205815</v>
      </c>
      <c r="AC153" s="116" t="n">
        <f aca="false">AC120</f>
        <v>177.613868222825</v>
      </c>
      <c r="AD153" s="116" t="n">
        <f aca="false">AD120</f>
        <v>179.313156886411</v>
      </c>
      <c r="AE153" s="116" t="n">
        <f aca="false">AE120</f>
        <v>181.059674404348</v>
      </c>
      <c r="AF153" s="116" t="n">
        <f aca="false">AF120</f>
        <v>182.854182840061</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8.77182250391267</v>
      </c>
      <c r="M154" s="116" t="n">
        <f aca="false">M104</f>
        <v>9.10286965389406</v>
      </c>
      <c r="N154" s="116" t="n">
        <f aca="false">N104</f>
        <v>9.42856415629452</v>
      </c>
      <c r="O154" s="116" t="n">
        <f aca="false">O104</f>
        <v>9.73605234826707</v>
      </c>
      <c r="P154" s="116" t="n">
        <f aca="false">P104</f>
        <v>9.97984283566908</v>
      </c>
      <c r="Q154" s="116" t="n">
        <f aca="false">Q104</f>
        <v>10.2254169239204</v>
      </c>
      <c r="R154" s="116" t="n">
        <f aca="false">R104</f>
        <v>10.4704547434215</v>
      </c>
      <c r="S154" s="116" t="n">
        <f aca="false">S104</f>
        <v>10.7151845183165</v>
      </c>
      <c r="T154" s="116" t="n">
        <f aca="false">T104</f>
        <v>10.9599953787993</v>
      </c>
      <c r="U154" s="116" t="n">
        <f aca="false">U104</f>
        <v>11.2052687247515</v>
      </c>
      <c r="V154" s="116" t="n">
        <f aca="false">V104</f>
        <v>11.451384143143</v>
      </c>
      <c r="W154" s="116" t="n">
        <f aca="false">W104</f>
        <v>11.6952486976234</v>
      </c>
      <c r="X154" s="116" t="n">
        <f aca="false">X104</f>
        <v>11.9372596475736</v>
      </c>
      <c r="Y154" s="116" t="n">
        <f aca="false">Y104</f>
        <v>12.1778173198589</v>
      </c>
      <c r="Z154" s="116" t="n">
        <f aca="false">Z104</f>
        <v>12.4173244018915</v>
      </c>
      <c r="AA154" s="116" t="n">
        <f aca="false">AA104</f>
        <v>12.656186540412</v>
      </c>
      <c r="AB154" s="116" t="n">
        <f aca="false">AB104</f>
        <v>12.8948887141911</v>
      </c>
      <c r="AC154" s="116" t="n">
        <f aca="false">AC104</f>
        <v>13.1339186996661</v>
      </c>
      <c r="AD154" s="116" t="n">
        <f aca="false">AD104</f>
        <v>13.3737677140786</v>
      </c>
      <c r="AE154" s="116" t="n">
        <f aca="false">AE104</f>
        <v>13.6149310700013</v>
      </c>
      <c r="AF154" s="116" t="n">
        <f aca="false">AF104</f>
        <v>13.8579088136327</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90.3976600708278</v>
      </c>
      <c r="L155" s="116" t="n">
        <f aca="false">L70+L121-L227</f>
        <v>99.8045013913315</v>
      </c>
      <c r="M155" s="116" t="n">
        <f aca="false">M70+M121-M227</f>
        <v>105.95128947171</v>
      </c>
      <c r="N155" s="116" t="n">
        <f aca="false">N70+N121-N227</f>
        <v>112.248357346472</v>
      </c>
      <c r="O155" s="116" t="n">
        <f aca="false">O70+O121-O227</f>
        <v>118.655960442735</v>
      </c>
      <c r="P155" s="116" t="n">
        <f aca="false">P70+P121-P227</f>
        <v>125.008101759496</v>
      </c>
      <c r="Q155" s="116" t="n">
        <f aca="false">Q70+Q121-Q227</f>
        <v>131.305673600986</v>
      </c>
      <c r="R155" s="116" t="n">
        <f aca="false">R70+R121-R227</f>
        <v>137.560637185353</v>
      </c>
      <c r="S155" s="116" t="n">
        <f aca="false">S70+S121-S227</f>
        <v>143.791305085186</v>
      </c>
      <c r="T155" s="116" t="n">
        <f aca="false">T70+T121-T227</f>
        <v>150.015595373903</v>
      </c>
      <c r="U155" s="116" t="n">
        <f aca="false">U70+U121-U227</f>
        <v>156.251267855386</v>
      </c>
      <c r="V155" s="116" t="n">
        <f aca="false">V70+V121-V227</f>
        <v>162.515952078477</v>
      </c>
      <c r="W155" s="116" t="n">
        <f aca="false">W70+W121-W227</f>
        <v>168.827352285855</v>
      </c>
      <c r="X155" s="116" t="n">
        <f aca="false">X70+X121-X227</f>
        <v>175.203196288395</v>
      </c>
      <c r="Y155" s="116" t="n">
        <f aca="false">Y70+Y121-Y227</f>
        <v>181.661206201816</v>
      </c>
      <c r="Z155" s="116" t="n">
        <f aca="false">Z70+Z121-Z227</f>
        <v>188.219121347183</v>
      </c>
      <c r="AA155" s="116" t="n">
        <f aca="false">AA70+AA121-AA227</f>
        <v>194.894716813345</v>
      </c>
      <c r="AB155" s="116" t="n">
        <f aca="false">AB70+AB121-AB227</f>
        <v>201.705828245022</v>
      </c>
      <c r="AC155" s="116" t="n">
        <f aca="false">AC70+AC121-AC227</f>
        <v>208.67037750377</v>
      </c>
      <c r="AD155" s="116" t="n">
        <f aca="false">AD70+AD121-AD227</f>
        <v>215.806398748375</v>
      </c>
      <c r="AE155" s="116" t="n">
        <f aca="false">AE70+AE121-AE227</f>
        <v>223.132063831415</v>
      </c>
      <c r="AF155" s="116" t="n">
        <f aca="false">AF70+AF121-AF227</f>
        <v>230.665707156324</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42.8208276912173</v>
      </c>
      <c r="D156" s="136" t="n">
        <f aca="false">SUM(D152:D155)+D187</f>
        <v>86.35408600197</v>
      </c>
      <c r="E156" s="136" t="n">
        <f aca="false">SUM(E152:E155)+E187</f>
        <v>131.069602005636</v>
      </c>
      <c r="F156" s="136" t="n">
        <f aca="false">SUM(F152:F155)+F187</f>
        <v>223.014191822707</v>
      </c>
      <c r="G156" s="136" t="n">
        <f aca="false">SUM(G152:G155)+G187</f>
        <v>269.182517784064</v>
      </c>
      <c r="H156" s="136" t="n">
        <f aca="false">SUM(H152:H155)+H187</f>
        <v>309.29095754753</v>
      </c>
      <c r="I156" s="136" t="n">
        <f aca="false">SUM(I152:I155)+I187</f>
        <v>351.801330189675</v>
      </c>
      <c r="J156" s="136" t="n">
        <f aca="false">SUM(J152:J155)+J187</f>
        <v>396.310461122605</v>
      </c>
      <c r="K156" s="136" t="n">
        <f aca="false">SUM(K152:K155)+K187</f>
        <v>434.454431334341</v>
      </c>
      <c r="L156" s="136" t="n">
        <f aca="false">SUM(L152:L155)+L187</f>
        <v>467.030817040094</v>
      </c>
      <c r="M156" s="136" t="n">
        <f aca="false">SUM(M152:M155)+M187</f>
        <v>478.186905065367</v>
      </c>
      <c r="N156" s="136" t="n">
        <f aca="false">SUM(N152:N155)+N187</f>
        <v>490.318269369094</v>
      </c>
      <c r="O156" s="136" t="n">
        <f aca="false">SUM(O152:O155)+O187</f>
        <v>503.584555402768</v>
      </c>
      <c r="P156" s="136" t="n">
        <f aca="false">SUM(P152:P155)+P187</f>
        <v>516.483704650299</v>
      </c>
      <c r="Q156" s="136" t="n">
        <f aca="false">SUM(Q152:Q155)+Q187</f>
        <v>529.292800817032</v>
      </c>
      <c r="R156" s="136" t="n">
        <f aca="false">SUM(R152:R155)+R187</f>
        <v>542.217106120869</v>
      </c>
      <c r="S156" s="136" t="n">
        <f aca="false">SUM(S152:S155)+S187</f>
        <v>555.272898585618</v>
      </c>
      <c r="T156" s="136" t="n">
        <f aca="false">SUM(T152:T155)+T187</f>
        <v>568.482074529015</v>
      </c>
      <c r="U156" s="136" t="n">
        <f aca="false">SUM(U152:U155)+U187</f>
        <v>581.866193222673</v>
      </c>
      <c r="V156" s="136" t="n">
        <f aca="false">SUM(V152:V155)+V187</f>
        <v>595.446757646554</v>
      </c>
      <c r="W156" s="136" t="n">
        <f aca="false">SUM(W152:W155)+W187</f>
        <v>609.244228384667</v>
      </c>
      <c r="X156" s="136" t="n">
        <f aca="false">SUM(X152:X155)+X187</f>
        <v>623.280959782844</v>
      </c>
      <c r="Y156" s="136" t="n">
        <f aca="false">SUM(Y152:Y155)+Y187</f>
        <v>637.579152296327</v>
      </c>
      <c r="Z156" s="136" t="n">
        <f aca="false">SUM(Z152:Z155)+Z187</f>
        <v>652.160797219172</v>
      </c>
      <c r="AA156" s="136" t="n">
        <f aca="false">SUM(AA152:AA155)+AA187</f>
        <v>667.048021134508</v>
      </c>
      <c r="AB156" s="136" t="n">
        <f aca="false">SUM(AB152:AB155)+AB187</f>
        <v>682.263139585579</v>
      </c>
      <c r="AC156" s="136" t="n">
        <f aca="false">SUM(AC152:AC155)+AC187</f>
        <v>697.828646057546</v>
      </c>
      <c r="AD156" s="136" t="n">
        <f aca="false">SUM(AD152:AD155)+AD187</f>
        <v>713.76724605767</v>
      </c>
      <c r="AE156" s="136" t="n">
        <f aca="false">SUM(AE152:AE155)+AE187</f>
        <v>730.101892236871</v>
      </c>
      <c r="AF156" s="136" t="n">
        <f aca="false">SUM(AF152:AF155)+AF187</f>
        <v>746.85581186854</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337.954400907244</v>
      </c>
      <c r="L157" s="116" t="n">
        <f aca="false">L69+L80+L121</f>
        <v>352.956364908464</v>
      </c>
      <c r="M157" s="116" t="n">
        <f aca="false">M69+M80+M121</f>
        <v>366.988670467985</v>
      </c>
      <c r="N157" s="116" t="n">
        <f aca="false">N69+N80+N121</f>
        <v>380.115339340774</v>
      </c>
      <c r="O157" s="116" t="n">
        <f aca="false">O69+O80+O121</f>
        <v>392.473159257923</v>
      </c>
      <c r="P157" s="116" t="n">
        <f aca="false">P69+P80+P121</f>
        <v>402.116206383279</v>
      </c>
      <c r="Q157" s="116" t="n">
        <f aca="false">Q69+Q80+Q121</f>
        <v>411.830606260849</v>
      </c>
      <c r="R157" s="116" t="n">
        <f aca="false">R69+R80+R121</f>
        <v>421.534616698252</v>
      </c>
      <c r="S157" s="116" t="n">
        <f aca="false">S69+S80+S121</f>
        <v>431.243701340221</v>
      </c>
      <c r="T157" s="116" t="n">
        <f aca="false">T69+T80+T121</f>
        <v>440.973013857594</v>
      </c>
      <c r="U157" s="116" t="n">
        <f aca="false">U69+U80+U121</f>
        <v>450.737634566691</v>
      </c>
      <c r="V157" s="116" t="n">
        <f aca="false">V69+V80+V121</f>
        <v>460.552598900511</v>
      </c>
      <c r="W157" s="116" t="n">
        <f aca="false">W69+W80+W121</f>
        <v>470.294245916814</v>
      </c>
      <c r="X157" s="116" t="n">
        <f aca="false">X69+X80+X121</f>
        <v>479.978470975411</v>
      </c>
      <c r="Y157" s="116" t="n">
        <f aca="false">Y69+Y80+Y121</f>
        <v>489.621262459994</v>
      </c>
      <c r="Z157" s="116" t="n">
        <f aca="false">Z69+Z80+Z121</f>
        <v>499.238725653609</v>
      </c>
      <c r="AA157" s="116" t="n">
        <f aca="false">AA69+AA80+AA121</f>
        <v>508.847102340621</v>
      </c>
      <c r="AB157" s="116" t="n">
        <f aca="false">AB69+AB80+AB121</f>
        <v>518.465831928883</v>
      </c>
      <c r="AC157" s="116" t="n">
        <f aca="false">AC69+AC80+AC121</f>
        <v>528.114490936152</v>
      </c>
      <c r="AD157" s="116" t="n">
        <f aca="false">AD69+AD80+AD121</f>
        <v>537.812819122759</v>
      </c>
      <c r="AE157" s="116" t="n">
        <f aca="false">AE69+AE80+AE121</f>
        <v>547.580744976193</v>
      </c>
      <c r="AF157" s="116" t="n">
        <f aca="false">AF69+AF80+AF121</f>
        <v>557.438410690356</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23.0825399625578</v>
      </c>
      <c r="D159" s="116" t="n">
        <f aca="false">D72</f>
        <v>47.0141338127306</v>
      </c>
      <c r="E159" s="116" t="n">
        <f aca="false">E72</f>
        <v>72.0117690154988</v>
      </c>
      <c r="F159" s="116" t="n">
        <f aca="false">F72</f>
        <v>99.3789970213181</v>
      </c>
      <c r="G159" s="116" t="n">
        <f aca="false">G72</f>
        <v>125.050508141178</v>
      </c>
      <c r="H159" s="116" t="n">
        <f aca="false">H72</f>
        <v>143.227099216829</v>
      </c>
      <c r="I159" s="116" t="n">
        <f aca="false">I72</f>
        <v>162.310504350449</v>
      </c>
      <c r="J159" s="116" t="n">
        <f aca="false">J72</f>
        <v>181.831877487746</v>
      </c>
      <c r="K159" s="116" t="n">
        <f aca="false">K72</f>
        <v>193.7424910854</v>
      </c>
      <c r="L159" s="116" t="n">
        <f aca="false">L72</f>
        <v>199.076779260159</v>
      </c>
      <c r="M159" s="116" t="n">
        <f aca="false">M72</f>
        <v>202.716388742764</v>
      </c>
      <c r="N159" s="116" t="n">
        <f aca="false">N72</f>
        <v>207.146752447881</v>
      </c>
      <c r="O159" s="116" t="n">
        <f aca="false">O72</f>
        <v>212.566404343349</v>
      </c>
      <c r="P159" s="116" t="n">
        <f aca="false">P72</f>
        <v>217.638405456127</v>
      </c>
      <c r="Q159" s="116" t="n">
        <f aca="false">Q72</f>
        <v>222.638047792928</v>
      </c>
      <c r="R159" s="116" t="n">
        <f aca="false">R72</f>
        <v>227.757710474245</v>
      </c>
      <c r="S159" s="116" t="n">
        <f aca="false">S72</f>
        <v>232.994414025054</v>
      </c>
      <c r="T159" s="116" t="n">
        <f aca="false">T72</f>
        <v>238.351168140274</v>
      </c>
      <c r="U159" s="116" t="n">
        <f aca="false">U72</f>
        <v>243.830779524503</v>
      </c>
      <c r="V159" s="116" t="n">
        <f aca="false">V72</f>
        <v>249.436104026649</v>
      </c>
      <c r="W159" s="116" t="n">
        <f aca="false">W72</f>
        <v>255.168854966273</v>
      </c>
      <c r="X159" s="116" t="n">
        <f aca="false">X72</f>
        <v>261.032589781022</v>
      </c>
      <c r="Y159" s="116" t="n">
        <f aca="false">Y72</f>
        <v>267.030690985673</v>
      </c>
      <c r="Z159" s="116" t="n">
        <f aca="false">Z72</f>
        <v>273.166287332856</v>
      </c>
      <c r="AA159" s="116" t="n">
        <f aca="false">AA72</f>
        <v>279.442579015975</v>
      </c>
      <c r="AB159" s="116" t="n">
        <f aca="false">AB72</f>
        <v>285.862865850165</v>
      </c>
      <c r="AC159" s="116" t="n">
        <f aca="false">AC72</f>
        <v>292.430509873549</v>
      </c>
      <c r="AD159" s="116" t="n">
        <f aca="false">AD72</f>
        <v>299.148942609487</v>
      </c>
      <c r="AE159" s="116" t="n">
        <f aca="false">AE72</f>
        <v>306.021674035579</v>
      </c>
      <c r="AF159" s="116" t="n">
        <f aca="false">AF72</f>
        <v>313.052294430517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82.2269338244722</v>
      </c>
      <c r="D160" s="136" t="n">
        <f aca="false">SUM(D157:D159)</f>
        <v>144.252903924387</v>
      </c>
      <c r="E160" s="136" t="n">
        <f aca="false">SUM(E157:E159)</f>
        <v>203.122604823133</v>
      </c>
      <c r="F160" s="136" t="n">
        <f aca="false">SUM(F157:F159)</f>
        <v>372.233839913851</v>
      </c>
      <c r="G160" s="136" t="n">
        <f aca="false">SUM(G157:G159)</f>
        <v>410.606850309078</v>
      </c>
      <c r="H160" s="136" t="n">
        <f aca="false">SUM(H157:H159)</f>
        <v>441.528580315745</v>
      </c>
      <c r="I160" s="136" t="n">
        <f aca="false">SUM(I157:I159)</f>
        <v>473.400606688889</v>
      </c>
      <c r="J160" s="136" t="n">
        <f aca="false">SUM(J157:J159)</f>
        <v>505.75396426397</v>
      </c>
      <c r="K160" s="136" t="n">
        <f aca="false">SUM(K157:K159)</f>
        <v>531.696891992644</v>
      </c>
      <c r="L160" s="136" t="n">
        <f aca="false">SUM(L157:L159)</f>
        <v>552.033144168623</v>
      </c>
      <c r="M160" s="136" t="n">
        <f aca="false">SUM(M157:M159)</f>
        <v>569.705059210749</v>
      </c>
      <c r="N160" s="136" t="n">
        <f aca="false">SUM(N157:N159)</f>
        <v>587.262091788656</v>
      </c>
      <c r="O160" s="136" t="n">
        <f aca="false">SUM(O157:O159)</f>
        <v>605.039563601273</v>
      </c>
      <c r="P160" s="136" t="n">
        <f aca="false">SUM(P157:P159)</f>
        <v>619.754611839406</v>
      </c>
      <c r="Q160" s="136" t="n">
        <f aca="false">SUM(Q157:Q159)</f>
        <v>634.468654053777</v>
      </c>
      <c r="R160" s="136" t="n">
        <f aca="false">SUM(R157:R159)</f>
        <v>649.292327172498</v>
      </c>
      <c r="S160" s="136" t="n">
        <f aca="false">SUM(S157:S159)</f>
        <v>664.238115365275</v>
      </c>
      <c r="T160" s="136" t="n">
        <f aca="false">SUM(T157:T159)</f>
        <v>679.324181997869</v>
      </c>
      <c r="U160" s="136" t="n">
        <f aca="false">SUM(U157:U159)</f>
        <v>694.568414091195</v>
      </c>
      <c r="V160" s="136" t="n">
        <f aca="false">SUM(V157:V159)</f>
        <v>709.988702927159</v>
      </c>
      <c r="W160" s="136" t="n">
        <f aca="false">SUM(W157:W159)</f>
        <v>725.463100883087</v>
      </c>
      <c r="X160" s="136" t="n">
        <f aca="false">SUM(X157:X159)</f>
        <v>741.011060756433</v>
      </c>
      <c r="Y160" s="136" t="n">
        <f aca="false">SUM(Y157:Y159)</f>
        <v>756.651953445667</v>
      </c>
      <c r="Z160" s="136" t="n">
        <f aca="false">SUM(Z157:Z159)</f>
        <v>772.405012986465</v>
      </c>
      <c r="AA160" s="136" t="n">
        <f aca="false">SUM(AA157:AA159)</f>
        <v>788.289681356596</v>
      </c>
      <c r="AB160" s="136" t="n">
        <f aca="false">SUM(AB157:AB159)</f>
        <v>804.328697779049</v>
      </c>
      <c r="AC160" s="136" t="n">
        <f aca="false">SUM(AC157:AC159)</f>
        <v>820.545000809702</v>
      </c>
      <c r="AD160" s="136" t="n">
        <f aca="false">SUM(AD157:AD159)</f>
        <v>836.961761732246</v>
      </c>
      <c r="AE160" s="136" t="n">
        <f aca="false">SUM(AE157:AE159)</f>
        <v>853.602419011771</v>
      </c>
      <c r="AF160" s="136" t="n">
        <f aca="false">SUM(AF157:AF159)</f>
        <v>870.490705120872</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-39.4061061332548</v>
      </c>
      <c r="D161" s="138" t="n">
        <f aca="false">D156-D160</f>
        <v>-57.8988179224173</v>
      </c>
      <c r="E161" s="138" t="n">
        <f aca="false">E156-E160</f>
        <v>-72.0530028174967</v>
      </c>
      <c r="F161" s="138" t="n">
        <f aca="false">F156-F160</f>
        <v>-149.219648091144</v>
      </c>
      <c r="G161" s="138" t="n">
        <f aca="false">G156-G160</f>
        <v>-141.424332525014</v>
      </c>
      <c r="H161" s="138" t="n">
        <f aca="false">H156-H160</f>
        <v>-132.237622768215</v>
      </c>
      <c r="I161" s="138" t="n">
        <f aca="false">I156-I160</f>
        <v>-121.599276499213</v>
      </c>
      <c r="J161" s="138" t="n">
        <f aca="false">J156-J160</f>
        <v>-109.443503141365</v>
      </c>
      <c r="K161" s="138" t="n">
        <f aca="false">K156-K160</f>
        <v>-97.2424606583027</v>
      </c>
      <c r="L161" s="138" t="n">
        <f aca="false">L156-L160</f>
        <v>-85.0023271285292</v>
      </c>
      <c r="M161" s="138" t="n">
        <f aca="false">M156-M160</f>
        <v>-91.5181541453822</v>
      </c>
      <c r="N161" s="138" t="n">
        <f aca="false">N156-N160</f>
        <v>-96.9438224195619</v>
      </c>
      <c r="O161" s="138" t="n">
        <f aca="false">O156-O160</f>
        <v>-101.455008198504</v>
      </c>
      <c r="P161" s="138" t="n">
        <f aca="false">P156-P160</f>
        <v>-103.270907189107</v>
      </c>
      <c r="Q161" s="138" t="n">
        <f aca="false">Q156-Q160</f>
        <v>-105.175853236745</v>
      </c>
      <c r="R161" s="138" t="n">
        <f aca="false">R156-R160</f>
        <v>-107.075221051629</v>
      </c>
      <c r="S161" s="138" t="n">
        <f aca="false">S156-S160</f>
        <v>-108.965216779657</v>
      </c>
      <c r="T161" s="138" t="n">
        <f aca="false">T156-T160</f>
        <v>-110.842107468854</v>
      </c>
      <c r="U161" s="138" t="n">
        <f aca="false">U156-U160</f>
        <v>-112.702220868522</v>
      </c>
      <c r="V161" s="138" t="n">
        <f aca="false">V156-V160</f>
        <v>-114.541945280605</v>
      </c>
      <c r="W161" s="138" t="n">
        <f aca="false">W156-W160</f>
        <v>-116.21887249842</v>
      </c>
      <c r="X161" s="138" t="n">
        <f aca="false">X156-X160</f>
        <v>-117.730100973589</v>
      </c>
      <c r="Y161" s="138" t="n">
        <f aca="false">Y156-Y160</f>
        <v>-119.07280114934</v>
      </c>
      <c r="Z161" s="138" t="n">
        <f aca="false">Z156-Z160</f>
        <v>-120.244215767293</v>
      </c>
      <c r="AA161" s="138" t="n">
        <f aca="false">AA156-AA160</f>
        <v>-121.241660222089</v>
      </c>
      <c r="AB161" s="138" t="n">
        <f aca="false">AB156-AB160</f>
        <v>-122.065558193469</v>
      </c>
      <c r="AC161" s="138" t="n">
        <f aca="false">AC156-AC160</f>
        <v>-122.716354752155</v>
      </c>
      <c r="AD161" s="138" t="n">
        <f aca="false">AD156-AD160</f>
        <v>-123.194515674577</v>
      </c>
      <c r="AE161" s="138" t="n">
        <f aca="false">AE156-AE160</f>
        <v>-123.5005267749</v>
      </c>
      <c r="AF161" s="138" t="n">
        <f aca="false">AF156-AF160</f>
        <v>-123.634893252332</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-39.4061061332548</v>
      </c>
      <c r="D163" s="116" t="n">
        <f aca="false">C163+D53+D56+D58+D118+D119+D60+D113+D101-D115-D162</f>
        <v>-57.8988179224173</v>
      </c>
      <c r="E163" s="116" t="n">
        <f aca="false">D163+E53+E56+E58+E118+E119+E60+E113+E101-E115-E162</f>
        <v>-72.0530028174967</v>
      </c>
      <c r="F163" s="116" t="n">
        <f aca="false">E163+F53+F56+F58+F118+F119+F60+F113+F101-F115-F162</f>
        <v>-149.219648091144</v>
      </c>
      <c r="G163" s="116" t="n">
        <f aca="false">F163+G53+G56+G58+G118+G119+G60+G113+G101-G115-G162</f>
        <v>-141.424332525014</v>
      </c>
      <c r="H163" s="116" t="n">
        <f aca="false">G163+H53+H56+H58+H118+H119+H60+H113+H101-H115-H162</f>
        <v>-132.237622768215</v>
      </c>
      <c r="I163" s="116" t="n">
        <f aca="false">H163+I53+I56+I58+I118+I119+I60+I113+I101-I115-I162</f>
        <v>-121.599276499213</v>
      </c>
      <c r="J163" s="116" t="n">
        <f aca="false">I163+J53+J56+J58+J118+J119+J60+J113+J101-J115-J162</f>
        <v>-109.443503141365</v>
      </c>
      <c r="K163" s="116" t="n">
        <f aca="false">J163+K53+K56+K58+K118+K119+K60+K113+K101-K115-K162</f>
        <v>-97.2424606583027</v>
      </c>
      <c r="L163" s="116" t="n">
        <f aca="false">K163+L53+L56+L58+L118+L119+L60+L113+L101-L115-L162</f>
        <v>-85.0023271285292</v>
      </c>
      <c r="M163" s="116" t="n">
        <f aca="false">L163+M53+M56+M58+M118+M119+M60+M113+M101-M115-M162</f>
        <v>-91.5181541453824</v>
      </c>
      <c r="N163" s="116" t="n">
        <f aca="false">M163+N53+N56+N58+N118+N119+N60+N113+N101-N115-N162</f>
        <v>-96.943822419562</v>
      </c>
      <c r="O163" s="116" t="n">
        <f aca="false">N163+O53+O56+O58+O118+O119+O60+O113+O101-O115-O162</f>
        <v>-101.455008198505</v>
      </c>
      <c r="P163" s="116" t="n">
        <f aca="false">O163+P53+P56+P58+P118+P119+P60+P113+P101-P115-P162</f>
        <v>-103.270907189107</v>
      </c>
      <c r="Q163" s="116" t="n">
        <f aca="false">P163+Q53+Q56+Q58+Q118+Q119+Q60+Q113+Q101-Q115-Q162</f>
        <v>-105.175853236745</v>
      </c>
      <c r="R163" s="116" t="n">
        <f aca="false">Q163+R53+R56+R58+R118+R119+R60+R113+R101-R115-R162</f>
        <v>-107.075221051629</v>
      </c>
      <c r="S163" s="116" t="n">
        <f aca="false">R163+S53+S56+S58+S118+S119+S60+S113+S101-S115-S162</f>
        <v>-108.965216779657</v>
      </c>
      <c r="T163" s="116" t="n">
        <f aca="false">S163+T53+T56+T58+T118+T119+T60+T113+T101-T115-T162</f>
        <v>-110.842107468854</v>
      </c>
      <c r="U163" s="116" t="n">
        <f aca="false">T163+U53+U56+U58+U118+U119+U60+U113+U101-U115-U162</f>
        <v>-112.702220868522</v>
      </c>
      <c r="V163" s="116" t="n">
        <f aca="false">U163+V53+V56+V58+V118+V119+V60+V113+V101-V115-V162</f>
        <v>-114.541945280605</v>
      </c>
      <c r="W163" s="116" t="n">
        <f aca="false">V163+W53+W56+W58+W118+W119+W60+W113+W101-W115-W162</f>
        <v>-116.21887249842</v>
      </c>
      <c r="X163" s="116" t="n">
        <f aca="false">W163+X53+X56+X58+X118+X119+X60+X113+X101-X115-X162</f>
        <v>-117.730100973589</v>
      </c>
      <c r="Y163" s="116" t="n">
        <f aca="false">X163+Y53+Y56+Y58+Y118+Y119+Y60+Y113+Y101-Y115-Y162</f>
        <v>-119.07280114934</v>
      </c>
      <c r="Z163" s="116" t="n">
        <f aca="false">Y163+Z53+Z56+Z58+Z118+Z119+Z60+Z113+Z101-Z115-Z162</f>
        <v>-120.244215767293</v>
      </c>
      <c r="AA163" s="116" t="n">
        <f aca="false">Z163+AA53+AA56+AA58+AA118+AA119+AA60+AA113+AA101-AA115-AA162</f>
        <v>-121.241660222089</v>
      </c>
      <c r="AB163" s="116" t="n">
        <f aca="false">AA163+AB53+AB56+AB58+AB118+AB119+AB60+AB113+AB101-AB115-AB162</f>
        <v>-122.065558193469</v>
      </c>
      <c r="AC163" s="116" t="n">
        <f aca="false">AB163+AC53+AC56+AC58+AC118+AC119+AC60+AC113+AC101-AC115-AC162</f>
        <v>-122.716354752156</v>
      </c>
      <c r="AD163" s="116" t="n">
        <f aca="false">AC163+AD53+AD56+AD58+AD118+AD119+AD60+AD113+AD101-AD115-AD162</f>
        <v>-123.194515674577</v>
      </c>
      <c r="AE163" s="116" t="n">
        <f aca="false">AD163+AE53+AE56+AE58+AE118+AE119+AE60+AE113+AE101-AE115-AE162</f>
        <v>-123.5005267749</v>
      </c>
      <c r="AF163" s="116" t="n">
        <f aca="false">AE163+AF53+AF56+AF58+AF118+AF119+AF60+AF113+AF101-AF115-AF162</f>
        <v>-123.634893252333</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0.05</v>
      </c>
      <c r="D174" s="83" t="s">
        <v>1353</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35.0143938619143</v>
      </c>
      <c r="D186" s="142" t="n">
        <f aca="false">D84-D181</f>
        <v>48.2433961116566</v>
      </c>
      <c r="E186" s="142" t="n">
        <f aca="false">E84-E181</f>
        <v>56.4936392704342</v>
      </c>
      <c r="F186" s="142" t="n">
        <f aca="false">F84-F181</f>
        <v>119.065107303983</v>
      </c>
      <c r="G186" s="142" t="n">
        <f aca="false">G84-G181</f>
        <v>97.4953402030718</v>
      </c>
      <c r="H186" s="142" t="n">
        <f aca="false">H84-H181</f>
        <v>83.8573109115911</v>
      </c>
      <c r="I186" s="142" t="n">
        <f aca="false">I84-I181</f>
        <v>69.7897985327026</v>
      </c>
      <c r="J186" s="142" t="n">
        <f aca="false">J84-J181</f>
        <v>55.2820586757656</v>
      </c>
      <c r="K186" s="142" t="n">
        <f aca="false">K84-K181</f>
        <v>49.3800068671639</v>
      </c>
      <c r="L186" s="142" t="n">
        <f aca="false">L84-L181</f>
        <v>50.4170646665876</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-18.8824324419246</v>
      </c>
      <c r="D192" s="142" t="n">
        <f aca="false">D149-SUM($C$191:D191)</f>
        <v>-38.2971263505113</v>
      </c>
      <c r="E192" s="142" t="n">
        <f aca="false">E149-SUM($C$191:E191)</f>
        <v>-58.2553815401328</v>
      </c>
      <c r="F192" s="142" t="n">
        <f aca="false">F149-SUM($C$191:F191)</f>
        <v>-78.213285931539</v>
      </c>
      <c r="G192" s="142" t="n">
        <f aca="false">G149-SUM($C$191:G191)</f>
        <v>-98.7489382385626</v>
      </c>
      <c r="H192" s="142" t="n">
        <f aca="false">H149-SUM($C$191:H191)</f>
        <v>-119.859904545712</v>
      </c>
      <c r="I192" s="142" t="n">
        <f aca="false">I149-SUM($C$191:I191)</f>
        <v>-141.543892600391</v>
      </c>
      <c r="J192" s="142" t="n">
        <f aca="false">J149-SUM($C$191:J191)</f>
        <v>-163.798742280341</v>
      </c>
      <c r="K192" s="142" t="n">
        <f aca="false">K149-SUM($C$191:K191)</f>
        <v>-186.645341857426</v>
      </c>
      <c r="L192" s="142" t="n">
        <f aca="false">L149-SUM($C$191:L191)</f>
        <v>-210.102309174789</v>
      </c>
      <c r="M192" s="142" t="n">
        <f aca="false">M149-SUM($C$191:M191)</f>
        <v>-213.428066907113</v>
      </c>
      <c r="N192" s="142" t="n">
        <f aca="false">N149-SUM($C$191:N191)</f>
        <v>-216.699866607585</v>
      </c>
      <c r="O192" s="142" t="n">
        <f aca="false">O149-SUM($C$191:O191)</f>
        <v>-219.995314152896</v>
      </c>
      <c r="P192" s="142" t="n">
        <f aca="false">P149-SUM($C$191:P191)</f>
        <v>-223.291929819118</v>
      </c>
      <c r="Q192" s="142" t="n">
        <f aca="false">Q149-SUM($C$191:Q191)</f>
        <v>-226.591731426273</v>
      </c>
      <c r="R192" s="142" t="n">
        <f aca="false">R149-SUM($C$191:R191)</f>
        <v>-229.897035199945</v>
      </c>
      <c r="S192" s="142" t="n">
        <f aca="false">S149-SUM($C$191:S191)</f>
        <v>-233.210106446432</v>
      </c>
      <c r="T192" s="142" t="n">
        <f aca="false">T149-SUM($C$191:T191)</f>
        <v>-236.533170674262</v>
      </c>
      <c r="U192" s="142" t="n">
        <f aca="false">U149-SUM($C$191:U191)</f>
        <v>-239.868417854595</v>
      </c>
      <c r="V192" s="142" t="n">
        <f aca="false">V149-SUM($C$191:V191)</f>
        <v>-243.218006647259</v>
      </c>
      <c r="W192" s="142" t="n">
        <f aca="false">W149-SUM($C$191:W191)</f>
        <v>-246.583933021817</v>
      </c>
      <c r="X192" s="142" t="n">
        <f aca="false">X149-SUM($C$191:X191)</f>
        <v>-249.968170194212</v>
      </c>
      <c r="Y192" s="142" t="n">
        <f aca="false">Y149-SUM($C$191:Y191)</f>
        <v>-253.37267235066</v>
      </c>
      <c r="Z192" s="142" t="n">
        <f aca="false">Z149-SUM($C$191:Z191)</f>
        <v>-256.799378143932</v>
      </c>
      <c r="AA192" s="142" t="n">
        <f aca="false">AA149-SUM($C$191:AA191)</f>
        <v>-260.25021402677</v>
      </c>
      <c r="AB192" s="142" t="n">
        <f aca="false">AB149-SUM($C$191:AB191)</f>
        <v>-263.727100390532</v>
      </c>
      <c r="AC192" s="142" t="n">
        <f aca="false">AC149-SUM($C$191:AC191)</f>
        <v>-267.231954557819</v>
      </c>
      <c r="AD192" s="142" t="n">
        <f aca="false">AD149-SUM($C$191:AD191)</f>
        <v>-270.766693650378</v>
      </c>
      <c r="AE192" s="142" t="n">
        <f aca="false">AE149-SUM($C$191:AE191)</f>
        <v>-274.333237343373</v>
      </c>
      <c r="AF192" s="142" t="n">
        <f aca="false">AF149-SUM($C$191:AF191)</f>
        <v>-277.933510515396</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0.350872900156507</v>
      </c>
      <c r="M221" s="116" t="n">
        <f aca="false">M112</f>
        <v>0.364114786155762</v>
      </c>
      <c r="N221" s="116" t="n">
        <f aca="false">N112</f>
        <v>0.377142566251781</v>
      </c>
      <c r="O221" s="116" t="n">
        <f aca="false">O112</f>
        <v>0.389442093930683</v>
      </c>
      <c r="P221" s="116" t="n">
        <f aca="false">P112</f>
        <v>0.399193713426763</v>
      </c>
      <c r="Q221" s="116" t="n">
        <f aca="false">Q112</f>
        <v>0.409016676956816</v>
      </c>
      <c r="R221" s="116" t="n">
        <f aca="false">R112</f>
        <v>0.418818189736861</v>
      </c>
      <c r="S221" s="116" t="n">
        <f aca="false">S112</f>
        <v>0.428607380732661</v>
      </c>
      <c r="T221" s="116" t="n">
        <f aca="false">T112</f>
        <v>0.438399815151972</v>
      </c>
      <c r="U221" s="116" t="n">
        <f aca="false">U112</f>
        <v>0.448210748990061</v>
      </c>
      <c r="V221" s="116" t="n">
        <f aca="false">V112</f>
        <v>0.458055365725721</v>
      </c>
      <c r="W221" s="116" t="n">
        <f aca="false">W112</f>
        <v>0.467809947904936</v>
      </c>
      <c r="X221" s="116" t="n">
        <f aca="false">X112</f>
        <v>0.477490385902944</v>
      </c>
      <c r="Y221" s="116" t="n">
        <f aca="false">Y112</f>
        <v>0.487112692794355</v>
      </c>
      <c r="Z221" s="116" t="n">
        <f aca="false">Z112</f>
        <v>0.496692976075662</v>
      </c>
      <c r="AA221" s="116" t="n">
        <f aca="false">AA112</f>
        <v>0.50624746161648</v>
      </c>
      <c r="AB221" s="116" t="n">
        <f aca="false">AB112</f>
        <v>0.515795548567645</v>
      </c>
      <c r="AC221" s="116" t="n">
        <f aca="false">AC112</f>
        <v>0.525356747986645</v>
      </c>
      <c r="AD221" s="116" t="n">
        <f aca="false">AD112</f>
        <v>0.534950708563144</v>
      </c>
      <c r="AE221" s="116" t="n">
        <f aca="false">AE112</f>
        <v>0.544597242800051</v>
      </c>
      <c r="AF221" s="116" t="n">
        <f aca="false">AF112</f>
        <v>0.554316352545308</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7.37574333466231</v>
      </c>
      <c r="M222" s="87" t="n">
        <f aca="false">IF(M221&gt;0,M220/M221,0)</f>
        <v>7.50104251706944</v>
      </c>
      <c r="N222" s="87" t="n">
        <f aca="false">IF(N221&gt;0,N220/N221,0)</f>
        <v>7.44788463723816</v>
      </c>
      <c r="O222" s="87" t="n">
        <f aca="false">IF(O221&gt;0,O220/O221,0)</f>
        <v>7.27613948083763</v>
      </c>
      <c r="P222" s="87" t="n">
        <f aca="false">IF(P221&gt;0,P220/P221,0)</f>
        <v>6.64059889179184</v>
      </c>
      <c r="Q222" s="87" t="n">
        <f aca="false">IF(Q221&gt;0,Q220/Q221,0)</f>
        <v>6.06313112245721</v>
      </c>
      <c r="R222" s="87" t="n">
        <f aca="false">IF(R221&gt;0,R220/R221,0)</f>
        <v>5.53935853403163</v>
      </c>
      <c r="S222" s="87" t="n">
        <f aca="false">IF(S221&gt;0,S220/S221,0)</f>
        <v>5.06375167794934</v>
      </c>
      <c r="T222" s="87" t="n">
        <f aca="false">IF(T221&gt;0,T220/T221,0)</f>
        <v>4.63136189064796</v>
      </c>
      <c r="U222" s="87" t="n">
        <f aca="false">IF(U221&gt;0,U220/U221,0)</f>
        <v>4.23783308337988</v>
      </c>
      <c r="V222" s="87" t="n">
        <f aca="false">IF(V221&gt;0,V220/V221,0)</f>
        <v>3.87931614836665</v>
      </c>
      <c r="W222" s="87" t="n">
        <f aca="false">IF(W221&gt;0,W220/W221,0)</f>
        <v>3.55345427094971</v>
      </c>
      <c r="X222" s="87" t="n">
        <f aca="false">IF(X221&gt;0,X220/X221,0)</f>
        <v>3.25688621947914</v>
      </c>
      <c r="Y222" s="87" t="n">
        <f aca="false">IF(Y221&gt;0,Y220/Y221,0)</f>
        <v>2.98665326755011</v>
      </c>
      <c r="Z222" s="87" t="n">
        <f aca="false">IF(Z221&gt;0,Z220/Z221,0)</f>
        <v>2.74014325766581</v>
      </c>
      <c r="AA222" s="87" t="n">
        <f aca="false">IF(AA221&gt;0,AA220/AA221,0)</f>
        <v>2.51504328138485</v>
      </c>
      <c r="AB222" s="87" t="n">
        <f aca="false">IF(AB221&gt;0,AB220/AB221,0)</f>
        <v>2.30928623381087</v>
      </c>
      <c r="AC222" s="87" t="n">
        <f aca="false">IF(AC221&gt;0,AC220/AC221,0)</f>
        <v>2.12103617673386</v>
      </c>
      <c r="AD222" s="87" t="n">
        <f aca="false">IF(AD221&gt;0,AD220/AD221,0)</f>
        <v>1.94865815076541</v>
      </c>
      <c r="AE222" s="87" t="n">
        <f aca="false">IF(AE221&gt;0,AE220/AE221,0)</f>
        <v>1.79069252932845</v>
      </c>
      <c r="AF222" s="87" t="n">
        <f aca="false">IF(AF221&gt;0,AF220/AF221,0)</f>
        <v>1.64583314386763</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2.23707555448648</v>
      </c>
      <c r="M223" s="88" t="n">
        <f aca="false">M220-M221</f>
        <v>2.36712570589226</v>
      </c>
      <c r="N223" s="88" t="n">
        <f aca="false">N220-N221</f>
        <v>2.43177175898343</v>
      </c>
      <c r="O223" s="88" t="n">
        <f aca="false">O220-O221</f>
        <v>2.44419290121843</v>
      </c>
      <c r="P223" s="88" t="n">
        <f aca="false">P220-P221</f>
        <v>2.25169161756527</v>
      </c>
      <c r="Q223" s="88" t="n">
        <f aca="false">Q220-Q221</f>
        <v>2.07090506670408</v>
      </c>
      <c r="R223" s="88" t="n">
        <f aca="false">R220-R221</f>
        <v>1.9011659237897</v>
      </c>
      <c r="S223" s="88" t="n">
        <f aca="false">S220-S221</f>
        <v>1.74175396263382</v>
      </c>
      <c r="T223" s="88" t="n">
        <f aca="false">T220-T221</f>
        <v>1.59198838160998</v>
      </c>
      <c r="U223" s="88" t="n">
        <f aca="false">U220-U221</f>
        <v>1.45123159140649</v>
      </c>
      <c r="V223" s="88" t="n">
        <f aca="false">V220-V221</f>
        <v>1.31888621138006</v>
      </c>
      <c r="W223" s="88" t="n">
        <f aca="false">W220-W221</f>
        <v>1.19453130947062</v>
      </c>
      <c r="X223" s="88" t="n">
        <f aca="false">X220-X221</f>
        <v>1.07764147187813</v>
      </c>
      <c r="Y223" s="88" t="n">
        <f aca="false">Y220-Y221</f>
        <v>0.967724022805038</v>
      </c>
      <c r="Z223" s="88" t="n">
        <f aca="false">Z220-Z221</f>
        <v>0.864316933448027</v>
      </c>
      <c r="AA223" s="88" t="n">
        <f aca="false">AA220-AA221</f>
        <v>0.766986815440181</v>
      </c>
      <c r="AB223" s="88" t="n">
        <f aca="false">AB220-AB221</f>
        <v>0.675324011200544</v>
      </c>
      <c r="AC223" s="88" t="n">
        <f aca="false">AC220-AC221</f>
        <v>0.588943920184281</v>
      </c>
      <c r="AD223" s="88" t="n">
        <f aca="false">AD220-AD221</f>
        <v>0.507485349936156</v>
      </c>
      <c r="AE223" s="88" t="n">
        <f aca="false">AE220-AE221</f>
        <v>0.430608971374872</v>
      </c>
      <c r="AF223" s="88" t="n">
        <f aca="false">AF220-AF221</f>
        <v>0.357995872661572</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0.0142637882863856</v>
      </c>
      <c r="D233" s="1" t="n">
        <f aca="false">IF(C81&gt;0,(D107+D109+D110+D184-D108-D229)/C81,0)</f>
        <v>0.0401270300245173</v>
      </c>
      <c r="E233" s="1" t="n">
        <f aca="false">IF(D81&gt;0,(E107+E109+E110+E184-E108-E229)/D81,0)</f>
        <v>0.0395277033324167</v>
      </c>
      <c r="F233" s="1" t="n">
        <f aca="false">IF(E81&gt;0,(F107+F109+F110+F184-F108-F229)/E81,0)</f>
        <v>0.0504849827786587</v>
      </c>
      <c r="G233" s="1" t="n">
        <f aca="false">IF(F81&gt;0,(G107+G109+G110+G184-G108-G229)/F81,0)</f>
        <v>0.0295798231049536</v>
      </c>
      <c r="H233" s="1" t="n">
        <f aca="false">IF(G81&gt;0,(H107+H109+H110+H184-H108-H229)/G81,0)</f>
        <v>0.0329689095314357</v>
      </c>
      <c r="I233" s="1" t="n">
        <f aca="false">IF(H81&gt;0,(I107+I109+I110+I184-I108-I229)/H81,0)</f>
        <v>0.0363404739027158</v>
      </c>
      <c r="J233" s="1" t="n">
        <f aca="false">IF(I81&gt;0,(J107+J109+J110+J184-J108-J229)/I81,0)</f>
        <v>0.039707957302741</v>
      </c>
      <c r="K233" s="1" t="n">
        <f aca="false">IF(J81&gt;0,(K107+K109+K110+K184-K108-K229)/J81,0)</f>
        <v>0.0418782300205205</v>
      </c>
      <c r="L233" s="1" t="n">
        <f aca="false">IF(K81&gt;0,(L107+L109+L110+L184-L108-L229)/K81,0)</f>
        <v>0.0432212003424585</v>
      </c>
      <c r="M233" s="1" t="n">
        <f aca="false">IF(L81&gt;0,(M107+M109+M110+M184-M108-M229)/L81,0)</f>
        <v>0.0442361518663321</v>
      </c>
      <c r="N233" s="1" t="n">
        <f aca="false">IF(M81&gt;0,(N107+N109+N110+N184-N108-N229)/M81,0)</f>
        <v>0.0435636191583222</v>
      </c>
      <c r="O233" s="1" t="n">
        <f aca="false">IF(N81&gt;0,(O107+O109+O110+O184-O108-O229)/N81,0)</f>
        <v>0.0430005324583995</v>
      </c>
      <c r="P233" s="1" t="n">
        <f aca="false">IF(O81&gt;0,(P107+P109+P110+P184-P108-P229)/O81,0)</f>
        <v>0.0426572762917119</v>
      </c>
      <c r="Q233" s="1" t="n">
        <f aca="false">IF(P81&gt;0,(Q107+Q109+Q110+Q184-Q108-Q229)/P81,0)</f>
        <v>0.0425811197435638</v>
      </c>
      <c r="R233" s="1" t="n">
        <f aca="false">IF(Q81&gt;0,(R107+R109+R110+R184-R108-R229)/Q81,0)</f>
        <v>0.042495785910894</v>
      </c>
      <c r="S233" s="1" t="n">
        <f aca="false">IF(R81&gt;0,(S107+S109+S110+S184-S108-S229)/R81,0)</f>
        <v>0.0424283974543601</v>
      </c>
      <c r="T233" s="1" t="n">
        <f aca="false">IF(S81&gt;0,(T107+T109+T110+T184-T108-T229)/S81,0)</f>
        <v>0.0423776483249051</v>
      </c>
      <c r="U233" s="1" t="n">
        <f aca="false">IF(T81&gt;0,(U107+U109+U110+U184-U108-U229)/T81,0)</f>
        <v>0.0423421818884538</v>
      </c>
      <c r="V233" s="1" t="n">
        <f aca="false">IF(U81&gt;0,(V107+V109+V110+V184-V108-V229)/U81,0)</f>
        <v>0.0423207734640406</v>
      </c>
      <c r="W233" s="1" t="n">
        <f aca="false">IF(V81&gt;0,(W107+W109+W110+W184-W108-W229)/V81,0)</f>
        <v>0.0423123771452948</v>
      </c>
      <c r="X233" s="1" t="n">
        <f aca="false">IF(W81&gt;0,(X107+X109+X110+X184-X108-X229)/W81,0)</f>
        <v>0.0423287099236143</v>
      </c>
      <c r="Y233" s="1" t="n">
        <f aca="false">IF(X81&gt;0,(Y107+Y109+Y110+Y184-Y108-Y229)/X81,0)</f>
        <v>0.0423680564795876</v>
      </c>
      <c r="Z233" s="1" t="n">
        <f aca="false">IF(Y81&gt;0,(Z107+Z109+Z110+Z184-Z108-Z229)/Y81,0)</f>
        <v>0.0424288344632379</v>
      </c>
      <c r="AA233" s="1" t="n">
        <f aca="false">IF(Z81&gt;0,(AA107+AA109+AA110+AA184-AA108-AA229)/Z81,0)</f>
        <v>0.0425095702481056</v>
      </c>
      <c r="AB233" s="1" t="n">
        <f aca="false">IF(AA81&gt;0,(AB107+AB109+AB110+AB184-AB108-AB229)/AA81,0)</f>
        <v>0.0426089004963185</v>
      </c>
      <c r="AC233" s="1" t="n">
        <f aca="false">IF(AB81&gt;0,(AC107+AC109+AC110+AC184-AC108-AC229)/AB81,0)</f>
        <v>0.0427253010368578</v>
      </c>
      <c r="AD233" s="1" t="n">
        <f aca="false">IF(AC81&gt;0,(AD107+AD109+AD110+AD184-AD108-AD229)/AC81,0)</f>
        <v>0.0428573450625075</v>
      </c>
      <c r="AE233" s="1" t="n">
        <f aca="false">IF(AD81&gt;0,(AE107+AE109+AE110+AE184-AE108-AE229)/AD81,0)</f>
        <v>0.0430036879922495</v>
      </c>
      <c r="AF233" s="1" t="n">
        <f aca="false">IF(AE81&gt;0,(AF107+AF109+AF110+AF184-AF108-AF229)/AE81,0)</f>
        <v>0.0431630548487696</v>
      </c>
    </row>
    <row r="234" customFormat="false" ht="14.25" hidden="false" customHeight="true" outlineLevel="0" collapsed="false">
      <c r="B234" s="1" t="s">
        <v>1230</v>
      </c>
      <c r="C234" s="1" t="n">
        <f aca="false">(C232+0)/2*C233</f>
        <v>0.0131552950149799</v>
      </c>
      <c r="D234" s="1" t="n">
        <f aca="false">(D232+C232)/2*D233</f>
        <v>0.131261383893391</v>
      </c>
      <c r="E234" s="1" t="n">
        <f aca="false">(E232+D232)/2*E233</f>
        <v>0.257393627542366</v>
      </c>
      <c r="F234" s="1" t="n">
        <f aca="false">(F232+E232)/2*F233</f>
        <v>0.609934890233647</v>
      </c>
      <c r="G234" s="1" t="n">
        <f aca="false">(G232+F232)/2*G233</f>
        <v>0.572394522391892</v>
      </c>
      <c r="H234" s="1" t="n">
        <f aca="false">(H232+G232)/2*H233</f>
        <v>0.862181630711308</v>
      </c>
      <c r="I234" s="1" t="n">
        <f aca="false">(I232+H232)/2*I233</f>
        <v>1.18154798975334</v>
      </c>
      <c r="J234" s="1" t="n">
        <f aca="false">(J232+I232)/2*J233</f>
        <v>1.5273628173819</v>
      </c>
      <c r="K234" s="1" t="n">
        <f aca="false">(K232+J232)/2*K233</f>
        <v>1.8440112330483</v>
      </c>
      <c r="L234" s="1" t="n">
        <f aca="false">(L232+K232)/2*L233</f>
        <v>2.12827227147384</v>
      </c>
      <c r="M234" s="1" t="n">
        <f aca="false">(M232+L232)/2*M233</f>
        <v>2.35300450051538</v>
      </c>
      <c r="N234" s="1" t="n">
        <f aca="false">(N232+M232)/2*N233</f>
        <v>2.41349194538271</v>
      </c>
      <c r="O234" s="1" t="n">
        <f aca="false">(O232+N232)/2*O233</f>
        <v>2.42632625199307</v>
      </c>
      <c r="P234" s="1" t="n">
        <f aca="false">(P232+O232)/2*P233</f>
        <v>2.33954698879713</v>
      </c>
      <c r="Q234" s="1" t="n">
        <f aca="false">(Q232+P232)/2*Q233</f>
        <v>2.18475510426921</v>
      </c>
      <c r="R234" s="1" t="n">
        <f aca="false">(R232+Q232)/2*R233</f>
        <v>2.03975771699484</v>
      </c>
      <c r="S234" s="1" t="n">
        <f aca="false">(S232+R232)/2*S233</f>
        <v>1.90518161752438</v>
      </c>
      <c r="T234" s="1" t="n">
        <f aca="false">(T232+S232)/2*T233</f>
        <v>1.7801788671257</v>
      </c>
      <c r="U234" s="1" t="n">
        <f aca="false">(U232+T232)/2*U233</f>
        <v>1.66397599395166</v>
      </c>
      <c r="V234" s="1" t="n">
        <f aca="false">(V232+U232)/2*V233</f>
        <v>1.55587410939458</v>
      </c>
      <c r="W234" s="1" t="n">
        <f aca="false">(W232+V232)/2*W233</f>
        <v>1.45524232401913</v>
      </c>
      <c r="X234" s="1" t="n">
        <f aca="false">(X232+W232)/2*X233</f>
        <v>1.36191486178493</v>
      </c>
      <c r="Y234" s="1" t="n">
        <f aca="false">(Y232+X232)/2*Y233</f>
        <v>1.27526518518767</v>
      </c>
      <c r="Z234" s="1" t="n">
        <f aca="false">(Z232+Y232)/2*Z233</f>
        <v>1.19473090331214</v>
      </c>
      <c r="AA234" s="1" t="n">
        <f aca="false">(AA232+Z232)/2*AA233</f>
        <v>1.11980588300101</v>
      </c>
      <c r="AB234" s="1" t="n">
        <f aca="false">(AB232+AA232)/2*AB233</f>
        <v>1.05003407420991</v>
      </c>
      <c r="AC234" s="1" t="n">
        <f aca="false">(AC232+AB232)/2*AC233</f>
        <v>0.984997732551599</v>
      </c>
      <c r="AD234" s="1" t="n">
        <f aca="false">(AD232+AC232)/2*AD233</f>
        <v>0.924320101038889</v>
      </c>
      <c r="AE234" s="1" t="n">
        <f aca="false">(AE232+AD232)/2*AE233</f>
        <v>0.867660587740555</v>
      </c>
      <c r="AF234" s="1" t="n">
        <f aca="false">(AF232+AE232)/2*AF233</f>
        <v>0.814710619271007</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0.00393243307195996</v>
      </c>
      <c r="D236" s="1" t="n">
        <f aca="false">MAX(0,D234-D235)</f>
        <v>0.107772783310231</v>
      </c>
      <c r="E236" s="1" t="n">
        <f aca="false">MAX(0,E234-E235)</f>
        <v>0.215764954456029</v>
      </c>
      <c r="F236" s="1" t="n">
        <f aca="false">MAX(0,F234-F235)</f>
        <v>0.53074845025799</v>
      </c>
      <c r="G236" s="1" t="n">
        <f aca="false">MAX(0,G234-G235)</f>
        <v>0.458072529149084</v>
      </c>
      <c r="H236" s="1" t="n">
        <f aca="false">MAX(0,H234-H235)</f>
        <v>0.714990081964132</v>
      </c>
      <c r="I236" s="1" t="n">
        <f aca="false">MAX(0,I234-I235)</f>
        <v>1.00360674223695</v>
      </c>
      <c r="J236" s="1" t="n">
        <f aca="false">MAX(0,J234-J235)</f>
        <v>1.32065501187928</v>
      </c>
      <c r="K236" s="1" t="n">
        <f aca="false">MAX(0,K234-K235)</f>
        <v>1.61039211161425</v>
      </c>
      <c r="L236" s="1" t="n">
        <f aca="false">MAX(0,L234-L235)</f>
        <v>1.86947742600954</v>
      </c>
      <c r="M236" s="1" t="n">
        <f aca="false">MAX(0,M234-M235)</f>
        <v>2.07988045131058</v>
      </c>
      <c r="N236" s="1" t="n">
        <f aca="false">MAX(0,N234-N235)</f>
        <v>2.13260051285919</v>
      </c>
      <c r="O236" s="1" t="n">
        <f aca="false">MAX(0,O234-O235)</f>
        <v>2.14296275247815</v>
      </c>
      <c r="P236" s="1" t="n">
        <f aca="false">MAX(0,P234-P235)</f>
        <v>2.07445845569793</v>
      </c>
      <c r="Q236" s="1" t="n">
        <f aca="false">MAX(0,Q234-Q235)</f>
        <v>1.93676292990312</v>
      </c>
      <c r="R236" s="1" t="n">
        <f aca="false">MAX(0,R234-R235)</f>
        <v>1.80775930564219</v>
      </c>
      <c r="S236" s="1" t="n">
        <f aca="false">MAX(0,S234-S235)</f>
        <v>1.68814548318774</v>
      </c>
      <c r="T236" s="1" t="n">
        <f aca="false">MAX(0,T234-T235)</f>
        <v>1.5771400474495</v>
      </c>
      <c r="U236" s="1" t="n">
        <f aca="false">MAX(0,U234-U235)</f>
        <v>1.474031759912</v>
      </c>
      <c r="V236" s="1" t="n">
        <f aca="false">MAX(0,V234-V235)</f>
        <v>1.378179951684</v>
      </c>
      <c r="W236" s="1" t="n">
        <f aca="false">MAX(0,W234-W235)</f>
        <v>1.28900819828157</v>
      </c>
      <c r="X236" s="1" t="n">
        <f aca="false">MAX(0,X234-X235)</f>
        <v>1.20640167600682</v>
      </c>
      <c r="Y236" s="1" t="n">
        <f aca="false">MAX(0,Y234-Y235)</f>
        <v>1.12978151362774</v>
      </c>
      <c r="Z236" s="1" t="n">
        <f aca="false">MAX(0,Z234-Z235)</f>
        <v>1.05862991235977</v>
      </c>
      <c r="AA236" s="1" t="n">
        <f aca="false">MAX(0,AA234-AA235)</f>
        <v>0.992482455295346</v>
      </c>
      <c r="AB236" s="1" t="n">
        <f aca="false">MAX(0,AB234-AB235)</f>
        <v>0.930922118233087</v>
      </c>
      <c r="AC236" s="1" t="n">
        <f aca="false">MAX(0,AC234-AC235)</f>
        <v>0.873567665734506</v>
      </c>
      <c r="AD236" s="1" t="n">
        <f aca="false">MAX(0,AD234-AD235)</f>
        <v>0.820076495188959</v>
      </c>
      <c r="AE236" s="1" t="n">
        <f aca="false">MAX(0,AE234-AE235)</f>
        <v>0.770139966323062</v>
      </c>
      <c r="AF236" s="1" t="n">
        <f aca="false">MAX(0,AF234-AF235)</f>
        <v>0.723479396750319</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0.737574333466231</v>
      </c>
      <c r="M238" s="1" t="n">
        <f aca="false">IF(M112&gt;0,M235/M112,0)</f>
        <v>0.750104251706944</v>
      </c>
      <c r="N238" s="1" t="n">
        <f aca="false">IF(N112&gt;0,N235/N112,0)</f>
        <v>0.744788463723816</v>
      </c>
      <c r="O238" s="1" t="n">
        <f aca="false">IF(O112&gt;0,O235/O112,0)</f>
        <v>0.727613948083763</v>
      </c>
      <c r="P238" s="1" t="n">
        <f aca="false">IF(P112&gt;0,P235/P112,0)</f>
        <v>0.664059889179184</v>
      </c>
      <c r="Q238" s="1" t="n">
        <f aca="false">IF(Q112&gt;0,Q235/Q112,0)</f>
        <v>0.606313112245721</v>
      </c>
      <c r="R238" s="1" t="n">
        <f aca="false">IF(R112&gt;0,R235/R112,0)</f>
        <v>0.553935853403163</v>
      </c>
      <c r="S238" s="1" t="n">
        <f aca="false">IF(S112&gt;0,S235/S112,0)</f>
        <v>0.506375167794934</v>
      </c>
      <c r="T238" s="1" t="n">
        <f aca="false">IF(T112&gt;0,T235/T112,0)</f>
        <v>0.463136189064796</v>
      </c>
      <c r="U238" s="1" t="n">
        <f aca="false">IF(U112&gt;0,U235/U112,0)</f>
        <v>0.423783308337988</v>
      </c>
      <c r="V238" s="1" t="n">
        <f aca="false">IF(V112&gt;0,V235/V112,0)</f>
        <v>0.387931614836665</v>
      </c>
      <c r="W238" s="1" t="n">
        <f aca="false">IF(W112&gt;0,W235/W112,0)</f>
        <v>0.355345427094971</v>
      </c>
      <c r="X238" s="1" t="n">
        <f aca="false">IF(X112&gt;0,X235/X112,0)</f>
        <v>0.325688621947914</v>
      </c>
      <c r="Y238" s="1" t="n">
        <f aca="false">IF(Y112&gt;0,Y235/Y112,0)</f>
        <v>0.298665326755011</v>
      </c>
      <c r="Z238" s="1" t="n">
        <f aca="false">IF(Z112&gt;0,Z235/Z112,0)</f>
        <v>0.274014325766581</v>
      </c>
      <c r="AA238" s="1" t="n">
        <f aca="false">IF(AA112&gt;0,AA235/AA112,0)</f>
        <v>0.251504328138484</v>
      </c>
      <c r="AB238" s="1" t="n">
        <f aca="false">IF(AB112&gt;0,AB235/AB112,0)</f>
        <v>0.230928623381087</v>
      </c>
      <c r="AC238" s="1" t="n">
        <f aca="false">IF(AC112&gt;0,AC235/AC112,0)</f>
        <v>0.212103617673386</v>
      </c>
      <c r="AD238" s="1" t="n">
        <f aca="false">IF(AD112&gt;0,AD235/AD112,0)</f>
        <v>0.194865815076541</v>
      </c>
      <c r="AE238" s="1" t="n">
        <f aca="false">IF(AE112&gt;0,AE235/AE112,0)</f>
        <v>0.179069252932845</v>
      </c>
      <c r="AF238" s="1" t="n">
        <f aca="false">IF(AF112&gt;0,AF235/AF112,0)</f>
        <v>0.164583314386763</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0.00393243307195996</v>
      </c>
      <c r="D243" s="1" t="n">
        <f aca="false">D236</f>
        <v>0.107772783310231</v>
      </c>
      <c r="E243" s="1" t="n">
        <f aca="false">E236</f>
        <v>0.215764954456029</v>
      </c>
      <c r="F243" s="1" t="n">
        <f aca="false">F236</f>
        <v>0.53074845025799</v>
      </c>
      <c r="G243" s="1" t="n">
        <f aca="false">G236</f>
        <v>0.458072529149084</v>
      </c>
      <c r="H243" s="1" t="n">
        <f aca="false">H236</f>
        <v>0.714990081964132</v>
      </c>
      <c r="I243" s="1" t="n">
        <f aca="false">I236</f>
        <v>1.00360674223695</v>
      </c>
      <c r="J243" s="1" t="n">
        <f aca="false">J236</f>
        <v>1.32065501187928</v>
      </c>
      <c r="K243" s="1" t="n">
        <f aca="false">K236</f>
        <v>1.61039211161425</v>
      </c>
      <c r="L243" s="1" t="n">
        <f aca="false">L236</f>
        <v>1.86947742600954</v>
      </c>
      <c r="M243" s="1" t="n">
        <f aca="false">M236</f>
        <v>2.07988045131058</v>
      </c>
      <c r="N243" s="1" t="n">
        <f aca="false">N236</f>
        <v>2.13260051285919</v>
      </c>
      <c r="O243" s="1" t="n">
        <f aca="false">O236</f>
        <v>2.14296275247815</v>
      </c>
      <c r="P243" s="1" t="n">
        <f aca="false">P236</f>
        <v>2.07445845569793</v>
      </c>
      <c r="Q243" s="1" t="n">
        <f aca="false">Q236</f>
        <v>1.93676292990312</v>
      </c>
      <c r="R243" s="1" t="n">
        <f aca="false">R236</f>
        <v>1.80775930564219</v>
      </c>
      <c r="S243" s="1" t="n">
        <f aca="false">S236</f>
        <v>1.68814548318774</v>
      </c>
      <c r="T243" s="1" t="n">
        <f aca="false">T236</f>
        <v>1.5771400474495</v>
      </c>
      <c r="U243" s="1" t="n">
        <f aca="false">U236</f>
        <v>1.474031759912</v>
      </c>
      <c r="V243" s="1" t="n">
        <f aca="false">V236</f>
        <v>1.378179951684</v>
      </c>
      <c r="W243" s="1" t="n">
        <f aca="false">W236</f>
        <v>1.28900819828157</v>
      </c>
      <c r="X243" s="1" t="n">
        <f aca="false">X236</f>
        <v>1.20640167600682</v>
      </c>
      <c r="Y243" s="1" t="n">
        <f aca="false">Y236</f>
        <v>1.12978151362774</v>
      </c>
      <c r="Z243" s="1" t="n">
        <f aca="false">Z236</f>
        <v>1.05862991235977</v>
      </c>
      <c r="AA243" s="1" t="n">
        <f aca="false">AA236</f>
        <v>0.992482455295346</v>
      </c>
      <c r="AB243" s="1" t="n">
        <f aca="false">AB236</f>
        <v>0.930922118233087</v>
      </c>
      <c r="AC243" s="1" t="n">
        <f aca="false">AC236</f>
        <v>0.873567665734506</v>
      </c>
      <c r="AD243" s="1" t="n">
        <f aca="false">AD236</f>
        <v>0.820076495188959</v>
      </c>
      <c r="AE243" s="1" t="n">
        <f aca="false">AE236</f>
        <v>0.770139966323062</v>
      </c>
      <c r="AF243" s="1" t="n">
        <f aca="false">AF236</f>
        <v>0.723479396750319</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0.00393243307195996</v>
      </c>
      <c r="D247" s="1" t="n">
        <f aca="false">MAX(0,C248+D243-D244-D245-D246)</f>
        <v>0.111705216382191</v>
      </c>
      <c r="E247" s="1" t="n">
        <f aca="false">MAX(0,D248+E243-E244-E245-E246)</f>
        <v>0.32747017083822</v>
      </c>
      <c r="F247" s="1" t="n">
        <f aca="false">MAX(0,E248+F243-F244-F245-F246)</f>
        <v>0.85821862109621</v>
      </c>
      <c r="G247" s="1" t="n">
        <f aca="false">MAX(0,F248+G243-G244-G245-G246)</f>
        <v>1.31629115024529</v>
      </c>
      <c r="H247" s="1" t="n">
        <f aca="false">MAX(0,G248+H243-H244-H245-H246)</f>
        <v>2.03128123220943</v>
      </c>
      <c r="I247" s="1" t="n">
        <f aca="false">MAX(0,H248+I243-I244-I245-I246)</f>
        <v>3.03488797444637</v>
      </c>
      <c r="J247" s="1" t="n">
        <f aca="false">MAX(0,I248+J243-J244-J245-J246)</f>
        <v>4.35554298632565</v>
      </c>
      <c r="K247" s="1" t="n">
        <f aca="false">MAX(0,J248+K243-K244-K245-K246)</f>
        <v>5.9659350979399</v>
      </c>
      <c r="L247" s="1" t="n">
        <f aca="false">MAX(0,K248+L243-L244-L245-L246)</f>
        <v>7.83541252394944</v>
      </c>
      <c r="M247" s="1" t="n">
        <f aca="false">MAX(0,L248+M243-M244-M245-M246)</f>
        <v>9.91529297526002</v>
      </c>
      <c r="N247" s="1" t="n">
        <f aca="false">MAX(0,M248+N243-N244-N245-N246)</f>
        <v>12.0478934881192</v>
      </c>
      <c r="O247" s="1" t="n">
        <f aca="false">MAX(0,N248+O243-O244-O245-O246)</f>
        <v>14.1908562405974</v>
      </c>
      <c r="P247" s="1" t="n">
        <f aca="false">MAX(0,O248+P243-P244-P245-P246)</f>
        <v>16.2653146962953</v>
      </c>
      <c r="Q247" s="1" t="n">
        <f aca="false">MAX(0,P248+Q243-Q244-Q245-Q246)</f>
        <v>18.2020776261984</v>
      </c>
      <c r="R247" s="1" t="n">
        <f aca="false">MAX(0,Q248+R243-R244-R245-R246)</f>
        <v>20.0098369318406</v>
      </c>
      <c r="S247" s="1" t="n">
        <f aca="false">MAX(0,R248+S243-S244-S245-S246)</f>
        <v>21.6979824150283</v>
      </c>
      <c r="T247" s="1" t="n">
        <f aca="false">MAX(0,S248+T243-T244-T245-T246)</f>
        <v>23.2751224624778</v>
      </c>
      <c r="U247" s="1" t="n">
        <f aca="false">MAX(0,T248+U243-U244-U245-U246)</f>
        <v>24.7491542223898</v>
      </c>
      <c r="V247" s="1" t="n">
        <f aca="false">MAX(0,U248+V243-V244-V245-V246)</f>
        <v>26.1273341740738</v>
      </c>
      <c r="W247" s="1" t="n">
        <f aca="false">MAX(0,V248+W243-W244-W245-W246)</f>
        <v>27.4163423723554</v>
      </c>
      <c r="X247" s="1" t="n">
        <f aca="false">MAX(0,W248+X243-X244-X245-X246)</f>
        <v>28.6227440483622</v>
      </c>
      <c r="Y247" s="1" t="n">
        <f aca="false">MAX(0,X248+Y243-Y244-Y245-Y246)</f>
        <v>29.75252556199</v>
      </c>
      <c r="Z247" s="1" t="n">
        <f aca="false">MAX(0,Y248+Z243-Z244-Z245-Z246)</f>
        <v>30.8111554743497</v>
      </c>
      <c r="AA247" s="1" t="n">
        <f aca="false">MAX(0,Z248+AA243-AA244-AA245-AA246)</f>
        <v>31.8036379296451</v>
      </c>
      <c r="AB247" s="1" t="n">
        <f aca="false">MAX(0,AA248+AB243-AB244-AB245-AB246)</f>
        <v>32.7345600478782</v>
      </c>
      <c r="AC247" s="1" t="n">
        <f aca="false">MAX(0,AB248+AC243-AC244-AC245-AC246)</f>
        <v>33.6081277136127</v>
      </c>
      <c r="AD247" s="1" t="n">
        <f aca="false">MAX(0,AC248+AD243-AD244-AD245-AD246)</f>
        <v>34.4282042088016</v>
      </c>
      <c r="AE247" s="1" t="n">
        <f aca="false">MAX(0,AD248+AE243-AE244-AE245-AE246)</f>
        <v>35.1983441751247</v>
      </c>
      <c r="AF247" s="1" t="n">
        <f aca="false">MAX(0,AE248+AF243-AF244-AF245-AF246)</f>
        <v>35.921823571875</v>
      </c>
    </row>
    <row r="248" customFormat="false" ht="14.25" hidden="false" customHeight="true" outlineLevel="0" collapsed="false">
      <c r="B248" s="1" t="s">
        <v>1244</v>
      </c>
      <c r="C248" s="1" t="n">
        <f aca="false">MIN(C247,MAX(0,C276))</f>
        <v>0.00393243307195996</v>
      </c>
      <c r="D248" s="1" t="n">
        <f aca="false">MIN(D247,MAX(0,D276))</f>
        <v>0.111705216382191</v>
      </c>
      <c r="E248" s="1" t="n">
        <f aca="false">MIN(E247,MAX(0,E276))</f>
        <v>0.32747017083822</v>
      </c>
      <c r="F248" s="1" t="n">
        <f aca="false">MIN(F247,MAX(0,F276))</f>
        <v>0.85821862109621</v>
      </c>
      <c r="G248" s="1" t="n">
        <f aca="false">MIN(G247,MAX(0,G276))</f>
        <v>1.31629115024529</v>
      </c>
      <c r="H248" s="1" t="n">
        <f aca="false">MIN(H247,MAX(0,H276))</f>
        <v>2.03128123220943</v>
      </c>
      <c r="I248" s="1" t="n">
        <f aca="false">MIN(I247,MAX(0,I276))</f>
        <v>3.03488797444637</v>
      </c>
      <c r="J248" s="1" t="n">
        <f aca="false">MIN(J247,MAX(0,J276))</f>
        <v>4.35554298632565</v>
      </c>
      <c r="K248" s="1" t="n">
        <f aca="false">MIN(K247,MAX(0,K276))</f>
        <v>5.9659350979399</v>
      </c>
      <c r="L248" s="1" t="n">
        <f aca="false">MIN(L247,MAX(0,L276))</f>
        <v>7.83541252394944</v>
      </c>
      <c r="M248" s="1" t="n">
        <f aca="false">MIN(M247,MAX(0,M276))</f>
        <v>9.91529297526002</v>
      </c>
      <c r="N248" s="1" t="n">
        <f aca="false">MIN(N247,MAX(0,N276))</f>
        <v>12.0478934881192</v>
      </c>
      <c r="O248" s="1" t="n">
        <f aca="false">MIN(O247,MAX(0,O276))</f>
        <v>14.1908562405974</v>
      </c>
      <c r="P248" s="1" t="n">
        <f aca="false">MIN(P247,MAX(0,P276))</f>
        <v>16.2653146962953</v>
      </c>
      <c r="Q248" s="1" t="n">
        <f aca="false">MIN(Q247,MAX(0,Q276))</f>
        <v>18.2020776261984</v>
      </c>
      <c r="R248" s="1" t="n">
        <f aca="false">MIN(R247,MAX(0,R276))</f>
        <v>20.0098369318406</v>
      </c>
      <c r="S248" s="1" t="n">
        <f aca="false">MIN(S247,MAX(0,S276))</f>
        <v>21.6979824150283</v>
      </c>
      <c r="T248" s="1" t="n">
        <f aca="false">MIN(T247,MAX(0,T276))</f>
        <v>23.2751224624778</v>
      </c>
      <c r="U248" s="1" t="n">
        <f aca="false">MIN(U247,MAX(0,U276))</f>
        <v>24.7491542223898</v>
      </c>
      <c r="V248" s="1" t="n">
        <f aca="false">MIN(V247,MAX(0,V276))</f>
        <v>26.1273341740738</v>
      </c>
      <c r="W248" s="1" t="n">
        <f aca="false">MIN(W247,MAX(0,W276))</f>
        <v>27.4163423723554</v>
      </c>
      <c r="X248" s="1" t="n">
        <f aca="false">MIN(X247,MAX(0,X276))</f>
        <v>28.6227440483622</v>
      </c>
      <c r="Y248" s="1" t="n">
        <f aca="false">MIN(Y247,MAX(0,Y276))</f>
        <v>29.75252556199</v>
      </c>
      <c r="Z248" s="1" t="n">
        <f aca="false">MIN(Z247,MAX(0,Z276))</f>
        <v>30.8111554743497</v>
      </c>
      <c r="AA248" s="1" t="n">
        <f aca="false">MIN(AA247,MAX(0,AA276))</f>
        <v>31.8036379296451</v>
      </c>
      <c r="AB248" s="1" t="n">
        <f aca="false">MIN(AB247,MAX(0,AB276))</f>
        <v>32.7345600478782</v>
      </c>
      <c r="AC248" s="1" t="n">
        <f aca="false">MIN(AC247,MAX(0,AC276))</f>
        <v>33.6081277136127</v>
      </c>
      <c r="AD248" s="1" t="n">
        <f aca="false">MIN(AD247,MAX(0,AD276))</f>
        <v>34.4282042088016</v>
      </c>
      <c r="AE248" s="1" t="n">
        <f aca="false">MIN(AE247,MAX(0,AE276))</f>
        <v>35.1983441751247</v>
      </c>
      <c r="AF248" s="1" t="n">
        <f aca="false">MIN(AF247,MAX(0,AF276))</f>
        <v>35.921823571875</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18.6868952581454</v>
      </c>
      <c r="D250" s="1" t="n">
        <f aca="false">D120-D248</f>
        <v>34.8160375327964</v>
      </c>
      <c r="E250" s="1" t="n">
        <f aca="false">E120-E248</f>
        <v>52.8471644024072</v>
      </c>
      <c r="F250" s="1" t="n">
        <f aca="false">F120-F248</f>
        <v>61.5448665407472</v>
      </c>
      <c r="G250" s="1" t="n">
        <f aca="false">G120-G248</f>
        <v>72.6663161147926</v>
      </c>
      <c r="H250" s="1" t="n">
        <f aca="false">H120-H248</f>
        <v>85.3579691005226</v>
      </c>
      <c r="I250" s="1" t="n">
        <f aca="false">I120-I248</f>
        <v>99.6888858510307</v>
      </c>
      <c r="J250" s="1" t="n">
        <f aca="false">J120-J248</f>
        <v>115.216837866416</v>
      </c>
      <c r="K250" s="1" t="n">
        <f aca="false">K120-K248</f>
        <v>131.494168394256</v>
      </c>
      <c r="L250" s="1" t="n">
        <f aca="false">L120-L248</f>
        <v>147.884281770356</v>
      </c>
      <c r="M250" s="1" t="n">
        <f aca="false">M120-M248</f>
        <v>145.819753740396</v>
      </c>
      <c r="N250" s="1" t="n">
        <f aca="false">N120-N248</f>
        <v>144.425608071946</v>
      </c>
      <c r="O250" s="1" t="n">
        <f aca="false">O120-O248</f>
        <v>143.953979599863</v>
      </c>
      <c r="P250" s="1" t="n">
        <f aca="false">P120-P248</f>
        <v>143.190641331793</v>
      </c>
      <c r="Q250" s="1" t="n">
        <f aca="false">Q120-Q248</f>
        <v>142.41291314626</v>
      </c>
      <c r="R250" s="1" t="n">
        <f aca="false">R120-R248</f>
        <v>141.805083191634</v>
      </c>
      <c r="S250" s="1" t="n">
        <f aca="false">S120-S248</f>
        <v>141.352797334889</v>
      </c>
      <c r="T250" s="1" t="n">
        <f aca="false">T120-T248</f>
        <v>141.048272609296</v>
      </c>
      <c r="U250" s="1" t="n">
        <f aca="false">U120-U248</f>
        <v>140.884202675402</v>
      </c>
      <c r="V250" s="1" t="n">
        <f aca="false">V120-V248</f>
        <v>140.853932611988</v>
      </c>
      <c r="W250" s="1" t="n">
        <f aca="false">W120-W248</f>
        <v>140.953672833267</v>
      </c>
      <c r="X250" s="1" t="n">
        <f aca="false">X120-X248</f>
        <v>141.178060522449</v>
      </c>
      <c r="Y250" s="1" t="n">
        <f aca="false">Y120-Y248</f>
        <v>141.522090853248</v>
      </c>
      <c r="Z250" s="1" t="n">
        <f aca="false">Z120-Z248</f>
        <v>141.980976852068</v>
      </c>
      <c r="AA250" s="1" t="n">
        <f aca="false">AA120-AA248</f>
        <v>142.550419667121</v>
      </c>
      <c r="AB250" s="1" t="n">
        <f aca="false">AB120-AB248</f>
        <v>143.226512010272</v>
      </c>
      <c r="AC250" s="1" t="n">
        <f aca="false">AC120-AC248</f>
        <v>144.005740509212</v>
      </c>
      <c r="AD250" s="1" t="n">
        <f aca="false">AD120-AD248</f>
        <v>144.88495267761</v>
      </c>
      <c r="AE250" s="1" t="n">
        <f aca="false">AE120-AE248</f>
        <v>145.861330229223</v>
      </c>
      <c r="AF250" s="1" t="n">
        <f aca="false">AF120-AF248</f>
        <v>146.932359268186</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0.000210393736271389</v>
      </c>
      <c r="D252" s="1" t="n">
        <f aca="false">IF(D120&gt;0,D248/D120,0)</f>
        <v>0.00319818023123804</v>
      </c>
      <c r="E252" s="1" t="n">
        <f aca="false">IF(E120&gt;0,E248/E120,0)</f>
        <v>0.00615839062113621</v>
      </c>
      <c r="F252" s="1" t="n">
        <f aca="false">IF(F120&gt;0,F248/F120,0)</f>
        <v>0.013752823580283</v>
      </c>
      <c r="G252" s="1" t="n">
        <f aca="false">IF(G120&gt;0,G248/G120,0)</f>
        <v>0.0177919000006281</v>
      </c>
      <c r="H252" s="1" t="n">
        <f aca="false">IF(H120&gt;0,H248/H120,0)</f>
        <v>0.0232440629079135</v>
      </c>
      <c r="I252" s="1" t="n">
        <f aca="false">IF(I120&gt;0,I248/I120,0)</f>
        <v>0.0295441635507132</v>
      </c>
      <c r="J252" s="1" t="n">
        <f aca="false">IF(J120&gt;0,J248/J120,0)</f>
        <v>0.0364259953282161</v>
      </c>
      <c r="K252" s="1" t="n">
        <f aca="false">IF(K120&gt;0,K248/K120,0)</f>
        <v>0.0434012120344329</v>
      </c>
      <c r="L252" s="1" t="n">
        <f aca="false">IF(L120&gt;0,L248/L120,0)</f>
        <v>0.0503174152727321</v>
      </c>
      <c r="M252" s="1" t="n">
        <f aca="false">IF(M120&gt;0,M248/M120,0)</f>
        <v>0.063667704761174</v>
      </c>
      <c r="N252" s="1" t="n">
        <f aca="false">IF(N120&gt;0,N248/N120,0)</f>
        <v>0.0769963819304853</v>
      </c>
      <c r="O252" s="1" t="n">
        <f aca="false">IF(O120&gt;0,O248/O120,0)</f>
        <v>0.0897332888878733</v>
      </c>
      <c r="P252" s="1" t="n">
        <f aca="false">IF(P120&gt;0,P248/P120,0)</f>
        <v>0.102005062096458</v>
      </c>
      <c r="Q252" s="1" t="n">
        <f aca="false">IF(Q120&gt;0,Q248/Q120,0)</f>
        <v>0.113327389546005</v>
      </c>
      <c r="R252" s="1" t="n">
        <f aca="false">IF(R120&gt;0,R248/R120,0)</f>
        <v>0.123658788179556</v>
      </c>
      <c r="S252" s="1" t="n">
        <f aca="false">IF(S120&gt;0,S248/S120,0)</f>
        <v>0.133074999385517</v>
      </c>
      <c r="T252" s="1" t="n">
        <f aca="false">IF(T120&gt;0,T248/T120,0)</f>
        <v>0.141642171233814</v>
      </c>
      <c r="U252" s="1" t="n">
        <f aca="false">IF(U120&gt;0,U248/U120,0)</f>
        <v>0.149421316369636</v>
      </c>
      <c r="V252" s="1" t="n">
        <f aca="false">IF(V120&gt;0,V248/V120,0)</f>
        <v>0.156468654699743</v>
      </c>
      <c r="W252" s="1" t="n">
        <f aca="false">IF(W120&gt;0,W248/W120,0)</f>
        <v>0.162833877153679</v>
      </c>
      <c r="X252" s="1" t="n">
        <f aca="false">IF(X120&gt;0,X248/X120,0)</f>
        <v>0.168566598495862</v>
      </c>
      <c r="Y252" s="1" t="n">
        <f aca="false">IF(Y120&gt;0,Y248/Y120,0)</f>
        <v>0.17371240516959</v>
      </c>
      <c r="Z252" s="1" t="n">
        <f aca="false">IF(Z120&gt;0,Z248/Z120,0)</f>
        <v>0.178313416586266</v>
      </c>
      <c r="AA252" s="1" t="n">
        <f aca="false">IF(AA120&gt;0,AA248/AA120,0)</f>
        <v>0.182408361285163</v>
      </c>
      <c r="AB252" s="1" t="n">
        <f aca="false">IF(AB120&gt;0,AB248/AB120,0)</f>
        <v>0.18603296550194</v>
      </c>
      <c r="AC252" s="1" t="n">
        <f aca="false">IF(AC120&gt;0,AC248/AC120,0)</f>
        <v>0.189220177736627</v>
      </c>
      <c r="AD252" s="1" t="n">
        <f aca="false">IF(AD120&gt;0,AD248/AD120,0)</f>
        <v>0.192000435476191</v>
      </c>
      <c r="AE252" s="1" t="n">
        <f aca="false">IF(AE120&gt;0,AE248/AE120,0)</f>
        <v>0.194401897003961</v>
      </c>
      <c r="AF252" s="1" t="n">
        <f aca="false">IF(AF120&gt;0,AF248/AF120,0)</f>
        <v>0.196450652721984</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0.350872900156507</v>
      </c>
      <c r="M254" s="116" t="n">
        <f aca="false">M112</f>
        <v>0.364114786155762</v>
      </c>
      <c r="N254" s="116" t="n">
        <f aca="false">N112</f>
        <v>0.377142566251781</v>
      </c>
      <c r="O254" s="116" t="n">
        <f aca="false">O112</f>
        <v>0.389442093930683</v>
      </c>
      <c r="P254" s="116" t="n">
        <f aca="false">P112</f>
        <v>0.399193713426763</v>
      </c>
      <c r="Q254" s="116" t="n">
        <f aca="false">Q112</f>
        <v>0.409016676956816</v>
      </c>
      <c r="R254" s="116" t="n">
        <f aca="false">R112</f>
        <v>0.418818189736861</v>
      </c>
      <c r="S254" s="116" t="n">
        <f aca="false">S112</f>
        <v>0.428607380732661</v>
      </c>
      <c r="T254" s="116" t="n">
        <f aca="false">T112</f>
        <v>0.438399815151972</v>
      </c>
      <c r="U254" s="116" t="n">
        <f aca="false">U112</f>
        <v>0.448210748990061</v>
      </c>
      <c r="V254" s="116" t="n">
        <f aca="false">V112</f>
        <v>0.458055365725721</v>
      </c>
      <c r="W254" s="116" t="n">
        <f aca="false">W112</f>
        <v>0.467809947904936</v>
      </c>
      <c r="X254" s="116" t="n">
        <f aca="false">X112</f>
        <v>0.477490385902944</v>
      </c>
      <c r="Y254" s="116" t="n">
        <f aca="false">Y112</f>
        <v>0.487112692794355</v>
      </c>
      <c r="Z254" s="116" t="n">
        <f aca="false">Z112</f>
        <v>0.496692976075662</v>
      </c>
      <c r="AA254" s="116" t="n">
        <f aca="false">AA112</f>
        <v>0.50624746161648</v>
      </c>
      <c r="AB254" s="116" t="n">
        <f aca="false">AB112</f>
        <v>0.515795548567645</v>
      </c>
      <c r="AC254" s="116" t="n">
        <f aca="false">AC112</f>
        <v>0.525356747986645</v>
      </c>
      <c r="AD254" s="116" t="n">
        <f aca="false">AD112</f>
        <v>0.534950708563144</v>
      </c>
      <c r="AE254" s="116" t="n">
        <f aca="false">AE112</f>
        <v>0.544597242800051</v>
      </c>
      <c r="AF254" s="116" t="n">
        <f aca="false">AF112</f>
        <v>0.554316352545308</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0.092078054692208</v>
      </c>
      <c r="M256" s="1" t="n">
        <f aca="false">MIN(M254-M255,MAX(0,M107-M108+M109+M110+M184-M229-M235))</f>
        <v>0.0909907369509603</v>
      </c>
      <c r="N256" s="1" t="n">
        <f aca="false">MIN(N254-N255,MAX(0,N107-N108+N109+N110+N184-N229-N235))</f>
        <v>0.0962511337282597</v>
      </c>
      <c r="O256" s="1" t="n">
        <f aca="false">MIN(O254-O255,MAX(0,O107-O108+O109+O110+O184-O229-O235))</f>
        <v>0.106078594415771</v>
      </c>
      <c r="P256" s="1" t="n">
        <f aca="false">MIN(P254-P255,MAX(0,P107-P108+P109+P110+P184-P229-P235))</f>
        <v>0.13410518032756</v>
      </c>
      <c r="Q256" s="1" t="n">
        <f aca="false">MIN(Q254-Q255,MAX(0,Q107-Q108+Q109+Q110+Q184-Q229-Q235))</f>
        <v>0.161024502590726</v>
      </c>
      <c r="R256" s="1" t="n">
        <f aca="false">MIN(R254-R255,MAX(0,R107-R108+R109+R110+R184-R229-R235))</f>
        <v>0.186819778384205</v>
      </c>
      <c r="S256" s="1" t="n">
        <f aca="false">MIN(S254-S255,MAX(0,S107-S108+S109+S110+S184-S229-S235))</f>
        <v>0.211571246396013</v>
      </c>
      <c r="T256" s="1" t="n">
        <f aca="false">MIN(T254-T255,MAX(0,T107-T108+T109+T110+T184-T229-T235))</f>
        <v>0.235360995475777</v>
      </c>
      <c r="U256" s="1" t="n">
        <f aca="false">MIN(U254-U255,MAX(0,U107-U108+U109+U110+U184-U229-U235))</f>
        <v>0.258266514950406</v>
      </c>
      <c r="V256" s="1" t="n">
        <f aca="false">MIN(V254-V255,MAX(0,V107-V108+V109+V110+V184-V229-V235))</f>
        <v>0.280361208015143</v>
      </c>
      <c r="W256" s="1" t="n">
        <f aca="false">MIN(W254-W255,MAX(0,W107-W108+W109+W110+W184-W229-W235))</f>
        <v>0.30157582216738</v>
      </c>
      <c r="X256" s="1" t="n">
        <f aca="false">MIN(X254-X255,MAX(0,X107-X108+X109+X110+X184-X229-X235))</f>
        <v>0.321977200124837</v>
      </c>
      <c r="Y256" s="1" t="n">
        <f aca="false">MIN(Y254-Y255,MAX(0,Y107-Y108+Y109+Y110+Y184-Y229-Y235))</f>
        <v>0.341629021234416</v>
      </c>
      <c r="Z256" s="1" t="n">
        <f aca="false">MIN(Z254-Z255,MAX(0,Z107-Z108+Z109+Z110+Z184-Z229-Z235))</f>
        <v>0.360591985123293</v>
      </c>
      <c r="AA256" s="1" t="n">
        <f aca="false">MIN(AA254-AA255,MAX(0,AA107-AA108+AA109+AA110+AA184-AA229-AA235))</f>
        <v>0.378924033910814</v>
      </c>
      <c r="AB256" s="1" t="n">
        <f aca="false">MIN(AB254-AB255,MAX(0,AB107-AB108+AB109+AB110+AB184-AB229-AB235))</f>
        <v>0.396683592590826</v>
      </c>
      <c r="AC256" s="1" t="n">
        <f aca="false">MIN(AC254-AC255,MAX(0,AC107-AC108+AC109+AC110+AC184-AC229-AC235))</f>
        <v>0.413926681169552</v>
      </c>
      <c r="AD256" s="1" t="n">
        <f aca="false">MIN(AD254-AD255,MAX(0,AD107-AD108+AD109+AD110+AD184-AD229-AD235))</f>
        <v>0.430707102713214</v>
      </c>
      <c r="AE256" s="1" t="n">
        <f aca="false">MIN(AE254-AE255,MAX(0,AE107-AE108+AE109+AE110+AE184-AE229-AE235))</f>
        <v>0.447076621382559</v>
      </c>
      <c r="AF256" s="1" t="n">
        <f aca="false">MIN(AF254-AF255,MAX(0,AF107-AF108+AF109+AF110+AF184-AF229-AF235))</f>
        <v>0.46308513002462</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23.0825399625578</v>
      </c>
      <c r="D261" s="1" t="n">
        <f aca="false">(D83-D326)+D181</f>
        <v>47.0141338127306</v>
      </c>
      <c r="E261" s="1" t="n">
        <f aca="false">(E83-E326)+E181</f>
        <v>72.0117690154988</v>
      </c>
      <c r="F261" s="1" t="n">
        <f aca="false">(F83-F326)+F181</f>
        <v>99.3789970213181</v>
      </c>
      <c r="G261" s="1" t="n">
        <f aca="false">(G83-G326)+G181</f>
        <v>125.050508141178</v>
      </c>
      <c r="H261" s="1" t="n">
        <f aca="false">(H83-H326)+H181</f>
        <v>143.227099216829</v>
      </c>
      <c r="I261" s="1" t="n">
        <f aca="false">(I83-I326)+I181</f>
        <v>162.310504350449</v>
      </c>
      <c r="J261" s="1" t="n">
        <f aca="false">(J83-J326)+J181</f>
        <v>181.831877487746</v>
      </c>
      <c r="K261" s="1" t="n">
        <f aca="false">(K83-K326)+K181</f>
        <v>193.7424910854</v>
      </c>
      <c r="L261" s="1" t="n">
        <f aca="false">(L83-L326)+L181</f>
        <v>199.076779260159</v>
      </c>
      <c r="M261" s="1" t="n">
        <f aca="false">(M83-M326)+M181</f>
        <v>202.716388742764</v>
      </c>
      <c r="N261" s="1" t="n">
        <f aca="false">(N83-N326)+N181</f>
        <v>207.146752447881</v>
      </c>
      <c r="O261" s="1" t="n">
        <f aca="false">(O83-O326)+O181</f>
        <v>212.566404343349</v>
      </c>
      <c r="P261" s="1" t="n">
        <f aca="false">(P83-P326)+P181</f>
        <v>217.638405456127</v>
      </c>
      <c r="Q261" s="1" t="n">
        <f aca="false">(Q83-Q326)+Q181</f>
        <v>222.638047792928</v>
      </c>
      <c r="R261" s="1" t="n">
        <f aca="false">(R83-R326)+R181</f>
        <v>227.757710474245</v>
      </c>
      <c r="S261" s="1" t="n">
        <f aca="false">(S83-S326)+S181</f>
        <v>232.994414025054</v>
      </c>
      <c r="T261" s="1" t="n">
        <f aca="false">(T83-T326)+T181</f>
        <v>238.351168140274</v>
      </c>
      <c r="U261" s="1" t="n">
        <f aca="false">(U83-U326)+U181</f>
        <v>243.830779524503</v>
      </c>
      <c r="V261" s="1" t="n">
        <f aca="false">(V83-V326)+V181</f>
        <v>249.436104026649</v>
      </c>
      <c r="W261" s="1" t="n">
        <f aca="false">(W83-W326)+W181</f>
        <v>255.168854966273</v>
      </c>
      <c r="X261" s="1" t="n">
        <f aca="false">(X83-X326)+X181</f>
        <v>261.032589781022</v>
      </c>
      <c r="Y261" s="1" t="n">
        <f aca="false">(Y83-Y326)+Y181</f>
        <v>267.030690985673</v>
      </c>
      <c r="Z261" s="1" t="n">
        <f aca="false">(Z83-Z326)+Z181</f>
        <v>273.166287332856</v>
      </c>
      <c r="AA261" s="1" t="n">
        <f aca="false">(AA83-AA326)+AA181</f>
        <v>279.442579015975</v>
      </c>
      <c r="AB261" s="1" t="n">
        <f aca="false">(AB83-AB326)+AB181</f>
        <v>285.862865850165</v>
      </c>
      <c r="AC261" s="1" t="n">
        <f aca="false">(AC83-AC326)+AC181</f>
        <v>292.430509873549</v>
      </c>
      <c r="AD261" s="1" t="n">
        <f aca="false">(AD83-AD326)+AD181</f>
        <v>299.148942609487</v>
      </c>
      <c r="AE261" s="1" t="n">
        <f aca="false">(AE83-AE326)+AE181</f>
        <v>306.021674035579</v>
      </c>
      <c r="AF261" s="1" t="n">
        <f aca="false">(AF83-AF326)+AF181</f>
        <v>313.052294430517</v>
      </c>
    </row>
    <row r="262" customFormat="false" ht="14.25" hidden="false" customHeight="true" outlineLevel="0" collapsed="false">
      <c r="B262" s="1" t="s">
        <v>1257</v>
      </c>
      <c r="C262" s="1" t="n">
        <f aca="false">$C$260*C261</f>
        <v>1.15412699812789</v>
      </c>
      <c r="D262" s="1" t="n">
        <f aca="false">$C$260*D261</f>
        <v>2.35070669063653</v>
      </c>
      <c r="E262" s="1" t="n">
        <f aca="false">$C$260*E261</f>
        <v>3.60058845077494</v>
      </c>
      <c r="F262" s="1" t="n">
        <f aca="false">$C$260*F261</f>
        <v>4.9689498510659</v>
      </c>
      <c r="G262" s="1" t="n">
        <f aca="false">$C$260*G261</f>
        <v>6.2525254070589</v>
      </c>
      <c r="H262" s="1" t="n">
        <f aca="false">$C$260*H261</f>
        <v>7.16135496084144</v>
      </c>
      <c r="I262" s="1" t="n">
        <f aca="false">$C$260*I261</f>
        <v>8.11552521752243</v>
      </c>
      <c r="J262" s="1" t="n">
        <f aca="false">$C$260*J261</f>
        <v>9.09159387438733</v>
      </c>
      <c r="K262" s="1" t="n">
        <f aca="false">$C$260*K261</f>
        <v>9.68712455427</v>
      </c>
      <c r="L262" s="1" t="n">
        <f aca="false">$C$260*L261</f>
        <v>9.95383896300796</v>
      </c>
      <c r="M262" s="1" t="n">
        <f aca="false">$C$260*M261</f>
        <v>10.1358194371382</v>
      </c>
      <c r="N262" s="1" t="n">
        <f aca="false">$C$260*N261</f>
        <v>10.3573376223941</v>
      </c>
      <c r="O262" s="1" t="n">
        <f aca="false">$C$260*O261</f>
        <v>10.6283202171675</v>
      </c>
      <c r="P262" s="1" t="n">
        <f aca="false">$C$260*P261</f>
        <v>10.8819202728063</v>
      </c>
      <c r="Q262" s="1" t="n">
        <f aca="false">$C$260*Q261</f>
        <v>11.1319023896464</v>
      </c>
      <c r="R262" s="1" t="n">
        <f aca="false">$C$260*R261</f>
        <v>11.3878855237123</v>
      </c>
      <c r="S262" s="1" t="n">
        <f aca="false">$C$260*S261</f>
        <v>11.6497207012527</v>
      </c>
      <c r="T262" s="1" t="n">
        <f aca="false">$C$260*T261</f>
        <v>11.9175584070137</v>
      </c>
      <c r="U262" s="1" t="n">
        <f aca="false">$C$260*U261</f>
        <v>12.1915389762252</v>
      </c>
      <c r="V262" s="1" t="n">
        <f aca="false">$C$260*V261</f>
        <v>12.4718052013324</v>
      </c>
      <c r="W262" s="1" t="n">
        <f aca="false">$C$260*W261</f>
        <v>12.7584427483137</v>
      </c>
      <c r="X262" s="1" t="n">
        <f aca="false">$C$260*X261</f>
        <v>13.0516294890511</v>
      </c>
      <c r="Y262" s="1" t="n">
        <f aca="false">$C$260*Y261</f>
        <v>13.3515345492836</v>
      </c>
      <c r="Z262" s="1" t="n">
        <f aca="false">$C$260*Z261</f>
        <v>13.6583143666428</v>
      </c>
      <c r="AA262" s="1" t="n">
        <f aca="false">$C$260*AA261</f>
        <v>13.9721289507988</v>
      </c>
      <c r="AB262" s="1" t="n">
        <f aca="false">$C$260*AB261</f>
        <v>14.2931432925083</v>
      </c>
      <c r="AC262" s="1" t="n">
        <f aca="false">$C$260*AC261</f>
        <v>14.6215254936775</v>
      </c>
      <c r="AD262" s="1" t="n">
        <f aca="false">$C$260*AD261</f>
        <v>14.9574471304744</v>
      </c>
      <c r="AE262" s="1" t="n">
        <f aca="false">$C$260*AE261</f>
        <v>15.3010837017789</v>
      </c>
      <c r="AF262" s="1" t="n">
        <f aca="false">$C$260*AF261</f>
        <v>15.6526147215258</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44.4186530178975</v>
      </c>
      <c r="M263" s="1" t="n">
        <f aca="false">MAX(0,(M70+L121-L227)*0.25/0.55)</f>
        <v>46.853365981585</v>
      </c>
      <c r="N263" s="1" t="n">
        <f aca="false">MAX(0,(N70+M121-M227)*0.25/0.55)</f>
        <v>49.6707201170356</v>
      </c>
      <c r="O263" s="1" t="n">
        <f aca="false">MAX(0,(O70+N121-N227)*0.25/0.55)</f>
        <v>52.5567705070429</v>
      </c>
      <c r="P263" s="1" t="n">
        <f aca="false">MAX(0,(P70+O121-O227)*0.25/0.55)</f>
        <v>55.493458546809</v>
      </c>
      <c r="Q263" s="1" t="n">
        <f aca="false">MAX(0,(Q70+P121-P227)*0.25/0.55)</f>
        <v>58.4053383167967</v>
      </c>
      <c r="R263" s="1" t="n">
        <f aca="false">MAX(0,(R70+Q121-Q227)*0.25/0.55)</f>
        <v>61.2928228290736</v>
      </c>
      <c r="S263" s="1" t="n">
        <f aca="false">MAX(0,(S70+R121-R227)*0.25/0.55)</f>
        <v>64.1613565807391</v>
      </c>
      <c r="T263" s="1" t="n">
        <f aca="false">MAX(0,(T70+S121-S227)*0.25/0.55)</f>
        <v>67.0192712128547</v>
      </c>
      <c r="U263" s="1" t="n">
        <f aca="false">MAX(0,(U70+T121-T227)*0.25/0.55)</f>
        <v>69.8747192176163</v>
      </c>
      <c r="V263" s="1" t="n">
        <f aca="false">MAX(0,(V70+U121-U227)*0.25/0.55)</f>
        <v>72.7357813198581</v>
      </c>
      <c r="W263" s="1" t="n">
        <f aca="false">MAX(0,(W70+V121-V227)*0.25/0.55)</f>
        <v>75.6104792154444</v>
      </c>
      <c r="X263" s="1" t="n">
        <f aca="false">MAX(0,(X70+W121-W227)*0.25/0.55)</f>
        <v>78.5068687345129</v>
      </c>
      <c r="Y263" s="1" t="n">
        <f aca="false">MAX(0,(Y70+X121-X227)*0.25/0.55)</f>
        <v>81.4330166073531</v>
      </c>
      <c r="Z263" s="1" t="n">
        <f aca="false">MAX(0,(Z70+Y121-Y227)*0.25/0.55)</f>
        <v>84.3969871678341</v>
      </c>
      <c r="AA263" s="1" t="n">
        <f aca="false">MAX(0,(AA70+Z121-Z227)*0.25/0.55)</f>
        <v>87.4068527678201</v>
      </c>
      <c r="AB263" s="1" t="n">
        <f aca="false">MAX(0,(AB70+AA121-AA227)*0.25/0.55)</f>
        <v>90.4707022199018</v>
      </c>
      <c r="AC263" s="1" t="n">
        <f aca="false">MAX(0,(AC70+AB121-AB227)*0.25/0.55)</f>
        <v>93.5966520701194</v>
      </c>
      <c r="AD263" s="1" t="n">
        <f aca="false">MAX(0,(AD70+AC121-AC227)*0.25/0.55)</f>
        <v>96.792858267618</v>
      </c>
      <c r="AE263" s="1" t="n">
        <f aca="false">MAX(0,(AE70+AD121-AD227)*0.25/0.55)</f>
        <v>100.067528025124</v>
      </c>
      <c r="AF263" s="1" t="n">
        <f aca="false">MAX(0,(AF70+AE121-AE227)*0.25/0.55)</f>
        <v>103.428931368762</v>
      </c>
    </row>
    <row r="264" customFormat="false" ht="14.25" hidden="false" customHeight="true" outlineLevel="0" collapsed="false">
      <c r="B264" s="1" t="s">
        <v>1259</v>
      </c>
      <c r="C264" s="1" t="n">
        <f aca="false">MAX(0,C262-C263)</f>
        <v>1.11776336176426</v>
      </c>
      <c r="D264" s="1" t="n">
        <f aca="false">MAX(0,D262-D263)</f>
        <v>2.27669578154562</v>
      </c>
      <c r="E264" s="1" t="n">
        <f aca="false">MAX(0,E262-E263)</f>
        <v>3.48760132022949</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0.0279440840441064</v>
      </c>
      <c r="D265" s="1" t="n">
        <f aca="false">D264*MAX(0,$C$10-01_Supuestos!$I$134)</f>
        <v>0.0569173945386406</v>
      </c>
      <c r="E265" s="1" t="n">
        <f aca="false">E264*MAX(0,$C$10-01_Supuestos!$I$134)</f>
        <v>0.0871900330057372</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31.738492448517</v>
      </c>
      <c r="D266" s="1" t="n">
        <f aca="false">IF(D263&gt;0,D262/D263,0)</f>
        <v>31.7616243268828</v>
      </c>
      <c r="E266" s="1" t="n">
        <f aca="false">IF(E263&gt;0,E262/E263,0)</f>
        <v>31.8672439364803</v>
      </c>
      <c r="F266" s="1" t="n">
        <f aca="false">IF(F263&gt;0,F262/F263,0)</f>
        <v>0.205831258507574</v>
      </c>
      <c r="G266" s="1" t="n">
        <f aca="false">IF(G263&gt;0,G262/G263,0)</f>
        <v>0.228221422745574</v>
      </c>
      <c r="H266" s="1" t="n">
        <f aca="false">IF(H263&gt;0,H262/H263,0)</f>
        <v>0.233521663939952</v>
      </c>
      <c r="I266" s="1" t="n">
        <f aca="false">IF(I263&gt;0,I262/I263,0)</f>
        <v>0.239035296951167</v>
      </c>
      <c r="J266" s="1" t="n">
        <f aca="false">IF(J263&gt;0,J262/J263,0)</f>
        <v>0.24406875775343</v>
      </c>
      <c r="K266" s="1" t="n">
        <f aca="false">IF(K263&gt;0,K262/K263,0)</f>
        <v>0.238811385554057</v>
      </c>
      <c r="L266" s="1" t="n">
        <f aca="false">IF(L263&gt;0,L262/L263,0)</f>
        <v>0.224091418508285</v>
      </c>
      <c r="M266" s="1" t="n">
        <f aca="false">IF(M263&gt;0,M262/M263,0)</f>
        <v>0.216330656822435</v>
      </c>
      <c r="N266" s="1" t="n">
        <f aca="false">IF(N263&gt;0,N262/N263,0)</f>
        <v>0.208519981147642</v>
      </c>
      <c r="O266" s="1" t="n">
        <f aca="false">IF(O263&gt;0,O262/O263,0)</f>
        <v>0.20222551946458</v>
      </c>
      <c r="P266" s="1" t="n">
        <f aca="false">IF(P263&gt;0,P262/P263,0)</f>
        <v>0.196093747943776</v>
      </c>
      <c r="Q266" s="1" t="n">
        <f aca="false">IF(Q263&gt;0,Q262/Q263,0)</f>
        <v>0.190597344531518</v>
      </c>
      <c r="R266" s="1" t="n">
        <f aca="false">IF(R263&gt;0,R262/R263,0)</f>
        <v>0.185794763531605</v>
      </c>
      <c r="S266" s="1" t="n">
        <f aca="false">IF(S263&gt;0,S262/S263,0)</f>
        <v>0.181569114527574</v>
      </c>
      <c r="T266" s="1" t="n">
        <f aca="false">IF(T263&gt;0,T262/T263,0)</f>
        <v>0.177822858878356</v>
      </c>
      <c r="U266" s="1" t="n">
        <f aca="false">IF(U263&gt;0,U262/U263,0)</f>
        <v>0.174477108641483</v>
      </c>
      <c r="V266" s="1" t="n">
        <f aca="false">IF(V263&gt;0,V262/V263,0)</f>
        <v>0.171467261023667</v>
      </c>
      <c r="W266" s="1" t="n">
        <f aca="false">IF(W263&gt;0,W262/W263,0)</f>
        <v>0.168739080623464</v>
      </c>
      <c r="X266" s="1" t="n">
        <f aca="false">IF(X263&gt;0,X262/X263,0)</f>
        <v>0.166248249349848</v>
      </c>
      <c r="Y266" s="1" t="n">
        <f aca="false">IF(Y263&gt;0,Y262/Y263,0)</f>
        <v>0.163957263350085</v>
      </c>
      <c r="Z266" s="1" t="n">
        <f aca="false">IF(Z263&gt;0,Z262/Z263,0)</f>
        <v>0.161834146276827</v>
      </c>
      <c r="AA266" s="1" t="n">
        <f aca="false">IF(AA263&gt;0,AA262/AA263,0)</f>
        <v>0.159851642158002</v>
      </c>
      <c r="AB266" s="1" t="n">
        <f aca="false">IF(AB263&gt;0,AB262/AB263,0)</f>
        <v>0.157986430322678</v>
      </c>
      <c r="AC266" s="1" t="n">
        <f aca="false">IF(AC263&gt;0,AC262/AC263,0)</f>
        <v>0.15621846690332</v>
      </c>
      <c r="AD266" s="1" t="n">
        <f aca="false">IF(AD263&gt;0,AD262/AD263,0)</f>
        <v>0.154530482911448</v>
      </c>
      <c r="AE266" s="1" t="n">
        <f aca="false">IF(AE263&gt;0,AE262/AE263,0)</f>
        <v>0.152907581547705</v>
      </c>
      <c r="AF266" s="1" t="n">
        <f aca="false">IF(AF263&gt;0,AF262/AF263,0)</f>
        <v>0.151336908487612</v>
      </c>
    </row>
    <row r="267" customFormat="false" ht="14.25" hidden="false" customHeight="true" outlineLevel="0" collapsed="false">
      <c r="B267" s="1" t="s">
        <v>1262</v>
      </c>
      <c r="C267" s="1" t="n">
        <f aca="false">C120-C264</f>
        <v>17.5730643294531</v>
      </c>
      <c r="D267" s="1" t="n">
        <f aca="false">D120-D264</f>
        <v>32.651046967633</v>
      </c>
      <c r="E267" s="1" t="n">
        <f aca="false">E120-E264</f>
        <v>49.6870332530159</v>
      </c>
      <c r="F267" s="1" t="n">
        <f aca="false">F120-F264</f>
        <v>62.4030851618434</v>
      </c>
      <c r="G267" s="1" t="n">
        <f aca="false">G120-G264</f>
        <v>73.9826072650379</v>
      </c>
      <c r="H267" s="1" t="n">
        <f aca="false">H120-H264</f>
        <v>87.389250332732</v>
      </c>
      <c r="I267" s="1" t="n">
        <f aca="false">I120-I264</f>
        <v>102.723773825477</v>
      </c>
      <c r="J267" s="1" t="n">
        <f aca="false">J120-J264</f>
        <v>119.572380852742</v>
      </c>
      <c r="K267" s="1" t="n">
        <f aca="false">K120-K264</f>
        <v>137.460103492196</v>
      </c>
      <c r="L267" s="1" t="n">
        <f aca="false">L120-L264</f>
        <v>155.719694294305</v>
      </c>
      <c r="M267" s="1" t="n">
        <f aca="false">M120-M264</f>
        <v>155.735046715656</v>
      </c>
      <c r="N267" s="1" t="n">
        <f aca="false">N120-N264</f>
        <v>156.473501560066</v>
      </c>
      <c r="O267" s="1" t="n">
        <f aca="false">O120-O264</f>
        <v>158.144835840461</v>
      </c>
      <c r="P267" s="1" t="n">
        <f aca="false">P120-P264</f>
        <v>159.455956028088</v>
      </c>
      <c r="Q267" s="1" t="n">
        <f aca="false">Q120-Q264</f>
        <v>160.614990772458</v>
      </c>
      <c r="R267" s="1" t="n">
        <f aca="false">R120-R264</f>
        <v>161.814920123475</v>
      </c>
      <c r="S267" s="1" t="n">
        <f aca="false">S120-S264</f>
        <v>163.050779749917</v>
      </c>
      <c r="T267" s="1" t="n">
        <f aca="false">T120-T264</f>
        <v>164.323395071774</v>
      </c>
      <c r="U267" s="1" t="n">
        <f aca="false">U120-U264</f>
        <v>165.633356897792</v>
      </c>
      <c r="V267" s="1" t="n">
        <f aca="false">V120-V264</f>
        <v>166.981266786061</v>
      </c>
      <c r="W267" s="1" t="n">
        <f aca="false">W120-W264</f>
        <v>168.370015205622</v>
      </c>
      <c r="X267" s="1" t="n">
        <f aca="false">X120-X264</f>
        <v>169.800804570811</v>
      </c>
      <c r="Y267" s="1" t="n">
        <f aca="false">Y120-Y264</f>
        <v>171.274616415238</v>
      </c>
      <c r="Z267" s="1" t="n">
        <f aca="false">Z120-Z264</f>
        <v>172.792132326418</v>
      </c>
      <c r="AA267" s="1" t="n">
        <f aca="false">AA120-AA264</f>
        <v>174.354057596766</v>
      </c>
      <c r="AB267" s="1" t="n">
        <f aca="false">AB120-AB264</f>
        <v>175.96107205815</v>
      </c>
      <c r="AC267" s="1" t="n">
        <f aca="false">AC120-AC264</f>
        <v>177.613868222825</v>
      </c>
      <c r="AD267" s="1" t="n">
        <f aca="false">AD120-AD264</f>
        <v>179.313156886411</v>
      </c>
      <c r="AE267" s="1" t="n">
        <f aca="false">AE120-AE264</f>
        <v>181.059674404348</v>
      </c>
      <c r="AF267" s="1" t="n">
        <f aca="false">AF120-AF264</f>
        <v>182.854182840061</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1.15412699812789</v>
      </c>
      <c r="D270" s="1" t="n">
        <f aca="false">01_Supuestos!$C$173*D261</f>
        <v>2.35070669063653</v>
      </c>
      <c r="E270" s="1" t="n">
        <f aca="false">01_Supuestos!$C$173*E261</f>
        <v>3.60058845077494</v>
      </c>
      <c r="F270" s="1" t="n">
        <f aca="false">01_Supuestos!$C$173*F261</f>
        <v>4.9689498510659</v>
      </c>
      <c r="G270" s="1" t="n">
        <f aca="false">01_Supuestos!$C$173*G261</f>
        <v>6.2525254070589</v>
      </c>
      <c r="H270" s="1" t="n">
        <f aca="false">01_Supuestos!$C$173*H261</f>
        <v>7.16135496084144</v>
      </c>
      <c r="I270" s="1" t="n">
        <f aca="false">01_Supuestos!$C$173*I261</f>
        <v>8.11552521752243</v>
      </c>
      <c r="J270" s="1" t="n">
        <f aca="false">01_Supuestos!$C$173*J261</f>
        <v>9.09159387438733</v>
      </c>
      <c r="K270" s="1" t="n">
        <f aca="false">01_Supuestos!$C$173*K261</f>
        <v>9.68712455427</v>
      </c>
      <c r="L270" s="1" t="n">
        <f aca="false">01_Supuestos!$C$173*L261</f>
        <v>9.95383896300796</v>
      </c>
      <c r="M270" s="1" t="n">
        <f aca="false">01_Supuestos!$C$173*M261</f>
        <v>10.1358194371382</v>
      </c>
      <c r="N270" s="1" t="n">
        <f aca="false">01_Supuestos!$C$173*N261</f>
        <v>10.3573376223941</v>
      </c>
      <c r="O270" s="1" t="n">
        <f aca="false">01_Supuestos!$C$173*O261</f>
        <v>10.6283202171675</v>
      </c>
      <c r="P270" s="1" t="n">
        <f aca="false">01_Supuestos!$C$173*P261</f>
        <v>10.8819202728063</v>
      </c>
      <c r="Q270" s="1" t="n">
        <f aca="false">01_Supuestos!$C$173*Q261</f>
        <v>11.1319023896464</v>
      </c>
      <c r="R270" s="1" t="n">
        <f aca="false">01_Supuestos!$C$173*R261</f>
        <v>11.3878855237123</v>
      </c>
      <c r="S270" s="1" t="n">
        <f aca="false">01_Supuestos!$C$173*S261</f>
        <v>11.6497207012527</v>
      </c>
      <c r="T270" s="1" t="n">
        <f aca="false">01_Supuestos!$C$173*T261</f>
        <v>11.9175584070137</v>
      </c>
      <c r="U270" s="1" t="n">
        <f aca="false">01_Supuestos!$C$173*U261</f>
        <v>12.1915389762252</v>
      </c>
      <c r="V270" s="1" t="n">
        <f aca="false">01_Supuestos!$C$173*V261</f>
        <v>12.4718052013324</v>
      </c>
      <c r="W270" s="1" t="n">
        <f aca="false">01_Supuestos!$C$173*W261</f>
        <v>12.7584427483137</v>
      </c>
      <c r="X270" s="1" t="n">
        <f aca="false">01_Supuestos!$C$173*X261</f>
        <v>13.0516294890511</v>
      </c>
      <c r="Y270" s="1" t="n">
        <f aca="false">01_Supuestos!$C$173*Y261</f>
        <v>13.3515345492836</v>
      </c>
      <c r="Z270" s="1" t="n">
        <f aca="false">01_Supuestos!$C$173*Z261</f>
        <v>13.6583143666428</v>
      </c>
      <c r="AA270" s="1" t="n">
        <f aca="false">01_Supuestos!$C$173*AA261</f>
        <v>13.9721289507988</v>
      </c>
      <c r="AB270" s="1" t="n">
        <f aca="false">01_Supuestos!$C$173*AB261</f>
        <v>14.2931432925083</v>
      </c>
      <c r="AC270" s="1" t="n">
        <f aca="false">01_Supuestos!$C$173*AC261</f>
        <v>14.6215254936775</v>
      </c>
      <c r="AD270" s="1" t="n">
        <f aca="false">01_Supuestos!$C$173*AD261</f>
        <v>14.9574471304744</v>
      </c>
      <c r="AE270" s="1" t="n">
        <f aca="false">01_Supuestos!$C$173*AE261</f>
        <v>15.3010837017789</v>
      </c>
      <c r="AF270" s="1" t="n">
        <f aca="false">01_Supuestos!$C$173*AF261</f>
        <v>15.6526147215258</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4.9689498510659</v>
      </c>
      <c r="G271" s="1" t="n">
        <f aca="false">MIN(G270,G263)</f>
        <v>6.2525254070589</v>
      </c>
      <c r="H271" s="1" t="n">
        <f aca="false">MIN(H270,H263)</f>
        <v>7.16135496084144</v>
      </c>
      <c r="I271" s="1" t="n">
        <f aca="false">MIN(I270,I263)</f>
        <v>8.11552521752243</v>
      </c>
      <c r="J271" s="1" t="n">
        <f aca="false">MIN(J270,J263)</f>
        <v>9.09159387438733</v>
      </c>
      <c r="K271" s="1" t="n">
        <f aca="false">MIN(K270,K263)</f>
        <v>9.68712455427</v>
      </c>
      <c r="L271" s="1" t="n">
        <f aca="false">MIN(L270,L263)</f>
        <v>9.95383896300796</v>
      </c>
      <c r="M271" s="1" t="n">
        <f aca="false">MIN(M270,M263)</f>
        <v>10.1358194371382</v>
      </c>
      <c r="N271" s="1" t="n">
        <f aca="false">MIN(N270,N263)</f>
        <v>10.3573376223941</v>
      </c>
      <c r="O271" s="1" t="n">
        <f aca="false">MIN(O270,O263)</f>
        <v>10.6283202171675</v>
      </c>
      <c r="P271" s="1" t="n">
        <f aca="false">MIN(P270,P263)</f>
        <v>10.8819202728063</v>
      </c>
      <c r="Q271" s="1" t="n">
        <f aca="false">MIN(Q270,Q263)</f>
        <v>11.1319023896464</v>
      </c>
      <c r="R271" s="1" t="n">
        <f aca="false">MIN(R270,R263)</f>
        <v>11.3878855237123</v>
      </c>
      <c r="S271" s="1" t="n">
        <f aca="false">MIN(S270,S263)</f>
        <v>11.6497207012527</v>
      </c>
      <c r="T271" s="1" t="n">
        <f aca="false">MIN(T270,T263)</f>
        <v>11.9175584070137</v>
      </c>
      <c r="U271" s="1" t="n">
        <f aca="false">MIN(U270,U263)</f>
        <v>12.1915389762252</v>
      </c>
      <c r="V271" s="1" t="n">
        <f aca="false">MIN(V270,V263)</f>
        <v>12.4718052013324</v>
      </c>
      <c r="W271" s="1" t="n">
        <f aca="false">MIN(W270,W263)</f>
        <v>12.7584427483137</v>
      </c>
      <c r="X271" s="1" t="n">
        <f aca="false">MIN(X270,X263)</f>
        <v>13.0516294890511</v>
      </c>
      <c r="Y271" s="1" t="n">
        <f aca="false">MIN(Y270,Y263)</f>
        <v>13.3515345492836</v>
      </c>
      <c r="Z271" s="1" t="n">
        <f aca="false">MIN(Z270,Z263)</f>
        <v>13.6583143666428</v>
      </c>
      <c r="AA271" s="1" t="n">
        <f aca="false">MIN(AA270,AA263)</f>
        <v>13.9721289507988</v>
      </c>
      <c r="AB271" s="1" t="n">
        <f aca="false">MIN(AB270,AB263)</f>
        <v>14.2931432925083</v>
      </c>
      <c r="AC271" s="1" t="n">
        <f aca="false">MIN(AC270,AC263)</f>
        <v>14.6215254936775</v>
      </c>
      <c r="AD271" s="1" t="n">
        <f aca="false">MIN(AD270,AD263)</f>
        <v>14.9574471304744</v>
      </c>
      <c r="AE271" s="1" t="n">
        <f aca="false">MIN(AE270,AE263)</f>
        <v>15.3010837017789</v>
      </c>
      <c r="AF271" s="1" t="n">
        <f aca="false">MIN(AF270,AF263)</f>
        <v>15.6526147215258</v>
      </c>
    </row>
    <row r="272" customFormat="false" ht="14.25" hidden="false" customHeight="true" outlineLevel="0" collapsed="false">
      <c r="B272" s="1" t="s">
        <v>1267</v>
      </c>
      <c r="C272" s="1" t="n">
        <f aca="false">MIN(C270-C271,MAX(0,C120))</f>
        <v>1.11776336176426</v>
      </c>
      <c r="D272" s="1" t="n">
        <f aca="false">MIN(D270-D271,MAX(0,D120))</f>
        <v>2.27669578154562</v>
      </c>
      <c r="E272" s="1" t="n">
        <f aca="false">MIN(E270-E271,MAX(0,E120))</f>
        <v>3.48760132022949</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0.0235070669063653</v>
      </c>
      <c r="E274" s="1" t="n">
        <f aca="false">IF(01_Supuestos!$C$174="Sí",01_Supuestos!$C$172*E271,01_Supuestos!$I$134*(E271+MIN(MIN(E270-E271,MAX(0,D120)),E264))+$C$10*MAX(0,MIN(E270-E271,MAX(0,D120))-E264))</f>
        <v>0.0360058845077494</v>
      </c>
      <c r="F274" s="1" t="n">
        <f aca="false">IF(01_Supuestos!$C$174="Sí",01_Supuestos!$C$172*F271,01_Supuestos!$I$134*(F271+MIN(MIN(F270-F271,MAX(0,E120)),F264))+$C$10*MAX(0,MIN(F270-F271,MAX(0,E120))-F264))</f>
        <v>0.049689498510659</v>
      </c>
      <c r="G274" s="1" t="n">
        <f aca="false">IF(01_Supuestos!$C$174="Sí",01_Supuestos!$C$172*G271,01_Supuestos!$I$134*(G271+MIN(MIN(G270-G271,MAX(0,F120)),G264))+$C$10*MAX(0,MIN(G270-G271,MAX(0,F120))-G264))</f>
        <v>0.062525254070589</v>
      </c>
      <c r="H274" s="1" t="n">
        <f aca="false">IF(01_Supuestos!$C$174="Sí",01_Supuestos!$C$172*H271,01_Supuestos!$I$134*(H271+MIN(MIN(H270-H271,MAX(0,G120)),H264))+$C$10*MAX(0,MIN(H270-H271,MAX(0,G120))-H264))</f>
        <v>0.0716135496084144</v>
      </c>
      <c r="I274" s="1" t="n">
        <f aca="false">IF(01_Supuestos!$C$174="Sí",01_Supuestos!$C$172*I271,01_Supuestos!$I$134*(I271+MIN(MIN(I270-I271,MAX(0,H120)),I264))+$C$10*MAX(0,MIN(I270-I271,MAX(0,H120))-I264))</f>
        <v>0.0811552521752243</v>
      </c>
      <c r="J274" s="1" t="n">
        <f aca="false">IF(01_Supuestos!$C$174="Sí",01_Supuestos!$C$172*J271,01_Supuestos!$I$134*(J271+MIN(MIN(J270-J271,MAX(0,I120)),J264))+$C$10*MAX(0,MIN(J270-J271,MAX(0,I120))-J264))</f>
        <v>0.0909159387438733</v>
      </c>
      <c r="K274" s="1" t="n">
        <f aca="false">IF(01_Supuestos!$C$174="Sí",01_Supuestos!$C$172*K271,01_Supuestos!$I$134*(K271+MIN(MIN(K270-K271,MAX(0,J120)),K264))+$C$10*MAX(0,MIN(K270-K271,MAX(0,J120))-K264))</f>
        <v>0.0968712455427</v>
      </c>
      <c r="L274" s="1" t="n">
        <f aca="false">IF(01_Supuestos!$C$174="Sí",01_Supuestos!$C$172*L271,01_Supuestos!$I$134*(L271+MIN(MIN(L270-L271,MAX(0,K120)),L264))+$C$10*MAX(0,MIN(L270-L271,MAX(0,K120))-L264))</f>
        <v>0.0995383896300796</v>
      </c>
      <c r="M274" s="1" t="n">
        <f aca="false">IF(01_Supuestos!$C$174="Sí",01_Supuestos!$C$172*M271,01_Supuestos!$I$134*(M271+MIN(MIN(M270-M271,MAX(0,L120)),M264))+$C$10*MAX(0,MIN(M270-M271,MAX(0,L120))-M264))</f>
        <v>0.101358194371382</v>
      </c>
      <c r="N274" s="1" t="n">
        <f aca="false">IF(01_Supuestos!$C$174="Sí",01_Supuestos!$C$172*N271,01_Supuestos!$I$134*(N271+MIN(MIN(N270-N271,MAX(0,M120)),N264))+$C$10*MAX(0,MIN(N270-N271,MAX(0,M120))-N264))</f>
        <v>0.103573376223941</v>
      </c>
      <c r="O274" s="1" t="n">
        <f aca="false">IF(01_Supuestos!$C$174="Sí",01_Supuestos!$C$172*O271,01_Supuestos!$I$134*(O271+MIN(MIN(O270-O271,MAX(0,N120)),O264))+$C$10*MAX(0,MIN(O270-O271,MAX(0,N120))-O264))</f>
        <v>0.106283202171675</v>
      </c>
      <c r="P274" s="1" t="n">
        <f aca="false">IF(01_Supuestos!$C$174="Sí",01_Supuestos!$C$172*P271,01_Supuestos!$I$134*(P271+MIN(MIN(P270-P271,MAX(0,O120)),P264))+$C$10*MAX(0,MIN(P270-P271,MAX(0,O120))-P264))</f>
        <v>0.108819202728063</v>
      </c>
      <c r="Q274" s="1" t="n">
        <f aca="false">IF(01_Supuestos!$C$174="Sí",01_Supuestos!$C$172*Q271,01_Supuestos!$I$134*(Q271+MIN(MIN(Q270-Q271,MAX(0,P120)),Q264))+$C$10*MAX(0,MIN(Q270-Q271,MAX(0,P120))-Q264))</f>
        <v>0.111319023896464</v>
      </c>
      <c r="R274" s="1" t="n">
        <f aca="false">IF(01_Supuestos!$C$174="Sí",01_Supuestos!$C$172*R271,01_Supuestos!$I$134*(R271+MIN(MIN(R270-R271,MAX(0,Q120)),R264))+$C$10*MAX(0,MIN(R270-R271,MAX(0,Q120))-R264))</f>
        <v>0.113878855237123</v>
      </c>
      <c r="S274" s="1" t="n">
        <f aca="false">IF(01_Supuestos!$C$174="Sí",01_Supuestos!$C$172*S271,01_Supuestos!$I$134*(S271+MIN(MIN(S270-S271,MAX(0,R120)),S264))+$C$10*MAX(0,MIN(S270-S271,MAX(0,R120))-S264))</f>
        <v>0.116497207012527</v>
      </c>
      <c r="T274" s="1" t="n">
        <f aca="false">IF(01_Supuestos!$C$174="Sí",01_Supuestos!$C$172*T271,01_Supuestos!$I$134*(T271+MIN(MIN(T270-T271,MAX(0,S120)),T264))+$C$10*MAX(0,MIN(T270-T271,MAX(0,S120))-T264))</f>
        <v>0.119175584070137</v>
      </c>
      <c r="U274" s="1" t="n">
        <f aca="false">IF(01_Supuestos!$C$174="Sí",01_Supuestos!$C$172*U271,01_Supuestos!$I$134*(U271+MIN(MIN(U270-U271,MAX(0,T120)),U264))+$C$10*MAX(0,MIN(U270-U271,MAX(0,T120))-U264))</f>
        <v>0.121915389762252</v>
      </c>
      <c r="V274" s="1" t="n">
        <f aca="false">IF(01_Supuestos!$C$174="Sí",01_Supuestos!$C$172*V271,01_Supuestos!$I$134*(V271+MIN(MIN(V270-V271,MAX(0,U120)),V264))+$C$10*MAX(0,MIN(V270-V271,MAX(0,U120))-V264))</f>
        <v>0.124718052013324</v>
      </c>
      <c r="W274" s="1" t="n">
        <f aca="false">IF(01_Supuestos!$C$174="Sí",01_Supuestos!$C$172*W271,01_Supuestos!$I$134*(W271+MIN(MIN(W270-W271,MAX(0,V120)),W264))+$C$10*MAX(0,MIN(W270-W271,MAX(0,V120))-W264))</f>
        <v>0.127584427483137</v>
      </c>
      <c r="X274" s="1" t="n">
        <f aca="false">IF(01_Supuestos!$C$174="Sí",01_Supuestos!$C$172*X271,01_Supuestos!$I$134*(X271+MIN(MIN(X270-X271,MAX(0,W120)),X264))+$C$10*MAX(0,MIN(X270-X271,MAX(0,W120))-X264))</f>
        <v>0.130516294890511</v>
      </c>
      <c r="Y274" s="1" t="n">
        <f aca="false">IF(01_Supuestos!$C$174="Sí",01_Supuestos!$C$172*Y271,01_Supuestos!$I$134*(Y271+MIN(MIN(Y270-Y271,MAX(0,X120)),Y264))+$C$10*MAX(0,MIN(Y270-Y271,MAX(0,X120))-Y264))</f>
        <v>0.133515345492836</v>
      </c>
      <c r="Z274" s="1" t="n">
        <f aca="false">IF(01_Supuestos!$C$174="Sí",01_Supuestos!$C$172*Z271,01_Supuestos!$I$134*(Z271+MIN(MIN(Z270-Z271,MAX(0,Y120)),Z264))+$C$10*MAX(0,MIN(Z270-Z271,MAX(0,Y120))-Z264))</f>
        <v>0.136583143666428</v>
      </c>
      <c r="AA274" s="1" t="n">
        <f aca="false">IF(01_Supuestos!$C$174="Sí",01_Supuestos!$C$172*AA271,01_Supuestos!$I$134*(AA271+MIN(MIN(AA270-AA271,MAX(0,Z120)),AA264))+$C$10*MAX(0,MIN(AA270-AA271,MAX(0,Z120))-AA264))</f>
        <v>0.139721289507988</v>
      </c>
      <c r="AB274" s="1" t="n">
        <f aca="false">IF(01_Supuestos!$C$174="Sí",01_Supuestos!$C$172*AB271,01_Supuestos!$I$134*(AB271+MIN(MIN(AB270-AB271,MAX(0,AA120)),AB264))+$C$10*MAX(0,MIN(AB270-AB271,MAX(0,AA120))-AB264))</f>
        <v>0.142931432925083</v>
      </c>
      <c r="AC274" s="1" t="n">
        <f aca="false">IF(01_Supuestos!$C$174="Sí",01_Supuestos!$C$172*AC271,01_Supuestos!$I$134*(AC271+MIN(MIN(AC270-AC271,MAX(0,AB120)),AC264))+$C$10*MAX(0,MIN(AC270-AC271,MAX(0,AB120))-AC264))</f>
        <v>0.146215254936775</v>
      </c>
      <c r="AD274" s="1" t="n">
        <f aca="false">IF(01_Supuestos!$C$174="Sí",01_Supuestos!$C$172*AD271,01_Supuestos!$I$134*(AD271+MIN(MIN(AD270-AD271,MAX(0,AC120)),AD264))+$C$10*MAX(0,MIN(AD270-AD271,MAX(0,AC120))-AD264))</f>
        <v>0.149574471304744</v>
      </c>
      <c r="AE274" s="1" t="n">
        <f aca="false">IF(01_Supuestos!$C$174="Sí",01_Supuestos!$C$172*AE271,01_Supuestos!$I$134*(AE271+MIN(MIN(AE270-AE271,MAX(0,AD120)),AE264))+$C$10*MAX(0,MIN(AE270-AE271,MAX(0,AD120))-AE264))</f>
        <v>0.153010837017789</v>
      </c>
      <c r="AF274" s="1" t="n">
        <f aca="false">IF(01_Supuestos!$C$174="Sí",01_Supuestos!$C$172*AF271,01_Supuestos!$I$134*(AF271+MIN(MIN(AF270-AF271,MAX(0,AE120)),AF264))+$C$10*MAX(0,MIN(AF270-AF271,MAX(0,AE120))-AF264))</f>
        <v>0.156526147215258</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17.5730643294531</v>
      </c>
      <c r="D276" s="1" t="n">
        <f aca="false">D120-MAX(D264,D272)</f>
        <v>32.651046967633</v>
      </c>
      <c r="E276" s="1" t="n">
        <f aca="false">E120-MAX(E264,E272)</f>
        <v>49.6870332530159</v>
      </c>
      <c r="F276" s="1" t="n">
        <f aca="false">F120-MAX(F264,F272)</f>
        <v>62.4030851618434</v>
      </c>
      <c r="G276" s="1" t="n">
        <f aca="false">G120-MAX(G264,G272)</f>
        <v>73.9826072650379</v>
      </c>
      <c r="H276" s="1" t="n">
        <f aca="false">H120-MAX(H264,H272)</f>
        <v>87.389250332732</v>
      </c>
      <c r="I276" s="1" t="n">
        <f aca="false">I120-MAX(I264,I272)</f>
        <v>102.723773825477</v>
      </c>
      <c r="J276" s="1" t="n">
        <f aca="false">J120-MAX(J264,J272)</f>
        <v>119.572380852742</v>
      </c>
      <c r="K276" s="1" t="n">
        <f aca="false">K120-MAX(K264,K272)</f>
        <v>137.460103492196</v>
      </c>
      <c r="L276" s="1" t="n">
        <f aca="false">L120-MAX(L264,L272)</f>
        <v>155.719694294305</v>
      </c>
      <c r="M276" s="1" t="n">
        <f aca="false">M120-MAX(M264,M272)</f>
        <v>155.735046715656</v>
      </c>
      <c r="N276" s="1" t="n">
        <f aca="false">N120-MAX(N264,N272)</f>
        <v>156.473501560066</v>
      </c>
      <c r="O276" s="1" t="n">
        <f aca="false">O120-MAX(O264,O272)</f>
        <v>158.144835840461</v>
      </c>
      <c r="P276" s="1" t="n">
        <f aca="false">P120-MAX(P264,P272)</f>
        <v>159.455956028088</v>
      </c>
      <c r="Q276" s="1" t="n">
        <f aca="false">Q120-MAX(Q264,Q272)</f>
        <v>160.614990772458</v>
      </c>
      <c r="R276" s="1" t="n">
        <f aca="false">R120-MAX(R264,R272)</f>
        <v>161.814920123475</v>
      </c>
      <c r="S276" s="1" t="n">
        <f aca="false">S120-MAX(S264,S272)</f>
        <v>163.050779749917</v>
      </c>
      <c r="T276" s="1" t="n">
        <f aca="false">T120-MAX(T264,T272)</f>
        <v>164.323395071774</v>
      </c>
      <c r="U276" s="1" t="n">
        <f aca="false">U120-MAX(U264,U272)</f>
        <v>165.633356897792</v>
      </c>
      <c r="V276" s="1" t="n">
        <f aca="false">V120-MAX(V264,V272)</f>
        <v>166.981266786061</v>
      </c>
      <c r="W276" s="1" t="n">
        <f aca="false">W120-MAX(W264,W272)</f>
        <v>168.370015205622</v>
      </c>
      <c r="X276" s="1" t="n">
        <f aca="false">X120-MAX(X264,X272)</f>
        <v>169.800804570811</v>
      </c>
      <c r="Y276" s="1" t="n">
        <f aca="false">Y120-MAX(Y264,Y272)</f>
        <v>171.274616415238</v>
      </c>
      <c r="Z276" s="1" t="n">
        <f aca="false">Z120-MAX(Z264,Z272)</f>
        <v>172.792132326418</v>
      </c>
      <c r="AA276" s="1" t="n">
        <f aca="false">AA120-MAX(AA264,AA272)</f>
        <v>174.354057596766</v>
      </c>
      <c r="AB276" s="1" t="n">
        <f aca="false">AB120-MAX(AB264,AB272)</f>
        <v>175.96107205815</v>
      </c>
      <c r="AC276" s="1" t="n">
        <f aca="false">AC120-MAX(AC264,AC272)</f>
        <v>177.613868222825</v>
      </c>
      <c r="AD276" s="1" t="n">
        <f aca="false">AD120-MAX(AD264,AD272)</f>
        <v>179.313156886411</v>
      </c>
      <c r="AE276" s="1" t="n">
        <f aca="false">AE120-MAX(AE264,AE272)</f>
        <v>181.059674404348</v>
      </c>
      <c r="AF276" s="1" t="n">
        <f aca="false">AF120-MAX(AF264,AF272)</f>
        <v>182.854182840061</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3.50287254935952</v>
      </c>
      <c r="D284" s="1" t="n">
        <f aca="false">$C$279*D87</f>
        <v>8.21579223637251</v>
      </c>
      <c r="E284" s="1" t="n">
        <f aca="false">$C$279*E87</f>
        <v>13.2940725290452</v>
      </c>
      <c r="F284" s="1" t="n">
        <f aca="false">$C$279*F87</f>
        <v>13.0916719210026</v>
      </c>
      <c r="G284" s="1" t="n">
        <f aca="false">$C$279*G87</f>
        <v>19.5526681455882</v>
      </c>
      <c r="H284" s="1" t="n">
        <f aca="false">$C$279*H87</f>
        <v>26.1747914226545</v>
      </c>
      <c r="I284" s="1" t="n">
        <f aca="false">$C$279*I87</f>
        <v>32.9618061917934</v>
      </c>
      <c r="J284" s="1" t="n">
        <f aca="false">$C$279*J87</f>
        <v>39.9175613651711</v>
      </c>
      <c r="K284" s="1" t="n">
        <f aca="false">$C$279*K87</f>
        <v>43.4323037622322</v>
      </c>
      <c r="L284" s="1" t="n">
        <f aca="false">$C$279*L87</f>
        <v>44.1122546163732</v>
      </c>
      <c r="M284" s="1" t="n">
        <f aca="false">$C$279*M87</f>
        <v>49.0703671719888</v>
      </c>
      <c r="N284" s="1" t="n">
        <f aca="false">$C$279*N87</f>
        <v>52.7915756070129</v>
      </c>
      <c r="O284" s="1" t="n">
        <f aca="false">$C$279*O87</f>
        <v>53.8915865133382</v>
      </c>
      <c r="P284" s="1" t="n">
        <f aca="false">$C$279*P87</f>
        <v>55.1060677860712</v>
      </c>
      <c r="Q284" s="1" t="n">
        <f aca="false">$C$279*Q87</f>
        <v>56.3532998393319</v>
      </c>
      <c r="R284" s="1" t="n">
        <f aca="false">$C$279*R87</f>
        <v>57.6370106655203</v>
      </c>
      <c r="S284" s="1" t="n">
        <f aca="false">$C$279*S87</f>
        <v>58.9577361729239</v>
      </c>
      <c r="T284" s="1" t="n">
        <f aca="false">$C$279*T87</f>
        <v>60.3158284680337</v>
      </c>
      <c r="U284" s="1" t="n">
        <f aca="false">$C$279*U87</f>
        <v>61.7116687729762</v>
      </c>
      <c r="V284" s="1" t="n">
        <f aca="false">$C$279*V87</f>
        <v>63.1456604152247</v>
      </c>
      <c r="W284" s="1" t="n">
        <f aca="false">$C$279*W87</f>
        <v>64.6226023785979</v>
      </c>
      <c r="X284" s="1" t="n">
        <f aca="false">$C$279*X87</f>
        <v>66.1429167436255</v>
      </c>
      <c r="Y284" s="1" t="n">
        <f aca="false">$C$279*Y87</f>
        <v>67.7070429462361</v>
      </c>
      <c r="Z284" s="1" t="n">
        <f aca="false">$C$279*Z87</f>
        <v>69.3154391565679</v>
      </c>
      <c r="AA284" s="1" t="n">
        <f aca="false">$C$279*AA87</f>
        <v>70.9685820238</v>
      </c>
      <c r="AB284" s="1" t="n">
        <f aca="false">$C$279*AB87</f>
        <v>72.6668709573268</v>
      </c>
      <c r="AC284" s="1" t="n">
        <f aca="false">$C$279*AC87</f>
        <v>74.4107250825841</v>
      </c>
      <c r="AD284" s="1" t="n">
        <f aca="false">$C$279*AD87</f>
        <v>76.2005829652401</v>
      </c>
      <c r="AE284" s="1" t="n">
        <f aca="false">$C$279*AE87</f>
        <v>78.036902333332</v>
      </c>
      <c r="AF284" s="1" t="n">
        <f aca="false">$C$279*AF87</f>
        <v>79.9201598324317</v>
      </c>
    </row>
    <row r="285" customFormat="false" ht="14.25" hidden="false" customHeight="true" outlineLevel="0" collapsed="false">
      <c r="B285" s="84" t="s">
        <v>1280</v>
      </c>
      <c r="C285" s="1" t="n">
        <f aca="false">MAX(0/$C$280,0-C284)</f>
        <v>0</v>
      </c>
      <c r="D285" s="1" t="n">
        <f aca="false">MAX(C284*(1-$C$340)/$C$280,C284-D341-D284)</f>
        <v>0.174968483840508</v>
      </c>
      <c r="E285" s="1" t="n">
        <f aca="false">MAX(D284*(1-$C$340)/$C$280,D284-E341-E284)</f>
        <v>0.410378822206807</v>
      </c>
      <c r="F285" s="1" t="n">
        <f aca="false">MAX(E284*(1-$C$340)/$C$280,E284-F341-F284)</f>
        <v>0.66403892282581</v>
      </c>
      <c r="G285" s="1" t="n">
        <f aca="false">MAX(F284*(1-$C$340)/$C$280,F284-G341-G284)</f>
        <v>0.65392901245408</v>
      </c>
      <c r="H285" s="1" t="n">
        <f aca="false">MAX(G284*(1-$C$340)/$C$280,G284-H341-H284)</f>
        <v>0.976655773872128</v>
      </c>
      <c r="I285" s="1" t="n">
        <f aca="false">MAX(H284*(1-$C$340)/$C$280,H284-I341-I284)</f>
        <v>1.30743083156159</v>
      </c>
      <c r="J285" s="1" t="n">
        <f aca="false">MAX(I284*(1-$C$340)/$C$280,I284-J341-J284)</f>
        <v>1.64644221928008</v>
      </c>
      <c r="K285" s="1" t="n">
        <f aca="false">MAX(J284*(1-$C$340)/$C$280,J284-K341-K284)</f>
        <v>1.9938821901903</v>
      </c>
      <c r="L285" s="1" t="n">
        <f aca="false">MAX(K284*(1-$C$340)/$C$280,K284-L341-L284)</f>
        <v>2.1694435729235</v>
      </c>
      <c r="M285" s="1" t="n">
        <f aca="false">MAX(L284*(1-$C$340)/$C$280,L284-M341-M284)</f>
        <v>2.20340711808784</v>
      </c>
      <c r="N285" s="1" t="n">
        <f aca="false">MAX(M284*(1-$C$340)/$C$280,M284-N341-N284)</f>
        <v>2.45106484024084</v>
      </c>
      <c r="O285" s="1" t="n">
        <f aca="false">MAX(N284*(1-$C$340)/$C$280,N284-O341-O284)</f>
        <v>2.63693920157029</v>
      </c>
      <c r="P285" s="1" t="n">
        <f aca="false">MAX(O284*(1-$C$340)/$C$280,O284-P341-P284)</f>
        <v>2.69188474634124</v>
      </c>
      <c r="Q285" s="1" t="n">
        <f aca="false">MAX(P284*(1-$C$340)/$C$280,P284-Q341-Q284)</f>
        <v>2.75254808591426</v>
      </c>
      <c r="R285" s="1" t="n">
        <f aca="false">MAX(Q284*(1-$C$340)/$C$280,Q284-R341-R284)</f>
        <v>2.81484732697463</v>
      </c>
      <c r="S285" s="1" t="n">
        <f aca="false">MAX(R284*(1-$C$340)/$C$280,R284-S341-S284)</f>
        <v>2.87896868274274</v>
      </c>
      <c r="T285" s="1" t="n">
        <f aca="false">MAX(S284*(1-$C$340)/$C$280,S284-T341-T284)</f>
        <v>2.94493892183755</v>
      </c>
      <c r="U285" s="1" t="n">
        <f aca="false">MAX(T284*(1-$C$340)/$C$280,T284-U341-U284)</f>
        <v>3.01277563197828</v>
      </c>
      <c r="V285" s="1" t="n">
        <f aca="false">MAX(U284*(1-$C$340)/$C$280,U284-V341-V284)</f>
        <v>3.08249785521016</v>
      </c>
      <c r="W285" s="1" t="n">
        <f aca="false">MAX(V284*(1-$C$340)/$C$280,V284-W341-W284)</f>
        <v>3.15412573774047</v>
      </c>
      <c r="X285" s="1" t="n">
        <f aca="false">MAX(W284*(1-$C$340)/$C$280,W284-X341-X284)</f>
        <v>3.22789898881096</v>
      </c>
      <c r="Y285" s="1" t="n">
        <f aca="false">MAX(X284*(1-$C$340)/$C$280,X284-Y341-Y284)</f>
        <v>3.30383869134409</v>
      </c>
      <c r="Z285" s="1" t="n">
        <f aca="false">MAX(Y284*(1-$C$340)/$C$280,Y284-Z341-Z284)</f>
        <v>3.38196679516449</v>
      </c>
      <c r="AA285" s="1" t="n">
        <f aca="false">MAX(Z284*(1-$C$340)/$C$280,Z284-AA341-AA284)</f>
        <v>3.46230618587057</v>
      </c>
      <c r="AB285" s="1" t="n">
        <f aca="false">MAX(AA284*(1-$C$340)/$C$280,AA284-AB341-AB284)</f>
        <v>3.54488067208881</v>
      </c>
      <c r="AC285" s="1" t="n">
        <f aca="false">MAX(AB284*(1-$C$340)/$C$280,AB284-AC341-AC284)</f>
        <v>3.62971020431847</v>
      </c>
      <c r="AD285" s="1" t="n">
        <f aca="false">MAX(AC284*(1-$C$340)/$C$280,AC284-AD341-AD284)</f>
        <v>3.71681571787507</v>
      </c>
      <c r="AE285" s="1" t="n">
        <f aca="false">MAX(AD284*(1-$C$340)/$C$280,AD284-AE341-AE284)</f>
        <v>3.80621911911374</v>
      </c>
      <c r="AF285" s="1" t="n">
        <f aca="false">MAX(AE284*(1-$C$340)/$C$280,AE284-AF341-AF284)</f>
        <v>3.89794327154993</v>
      </c>
    </row>
    <row r="286" customFormat="false" ht="14.25" hidden="false" customHeight="true" outlineLevel="0" collapsed="false">
      <c r="B286" s="84" t="s">
        <v>1281</v>
      </c>
      <c r="C286" s="1" t="n">
        <f aca="false">C284-0+C285</f>
        <v>3.50287254935952</v>
      </c>
      <c r="D286" s="1" t="n">
        <f aca="false">D284-C284+D285+D341</f>
        <v>4.89139104340286</v>
      </c>
      <c r="E286" s="1" t="n">
        <f aca="false">E284-D284+E285+E341</f>
        <v>5.49687490711591</v>
      </c>
      <c r="F286" s="1" t="n">
        <f aca="false">F284-E284+F285+F341</f>
        <v>0.474932387312214</v>
      </c>
      <c r="G286" s="1" t="n">
        <f aca="false">G284-F284+G285+G341</f>
        <v>7.12801690896064</v>
      </c>
      <c r="H286" s="1" t="n">
        <f aca="false">H284-G284+H285+H341</f>
        <v>7.61833171908407</v>
      </c>
      <c r="I286" s="1" t="n">
        <f aca="false">I284-H284+I285+I341</f>
        <v>8.12062039212315</v>
      </c>
      <c r="J286" s="1" t="n">
        <f aca="false">J284-I284+J285+J341</f>
        <v>8.63515919884956</v>
      </c>
      <c r="K286" s="1" t="n">
        <f aca="false">K284-J284+K285+K341</f>
        <v>5.54854214861657</v>
      </c>
      <c r="L286" s="1" t="n">
        <f aca="false">L284-K284+L285+L341</f>
        <v>2.89282673082672</v>
      </c>
      <c r="M286" s="1" t="n">
        <f aca="false">M284-L284+M285+M341</f>
        <v>7.20563192831979</v>
      </c>
      <c r="N286" s="1" t="n">
        <f aca="false">N284-M284+N285+N341</f>
        <v>6.22134364243695</v>
      </c>
      <c r="O286" s="1" t="n">
        <f aca="false">O284-N284+O285+O341</f>
        <v>3.78974168350259</v>
      </c>
      <c r="P286" s="1" t="n">
        <f aca="false">P284-O284+P285+P341</f>
        <v>3.96025760558762</v>
      </c>
      <c r="Q286" s="1" t="n">
        <f aca="false">Q284-P284+Q285+Q341</f>
        <v>4.05488620696097</v>
      </c>
      <c r="R286" s="1" t="n">
        <f aca="false">R284-Q284+R285+R341</f>
        <v>4.15491145300235</v>
      </c>
      <c r="S286" s="1" t="n">
        <f aca="false">S284-R284+S285+S341</f>
        <v>4.2573312008119</v>
      </c>
      <c r="T286" s="1" t="n">
        <f aca="false">T284-S284+T285+T341</f>
        <v>4.36198895312024</v>
      </c>
      <c r="U286" s="1" t="n">
        <f aca="false">U284-T284+U285+U341</f>
        <v>4.46893176538888</v>
      </c>
      <c r="V286" s="1" t="n">
        <f aca="false">V284-U284+V285+V341</f>
        <v>4.5782011662316</v>
      </c>
      <c r="W286" s="1" t="n">
        <f aca="false">W284-V284+W285+W341</f>
        <v>4.69421336152885</v>
      </c>
      <c r="X286" s="1" t="n">
        <f aca="false">X284-W284+X285+X341</f>
        <v>4.81283595621716</v>
      </c>
      <c r="Y286" s="1" t="n">
        <f aca="false">Y284-X284+Y285+Y341</f>
        <v>4.93410781069838</v>
      </c>
      <c r="Z286" s="1" t="n">
        <f aca="false">Z284-Y284+Z285+Z341</f>
        <v>5.05807004844249</v>
      </c>
      <c r="AA286" s="1" t="n">
        <f aca="false">AA284-Z284+AA285+AA341</f>
        <v>5.18476449225921</v>
      </c>
      <c r="AB286" s="1" t="n">
        <f aca="false">AB284-AA284+AB285+AB341</f>
        <v>5.31413818763945</v>
      </c>
      <c r="AC286" s="1" t="n">
        <f aca="false">AC284-AB284+AC285+AC341</f>
        <v>5.44623120053307</v>
      </c>
      <c r="AD286" s="1" t="n">
        <f aca="false">AD284-AC284+AD285+AD341</f>
        <v>5.5810843256137</v>
      </c>
      <c r="AE286" s="1" t="n">
        <f aca="false">AE284-AD284+AE285+AE341</f>
        <v>5.7187390701709</v>
      </c>
      <c r="AF286" s="1" t="n">
        <f aca="false">AF284-AE284+AF285+AF341</f>
        <v>5.85923767298294</v>
      </c>
    </row>
    <row r="287" customFormat="false" ht="14.25" hidden="false" customHeight="true" outlineLevel="0" collapsed="false">
      <c r="B287" s="84" t="s">
        <v>1282</v>
      </c>
      <c r="C287" s="1" t="n">
        <f aca="false">C284*(1-$C$340)*$C$175</f>
        <v>0.150472896102837</v>
      </c>
      <c r="D287" s="1" t="n">
        <f aca="false">D284*(1-$C$340)*$C$175</f>
        <v>0.352925787097854</v>
      </c>
      <c r="E287" s="1" t="n">
        <f aca="false">E284*(1-$C$340)*$C$175</f>
        <v>0.571073473630196</v>
      </c>
      <c r="F287" s="1" t="n">
        <f aca="false">F284*(1-$C$340)*$C$175</f>
        <v>0.562378950710509</v>
      </c>
      <c r="G287" s="1" t="n">
        <f aca="false">G284*(1-$C$340)*$C$175</f>
        <v>0.83992396553003</v>
      </c>
      <c r="H287" s="1" t="n">
        <f aca="false">H284*(1-$C$340)*$C$175</f>
        <v>1.12439051514297</v>
      </c>
      <c r="I287" s="1" t="n">
        <f aca="false">I284*(1-$C$340)*$C$175</f>
        <v>1.41594030858087</v>
      </c>
      <c r="J287" s="1" t="n">
        <f aca="false">J284*(1-$C$340)*$C$175</f>
        <v>1.71473868356365</v>
      </c>
      <c r="K287" s="1" t="n">
        <f aca="false">K284*(1-$C$340)*$C$175</f>
        <v>1.86572147271421</v>
      </c>
      <c r="L287" s="1" t="n">
        <f aca="false">L284*(1-$C$340)*$C$175</f>
        <v>1.89493012155554</v>
      </c>
      <c r="M287" s="1" t="n">
        <f aca="false">M284*(1-$C$340)*$C$175</f>
        <v>2.10791576260712</v>
      </c>
      <c r="N287" s="1" t="n">
        <f aca="false">N284*(1-$C$340)*$C$175</f>
        <v>2.26776771335045</v>
      </c>
      <c r="O287" s="1" t="n">
        <f aca="false">O284*(1-$C$340)*$C$175</f>
        <v>2.31502088185347</v>
      </c>
      <c r="P287" s="1" t="n">
        <f aca="false">P284*(1-$C$340)*$C$175</f>
        <v>2.36719135388626</v>
      </c>
      <c r="Q287" s="1" t="n">
        <f aca="false">Q284*(1-$C$340)*$C$175</f>
        <v>2.42076870119818</v>
      </c>
      <c r="R287" s="1" t="n">
        <f aca="false">R284*(1-$C$340)*$C$175</f>
        <v>2.47591306715875</v>
      </c>
      <c r="S287" s="1" t="n">
        <f aca="false">S284*(1-$C$340)*$C$175</f>
        <v>2.53264747278029</v>
      </c>
      <c r="T287" s="1" t="n">
        <f aca="false">T284*(1-$C$340)*$C$175</f>
        <v>2.59098704350132</v>
      </c>
      <c r="U287" s="1" t="n">
        <f aca="false">U284*(1-$C$340)*$C$175</f>
        <v>2.65094815548074</v>
      </c>
      <c r="V287" s="1" t="n">
        <f aca="false">V284*(1-$C$340)*$C$175</f>
        <v>2.71254813445681</v>
      </c>
      <c r="W287" s="1" t="n">
        <f aca="false">W284*(1-$C$340)*$C$175</f>
        <v>2.77599313037743</v>
      </c>
      <c r="X287" s="1" t="n">
        <f aca="false">X284*(1-$C$340)*$C$175</f>
        <v>2.84130127455592</v>
      </c>
      <c r="Y287" s="1" t="n">
        <f aca="false">Y284*(1-$C$340)*$C$175</f>
        <v>2.90849144384146</v>
      </c>
      <c r="Z287" s="1" t="n">
        <f aca="false">Z284*(1-$C$340)*$C$175</f>
        <v>2.97758331984869</v>
      </c>
      <c r="AA287" s="1" t="n">
        <f aca="false">AA284*(1-$C$340)*$C$175</f>
        <v>3.04859737799637</v>
      </c>
      <c r="AB287" s="1" t="n">
        <f aca="false">AB284*(1-$C$340)*$C$175</f>
        <v>3.12155077571389</v>
      </c>
      <c r="AC287" s="1" t="n">
        <f aca="false">AC284*(1-$C$340)*$C$175</f>
        <v>3.19646151737256</v>
      </c>
      <c r="AD287" s="1" t="n">
        <f aca="false">AD284*(1-$C$340)*$C$175</f>
        <v>3.27334844243782</v>
      </c>
      <c r="AE287" s="1" t="n">
        <f aca="false">AE284*(1-$C$340)*$C$175</f>
        <v>3.35223121353294</v>
      </c>
      <c r="AF287" s="1" t="n">
        <f aca="false">AF284*(1-$C$340)*$C$175</f>
        <v>3.43313030592177</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4.83730018721076</v>
      </c>
      <c r="D289" s="1" t="n">
        <f aca="false">(1-$C$279)*D87</f>
        <v>11.3456178502287</v>
      </c>
      <c r="E289" s="1" t="n">
        <f aca="false">(1-$C$279)*E87</f>
        <v>18.3584811115387</v>
      </c>
      <c r="F289" s="1" t="n">
        <f aca="false">(1-$C$279)*F87</f>
        <v>18.078975509956</v>
      </c>
      <c r="G289" s="1" t="n">
        <f aca="false">(1-$C$279)*G87</f>
        <v>27.0013036296217</v>
      </c>
      <c r="H289" s="1" t="n">
        <f aca="false">(1-$C$279)*H87</f>
        <v>36.1461405360467</v>
      </c>
      <c r="I289" s="1" t="n">
        <f aca="false">(1-$C$279)*I87</f>
        <v>45.5186847410481</v>
      </c>
      <c r="J289" s="1" t="n">
        <f aca="false">(1-$C$279)*J87</f>
        <v>55.1242514090458</v>
      </c>
      <c r="K289" s="1" t="n">
        <f aca="false">(1-$C$279)*K87</f>
        <v>59.9779432907016</v>
      </c>
      <c r="L289" s="1" t="n">
        <f aca="false">(1-$C$279)*L87</f>
        <v>60.9169230416582</v>
      </c>
      <c r="M289" s="1" t="n">
        <f aca="false">(1-$C$279)*M87</f>
        <v>67.7638403803655</v>
      </c>
      <c r="N289" s="1" t="n">
        <f aca="false">(1-$C$279)*N87</f>
        <v>72.9026520287321</v>
      </c>
      <c r="O289" s="1" t="n">
        <f aca="false">(1-$C$279)*O87</f>
        <v>74.4217147088956</v>
      </c>
      <c r="P289" s="1" t="n">
        <f aca="false">(1-$C$279)*P87</f>
        <v>76.0988555140984</v>
      </c>
      <c r="Q289" s="1" t="n">
        <f aca="false">(1-$C$279)*Q87</f>
        <v>77.8212235876488</v>
      </c>
      <c r="R289" s="1" t="n">
        <f aca="false">(1-$C$279)*R87</f>
        <v>79.593967109528</v>
      </c>
      <c r="S289" s="1" t="n">
        <f aca="false">(1-$C$279)*S87</f>
        <v>81.4178261435616</v>
      </c>
      <c r="T289" s="1" t="n">
        <f aca="false">(1-$C$279)*T87</f>
        <v>83.2932869320465</v>
      </c>
      <c r="U289" s="1" t="n">
        <f aca="false">(1-$C$279)*U87</f>
        <v>85.2208759245862</v>
      </c>
      <c r="V289" s="1" t="n">
        <f aca="false">(1-$C$279)*V87</f>
        <v>87.2011500972151</v>
      </c>
      <c r="W289" s="1" t="n">
        <f aca="false">(1-$C$279)*W87</f>
        <v>89.2407366180637</v>
      </c>
      <c r="X289" s="1" t="n">
        <f aca="false">(1-$C$279)*X87</f>
        <v>91.3402183602447</v>
      </c>
      <c r="Y289" s="1" t="n">
        <f aca="false">(1-$C$279)*Y87</f>
        <v>93.5002021638499</v>
      </c>
      <c r="Z289" s="1" t="n">
        <f aca="false">(1-$C$279)*Z87</f>
        <v>95.7213207400223</v>
      </c>
      <c r="AA289" s="1" t="n">
        <f aca="false">(1-$C$279)*AA87</f>
        <v>98.0042323185809</v>
      </c>
      <c r="AB289" s="1" t="n">
        <f aca="false">(1-$C$279)*AB87</f>
        <v>100.34948846488</v>
      </c>
      <c r="AC289" s="1" t="n">
        <f aca="false">(1-$C$279)*AC87</f>
        <v>102.757667971188</v>
      </c>
      <c r="AD289" s="1" t="n">
        <f aca="false">(1-$C$279)*AD87</f>
        <v>105.229376475808</v>
      </c>
      <c r="AE289" s="1" t="n">
        <f aca="false">(1-$C$279)*AE87</f>
        <v>107.765246079363</v>
      </c>
      <c r="AF289" s="1" t="n">
        <f aca="false">(1-$C$279)*AF87</f>
        <v>110.365935006691</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0.966492577404711</v>
      </c>
      <c r="E290" s="1" t="n">
        <f aca="false">MAX(D289*(1-$C$340)/$C$281+IF(AND(01_Supuestos!$C$189&gt;0,E$39=01_Supuestos!$C$189),01_Supuestos!$C$190*D289*(1-$C$340)*(1-1/$C$281),0),D289-E342-E289)</f>
        <v>2.26685444647569</v>
      </c>
      <c r="F290" s="1" t="n">
        <f aca="false">MAX(E289*(1-$C$340)/$C$281+IF(AND(01_Supuestos!$C$189&gt;0,F$39=01_Supuestos!$C$189),01_Supuestos!$C$190*E289*(1-$C$340)*(1-1/$C$281),0),E289-F342-F289)</f>
        <v>3.66802452608543</v>
      </c>
      <c r="G290" s="1" t="n">
        <f aca="false">MAX(F289*(1-$C$340)/$C$281+IF(AND(01_Supuestos!$C$189&gt;0,G$39=01_Supuestos!$C$189),01_Supuestos!$C$190*F289*(1-$C$340)*(1-1/$C$281),0),F289-G342-G289)</f>
        <v>3.6121793068892</v>
      </c>
      <c r="H290" s="1" t="n">
        <f aca="false">MAX(G289*(1-$C$340)/$C$281+IF(AND(01_Supuestos!$C$189&gt;0,H$39=01_Supuestos!$C$189),01_Supuestos!$C$190*G289*(1-$C$340)*(1-1/$C$281),0),G289-H342-H289)</f>
        <v>5.39486046519842</v>
      </c>
      <c r="I290" s="1" t="n">
        <f aca="false">MAX(H289*(1-$C$340)/$C$281+IF(AND(01_Supuestos!$C$189&gt;0,I$39=01_Supuestos!$C$189),01_Supuestos!$C$190*H289*(1-$C$340)*(1-1/$C$281),0),H289-I342-I289)</f>
        <v>7.22199887910213</v>
      </c>
      <c r="J290" s="1" t="n">
        <f aca="false">MAX(I289*(1-$C$340)/$C$281+IF(AND(01_Supuestos!$C$189&gt;0,J$39=01_Supuestos!$C$189),01_Supuestos!$C$190*I289*(1-$C$340)*(1-1/$C$281),0),I289-J342-J289)</f>
        <v>9.0946332112614</v>
      </c>
      <c r="K290" s="1" t="n">
        <f aca="false">MAX(J289*(1-$C$340)/$C$281+IF(AND(01_Supuestos!$C$189&gt;0,K$39=01_Supuestos!$C$189),01_Supuestos!$C$190*J289*(1-$C$340)*(1-1/$C$281),0),J289-K342-K289)</f>
        <v>11.0138254315274</v>
      </c>
      <c r="L290" s="1" t="n">
        <f aca="false">MAX(K289*(1-$C$340)/$C$281+IF(AND(01_Supuestos!$C$189&gt;0,L$39=01_Supuestos!$C$189),01_Supuestos!$C$190*K289*(1-$C$340)*(1-1/$C$281),0),K289-L342-L289)</f>
        <v>11.9835930694822</v>
      </c>
      <c r="M290" s="1" t="n">
        <f aca="false">MAX(L289*(1-$C$340)/$C$281+IF(AND(01_Supuestos!$C$189&gt;0,M$39=01_Supuestos!$C$189),01_Supuestos!$C$190*L289*(1-$C$340)*(1-1/$C$281),0),L289-M342-M289)</f>
        <v>12.1712012237233</v>
      </c>
      <c r="N290" s="1" t="n">
        <f aca="false">MAX(M289*(1-$C$340)/$C$281+IF(AND(01_Supuestos!$C$189&gt;0,N$39=01_Supuestos!$C$189),01_Supuestos!$C$190*M289*(1-$C$340)*(1-1/$C$281),0),M289-N342-N289)</f>
        <v>13.539215307997</v>
      </c>
      <c r="O290" s="1" t="n">
        <f aca="false">MAX(N289*(1-$C$340)/$C$281+IF(AND(01_Supuestos!$C$189&gt;0,O$39=01_Supuestos!$C$189),01_Supuestos!$C$190*N289*(1-$C$340)*(1-1/$C$281),0),N289-O342-O289)</f>
        <v>14.5659498753407</v>
      </c>
      <c r="P290" s="1" t="n">
        <f aca="false">MAX(O289*(1-$C$340)/$C$281+IF(AND(01_Supuestos!$C$189&gt;0,P$39=01_Supuestos!$C$189),01_Supuestos!$C$190*O289*(1-$C$340)*(1-1/$C$281),0),O289-P342-P289)</f>
        <v>14.8694585988373</v>
      </c>
      <c r="Q290" s="1" t="n">
        <f aca="false">MAX(P289*(1-$C$340)/$C$281+IF(AND(01_Supuestos!$C$189&gt;0,Q$39=01_Supuestos!$C$189),01_Supuestos!$C$190*P289*(1-$C$340)*(1-1/$C$281),0),P289-Q342-Q289)</f>
        <v>15.2045513317169</v>
      </c>
      <c r="R290" s="1" t="n">
        <f aca="false">MAX(Q289*(1-$C$340)/$C$281+IF(AND(01_Supuestos!$C$189&gt;0,R$39=01_Supuestos!$C$189),01_Supuestos!$C$190*Q289*(1-$C$340)*(1-1/$C$281),0),Q289-R342-R289)</f>
        <v>15.5486804728122</v>
      </c>
      <c r="S290" s="1" t="n">
        <f aca="false">MAX(R289*(1-$C$340)/$C$281+IF(AND(01_Supuestos!$C$189&gt;0,S$39=01_Supuestos!$C$189),01_Supuestos!$C$190*R289*(1-$C$340)*(1-1/$C$281),0),R289-S342-S289)</f>
        <v>15.9028746284837</v>
      </c>
      <c r="T290" s="1" t="n">
        <f aca="false">MAX(S289*(1-$C$340)/$C$281+IF(AND(01_Supuestos!$C$189&gt;0,T$39=01_Supuestos!$C$189),01_Supuestos!$C$190*S289*(1-$C$340)*(1-1/$C$281),0),S289-T342-T289)</f>
        <v>16.2672816634836</v>
      </c>
      <c r="U290" s="1" t="n">
        <f aca="false">MAX(T289*(1-$C$340)/$C$281+IF(AND(01_Supuestos!$C$189&gt;0,U$39=01_Supuestos!$C$189),01_Supuestos!$C$190*T289*(1-$C$340)*(1-1/$C$281),0),T289-U342-U289)</f>
        <v>16.6419987290229</v>
      </c>
      <c r="V290" s="1" t="n">
        <f aca="false">MAX(U289*(1-$C$340)/$C$281+IF(AND(01_Supuestos!$C$189&gt;0,V$39=01_Supuestos!$C$189),01_Supuestos!$C$190*U289*(1-$C$340)*(1-1/$C$281),0),U289-V342-V289)</f>
        <v>17.0271310097323</v>
      </c>
      <c r="W290" s="1" t="n">
        <f aca="false">MAX(V289*(1-$C$340)/$C$281+IF(AND(01_Supuestos!$C$189&gt;0,W$39=01_Supuestos!$C$189),01_Supuestos!$C$190*V289*(1-$C$340)*(1-1/$C$281),0),V289-W342-W289)</f>
        <v>17.4227897894236</v>
      </c>
      <c r="X290" s="1" t="n">
        <f aca="false">MAX(W289*(1-$C$340)/$C$281+IF(AND(01_Supuestos!$C$189&gt;0,X$39=01_Supuestos!$C$189),01_Supuestos!$C$190*W289*(1-$C$340)*(1-1/$C$281),0),W289-X342-X289)</f>
        <v>17.8302991762891</v>
      </c>
      <c r="Y290" s="1" t="n">
        <f aca="false">MAX(X289*(1-$C$340)/$C$281+IF(AND(01_Supuestos!$C$189&gt;0,Y$39=01_Supuestos!$C$189),01_Supuestos!$C$190*X289*(1-$C$340)*(1-1/$C$281),0),X289-Y342-Y289)</f>
        <v>18.2497756283769</v>
      </c>
      <c r="Z290" s="1" t="n">
        <f aca="false">MAX(Y289*(1-$C$340)/$C$281+IF(AND(01_Supuestos!$C$189&gt;0,Z$39=01_Supuestos!$C$189),01_Supuestos!$C$190*Y289*(1-$C$340)*(1-1/$C$281),0),Y289-Z342-Z289)</f>
        <v>18.6813403923372</v>
      </c>
      <c r="AA290" s="1" t="n">
        <f aca="false">MAX(Z289*(1-$C$340)/$C$281+IF(AND(01_Supuestos!$C$189&gt;0,AA$39=01_Supuestos!$C$189),01_Supuestos!$C$190*Z289*(1-$C$340)*(1-1/$C$281),0),Z289-AA342-AA289)</f>
        <v>19.1251198838565</v>
      </c>
      <c r="AB290" s="1" t="n">
        <f aca="false">MAX(AA289*(1-$C$340)/$C$281+IF(AND(01_Supuestos!$C$189&gt;0,AB$39=01_Supuestos!$C$189),01_Supuestos!$C$190*AA289*(1-$C$340)*(1-1/$C$281),0),AA289-AB342-AB289)</f>
        <v>19.5812456172525</v>
      </c>
      <c r="AC290" s="1" t="n">
        <f aca="false">MAX(AB289*(1-$C$340)/$C$281+IF(AND(01_Supuestos!$C$189&gt;0,AC$39=01_Supuestos!$C$189),01_Supuestos!$C$190*AB289*(1-$C$340)*(1-1/$C$281),0),AB289-AC342-AC289)</f>
        <v>20.049827795283</v>
      </c>
      <c r="AD290" s="1" t="n">
        <f aca="false">MAX(AC289*(1-$C$340)/$C$281+IF(AND(01_Supuestos!$C$189&gt;0,AD$39=01_Supuestos!$C$189),01_Supuestos!$C$190*AC289*(1-$C$340)*(1-1/$C$281),0),AC289-AD342-AD289)</f>
        <v>20.5309820606433</v>
      </c>
      <c r="AE290" s="1" t="n">
        <f aca="false">MAX(AD289*(1-$C$340)/$C$281+IF(AND(01_Supuestos!$C$189&gt;0,AE$39=01_Supuestos!$C$189),01_Supuestos!$C$190*AD289*(1-$C$340)*(1-1/$C$281),0),AD289-AE342-AE289)</f>
        <v>21.0248294198664</v>
      </c>
      <c r="AF290" s="1" t="n">
        <f aca="false">MAX(AE289*(1-$C$340)/$C$281+IF(AND(01_Supuestos!$C$189&gt;0,AF$39=01_Supuestos!$C$189),01_Supuestos!$C$190*AE289*(1-$C$340)*(1-1/$C$281),0),AE289-AF342-AF289)</f>
        <v>21.5314961666568</v>
      </c>
    </row>
    <row r="291" customFormat="false" ht="14.25" hidden="false" customHeight="true" outlineLevel="0" collapsed="false">
      <c r="B291" s="84" t="s">
        <v>1281</v>
      </c>
      <c r="C291" s="1" t="n">
        <f aca="false">C289-0+C290</f>
        <v>4.83730018721076</v>
      </c>
      <c r="D291" s="1" t="n">
        <f aca="false">D289-C289+D290+D342</f>
        <v>7.47964754060986</v>
      </c>
      <c r="E291" s="1" t="n">
        <f aca="false">E289-D289+E290+E342</f>
        <v>9.29106332563589</v>
      </c>
      <c r="F291" s="1" t="n">
        <f aca="false">F289-E289+F290+F342</f>
        <v>3.40687740561427</v>
      </c>
      <c r="G291" s="1" t="n">
        <f aca="false">G289-F289+G290+G342</f>
        <v>12.5525864020649</v>
      </c>
      <c r="H291" s="1" t="n">
        <f aca="false">H289-G289+H290+H342</f>
        <v>14.566698675253</v>
      </c>
      <c r="I291" s="1" t="n">
        <f aca="false">I289-H289+I290+I342</f>
        <v>16.6306892246395</v>
      </c>
      <c r="J291" s="1" t="n">
        <f aca="false">J289-I289+J290+J342</f>
        <v>18.7457185640002</v>
      </c>
      <c r="K291" s="1" t="n">
        <f aca="false">K289-J289+K290+K342</f>
        <v>15.9226415645922</v>
      </c>
      <c r="L291" s="1" t="n">
        <f aca="false">L289-K289+L290+L342</f>
        <v>12.9825507637295</v>
      </c>
      <c r="M291" s="1" t="n">
        <f aca="false">M289-L289+M290+M342</f>
        <v>19.0790354854722</v>
      </c>
      <c r="N291" s="1" t="n">
        <f aca="false">N289-M289+N290+N342</f>
        <v>18.745790796744</v>
      </c>
      <c r="O291" s="1" t="n">
        <f aca="false">O289-N289+O290+O342</f>
        <v>16.1579152075329</v>
      </c>
      <c r="P291" s="1" t="n">
        <f aca="false">P289-O289+P290+P342</f>
        <v>16.621021118749</v>
      </c>
      <c r="Q291" s="1" t="n">
        <f aca="false">Q289-P289+Q290+Q342</f>
        <v>17.0030182607814</v>
      </c>
      <c r="R291" s="1" t="n">
        <f aca="false">R289-Q289+R290+R342</f>
        <v>17.3992452182791</v>
      </c>
      <c r="S291" s="1" t="n">
        <f aca="false">S289-R289+S290+S342</f>
        <v>17.8063276296268</v>
      </c>
      <c r="T291" s="1" t="n">
        <f aca="false">T289-S289+T290+T342</f>
        <v>18.2241602781121</v>
      </c>
      <c r="U291" s="1" t="n">
        <f aca="false">U289-T289+U290+U342</f>
        <v>18.6528810084947</v>
      </c>
      <c r="V291" s="1" t="n">
        <f aca="false">V289-U289+V290+V342</f>
        <v>19.0926260582858</v>
      </c>
      <c r="W291" s="1" t="n">
        <f aca="false">W289-V289+W290+W342</f>
        <v>19.5495774603694</v>
      </c>
      <c r="X291" s="1" t="n">
        <f aca="false">X289-W289+X290+X342</f>
        <v>20.0190216550882</v>
      </c>
      <c r="Y291" s="1" t="n">
        <f aca="false">Y289-X289+Y290+Y342</f>
        <v>20.5010996503423</v>
      </c>
      <c r="Z291" s="1" t="n">
        <f aca="false">Z289-Y289+Z290+Z342</f>
        <v>20.9959591706735</v>
      </c>
      <c r="AA291" s="1" t="n">
        <f aca="false">AA289-Z289+AA290+AA342</f>
        <v>21.5037527831551</v>
      </c>
      <c r="AB291" s="1" t="n">
        <f aca="false">AB289-AA289+AB290+AB342</f>
        <v>22.02450599587</v>
      </c>
      <c r="AC291" s="1" t="n">
        <f aca="false">AC289-AB289+AC290+AC342</f>
        <v>22.5583567900555</v>
      </c>
      <c r="AD291" s="1" t="n">
        <f aca="false">AD289-AC289+AD290+AD342</f>
        <v>23.1054482332347</v>
      </c>
      <c r="AE291" s="1" t="n">
        <f aca="false">AE289-AD289+AE290+AE342</f>
        <v>23.6659283998977</v>
      </c>
      <c r="AF291" s="1" t="n">
        <f aca="false">AF289-AE289+AF290+AF342</f>
        <v>24.2399503400643</v>
      </c>
    </row>
    <row r="292" customFormat="false" ht="14.25" hidden="false" customHeight="true" outlineLevel="0" collapsed="false">
      <c r="B292" s="84" t="s">
        <v>1282</v>
      </c>
      <c r="C292" s="1" t="n">
        <f aca="false">C289*(1-$C$340)*$C$175</f>
        <v>0.207795904142013</v>
      </c>
      <c r="D292" s="1" t="n">
        <f aca="false">D289*(1-$C$340)*$C$175</f>
        <v>0.487373705992274</v>
      </c>
      <c r="E292" s="1" t="n">
        <f aca="false">E289*(1-$C$340)*$C$175</f>
        <v>0.788625273108367</v>
      </c>
      <c r="F292" s="1" t="n">
        <f aca="false">F289*(1-$C$340)*$C$175</f>
        <v>0.776618550981179</v>
      </c>
      <c r="G292" s="1" t="n">
        <f aca="false">G289*(1-$C$340)*$C$175</f>
        <v>1.15989500001766</v>
      </c>
      <c r="H292" s="1" t="n">
        <f aca="false">H289*(1-$C$340)*$C$175</f>
        <v>1.55272975900696</v>
      </c>
      <c r="I292" s="1" t="n">
        <f aca="false">I289*(1-$C$340)*$C$175</f>
        <v>1.9553461404212</v>
      </c>
      <c r="J292" s="1" t="n">
        <f aca="false">J289*(1-$C$340)*$C$175</f>
        <v>2.36797246777838</v>
      </c>
      <c r="K292" s="1" t="n">
        <f aca="false">K289*(1-$C$340)*$C$175</f>
        <v>2.57647250993867</v>
      </c>
      <c r="L292" s="1" t="n">
        <f aca="false">L289*(1-$C$340)*$C$175</f>
        <v>2.61680826310051</v>
      </c>
      <c r="M292" s="1" t="n">
        <f aca="false">M289*(1-$C$340)*$C$175</f>
        <v>2.91093129121936</v>
      </c>
      <c r="N292" s="1" t="n">
        <f aca="false">N289*(1-$C$340)*$C$175</f>
        <v>3.13167922319825</v>
      </c>
      <c r="O292" s="1" t="n">
        <f aca="false">O289*(1-$C$340)*$C$175</f>
        <v>3.19693359875003</v>
      </c>
      <c r="P292" s="1" t="n">
        <f aca="false">P289*(1-$C$340)*$C$175</f>
        <v>3.26897853631912</v>
      </c>
      <c r="Q292" s="1" t="n">
        <f aca="false">Q289*(1-$C$340)*$C$175</f>
        <v>3.34296630165463</v>
      </c>
      <c r="R292" s="1" t="n">
        <f aca="false">R289*(1-$C$340)*$C$175</f>
        <v>3.41911804512399</v>
      </c>
      <c r="S292" s="1" t="n">
        <f aca="false">S289*(1-$C$340)*$C$175</f>
        <v>3.49746555764898</v>
      </c>
      <c r="T292" s="1" t="n">
        <f aca="false">T289*(1-$C$340)*$C$175</f>
        <v>3.57802972673992</v>
      </c>
      <c r="U292" s="1" t="n">
        <f aca="false">U289*(1-$C$340)*$C$175</f>
        <v>3.66083316709245</v>
      </c>
      <c r="V292" s="1" t="n">
        <f aca="false">V289*(1-$C$340)*$C$175</f>
        <v>3.74589980472607</v>
      </c>
      <c r="W292" s="1" t="n">
        <f aca="false">W289*(1-$C$340)*$C$175</f>
        <v>3.83351432290216</v>
      </c>
      <c r="X292" s="1" t="n">
        <f aca="false">X289*(1-$C$340)*$C$175</f>
        <v>3.92370176010103</v>
      </c>
      <c r="Y292" s="1" t="n">
        <f aca="false">Y289*(1-$C$340)*$C$175</f>
        <v>4.0164881843525</v>
      </c>
      <c r="Z292" s="1" t="n">
        <f aca="false">Z289*(1-$C$340)*$C$175</f>
        <v>4.11190077502914</v>
      </c>
      <c r="AA292" s="1" t="n">
        <f aca="false">AA289*(1-$C$340)*$C$175</f>
        <v>4.20996780770928</v>
      </c>
      <c r="AB292" s="1" t="n">
        <f aca="false">AB289*(1-$C$340)*$C$175</f>
        <v>4.31071297598584</v>
      </c>
      <c r="AC292" s="1" t="n">
        <f aca="false">AC289*(1-$C$340)*$C$175</f>
        <v>4.4141611430383</v>
      </c>
      <c r="AD292" s="1" t="n">
        <f aca="false">AD289*(1-$C$340)*$C$175</f>
        <v>4.52033832527127</v>
      </c>
      <c r="AE292" s="1" t="n">
        <f aca="false">AE289*(1-$C$340)*$C$175</f>
        <v>4.62927167583121</v>
      </c>
      <c r="AF292" s="1" t="n">
        <f aca="false">AF289*(1-$C$340)*$C$175</f>
        <v>4.74098947008244</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42.1047480187808</v>
      </c>
      <c r="M294" s="116" t="n">
        <f aca="false">M85</f>
        <v>33.6837984150246</v>
      </c>
      <c r="N294" s="116" t="n">
        <f aca="false">N85</f>
        <v>28.2856924688836</v>
      </c>
      <c r="O294" s="116" t="n">
        <f aca="false">O85</f>
        <v>29.2081570448012</v>
      </c>
      <c r="P294" s="116" t="n">
        <f aca="false">P85</f>
        <v>29.9395285070072</v>
      </c>
      <c r="Q294" s="116" t="n">
        <f aca="false">Q85</f>
        <v>30.6762507717612</v>
      </c>
      <c r="R294" s="116" t="n">
        <f aca="false">R85</f>
        <v>31.4113642302646</v>
      </c>
      <c r="S294" s="116" t="n">
        <f aca="false">S85</f>
        <v>32.1455535549496</v>
      </c>
      <c r="T294" s="116" t="n">
        <f aca="false">T85</f>
        <v>32.8799861363979</v>
      </c>
      <c r="U294" s="116" t="n">
        <f aca="false">U85</f>
        <v>33.6158061742546</v>
      </c>
      <c r="V294" s="116" t="n">
        <f aca="false">V85</f>
        <v>34.3541524294291</v>
      </c>
      <c r="W294" s="116" t="n">
        <f aca="false">W85</f>
        <v>35.0857460928702</v>
      </c>
      <c r="X294" s="116" t="n">
        <f aca="false">X85</f>
        <v>35.8117789427208</v>
      </c>
      <c r="Y294" s="116" t="n">
        <f aca="false">Y85</f>
        <v>36.5334519595766</v>
      </c>
      <c r="Z294" s="116" t="n">
        <f aca="false">Z85</f>
        <v>37.2519732056746</v>
      </c>
      <c r="AA294" s="116" t="n">
        <f aca="false">AA85</f>
        <v>37.968559621236</v>
      </c>
      <c r="AB294" s="116" t="n">
        <f aca="false">AB85</f>
        <v>38.6846661425734</v>
      </c>
      <c r="AC294" s="116" t="n">
        <f aca="false">AC85</f>
        <v>39.4017560989984</v>
      </c>
      <c r="AD294" s="116" t="n">
        <f aca="false">AD85</f>
        <v>40.1213031422358</v>
      </c>
      <c r="AE294" s="116" t="n">
        <f aca="false">AE85</f>
        <v>40.8447932100038</v>
      </c>
      <c r="AF294" s="116" t="n">
        <f aca="false">AF85</f>
        <v>41.5737264408981</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8.42094960375616</v>
      </c>
      <c r="N295" s="1" t="n">
        <f aca="false">MAX(M294/$C$282,M294-N294)</f>
        <v>5.39810594614108</v>
      </c>
      <c r="O295" s="1" t="n">
        <f aca="false">MAX(N294/$C$282,N294-O294)</f>
        <v>2.82856924688836</v>
      </c>
      <c r="P295" s="1" t="n">
        <f aca="false">MAX(O294/$C$282,O294-P294)</f>
        <v>2.92081570448012</v>
      </c>
      <c r="Q295" s="1" t="n">
        <f aca="false">MAX(P294/$C$282,P294-Q294)</f>
        <v>2.99395285070072</v>
      </c>
      <c r="R295" s="1" t="n">
        <f aca="false">MAX(Q294/$C$282,Q294-R294)</f>
        <v>3.06762507717612</v>
      </c>
      <c r="S295" s="1" t="n">
        <f aca="false">MAX(R294/$C$282,R294-S294)</f>
        <v>3.14113642302646</v>
      </c>
      <c r="T295" s="1" t="n">
        <f aca="false">MAX(S294/$C$282,S294-T294)</f>
        <v>3.21455535549496</v>
      </c>
      <c r="U295" s="1" t="n">
        <f aca="false">MAX(T294/$C$282,T294-U294)</f>
        <v>3.28799861363979</v>
      </c>
      <c r="V295" s="1" t="n">
        <f aca="false">MAX(U294/$C$282,U294-V294)</f>
        <v>3.36158061742546</v>
      </c>
      <c r="W295" s="1" t="n">
        <f aca="false">MAX(V294/$C$282,V294-W294)</f>
        <v>3.43541524294291</v>
      </c>
      <c r="X295" s="1" t="n">
        <f aca="false">MAX(W294/$C$282,W294-X294)</f>
        <v>3.50857460928702</v>
      </c>
      <c r="Y295" s="1" t="n">
        <f aca="false">MAX(X294/$C$282,X294-Y294)</f>
        <v>3.58117789427208</v>
      </c>
      <c r="Z295" s="1" t="n">
        <f aca="false">MAX(Y294/$C$282,Y294-Z294)</f>
        <v>3.65334519595766</v>
      </c>
      <c r="AA295" s="1" t="n">
        <f aca="false">MAX(Z294/$C$282,Z294-AA294)</f>
        <v>3.72519732056746</v>
      </c>
      <c r="AB295" s="1" t="n">
        <f aca="false">MAX(AA294/$C$282,AA294-AB294)</f>
        <v>3.7968559621236</v>
      </c>
      <c r="AC295" s="1" t="n">
        <f aca="false">MAX(AB294/$C$282,AB294-AC294)</f>
        <v>3.86846661425734</v>
      </c>
      <c r="AD295" s="1" t="n">
        <f aca="false">MAX(AC294/$C$282,AC294-AD294)</f>
        <v>3.94017560989983</v>
      </c>
      <c r="AE295" s="1" t="n">
        <f aca="false">MAX(AD294/$C$282,AD294-AE294)</f>
        <v>4.01213031422358</v>
      </c>
      <c r="AF295" s="1" t="n">
        <f aca="false">MAX(AE294/$C$282,AE294-AF294)</f>
        <v>4.08447932100038</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5.7306339938592</v>
      </c>
      <c r="M296" s="1" t="n">
        <f aca="false">M294-L294+M295</f>
        <v>0</v>
      </c>
      <c r="N296" s="1" t="n">
        <f aca="false">N294-M294+N295</f>
        <v>0</v>
      </c>
      <c r="O296" s="1" t="n">
        <f aca="false">O294-N294+O295</f>
        <v>3.75103382280601</v>
      </c>
      <c r="P296" s="1" t="n">
        <f aca="false">P294-O294+P295</f>
        <v>3.65218716668615</v>
      </c>
      <c r="Q296" s="1" t="n">
        <f aca="false">Q294-P294+Q295</f>
        <v>3.73067511545468</v>
      </c>
      <c r="R296" s="1" t="n">
        <f aca="false">R294-Q294+R295</f>
        <v>3.80273853567954</v>
      </c>
      <c r="S296" s="1" t="n">
        <f aca="false">S294-R294+S295</f>
        <v>3.87532574771144</v>
      </c>
      <c r="T296" s="1" t="n">
        <f aca="false">T294-S294+T295</f>
        <v>3.94898793694323</v>
      </c>
      <c r="U296" s="1" t="n">
        <f aca="false">U294-T294+U295</f>
        <v>4.0238186514965</v>
      </c>
      <c r="V296" s="1" t="n">
        <f aca="false">V294-U294+V295</f>
        <v>4.09992687259996</v>
      </c>
      <c r="W296" s="1" t="n">
        <f aca="false">W294-V294+W295</f>
        <v>4.16700890638404</v>
      </c>
      <c r="X296" s="1" t="n">
        <f aca="false">X294-W294+X295</f>
        <v>4.23460745913765</v>
      </c>
      <c r="Y296" s="1" t="n">
        <f aca="false">Y294-X294+Y295</f>
        <v>4.30285091112785</v>
      </c>
      <c r="Z296" s="1" t="n">
        <f aca="false">Z294-Y294+Z295</f>
        <v>4.37186644205567</v>
      </c>
      <c r="AA296" s="1" t="n">
        <f aca="false">AA294-Z294+AA295</f>
        <v>4.44178373612885</v>
      </c>
      <c r="AB296" s="1" t="n">
        <f aca="false">AB294-AA294+AB295</f>
        <v>4.51296248346097</v>
      </c>
      <c r="AC296" s="1" t="n">
        <f aca="false">AC294-AB294+AC295</f>
        <v>4.58555657068232</v>
      </c>
      <c r="AD296" s="1" t="n">
        <f aca="false">AD294-AC294+AD295</f>
        <v>4.65972265313725</v>
      </c>
      <c r="AE296" s="1" t="n">
        <f aca="false">AE294-AD294+AE295</f>
        <v>4.73562038199164</v>
      </c>
      <c r="AF296" s="1" t="n">
        <f aca="false">AF294-AE294+AF295</f>
        <v>4.81341255189467</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1.68418992075123</v>
      </c>
      <c r="M297" s="1" t="n">
        <f aca="false">M294*01_Supuestos!$I$126</f>
        <v>1.34735193660099</v>
      </c>
      <c r="N297" s="1" t="n">
        <f aca="false">N294*01_Supuestos!$I$126</f>
        <v>1.13142769875534</v>
      </c>
      <c r="O297" s="1" t="n">
        <f aca="false">O294*01_Supuestos!$I$126</f>
        <v>1.16832628179205</v>
      </c>
      <c r="P297" s="1" t="n">
        <f aca="false">P294*01_Supuestos!$I$126</f>
        <v>1.19758114028029</v>
      </c>
      <c r="Q297" s="1" t="n">
        <f aca="false">Q294*01_Supuestos!$I$126</f>
        <v>1.22705003087045</v>
      </c>
      <c r="R297" s="1" t="n">
        <f aca="false">R294*01_Supuestos!$I$126</f>
        <v>1.25645456921058</v>
      </c>
      <c r="S297" s="1" t="n">
        <f aca="false">S294*01_Supuestos!$I$126</f>
        <v>1.28582214219798</v>
      </c>
      <c r="T297" s="1" t="n">
        <f aca="false">T294*01_Supuestos!$I$126</f>
        <v>1.31519944545591</v>
      </c>
      <c r="U297" s="1" t="n">
        <f aca="false">U294*01_Supuestos!$I$126</f>
        <v>1.34463224697018</v>
      </c>
      <c r="V297" s="1" t="n">
        <f aca="false">V294*01_Supuestos!$I$126</f>
        <v>1.37416609717716</v>
      </c>
      <c r="W297" s="1" t="n">
        <f aca="false">W294*01_Supuestos!$I$126</f>
        <v>1.40342984371481</v>
      </c>
      <c r="X297" s="1" t="n">
        <f aca="false">X294*01_Supuestos!$I$126</f>
        <v>1.43247115770883</v>
      </c>
      <c r="Y297" s="1" t="n">
        <f aca="false">Y294*01_Supuestos!$I$126</f>
        <v>1.46133807838306</v>
      </c>
      <c r="Z297" s="1" t="n">
        <f aca="false">Z294*01_Supuestos!$I$126</f>
        <v>1.49007892822698</v>
      </c>
      <c r="AA297" s="1" t="n">
        <f aca="false">AA294*01_Supuestos!$I$126</f>
        <v>1.51874238484944</v>
      </c>
      <c r="AB297" s="1" t="n">
        <f aca="false">AB294*01_Supuestos!$I$126</f>
        <v>1.54738664570293</v>
      </c>
      <c r="AC297" s="1" t="n">
        <f aca="false">AC294*01_Supuestos!$I$126</f>
        <v>1.57607024395993</v>
      </c>
      <c r="AD297" s="1" t="n">
        <f aca="false">AD294*01_Supuestos!$I$126</f>
        <v>1.60485212568943</v>
      </c>
      <c r="AE297" s="1" t="n">
        <f aca="false">AE294*01_Supuestos!$I$126</f>
        <v>1.63379172840015</v>
      </c>
      <c r="AF297" s="1" t="n">
        <f aca="false">AF294*01_Supuestos!$I$126</f>
        <v>1.66294905763593</v>
      </c>
    </row>
    <row r="298" customFormat="false" ht="14.25" hidden="false" customHeight="true" outlineLevel="0" collapsed="false">
      <c r="B298" s="84" t="s">
        <v>1290</v>
      </c>
      <c r="C298" s="116" t="n">
        <f aca="false">C86</f>
        <v>0.8125</v>
      </c>
      <c r="D298" s="116" t="n">
        <f aca="false">D86</f>
        <v>1.6436875</v>
      </c>
      <c r="E298" s="116" t="n">
        <f aca="false">E86</f>
        <v>2.4939923125</v>
      </c>
      <c r="F298" s="116" t="n">
        <f aca="false">F86</f>
        <v>3.3638541356875</v>
      </c>
      <c r="G298" s="116" t="n">
        <f aca="false">G86</f>
        <v>4.25372278080831</v>
      </c>
      <c r="H298" s="116" t="n">
        <f aca="false">H86</f>
        <v>5.1640584047669</v>
      </c>
      <c r="I298" s="116" t="n">
        <f aca="false">I86</f>
        <v>6.09533174807654</v>
      </c>
      <c r="J298" s="116" t="n">
        <f aca="false">J86</f>
        <v>7.0480243782823</v>
      </c>
      <c r="K298" s="116" t="n">
        <f aca="false">K86</f>
        <v>7.56978575278141</v>
      </c>
      <c r="L298" s="116" t="n">
        <f aca="false">L86</f>
        <v>7.74389082509538</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15.4375</v>
      </c>
      <c r="D299" s="1" t="n">
        <f aca="false">D286+D291+D296</f>
        <v>17.6520964603248</v>
      </c>
      <c r="E299" s="1" t="n">
        <f aca="false">E286+E291+E296</f>
        <v>20.019451357609</v>
      </c>
      <c r="F299" s="1" t="n">
        <f aca="false">F286+F291+F296</f>
        <v>22.4644206728059</v>
      </c>
      <c r="G299" s="1" t="n">
        <f aca="false">G286+G291+G296</f>
        <v>24.4790413387801</v>
      </c>
      <c r="H299" s="1" t="n">
        <f aca="false">H286+H291+H296</f>
        <v>27.1411231720738</v>
      </c>
      <c r="I299" s="1" t="n">
        <f aca="false">I286+I291+I296</f>
        <v>29.8655619386925</v>
      </c>
      <c r="J299" s="1" t="n">
        <f aca="false">J286+J291+J296</f>
        <v>32.653797123445</v>
      </c>
      <c r="K299" s="1" t="n">
        <f aca="false">K286+K291+K296</f>
        <v>26.9032805912896</v>
      </c>
      <c r="L299" s="1" t="n">
        <f aca="false">L286+L291+L296</f>
        <v>21.6060114884154</v>
      </c>
      <c r="M299" s="1" t="n">
        <f aca="false">M286+M291+M296</f>
        <v>26.284667413792</v>
      </c>
      <c r="N299" s="1" t="n">
        <f aca="false">N286+N291+N296</f>
        <v>24.967134439181</v>
      </c>
      <c r="O299" s="1" t="n">
        <f aca="false">O286+O291+O296</f>
        <v>23.6986907138415</v>
      </c>
      <c r="P299" s="1" t="n">
        <f aca="false">P286+P291+P296</f>
        <v>24.2334658910228</v>
      </c>
      <c r="Q299" s="1" t="n">
        <f aca="false">Q286+Q291+Q296</f>
        <v>24.788579583197</v>
      </c>
      <c r="R299" s="1" t="n">
        <f aca="false">R286+R291+R296</f>
        <v>25.356895206961</v>
      </c>
      <c r="S299" s="1" t="n">
        <f aca="false">S286+S291+S296</f>
        <v>25.9389845781502</v>
      </c>
      <c r="T299" s="1" t="n">
        <f aca="false">T286+T291+T296</f>
        <v>26.5351371681756</v>
      </c>
      <c r="U299" s="1" t="n">
        <f aca="false">U286+U291+U296</f>
        <v>27.14563142538</v>
      </c>
      <c r="V299" s="1" t="n">
        <f aca="false">V286+V291+V296</f>
        <v>27.7707540971173</v>
      </c>
      <c r="W299" s="1" t="n">
        <f aca="false">W286+W291+W296</f>
        <v>28.4107997282823</v>
      </c>
      <c r="X299" s="1" t="n">
        <f aca="false">X286+X291+X296</f>
        <v>29.066465070443</v>
      </c>
      <c r="Y299" s="1" t="n">
        <f aca="false">Y286+Y291+Y296</f>
        <v>29.7380583721686</v>
      </c>
      <c r="Z299" s="1" t="n">
        <f aca="false">Z286+Z291+Z296</f>
        <v>30.4258956611717</v>
      </c>
      <c r="AA299" s="1" t="n">
        <f aca="false">AA286+AA291+AA296</f>
        <v>31.1303010115431</v>
      </c>
      <c r="AB299" s="1" t="n">
        <f aca="false">AB286+AB291+AB296</f>
        <v>31.8516066669704</v>
      </c>
      <c r="AC299" s="1" t="n">
        <f aca="false">AC286+AC291+AC296</f>
        <v>32.5901445612709</v>
      </c>
      <c r="AD299" s="1" t="n">
        <f aca="false">AD286+AD291+AD296</f>
        <v>33.3462552119856</v>
      </c>
      <c r="AE299" s="1" t="n">
        <f aca="false">AE286+AE291+AE296</f>
        <v>34.1202878520603</v>
      </c>
      <c r="AF299" s="1" t="n">
        <f aca="false">AF286+AF291+AF296</f>
        <v>34.9126005649419</v>
      </c>
    </row>
    <row r="300" customFormat="false" ht="14.25" hidden="false" customHeight="true" outlineLevel="0" collapsed="false">
      <c r="B300" s="144" t="s">
        <v>1292</v>
      </c>
      <c r="C300" s="1" t="n">
        <f aca="false">C285+C290+C295</f>
        <v>0</v>
      </c>
      <c r="D300" s="1" t="n">
        <f aca="false">D285+D290+D295</f>
        <v>1.85119378758819</v>
      </c>
      <c r="E300" s="1" t="n">
        <f aca="false">E285+E290+E295</f>
        <v>3.84409851002238</v>
      </c>
      <c r="F300" s="1" t="n">
        <f aca="false">F285+F290+F295</f>
        <v>5.90539347860285</v>
      </c>
      <c r="G300" s="1" t="n">
        <f aca="false">G285+G290+G295</f>
        <v>7.54036643405368</v>
      </c>
      <c r="H300" s="1" t="n">
        <f aca="false">H285+H290+H295</f>
        <v>9.79819234508535</v>
      </c>
      <c r="I300" s="1" t="n">
        <f aca="false">I285+I290+I295</f>
        <v>12.1090474838507</v>
      </c>
      <c r="J300" s="1" t="n">
        <f aca="false">J285+J290+J295</f>
        <v>14.4741566586028</v>
      </c>
      <c r="K300" s="1" t="n">
        <f aca="false">K285+K290+K295</f>
        <v>16.8947726630323</v>
      </c>
      <c r="L300" s="1" t="n">
        <f aca="false">L285+L290+L295</f>
        <v>18.194604867397</v>
      </c>
      <c r="M300" s="1" t="n">
        <f aca="false">M285+M290+M295</f>
        <v>22.7955579455673</v>
      </c>
      <c r="N300" s="1" t="n">
        <f aca="false">N285+N290+N295</f>
        <v>21.3883860943789</v>
      </c>
      <c r="O300" s="1" t="n">
        <f aca="false">O285+O290+O295</f>
        <v>20.0314583237993</v>
      </c>
      <c r="P300" s="1" t="n">
        <f aca="false">P285+P290+P295</f>
        <v>20.4821590496587</v>
      </c>
      <c r="Q300" s="1" t="n">
        <f aca="false">Q285+Q290+Q295</f>
        <v>20.9510522683318</v>
      </c>
      <c r="R300" s="1" t="n">
        <f aca="false">R285+R290+R295</f>
        <v>21.431152876963</v>
      </c>
      <c r="S300" s="1" t="n">
        <f aca="false">S285+S290+S295</f>
        <v>21.9229797342529</v>
      </c>
      <c r="T300" s="1" t="n">
        <f aca="false">T285+T290+T295</f>
        <v>22.4267759408161</v>
      </c>
      <c r="U300" s="1" t="n">
        <f aca="false">U285+U290+U295</f>
        <v>22.942772974641</v>
      </c>
      <c r="V300" s="1" t="n">
        <f aca="false">V285+V290+V295</f>
        <v>23.471209482368</v>
      </c>
      <c r="W300" s="1" t="n">
        <f aca="false">W285+W290+W295</f>
        <v>24.012330770107</v>
      </c>
      <c r="X300" s="1" t="n">
        <f aca="false">X285+X290+X295</f>
        <v>24.5667727743871</v>
      </c>
      <c r="Y300" s="1" t="n">
        <f aca="false">Y285+Y290+Y295</f>
        <v>25.1347922139931</v>
      </c>
      <c r="Z300" s="1" t="n">
        <f aca="false">Z285+Z290+Z295</f>
        <v>25.7166523834594</v>
      </c>
      <c r="AA300" s="1" t="n">
        <f aca="false">AA285+AA290+AA295</f>
        <v>26.3126233902945</v>
      </c>
      <c r="AB300" s="1" t="n">
        <f aca="false">AB285+AB290+AB295</f>
        <v>26.9229822514649</v>
      </c>
      <c r="AC300" s="1" t="n">
        <f aca="false">AC285+AC290+AC295</f>
        <v>27.5480046138588</v>
      </c>
      <c r="AD300" s="1" t="n">
        <f aca="false">AD285+AD290+AD295</f>
        <v>28.1879733884182</v>
      </c>
      <c r="AE300" s="1" t="n">
        <f aca="false">AE285+AE290+AE295</f>
        <v>28.8431788532037</v>
      </c>
      <c r="AF300" s="1" t="n">
        <f aca="false">AF285+AF290+AF295</f>
        <v>29.5139187592071</v>
      </c>
    </row>
    <row r="301" customFormat="false" ht="14.25" hidden="false" customHeight="true" outlineLevel="0" collapsed="false">
      <c r="B301" s="144" t="s">
        <v>1293</v>
      </c>
      <c r="C301" s="1" t="n">
        <f aca="false">C284+C289+C294</f>
        <v>15.4375</v>
      </c>
      <c r="D301" s="1" t="n">
        <f aca="false">D284+D289+D294</f>
        <v>31.2300625</v>
      </c>
      <c r="E301" s="1" t="n">
        <f aca="false">E284+E289+E294</f>
        <v>47.3858539375</v>
      </c>
      <c r="F301" s="1" t="n">
        <f aca="false">F284+F289+F294</f>
        <v>63.9132285780625</v>
      </c>
      <c r="G301" s="1" t="n">
        <f aca="false">G284+G289+G294</f>
        <v>80.8207328353579</v>
      </c>
      <c r="H301" s="1" t="n">
        <f aca="false">H284+H289+H294</f>
        <v>98.1171096905712</v>
      </c>
      <c r="I301" s="1" t="n">
        <f aca="false">I284+I289+I294</f>
        <v>115.811303213454</v>
      </c>
      <c r="J301" s="1" t="n">
        <f aca="false">J284+J289+J294</f>
        <v>133.912463187364</v>
      </c>
      <c r="K301" s="1" t="n">
        <f aca="false">K284+K289+K294</f>
        <v>143.825929302847</v>
      </c>
      <c r="L301" s="1" t="n">
        <f aca="false">L284+L289+L294</f>
        <v>147.133925676812</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0.642161890782038</v>
      </c>
      <c r="D302" s="1" t="n">
        <f aca="false">D287+D292+D297</f>
        <v>1.30704558962608</v>
      </c>
      <c r="E302" s="1" t="n">
        <f aca="false">E287+E292+E297</f>
        <v>1.98903075861521</v>
      </c>
      <c r="F302" s="1" t="n">
        <f aca="false">F287+F292+F297</f>
        <v>2.64870074757584</v>
      </c>
      <c r="G302" s="1" t="n">
        <f aca="false">G287+G292+G297</f>
        <v>3.37048940795361</v>
      </c>
      <c r="H302" s="1" t="n">
        <f aca="false">H287+H292+H297</f>
        <v>4.10896738342473</v>
      </c>
      <c r="I302" s="1" t="n">
        <f aca="false">I287+I292+I297</f>
        <v>4.86451894022658</v>
      </c>
      <c r="J302" s="1" t="n">
        <f aca="false">J287+J292+J297</f>
        <v>5.63753716786791</v>
      </c>
      <c r="K302" s="1" t="n">
        <f aca="false">K287+K292+K297</f>
        <v>6.05882127264939</v>
      </c>
      <c r="L302" s="1" t="n">
        <f aca="false">L287+L292+L297</f>
        <v>6.19592830540729</v>
      </c>
      <c r="M302" s="1" t="n">
        <f aca="false">M287+M292+M297</f>
        <v>6.36619899042747</v>
      </c>
      <c r="N302" s="1" t="n">
        <f aca="false">N287+N292+N297</f>
        <v>6.53087463530404</v>
      </c>
      <c r="O302" s="1" t="n">
        <f aca="false">O287+O292+O297</f>
        <v>6.68028076239554</v>
      </c>
      <c r="P302" s="1" t="n">
        <f aca="false">P287+P292+P297</f>
        <v>6.83375103048567</v>
      </c>
      <c r="Q302" s="1" t="n">
        <f aca="false">Q287+Q292+Q297</f>
        <v>6.99078503372326</v>
      </c>
      <c r="R302" s="1" t="n">
        <f aca="false">R287+R292+R297</f>
        <v>7.15148568149333</v>
      </c>
      <c r="S302" s="1" t="n">
        <f aca="false">S287+S292+S297</f>
        <v>7.31593517262725</v>
      </c>
      <c r="T302" s="1" t="n">
        <f aca="false">T287+T292+T297</f>
        <v>7.48421621569716</v>
      </c>
      <c r="U302" s="1" t="n">
        <f aca="false">U287+U292+U297</f>
        <v>7.65641356954337</v>
      </c>
      <c r="V302" s="1" t="n">
        <f aca="false">V287+V292+V297</f>
        <v>7.83261403636004</v>
      </c>
      <c r="W302" s="1" t="n">
        <f aca="false">W287+W292+W297</f>
        <v>8.0129372969944</v>
      </c>
      <c r="X302" s="1" t="n">
        <f aca="false">X287+X292+X297</f>
        <v>8.19747419236578</v>
      </c>
      <c r="Y302" s="1" t="n">
        <f aca="false">Y287+Y292+Y297</f>
        <v>8.38631770657703</v>
      </c>
      <c r="Z302" s="1" t="n">
        <f aca="false">Z287+Z292+Z297</f>
        <v>8.57956302310481</v>
      </c>
      <c r="AA302" s="1" t="n">
        <f aca="false">AA287+AA292+AA297</f>
        <v>8.7773075705551</v>
      </c>
      <c r="AB302" s="1" t="n">
        <f aca="false">AB287+AB292+AB297</f>
        <v>8.97965039740267</v>
      </c>
      <c r="AC302" s="1" t="n">
        <f aca="false">AC287+AC292+AC297</f>
        <v>9.1866929043708</v>
      </c>
      <c r="AD302" s="1" t="n">
        <f aca="false">AD287+AD292+AD297</f>
        <v>9.39853889339852</v>
      </c>
      <c r="AE302" s="1" t="n">
        <f aca="false">AE287+AE292+AE297</f>
        <v>9.6152946177643</v>
      </c>
      <c r="AF302" s="1" t="n">
        <f aca="false">AF287+AF292+AF297</f>
        <v>9.83706883364014</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350.872900156507</v>
      </c>
      <c r="M307" s="116" t="n">
        <f aca="false">M81</f>
        <v>364.114786155762</v>
      </c>
      <c r="N307" s="116" t="n">
        <f aca="false">N81</f>
        <v>377.142566251781</v>
      </c>
      <c r="O307" s="116" t="n">
        <f aca="false">O81</f>
        <v>389.442093930683</v>
      </c>
      <c r="P307" s="116" t="n">
        <f aca="false">P81</f>
        <v>399.193713426763</v>
      </c>
      <c r="Q307" s="116" t="n">
        <f aca="false">Q81</f>
        <v>409.016676956816</v>
      </c>
      <c r="R307" s="116" t="n">
        <f aca="false">R81</f>
        <v>418.818189736861</v>
      </c>
      <c r="S307" s="116" t="n">
        <f aca="false">S81</f>
        <v>428.607380732661</v>
      </c>
      <c r="T307" s="116" t="n">
        <f aca="false">T81</f>
        <v>438.399815151972</v>
      </c>
      <c r="U307" s="116" t="n">
        <f aca="false">U81</f>
        <v>448.210748990061</v>
      </c>
      <c r="V307" s="116" t="n">
        <f aca="false">V81</f>
        <v>458.055365725721</v>
      </c>
      <c r="W307" s="116" t="n">
        <f aca="false">W81</f>
        <v>467.809947904936</v>
      </c>
      <c r="X307" s="116" t="n">
        <f aca="false">X81</f>
        <v>477.490385902944</v>
      </c>
      <c r="Y307" s="116" t="n">
        <f aca="false">Y81</f>
        <v>487.112692794355</v>
      </c>
      <c r="Z307" s="116" t="n">
        <f aca="false">Z81</f>
        <v>496.692976075662</v>
      </c>
      <c r="AA307" s="116" t="n">
        <f aca="false">AA81</f>
        <v>506.24746161648</v>
      </c>
      <c r="AB307" s="116" t="n">
        <f aca="false">AB81</f>
        <v>515.795548567645</v>
      </c>
      <c r="AC307" s="116" t="n">
        <f aca="false">AC81</f>
        <v>525.356747986645</v>
      </c>
      <c r="AD307" s="116" t="n">
        <f aca="false">AD81</f>
        <v>534.950708563144</v>
      </c>
      <c r="AE307" s="116" t="n">
        <f aca="false">AE81</f>
        <v>544.597242800051</v>
      </c>
      <c r="AF307" s="116" t="n">
        <f aca="false">AF81</f>
        <v>554.316352545308</v>
      </c>
    </row>
    <row r="308" customFormat="false" ht="14.25" hidden="false" customHeight="true" outlineLevel="0" collapsed="false">
      <c r="B308" s="84" t="s">
        <v>1300</v>
      </c>
      <c r="C308" s="1" t="n">
        <f aca="false">C301</f>
        <v>15.4375</v>
      </c>
      <c r="D308" s="1" t="n">
        <f aca="false">D301</f>
        <v>31.2300625</v>
      </c>
      <c r="E308" s="1" t="n">
        <f aca="false">E301</f>
        <v>47.3858539375</v>
      </c>
      <c r="F308" s="1" t="n">
        <f aca="false">F301</f>
        <v>63.9132285780625</v>
      </c>
      <c r="G308" s="1" t="n">
        <f aca="false">G301</f>
        <v>80.8207328353579</v>
      </c>
      <c r="H308" s="1" t="n">
        <f aca="false">H301</f>
        <v>98.1171096905712</v>
      </c>
      <c r="I308" s="1" t="n">
        <f aca="false">I301</f>
        <v>115.811303213454</v>
      </c>
      <c r="J308" s="1" t="n">
        <f aca="false">J301</f>
        <v>133.912463187364</v>
      </c>
      <c r="K308" s="1" t="n">
        <f aca="false">K301</f>
        <v>143.825929302847</v>
      </c>
      <c r="L308" s="1" t="n">
        <f aca="false">L301</f>
        <v>147.133925676812</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43.7068938619143</v>
      </c>
      <c r="D309" s="1" t="n">
        <f aca="false">D307-D308</f>
        <v>66.0087076116566</v>
      </c>
      <c r="E309" s="1" t="n">
        <f aca="false">E307-E308</f>
        <v>83.7249818701341</v>
      </c>
      <c r="F309" s="1" t="n">
        <f aca="false">F307-F308</f>
        <v>208.94161431447</v>
      </c>
      <c r="G309" s="1" t="n">
        <f aca="false">G307-G308</f>
        <v>204.735609332542</v>
      </c>
      <c r="H309" s="1" t="n">
        <f aca="false">H307-H308</f>
        <v>200.184371408345</v>
      </c>
      <c r="I309" s="1" t="n">
        <f aca="false">I307-I308</f>
        <v>195.278799124986</v>
      </c>
      <c r="J309" s="1" t="n">
        <f aca="false">J307-J308</f>
        <v>190.00962358886</v>
      </c>
      <c r="K309" s="1" t="n">
        <f aca="false">K307-K308</f>
        <v>192.971422779761</v>
      </c>
      <c r="L309" s="1" t="n">
        <f aca="false">L307-L308</f>
        <v>203.738974479694</v>
      </c>
      <c r="M309" s="1" t="n">
        <f aca="false">M307-M308</f>
        <v>213.596780188383</v>
      </c>
      <c r="N309" s="1" t="n">
        <f aca="false">N307-N308</f>
        <v>223.162646147152</v>
      </c>
      <c r="O309" s="1" t="n">
        <f aca="false">O307-O308</f>
        <v>231.920635663648</v>
      </c>
      <c r="P309" s="1" t="n">
        <f aca="false">P307-P308</f>
        <v>238.049261619586</v>
      </c>
      <c r="Q309" s="1" t="n">
        <f aca="false">Q307-Q308</f>
        <v>244.165902758074</v>
      </c>
      <c r="R309" s="1" t="n">
        <f aca="false">R307-R308</f>
        <v>250.175847731549</v>
      </c>
      <c r="S309" s="1" t="n">
        <f aca="false">S307-S308</f>
        <v>256.086264861226</v>
      </c>
      <c r="T309" s="1" t="n">
        <f aca="false">T307-T308</f>
        <v>261.910713615494</v>
      </c>
      <c r="U309" s="1" t="n">
        <f aca="false">U307-U308</f>
        <v>267.662398118244</v>
      </c>
      <c r="V309" s="1" t="n">
        <f aca="false">V307-V308</f>
        <v>273.354402783852</v>
      </c>
      <c r="W309" s="1" t="n">
        <f aca="false">W307-W308</f>
        <v>278.860862815404</v>
      </c>
      <c r="X309" s="1" t="n">
        <f aca="false">X307-X308</f>
        <v>284.195471856354</v>
      </c>
      <c r="Y309" s="1" t="n">
        <f aca="false">Y307-Y308</f>
        <v>289.371995724692</v>
      </c>
      <c r="Z309" s="1" t="n">
        <f aca="false">Z307-Z308</f>
        <v>294.404242973397</v>
      </c>
      <c r="AA309" s="1" t="n">
        <f aca="false">AA307-AA308</f>
        <v>299.306087652863</v>
      </c>
      <c r="AB309" s="1" t="n">
        <f aca="false">AB307-AB308</f>
        <v>304.094523002865</v>
      </c>
      <c r="AC309" s="1" t="n">
        <f aca="false">AC307-AC308</f>
        <v>308.786598833875</v>
      </c>
      <c r="AD309" s="1" t="n">
        <f aca="false">AD307-AD308</f>
        <v>313.39944597986</v>
      </c>
      <c r="AE309" s="1" t="n">
        <f aca="false">AE307-AE308</f>
        <v>317.950301177352</v>
      </c>
      <c r="AF309" s="1" t="n">
        <f aca="false">AF307-AF308</f>
        <v>322.456531265287</v>
      </c>
    </row>
    <row r="310" customFormat="false" ht="14.25" hidden="false" customHeight="true" outlineLevel="0" collapsed="false">
      <c r="B310" s="84" t="s">
        <v>1302</v>
      </c>
      <c r="C310" s="1" t="n">
        <f aca="false">IF(C307&gt;0,100*C308/C307,0)</f>
        <v>26.1013749435699</v>
      </c>
      <c r="D310" s="1" t="n">
        <f aca="false">IF(D307&gt;0,100*D308/D307,0)</f>
        <v>32.1168834860204</v>
      </c>
      <c r="E310" s="1" t="n">
        <f aca="false">IF(E307&gt;0,100*E308/E307,0)</f>
        <v>36.1418288927885</v>
      </c>
      <c r="F310" s="1" t="n">
        <f aca="false">IF(F307&gt;0,100*F308/F307,0)</f>
        <v>23.4238937819533</v>
      </c>
      <c r="G310" s="1" t="n">
        <f aca="false">IF(G307&gt;0,100*G308/G307,0)</f>
        <v>28.3029024051013</v>
      </c>
      <c r="H310" s="1" t="n">
        <f aca="false">IF(H307&gt;0,100*H308/H307,0)</f>
        <v>32.8919284373368</v>
      </c>
      <c r="I310" s="1" t="n">
        <f aca="false">IF(I307&gt;0,100*I308/I307,0)</f>
        <v>37.2275756582771</v>
      </c>
      <c r="J310" s="1" t="n">
        <f aca="false">IF(J307&gt;0,100*J308/J307,0)</f>
        <v>41.3409485349096</v>
      </c>
      <c r="K310" s="1" t="n">
        <f aca="false">IF(K307&gt;0,100*K308/K307,0)</f>
        <v>42.7039964576592</v>
      </c>
      <c r="L310" s="1" t="n">
        <f aca="false">IF(L307&gt;0,100*L308/L307,0)</f>
        <v>41.9336818577848</v>
      </c>
      <c r="M310" s="1" t="n">
        <f aca="false">IF(M307&gt;0,100*M308/M307,0)</f>
        <v>41.3380647230815</v>
      </c>
      <c r="N310" s="1" t="n">
        <f aca="false">IF(N307&gt;0,100*N308/N307,0)</f>
        <v>40.8280406094048</v>
      </c>
      <c r="O310" s="1" t="n">
        <f aca="false">IF(O307&gt;0,100*O308/O307,0)</f>
        <v>40.4479794870537</v>
      </c>
      <c r="P310" s="1" t="n">
        <f aca="false">IF(P307&gt;0,100*P308/P307,0)</f>
        <v>40.3674823493283</v>
      </c>
      <c r="Q310" s="1" t="n">
        <f aca="false">IF(Q307&gt;0,100*Q308/Q307,0)</f>
        <v>40.3041693618148</v>
      </c>
      <c r="R310" s="1" t="n">
        <f aca="false">IF(R307&gt;0,100*R308/R307,0)</f>
        <v>40.2662410893063</v>
      </c>
      <c r="S310" s="1" t="n">
        <f aca="false">IF(S307&gt;0,100*S308/S307,0)</f>
        <v>40.2515503994653</v>
      </c>
      <c r="T310" s="1" t="n">
        <f aca="false">IF(T307&gt;0,100*T308/T307,0)</f>
        <v>40.2575675072532</v>
      </c>
      <c r="U310" s="1" t="n">
        <f aca="false">IF(U307&gt;0,100*U308/U307,0)</f>
        <v>40.2820216334929</v>
      </c>
      <c r="V310" s="1" t="n">
        <f aca="false">IF(V307&gt;0,100*V308/V307,0)</f>
        <v>40.3228467041834</v>
      </c>
      <c r="W310" s="1" t="n">
        <f aca="false">IF(W307&gt;0,100*W308/W307,0)</f>
        <v>40.3901383319724</v>
      </c>
      <c r="X310" s="1" t="n">
        <f aca="false">IF(X307&gt;0,100*X308/X307,0)</f>
        <v>40.4814253340549</v>
      </c>
      <c r="Y310" s="1" t="n">
        <f aca="false">IF(Y307&gt;0,100*Y308/Y307,0)</f>
        <v>40.5944455964204</v>
      </c>
      <c r="Z310" s="1" t="n">
        <f aca="false">IF(Z307&gt;0,100*Z308/Z307,0)</f>
        <v>40.7271177258303</v>
      </c>
      <c r="AA310" s="1" t="n">
        <f aca="false">IF(AA307&gt;0,100*AA308/AA307,0)</f>
        <v>40.8775134008258</v>
      </c>
      <c r="AB310" s="1" t="n">
        <f aca="false">IF(AB307&gt;0,100*AB308/AB307,0)</f>
        <v>41.043592980333</v>
      </c>
      <c r="AC310" s="1" t="n">
        <f aca="false">IF(AC307&gt;0,100*AC308/AC307,0)</f>
        <v>41.2234448272996</v>
      </c>
      <c r="AD310" s="1" t="n">
        <f aca="false">IF(AD307&gt;0,100*AD308/AD307,0)</f>
        <v>41.4152666847309</v>
      </c>
      <c r="AE310" s="1" t="n">
        <f aca="false">IF(AE307&gt;0,100*AE308/AE307,0)</f>
        <v>41.6173501829337</v>
      </c>
      <c r="AF310" s="1" t="n">
        <f aca="false">IF(AF307&gt;0,100*AF308/AF307,0)</f>
        <v>41.8280680725669</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0.642161890782038</v>
      </c>
      <c r="D314" s="1" t="n">
        <f aca="false">D302</f>
        <v>1.30704558962608</v>
      </c>
      <c r="E314" s="1" t="n">
        <f aca="false">E302</f>
        <v>1.98903075861521</v>
      </c>
      <c r="F314" s="1" t="n">
        <f aca="false">F302</f>
        <v>2.64870074757584</v>
      </c>
      <c r="G314" s="1" t="n">
        <f aca="false">G302</f>
        <v>3.37048940795361</v>
      </c>
      <c r="H314" s="1" t="n">
        <f aca="false">H302</f>
        <v>4.10896738342473</v>
      </c>
      <c r="I314" s="1" t="n">
        <f aca="false">I302</f>
        <v>4.86451894022658</v>
      </c>
      <c r="J314" s="1" t="n">
        <f aca="false">J302</f>
        <v>5.63753716786791</v>
      </c>
      <c r="K314" s="1" t="n">
        <f aca="false">K302</f>
        <v>6.05882127264939</v>
      </c>
      <c r="L314" s="1" t="n">
        <f aca="false">L302</f>
        <v>6.19592830540729</v>
      </c>
      <c r="M314" s="1" t="n">
        <f aca="false">M302</f>
        <v>6.36619899042747</v>
      </c>
      <c r="N314" s="1" t="n">
        <f aca="false">N302</f>
        <v>6.53087463530404</v>
      </c>
      <c r="O314" s="1" t="n">
        <f aca="false">O302</f>
        <v>6.68028076239554</v>
      </c>
      <c r="P314" s="1" t="n">
        <f aca="false">P302</f>
        <v>6.83375103048567</v>
      </c>
      <c r="Q314" s="1" t="n">
        <f aca="false">Q302</f>
        <v>6.99078503372326</v>
      </c>
      <c r="R314" s="1" t="n">
        <f aca="false">R302</f>
        <v>7.15148568149333</v>
      </c>
      <c r="S314" s="1" t="n">
        <f aca="false">S302</f>
        <v>7.31593517262725</v>
      </c>
      <c r="T314" s="1" t="n">
        <f aca="false">T302</f>
        <v>7.48421621569716</v>
      </c>
      <c r="U314" s="1" t="n">
        <f aca="false">U302</f>
        <v>7.65641356954337</v>
      </c>
      <c r="V314" s="1" t="n">
        <f aca="false">V302</f>
        <v>7.83261403636004</v>
      </c>
      <c r="W314" s="1" t="n">
        <f aca="false">W302</f>
        <v>8.0129372969944</v>
      </c>
      <c r="X314" s="1" t="n">
        <f aca="false">X302</f>
        <v>8.19747419236578</v>
      </c>
      <c r="Y314" s="1" t="n">
        <f aca="false">Y302</f>
        <v>8.38631770657703</v>
      </c>
      <c r="Z314" s="1" t="n">
        <f aca="false">Z302</f>
        <v>8.57956302310481</v>
      </c>
      <c r="AA314" s="1" t="n">
        <f aca="false">AA302</f>
        <v>8.7773075705551</v>
      </c>
      <c r="AB314" s="1" t="n">
        <f aca="false">AB302</f>
        <v>8.97965039740267</v>
      </c>
      <c r="AC314" s="1" t="n">
        <f aca="false">AC302</f>
        <v>9.1866929043708</v>
      </c>
      <c r="AD314" s="1" t="n">
        <f aca="false">AD302</f>
        <v>9.39853889339852</v>
      </c>
      <c r="AE314" s="1" t="n">
        <f aca="false">AE302</f>
        <v>9.6152946177643</v>
      </c>
      <c r="AF314" s="1" t="n">
        <f aca="false">AF302</f>
        <v>9.83706883364014</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61.8581682863415</v>
      </c>
      <c r="D316" s="1" t="n">
        <f aca="false">IF(D313&gt;0,100*(D314+D315)/D313,0)</f>
        <v>54.9623014978539</v>
      </c>
      <c r="E316" s="1" t="n">
        <f aca="false">IF(E313&gt;0,100*(E314+E315)/E313,0)</f>
        <v>54.8202434653884</v>
      </c>
      <c r="F316" s="1" t="n">
        <f aca="false">IF(F313&gt;0,100*(F314+F315)/F313,0)</f>
        <v>31.5580168235893</v>
      </c>
      <c r="G316" s="1" t="n">
        <f aca="false">IF(G313&gt;0,100*(G314+G315)/G313,0)</f>
        <v>37.9868084482932</v>
      </c>
      <c r="H316" s="1" t="n">
        <f aca="false">IF(H313&gt;0,100*(H314+H315)/H313,0)</f>
        <v>44.5361783240232</v>
      </c>
      <c r="I316" s="1" t="n">
        <f aca="false">IF(I313&gt;0,100*(I314+I315)/I313,0)</f>
        <v>51.1760314378928</v>
      </c>
      <c r="J316" s="1" t="n">
        <f aca="false">IF(J313&gt;0,100*(J314+J315)/J313,0)</f>
        <v>57.8777993331654</v>
      </c>
      <c r="K316" s="1" t="n">
        <f aca="false">IF(K313&gt;0,100*(K314+K315)/K313,0)</f>
        <v>61.5261935233153</v>
      </c>
      <c r="L316" s="1" t="n">
        <f aca="false">IF(L313&gt;0,100*(L314+L315)/L313,0)</f>
        <v>62.6927299870156</v>
      </c>
      <c r="M316" s="1" t="n">
        <f aca="false">IF(M313&gt;0,100*(M314+M315)/M313,0)</f>
        <v>63.5488531498587</v>
      </c>
      <c r="N316" s="1" t="n">
        <f aca="false">IF(N313&gt;0,100*(N314+N315)/N313,0)</f>
        <v>63.9926218103604</v>
      </c>
      <c r="O316" s="1" t="n">
        <f aca="false">IF(O313&gt;0,100*(O314+O315)/O313,0)</f>
        <v>64.0268126403362</v>
      </c>
      <c r="P316" s="1" t="n">
        <f aca="false">IF(P313&gt;0,100*(P314+P315)/P313,0)</f>
        <v>63.0775164036641</v>
      </c>
      <c r="Q316" s="1" t="n">
        <f aca="false">IF(Q313&gt;0,100*(Q314+Q315)/Q313,0)</f>
        <v>62.272943369586</v>
      </c>
      <c r="R316" s="1" t="n">
        <f aca="false">IF(R313&gt;0,100*(R314+R315)/R313,0)</f>
        <v>61.6136602526617</v>
      </c>
      <c r="S316" s="1" t="n">
        <f aca="false">IF(S313&gt;0,100*(S314+S315)/S313,0)</f>
        <v>61.0812457686879</v>
      </c>
      <c r="T316" s="1" t="n">
        <f aca="false">IF(T313&gt;0,100*(T314+T315)/T313,0)</f>
        <v>60.6604872037829</v>
      </c>
      <c r="U316" s="1" t="n">
        <f aca="false">IF(U313&gt;0,100*(U314+U315)/U313,0)</f>
        <v>60.3387199080113</v>
      </c>
      <c r="V316" s="1" t="n">
        <f aca="false">IF(V313&gt;0,100*(V314+V315)/V313,0)</f>
        <v>60.1053163239769</v>
      </c>
      <c r="W316" s="1" t="n">
        <f aca="false">IF(W313&gt;0,100*(W314+W315)/W313,0)</f>
        <v>59.9514821852948</v>
      </c>
      <c r="X316" s="1" t="n">
        <f aca="false">IF(X313&gt;0,100*(X314+X315)/X313,0)</f>
        <v>59.8695581038483</v>
      </c>
      <c r="Y316" s="1" t="n">
        <f aca="false">IF(Y313&gt;0,100*(Y314+Y315)/Y313,0)</f>
        <v>59.8529849493682</v>
      </c>
      <c r="Z316" s="1" t="n">
        <f aca="false">IF(Z313&gt;0,100*(Z314+Z315)/Z313,0)</f>
        <v>59.8961130380374</v>
      </c>
      <c r="AA316" s="1" t="n">
        <f aca="false">IF(AA313&gt;0,100*(AA314+AA315)/AA313,0)</f>
        <v>59.9940493507671</v>
      </c>
      <c r="AB316" s="1" t="n">
        <f aca="false">IF(AB313&gt;0,100*(AB314+AB315)/AB313,0)</f>
        <v>60.1425305604429</v>
      </c>
      <c r="AC316" s="1" t="n">
        <f aca="false">IF(AC313&gt;0,100*(AC314+AC315)/AC313,0)</f>
        <v>60.3378268308041</v>
      </c>
      <c r="AD316" s="1" t="n">
        <f aca="false">IF(AD313&gt;0,100*(AD314+AD315)/AD313,0)</f>
        <v>60.5766596765524</v>
      </c>
      <c r="AE316" s="1" t="n">
        <f aca="false">IF(AE313&gt;0,100*(AE314+AE315)/AE313,0)</f>
        <v>60.8561342446135</v>
      </c>
      <c r="AF316" s="1" t="n">
        <f aca="false">IF(AF313&gt;0,100*(AF314+AF315)/AF313,0)</f>
        <v>61.1736831327213</v>
      </c>
    </row>
    <row r="317" customFormat="false" ht="14.25" hidden="false" customHeight="true" outlineLevel="0" collapsed="false">
      <c r="B317" s="1" t="s">
        <v>1309</v>
      </c>
      <c r="C317" s="1" t="n">
        <f aca="false">$C$329*C291</f>
        <v>3.22486679147384</v>
      </c>
      <c r="D317" s="1" t="n">
        <f aca="false">$C$329*D291</f>
        <v>4.98643169373991</v>
      </c>
      <c r="E317" s="1" t="n">
        <f aca="false">$C$329*E291</f>
        <v>6.19404221709059</v>
      </c>
      <c r="F317" s="1" t="n">
        <f aca="false">$C$329*F291</f>
        <v>2.27125160374285</v>
      </c>
      <c r="G317" s="1" t="n">
        <f aca="false">$C$329*G291</f>
        <v>8.36839093470996</v>
      </c>
      <c r="H317" s="1" t="n">
        <f aca="false">$C$329*H291</f>
        <v>9.71113245016868</v>
      </c>
      <c r="I317" s="1" t="n">
        <f aca="false">$C$329*I291</f>
        <v>11.0871261497597</v>
      </c>
      <c r="J317" s="1" t="n">
        <f aca="false">$C$329*J291</f>
        <v>12.4971457093335</v>
      </c>
      <c r="K317" s="1" t="n">
        <f aca="false">$C$329*K291</f>
        <v>10.6150943763948</v>
      </c>
      <c r="L317" s="1" t="n">
        <f aca="false">$C$329*L291</f>
        <v>8.65503384248633</v>
      </c>
      <c r="M317" s="1" t="n">
        <f aca="false">$C$329*M291</f>
        <v>12.7193569903148</v>
      </c>
      <c r="N317" s="1" t="n">
        <f aca="false">$C$329*N291</f>
        <v>12.497193864496</v>
      </c>
      <c r="O317" s="1" t="n">
        <f aca="false">$C$329*O291</f>
        <v>10.7719434716886</v>
      </c>
      <c r="P317" s="1" t="n">
        <f aca="false">$C$329*P291</f>
        <v>11.0806807458327</v>
      </c>
      <c r="Q317" s="1" t="n">
        <f aca="false">$C$329*Q291</f>
        <v>11.3353455071876</v>
      </c>
      <c r="R317" s="1" t="n">
        <f aca="false">$C$329*R291</f>
        <v>11.5994968121861</v>
      </c>
      <c r="S317" s="1" t="n">
        <f aca="false">$C$329*S291</f>
        <v>11.8708850864179</v>
      </c>
      <c r="T317" s="1" t="n">
        <f aca="false">$C$329*T291</f>
        <v>12.1494401854081</v>
      </c>
      <c r="U317" s="1" t="n">
        <f aca="false">$C$329*U291</f>
        <v>12.4352540056631</v>
      </c>
      <c r="V317" s="1" t="n">
        <f aca="false">$C$329*V291</f>
        <v>12.7284173721905</v>
      </c>
      <c r="W317" s="1" t="n">
        <f aca="false">$C$329*W291</f>
        <v>13.0330516402463</v>
      </c>
      <c r="X317" s="1" t="n">
        <f aca="false">$C$329*X291</f>
        <v>13.3460144367255</v>
      </c>
      <c r="Y317" s="1" t="n">
        <f aca="false">$C$329*Y291</f>
        <v>13.6673997668949</v>
      </c>
      <c r="Z317" s="1" t="n">
        <f aca="false">$C$329*Z291</f>
        <v>13.9973061137823</v>
      </c>
      <c r="AA317" s="1" t="n">
        <f aca="false">$C$329*AA291</f>
        <v>14.33583518877</v>
      </c>
      <c r="AB317" s="1" t="n">
        <f aca="false">$C$329*AB291</f>
        <v>14.6830039972467</v>
      </c>
      <c r="AC317" s="1" t="n">
        <f aca="false">$C$329*AC291</f>
        <v>15.0389045267037</v>
      </c>
      <c r="AD317" s="1" t="n">
        <f aca="false">$C$329*AD291</f>
        <v>15.4036321554898</v>
      </c>
      <c r="AE317" s="1" t="n">
        <f aca="false">$C$329*AE291</f>
        <v>15.7772855999318</v>
      </c>
      <c r="AF317" s="1" t="n">
        <f aca="false">$C$329*AF291</f>
        <v>16.1599668933762</v>
      </c>
    </row>
    <row r="318" customFormat="false" ht="14.25" hidden="false" customHeight="true" outlineLevel="0" collapsed="false">
      <c r="B318" s="146" t="s">
        <v>1310</v>
      </c>
      <c r="C318" s="1" t="n">
        <f aca="false">$C$329*(C290+(1-$C$279)*C332)</f>
        <v>0</v>
      </c>
      <c r="D318" s="1" t="n">
        <f aca="false">$C$329*(D290+(1-$C$279)*D332)</f>
        <v>0.647553251727948</v>
      </c>
      <c r="E318" s="1" t="n">
        <f aca="false">$C$329*(E290+(1-$C$279)*E332)</f>
        <v>1.51880004288395</v>
      </c>
      <c r="F318" s="1" t="n">
        <f aca="false">$C$329*(F290+(1-$C$279)*F332)</f>
        <v>2.45758867146464</v>
      </c>
      <c r="G318" s="1" t="n">
        <f aca="false">$C$329*(G290+(1-$C$279)*G332)</f>
        <v>2.42017218826611</v>
      </c>
      <c r="H318" s="1" t="n">
        <f aca="false">$C$329*(H290+(1-$C$279)*H332)</f>
        <v>3.61457451255203</v>
      </c>
      <c r="I318" s="1" t="n">
        <f aca="false">$C$329*(I290+(1-$C$279)*I332)</f>
        <v>4.83876334642545</v>
      </c>
      <c r="J318" s="1" t="n">
        <f aca="false">$C$329*(J290+(1-$C$279)*J332)</f>
        <v>6.09343459733497</v>
      </c>
      <c r="K318" s="1" t="n">
        <f aca="false">$C$329*(K290+(1-$C$279)*K332)</f>
        <v>7.37929978862427</v>
      </c>
      <c r="L318" s="1" t="n">
        <f aca="false">$C$329*(L290+(1-$C$279)*L332)</f>
        <v>8.02904734184859</v>
      </c>
      <c r="M318" s="1" t="n">
        <f aca="false">$C$329*(M290+(1-$C$279)*M332)</f>
        <v>8.15474543117665</v>
      </c>
      <c r="N318" s="1" t="n">
        <f aca="false">$C$329*(N290+(1-$C$279)*N332)</f>
        <v>9.07131943225159</v>
      </c>
      <c r="O318" s="1" t="n">
        <f aca="false">$C$329*(O290+(1-$C$279)*O332)</f>
        <v>9.75923501824627</v>
      </c>
      <c r="P318" s="1" t="n">
        <f aca="false">$C$329*(P290+(1-$C$279)*P332)</f>
        <v>9.96258687569749</v>
      </c>
      <c r="Q318" s="1" t="n">
        <f aca="false">$C$329*(Q290+(1-$C$279)*Q332)</f>
        <v>10.1871001248206</v>
      </c>
      <c r="R318" s="1" t="n">
        <f aca="false">$C$329*(R290+(1-$C$279)*R332)</f>
        <v>10.4176677975999</v>
      </c>
      <c r="S318" s="1" t="n">
        <f aca="false">$C$329*(S290+(1-$C$279)*S332)</f>
        <v>10.6549790637288</v>
      </c>
      <c r="T318" s="1" t="n">
        <f aca="false">$C$329*(T290+(1-$C$279)*T332)</f>
        <v>10.8991329930848</v>
      </c>
      <c r="U318" s="1" t="n">
        <f aca="false">$C$329*(U290+(1-$C$279)*U332)</f>
        <v>11.1501946773033</v>
      </c>
      <c r="V318" s="1" t="n">
        <f aca="false">$C$329*(V290+(1-$C$279)*V332)</f>
        <v>11.4082345904379</v>
      </c>
      <c r="W318" s="1" t="n">
        <f aca="false">$C$329*(W290+(1-$C$279)*W332)</f>
        <v>11.6733272930139</v>
      </c>
      <c r="X318" s="1" t="n">
        <f aca="false">$C$329*(X290+(1-$C$279)*X332)</f>
        <v>11.9463599419381</v>
      </c>
      <c r="Y318" s="1" t="n">
        <f aca="false">$C$329*(Y290+(1-$C$279)*Y332)</f>
        <v>12.2274105644914</v>
      </c>
      <c r="Z318" s="1" t="n">
        <f aca="false">$C$329*(Z290+(1-$C$279)*Z332)</f>
        <v>12.516560396334</v>
      </c>
      <c r="AA318" s="1" t="n">
        <f aca="false">$C$329*(AA290+(1-$C$279)*AA332)</f>
        <v>12.8138941363977</v>
      </c>
      <c r="AB318" s="1" t="n">
        <f aca="false">$C$329*(AB290+(1-$C$279)*AB332)</f>
        <v>13.119499899714</v>
      </c>
      <c r="AC318" s="1" t="n">
        <f aca="false">$C$329*(AC290+(1-$C$279)*AC332)</f>
        <v>13.4334515224986</v>
      </c>
      <c r="AD318" s="1" t="n">
        <f aca="false">$C$329*(AD290+(1-$C$279)*AD332)</f>
        <v>13.755826485743</v>
      </c>
      <c r="AE318" s="1" t="n">
        <f aca="false">$C$329*(AE290+(1-$C$279)*AE332)</f>
        <v>14.0867058642281</v>
      </c>
      <c r="AF318" s="1" t="n">
        <f aca="false">$C$329*(AF290+(1-$C$279)*AF332)</f>
        <v>14.4261742751574</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0.967460037442153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1.81841618726936</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2.35685583450117</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1.30077970283191</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2.73764244078727</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3.7501788285216</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4.29725108994477</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4.85785632777601</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4.43424288385179</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3.65801959038538</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4.68131048134307</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5.02109385838029</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4.48130242795618</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4.40139857091866</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4.50867172673954</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4.61338359437458</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4.72121520714397</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4.83192056426421</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4.94552022023974</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5.06205061222346</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5.18275722929293</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5.30710949504226</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5.43482137374101</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5.56593181082419</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5.70048116800925</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5.83848471805101</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5.97997175773577</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6.12498009931731</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6.27354889552852</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6.42571862800603</v>
      </c>
    </row>
    <row r="320" customFormat="false" ht="14.25" hidden="false" customHeight="true" outlineLevel="0" collapsed="false">
      <c r="B320" s="147" t="s">
        <v>1312</v>
      </c>
      <c r="C320" s="1" t="n">
        <f aca="false">01_Supuestos!$C$185*C317</f>
        <v>0.967460037442153</v>
      </c>
      <c r="D320" s="1" t="n">
        <f aca="false">01_Supuestos!$C$185*D317</f>
        <v>1.49592950812197</v>
      </c>
      <c r="E320" s="1" t="n">
        <f aca="false">01_Supuestos!$C$185*E317</f>
        <v>1.85821266512718</v>
      </c>
      <c r="F320" s="1" t="n">
        <f aca="false">01_Supuestos!$C$185*F317</f>
        <v>0.681375481122854</v>
      </c>
      <c r="G320" s="1" t="n">
        <f aca="false">01_Supuestos!$C$185*G317</f>
        <v>2.51051728041299</v>
      </c>
      <c r="H320" s="1" t="n">
        <f aca="false">01_Supuestos!$C$185*H317</f>
        <v>2.9133397350506</v>
      </c>
      <c r="I320" s="1" t="n">
        <f aca="false">01_Supuestos!$C$185*I317</f>
        <v>3.32613784492791</v>
      </c>
      <c r="J320" s="1" t="n">
        <f aca="false">01_Supuestos!$C$185*J317</f>
        <v>3.74914371280004</v>
      </c>
      <c r="K320" s="1" t="n">
        <f aca="false">01_Supuestos!$C$185*K317</f>
        <v>3.18452831291844</v>
      </c>
      <c r="L320" s="1" t="n">
        <f aca="false">01_Supuestos!$C$185*L317</f>
        <v>2.5965101527459</v>
      </c>
      <c r="M320" s="1" t="n">
        <f aca="false">01_Supuestos!$C$185*M317</f>
        <v>3.81580709709444</v>
      </c>
      <c r="N320" s="1" t="n">
        <f aca="false">01_Supuestos!$C$185*N317</f>
        <v>3.74915815934881</v>
      </c>
      <c r="O320" s="1" t="n">
        <f aca="false">01_Supuestos!$C$185*O317</f>
        <v>3.23158304150658</v>
      </c>
      <c r="P320" s="1" t="n">
        <f aca="false">01_Supuestos!$C$185*P317</f>
        <v>3.3242042237498</v>
      </c>
      <c r="Q320" s="1" t="n">
        <f aca="false">01_Supuestos!$C$185*Q317</f>
        <v>3.40060365215628</v>
      </c>
      <c r="R320" s="1" t="n">
        <f aca="false">01_Supuestos!$C$185*R317</f>
        <v>3.47984904365582</v>
      </c>
      <c r="S320" s="1" t="n">
        <f aca="false">01_Supuestos!$C$185*S317</f>
        <v>3.56126552592537</v>
      </c>
      <c r="T320" s="1" t="n">
        <f aca="false">01_Supuestos!$C$185*T317</f>
        <v>3.64483205562242</v>
      </c>
      <c r="U320" s="1" t="n">
        <f aca="false">01_Supuestos!$C$185*U317</f>
        <v>3.73057620169893</v>
      </c>
      <c r="V320" s="1" t="n">
        <f aca="false">01_Supuestos!$C$185*V317</f>
        <v>3.81852521165715</v>
      </c>
      <c r="W320" s="1" t="n">
        <f aca="false">01_Supuestos!$C$185*W317</f>
        <v>3.90991549207388</v>
      </c>
      <c r="X320" s="1" t="n">
        <f aca="false">01_Supuestos!$C$185*X317</f>
        <v>4.00380433101764</v>
      </c>
      <c r="Y320" s="1" t="n">
        <f aca="false">01_Supuestos!$C$185*Y317</f>
        <v>4.10021993006846</v>
      </c>
      <c r="Z320" s="1" t="n">
        <f aca="false">01_Supuestos!$C$185*Z317</f>
        <v>4.1991918341347</v>
      </c>
      <c r="AA320" s="1" t="n">
        <f aca="false">01_Supuestos!$C$185*AA317</f>
        <v>4.30075055663101</v>
      </c>
      <c r="AB320" s="1" t="n">
        <f aca="false">01_Supuestos!$C$185*AB317</f>
        <v>4.404901199174</v>
      </c>
      <c r="AC320" s="1" t="n">
        <f aca="false">01_Supuestos!$C$185*AC317</f>
        <v>4.51167135801111</v>
      </c>
      <c r="AD320" s="1" t="n">
        <f aca="false">01_Supuestos!$C$185*AD317</f>
        <v>4.62108964664694</v>
      </c>
      <c r="AE320" s="1" t="n">
        <f aca="false">01_Supuestos!$C$185*AE317</f>
        <v>4.73318567997954</v>
      </c>
      <c r="AF320" s="1" t="n">
        <f aca="false">01_Supuestos!$C$185*AF317</f>
        <v>4.84799006801285</v>
      </c>
    </row>
    <row r="321" customFormat="false" ht="14.25" hidden="false" customHeight="true" outlineLevel="0" collapsed="false">
      <c r="B321" s="148" t="s">
        <v>1313</v>
      </c>
      <c r="C321" s="1" t="n">
        <f aca="false">C320-C323</f>
        <v>0.967460037442153</v>
      </c>
      <c r="D321" s="1" t="n">
        <f aca="false">C321+D320-D323</f>
        <v>1.81841618726936</v>
      </c>
      <c r="E321" s="1" t="n">
        <f aca="false">D321+E320-E323</f>
        <v>2.35685583450117</v>
      </c>
      <c r="F321" s="1" t="n">
        <f aca="false">E321+F320-F323</f>
        <v>1.30077970283191</v>
      </c>
      <c r="G321" s="1" t="n">
        <f aca="false">F321+G320-G323</f>
        <v>2.73764244078727</v>
      </c>
      <c r="H321" s="1" t="n">
        <f aca="false">G321+H320-H323</f>
        <v>3.7501788285216</v>
      </c>
      <c r="I321" s="1" t="n">
        <f aca="false">H321+I320-I323</f>
        <v>4.29725108994477</v>
      </c>
      <c r="J321" s="1" t="n">
        <f aca="false">I321+J320-J323</f>
        <v>4.85785632777601</v>
      </c>
      <c r="K321" s="1" t="n">
        <f aca="false">J321+K320-K323</f>
        <v>4.43424288385179</v>
      </c>
      <c r="L321" s="1" t="n">
        <f aca="false">K321+L320-L323</f>
        <v>3.65801959038538</v>
      </c>
      <c r="M321" s="1" t="n">
        <f aca="false">L321+M320-M323</f>
        <v>4.68131048134307</v>
      </c>
      <c r="N321" s="1" t="n">
        <f aca="false">M321+N320-N323</f>
        <v>5.02109385838029</v>
      </c>
      <c r="O321" s="1" t="n">
        <f aca="false">N321+O320-O323</f>
        <v>4.48130242795618</v>
      </c>
      <c r="P321" s="1" t="n">
        <f aca="false">O321+P320-P323</f>
        <v>4.40139857091866</v>
      </c>
      <c r="Q321" s="1" t="n">
        <f aca="false">P321+Q320-Q323</f>
        <v>4.50867172673954</v>
      </c>
      <c r="R321" s="1" t="n">
        <f aca="false">Q321+R320-R323</f>
        <v>4.61338359437458</v>
      </c>
      <c r="S321" s="1" t="n">
        <f aca="false">R321+S320-S323</f>
        <v>4.72121520714397</v>
      </c>
      <c r="T321" s="1" t="n">
        <f aca="false">S321+T320-T323</f>
        <v>4.83192056426421</v>
      </c>
      <c r="U321" s="1" t="n">
        <f aca="false">T321+U320-U323</f>
        <v>4.94552022023974</v>
      </c>
      <c r="V321" s="1" t="n">
        <f aca="false">U321+V320-V323</f>
        <v>5.06205061222346</v>
      </c>
      <c r="W321" s="1" t="n">
        <f aca="false">V321+W320-W323</f>
        <v>5.18275722929293</v>
      </c>
      <c r="X321" s="1" t="n">
        <f aca="false">W321+X320-X323</f>
        <v>5.30710949504226</v>
      </c>
      <c r="Y321" s="1" t="n">
        <f aca="false">X321+Y320-Y323</f>
        <v>5.43482137374101</v>
      </c>
      <c r="Z321" s="1" t="n">
        <f aca="false">Y321+Z320-Z323</f>
        <v>5.56593181082419</v>
      </c>
      <c r="AA321" s="1" t="n">
        <f aca="false">Z321+AA320-AA323</f>
        <v>5.70048116800925</v>
      </c>
      <c r="AB321" s="1" t="n">
        <f aca="false">AA321+AB320-AB323</f>
        <v>5.83848471805101</v>
      </c>
      <c r="AC321" s="1" t="n">
        <f aca="false">AB321+AC320-AC323</f>
        <v>5.97997175773577</v>
      </c>
      <c r="AD321" s="1" t="n">
        <f aca="false">AC321+AD320-AD323</f>
        <v>6.12498009931731</v>
      </c>
      <c r="AE321" s="1" t="n">
        <f aca="false">AD321+AE320-AE323</f>
        <v>6.27354889552852</v>
      </c>
      <c r="AF321" s="1" t="n">
        <f aca="false">AE321+AF320-AF323</f>
        <v>6.42571862800603</v>
      </c>
    </row>
    <row r="322" customFormat="false" ht="14.25" hidden="false" customHeight="true" outlineLevel="0" collapsed="false">
      <c r="B322" s="148" t="s">
        <v>1314</v>
      </c>
      <c r="C322" s="1" t="n">
        <f aca="false">$C$172*C83</f>
        <v>3.25</v>
      </c>
      <c r="D322" s="1" t="n">
        <f aca="false">$C$172*D83</f>
        <v>6.57475</v>
      </c>
      <c r="E322" s="1" t="n">
        <f aca="false">$C$172*E83</f>
        <v>9.97596925</v>
      </c>
      <c r="F322" s="1" t="n">
        <f aca="false">$C$172*F83</f>
        <v>13.45541654275</v>
      </c>
      <c r="G322" s="1" t="n">
        <f aca="false">$C$172*G83</f>
        <v>17.0148911232332</v>
      </c>
      <c r="H322" s="1" t="n">
        <f aca="false">$C$172*H83</f>
        <v>20.6562336190676</v>
      </c>
      <c r="I322" s="1" t="n">
        <f aca="false">$C$172*I83</f>
        <v>24.3813269923062</v>
      </c>
      <c r="J322" s="1" t="n">
        <f aca="false">$C$172*J83</f>
        <v>28.1920975131292</v>
      </c>
      <c r="K322" s="1" t="n">
        <f aca="false">$C$172*K83</f>
        <v>30.2791430111256</v>
      </c>
      <c r="L322" s="1" t="n">
        <f aca="false">$C$172*L83</f>
        <v>30.9755633003815</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0.644973358294769</v>
      </c>
      <c r="E323" s="1" t="n">
        <f aca="false">MAX(0,MIN(E318,D321+E320,D321+E320-E319))</f>
        <v>1.31977301789537</v>
      </c>
      <c r="F323" s="1" t="n">
        <f aca="false">MAX(0,MIN(F318,E321+F320,E321+F320-F319))</f>
        <v>1.73745161279211</v>
      </c>
      <c r="G323" s="1" t="n">
        <f aca="false">MAX(0,MIN(G318,F321+G320,F321+G320-G319))</f>
        <v>1.07365454245763</v>
      </c>
      <c r="H323" s="1" t="n">
        <f aca="false">MAX(0,MIN(H318,G321+H320,G321+H320-H319))</f>
        <v>1.90080334731628</v>
      </c>
      <c r="I323" s="1" t="n">
        <f aca="false">MAX(0,MIN(I318,H321+I320,H321+I320-I319))</f>
        <v>2.77906558350473</v>
      </c>
      <c r="J323" s="1" t="n">
        <f aca="false">MAX(0,MIN(J318,I321+J320,I321+J320-J319))</f>
        <v>3.1885384749688</v>
      </c>
      <c r="K323" s="1" t="n">
        <f aca="false">MAX(0,MIN(K318,J321+K320,J321+K320-K319))</f>
        <v>3.60814175684266</v>
      </c>
      <c r="L323" s="1" t="n">
        <f aca="false">MAX(0,MIN(L318,K321+L320,K321+L320-L319))</f>
        <v>3.37273344621231</v>
      </c>
      <c r="M323" s="1" t="n">
        <f aca="false">MAX(0,MIN(M318,L321+M320,L321+M320-M319))</f>
        <v>2.79251620613675</v>
      </c>
      <c r="N323" s="1" t="n">
        <f aca="false">MAX(0,MIN(N318,M321+N320,M321+N320-N319))</f>
        <v>3.40937478231159</v>
      </c>
      <c r="O323" s="1" t="n">
        <f aca="false">MAX(0,MIN(O318,N321+O320,N321+O320-O319))</f>
        <v>3.77137447193069</v>
      </c>
      <c r="P323" s="1" t="n">
        <f aca="false">MAX(0,MIN(P318,O321+P320,O321+P320-P319))</f>
        <v>3.40410808078732</v>
      </c>
      <c r="Q323" s="1" t="n">
        <f aca="false">MAX(0,MIN(Q318,P321+Q320,P321+Q320-Q319))</f>
        <v>3.29333049633539</v>
      </c>
      <c r="R323" s="1" t="n">
        <f aca="false">MAX(0,MIN(R318,Q321+R320,Q321+R320-R319))</f>
        <v>3.37513717602078</v>
      </c>
      <c r="S323" s="1" t="n">
        <f aca="false">MAX(0,MIN(S318,R321+S320,R321+S320-S319))</f>
        <v>3.45343391315597</v>
      </c>
      <c r="T323" s="1" t="n">
        <f aca="false">MAX(0,MIN(T318,S321+T320,S321+T320-T319))</f>
        <v>3.53412669850218</v>
      </c>
      <c r="U323" s="1" t="n">
        <f aca="false">MAX(0,MIN(U318,T321+U320,T321+U320-U319))</f>
        <v>3.6169765457234</v>
      </c>
      <c r="V323" s="1" t="n">
        <f aca="false">MAX(0,MIN(V318,U321+V320,U321+V320-V319))</f>
        <v>3.70199481967343</v>
      </c>
      <c r="W323" s="1" t="n">
        <f aca="false">MAX(0,MIN(W318,V321+W320,V321+W320-W319))</f>
        <v>3.78920887500441</v>
      </c>
      <c r="X323" s="1" t="n">
        <f aca="false">MAX(0,MIN(X318,W321+X320,W321+X320-X319))</f>
        <v>3.87945206526831</v>
      </c>
      <c r="Y323" s="1" t="n">
        <f aca="false">MAX(0,MIN(Y318,X321+Y320,X321+Y320-Y319))</f>
        <v>3.97250805136972</v>
      </c>
      <c r="Z323" s="1" t="n">
        <f aca="false">MAX(0,MIN(Z318,Y321+Z320,Y321+Z320-Z319))</f>
        <v>4.06808139705152</v>
      </c>
      <c r="AA323" s="1" t="n">
        <f aca="false">MAX(0,MIN(AA318,Z321+AA320,Z321+AA320-AA319))</f>
        <v>4.16620119944596</v>
      </c>
      <c r="AB323" s="1" t="n">
        <f aca="false">MAX(0,MIN(AB318,AA321+AB320,AA321+AB320-AB319))</f>
        <v>4.26689764913224</v>
      </c>
      <c r="AC323" s="1" t="n">
        <f aca="false">MAX(0,MIN(AC318,AB321+AC320,AB321+AC320-AC319))</f>
        <v>4.37018431832634</v>
      </c>
      <c r="AD323" s="1" t="n">
        <f aca="false">MAX(0,MIN(AD318,AC321+AD320,AC321+AD320-AD319))</f>
        <v>4.47608130506541</v>
      </c>
      <c r="AE323" s="1" t="n">
        <f aca="false">MAX(0,MIN(AE318,AD321+AE320,AD321+AE320-AE319))</f>
        <v>4.58461688376833</v>
      </c>
      <c r="AF323" s="1" t="n">
        <f aca="false">MAX(0,MIN(AF318,AE321+AF320,AE321+AF320-AF319))</f>
        <v>4.69582033553534</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0.967460037442153</v>
      </c>
      <c r="D326" s="1" t="n">
        <f aca="false">IF(01_Supuestos!$C$184="Sí",D321,$C$172*D83)</f>
        <v>1.81841618726936</v>
      </c>
      <c r="E326" s="1" t="n">
        <f aca="false">IF(01_Supuestos!$C$184="Sí",E321,$C$172*E83)</f>
        <v>2.35685583450117</v>
      </c>
      <c r="F326" s="1" t="n">
        <f aca="false">IF(01_Supuestos!$C$184="Sí",F321,$C$172*F83)</f>
        <v>1.30077970283191</v>
      </c>
      <c r="G326" s="1" t="n">
        <f aca="false">IF(01_Supuestos!$C$184="Sí",G321,$C$172*G83)</f>
        <v>2.73764244078727</v>
      </c>
      <c r="H326" s="1" t="n">
        <f aca="false">IF(01_Supuestos!$C$184="Sí",H321,$C$172*H83)</f>
        <v>3.7501788285216</v>
      </c>
      <c r="I326" s="1" t="n">
        <f aca="false">IF(01_Supuestos!$C$184="Sí",I321,$C$172*I83)</f>
        <v>4.29725108994477</v>
      </c>
      <c r="J326" s="1" t="n">
        <f aca="false">IF(01_Supuestos!$C$184="Sí",J321,$C$172*J83)</f>
        <v>4.85785632777601</v>
      </c>
      <c r="K326" s="1" t="n">
        <f aca="false">IF(01_Supuestos!$C$184="Sí",K321,$C$172*K83)</f>
        <v>4.43424288385179</v>
      </c>
      <c r="L326" s="1" t="n">
        <f aca="false">IF(01_Supuestos!$C$184="Sí",L321,$C$172*L83)</f>
        <v>3.65801959038538</v>
      </c>
      <c r="M326" s="1" t="n">
        <f aca="false">IF(01_Supuestos!$C$184="Sí",M321,$C$172*M83)</f>
        <v>4.68131048134307</v>
      </c>
      <c r="N326" s="1" t="n">
        <f aca="false">IF(01_Supuestos!$C$184="Sí",N321,$C$172*N83)</f>
        <v>5.02109385838029</v>
      </c>
      <c r="O326" s="1" t="n">
        <f aca="false">IF(01_Supuestos!$C$184="Sí",O321,$C$172*O83)</f>
        <v>4.48130242795618</v>
      </c>
      <c r="P326" s="1" t="n">
        <f aca="false">IF(01_Supuestos!$C$184="Sí",P321,$C$172*P83)</f>
        <v>4.40139857091866</v>
      </c>
      <c r="Q326" s="1" t="n">
        <f aca="false">IF(01_Supuestos!$C$184="Sí",Q321,$C$172*Q83)</f>
        <v>4.50867172673954</v>
      </c>
      <c r="R326" s="1" t="n">
        <f aca="false">IF(01_Supuestos!$C$184="Sí",R321,$C$172*R83)</f>
        <v>4.61338359437458</v>
      </c>
      <c r="S326" s="1" t="n">
        <f aca="false">IF(01_Supuestos!$C$184="Sí",S321,$C$172*S83)</f>
        <v>4.72121520714397</v>
      </c>
      <c r="T326" s="1" t="n">
        <f aca="false">IF(01_Supuestos!$C$184="Sí",T321,$C$172*T83)</f>
        <v>4.83192056426421</v>
      </c>
      <c r="U326" s="1" t="n">
        <f aca="false">IF(01_Supuestos!$C$184="Sí",U321,$C$172*U83)</f>
        <v>4.94552022023974</v>
      </c>
      <c r="V326" s="1" t="n">
        <f aca="false">IF(01_Supuestos!$C$184="Sí",V321,$C$172*V83)</f>
        <v>5.06205061222346</v>
      </c>
      <c r="W326" s="1" t="n">
        <f aca="false">IF(01_Supuestos!$C$184="Sí",W321,$C$172*W83)</f>
        <v>5.18275722929293</v>
      </c>
      <c r="X326" s="1" t="n">
        <f aca="false">IF(01_Supuestos!$C$184="Sí",X321,$C$172*X83)</f>
        <v>5.30710949504226</v>
      </c>
      <c r="Y326" s="1" t="n">
        <f aca="false">IF(01_Supuestos!$C$184="Sí",Y321,$C$172*Y83)</f>
        <v>5.43482137374101</v>
      </c>
      <c r="Z326" s="1" t="n">
        <f aca="false">IF(01_Supuestos!$C$184="Sí",Z321,$C$172*Z83)</f>
        <v>5.56593181082419</v>
      </c>
      <c r="AA326" s="1" t="n">
        <f aca="false">IF(01_Supuestos!$C$184="Sí",AA321,$C$172*AA83)</f>
        <v>5.70048116800925</v>
      </c>
      <c r="AB326" s="1" t="n">
        <f aca="false">IF(01_Supuestos!$C$184="Sí",AB321,$C$172*AB83)</f>
        <v>5.83848471805101</v>
      </c>
      <c r="AC326" s="1" t="n">
        <f aca="false">IF(01_Supuestos!$C$184="Sí",AC321,$C$172*AC83)</f>
        <v>5.97997175773577</v>
      </c>
      <c r="AD326" s="1" t="n">
        <f aca="false">IF(01_Supuestos!$C$184="Sí",AD321,$C$172*AD83)</f>
        <v>6.12498009931731</v>
      </c>
      <c r="AE326" s="1" t="n">
        <f aca="false">IF(01_Supuestos!$C$184="Sí",AE321,$C$172*AE83)</f>
        <v>6.27354889552852</v>
      </c>
      <c r="AF326" s="1" t="n">
        <f aca="false">IF(01_Supuestos!$C$184="Sí",AF321,$C$172*AF83)</f>
        <v>6.42571862800603</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0.0626694761096131</v>
      </c>
      <c r="E327" s="1" t="n">
        <f aca="false">IF(01_Supuestos!$C$184="Sí",MAX(0.001,IF(D299&gt;0,D320/D299,$C$328*(1-$C$279))),$C$172)</f>
        <v>0.0847451469282561</v>
      </c>
      <c r="F327" s="1" t="n">
        <f aca="false">IF(01_Supuestos!$C$184="Sí",MAX(0.001,IF(E299&gt;0,E320/E299,$C$328*(1-$C$279))),$C$172)</f>
        <v>0.0928203591563916</v>
      </c>
      <c r="G327" s="1" t="n">
        <f aca="false">IF(01_Supuestos!$C$184="Sí",MAX(0.001,IF(F299&gt;0,F320/F299,$C$328*(1-$C$279))),$C$172)</f>
        <v>0.0303313177333652</v>
      </c>
      <c r="H327" s="1" t="n">
        <f aca="false">IF(01_Supuestos!$C$184="Sí",MAX(0.001,IF(G299&gt;0,G320/G299,$C$328*(1-$C$279))),$C$172)</f>
        <v>0.102557826741188</v>
      </c>
      <c r="I327" s="1" t="n">
        <f aca="false">IF(01_Supuestos!$C$184="Sí",MAX(0.001,IF(H299&gt;0,H320/H299,$C$328*(1-$C$279))),$C$172)</f>
        <v>0.107340426428933</v>
      </c>
      <c r="J327" s="1" t="n">
        <f aca="false">IF(01_Supuestos!$C$184="Sí",MAX(0.001,IF(I299&gt;0,I320/I299,$C$328*(1-$C$279))),$C$172)</f>
        <v>0.11137034192612</v>
      </c>
      <c r="K327" s="1" t="n">
        <f aca="false">IF(01_Supuestos!$C$184="Sí",MAX(0.001,IF(J299&gt;0,J320/J299,$C$328*(1-$C$279))),$C$172)</f>
        <v>0.114814938631079</v>
      </c>
      <c r="L327" s="1" t="n">
        <f aca="false">IF(01_Supuestos!$C$184="Sí",MAX(0.001,IF(K299&gt;0,K320/K299,$C$328*(1-$C$279))),$C$172)</f>
        <v>0.118369516390856</v>
      </c>
      <c r="M327" s="1" t="n">
        <f aca="false">IF(01_Supuestos!$C$184="Sí",MAX(0.001,IF(L299&gt;0,L320/L299,$C$328*(1-$C$279))),$C$172)</f>
        <v>0.120175357406344</v>
      </c>
      <c r="N327" s="1" t="n">
        <f aca="false">IF(01_Supuestos!$C$184="Sí",MAX(0.001,IF(M299&gt;0,M320/M299,$C$328*(1-$C$279))),$C$172)</f>
        <v>0.145172356074486</v>
      </c>
      <c r="O327" s="1" t="n">
        <f aca="false">IF(01_Supuestos!$C$184="Sí",MAX(0.001,IF(N299&gt;0,N320/N299,$C$328*(1-$C$279))),$C$172)</f>
        <v>0.150163734988555</v>
      </c>
      <c r="P327" s="1" t="n">
        <f aca="false">IF(01_Supuestos!$C$184="Sí",MAX(0.001,IF(O299&gt;0,O320/O299,$C$328*(1-$C$279))),$C$172)</f>
        <v>0.136361247991609</v>
      </c>
      <c r="Q327" s="1" t="n">
        <f aca="false">IF(01_Supuestos!$C$184="Sí",MAX(0.001,IF(P299&gt;0,P320/P299,$C$328*(1-$C$279))),$C$172)</f>
        <v>0.137174114453898</v>
      </c>
      <c r="R327" s="1" t="n">
        <f aca="false">IF(01_Supuestos!$C$184="Sí",MAX(0.001,IF(Q299&gt;0,Q320/Q299,$C$328*(1-$C$279))),$C$172)</f>
        <v>0.137184288464087</v>
      </c>
      <c r="S327" s="1" t="n">
        <f aca="false">IF(01_Supuestos!$C$184="Sí",MAX(0.001,IF(R299&gt;0,R320/R299,$C$328*(1-$C$279))),$C$172)</f>
        <v>0.13723482371377</v>
      </c>
      <c r="T327" s="1" t="n">
        <f aca="false">IF(01_Supuestos!$C$184="Sí",MAX(0.001,IF(S299&gt;0,S320/S299,$C$328*(1-$C$279))),$C$172)</f>
        <v>0.137293945150236</v>
      </c>
      <c r="U327" s="1" t="n">
        <f aca="false">IF(01_Supuestos!$C$184="Sí",MAX(0.001,IF(T299&gt;0,T320/T299,$C$328*(1-$C$279))),$C$172)</f>
        <v>0.13735870414093</v>
      </c>
      <c r="V327" s="1" t="n">
        <f aca="false">IF(01_Supuestos!$C$184="Sí",MAX(0.001,IF(U299&gt;0,U320/U299,$C$328*(1-$C$279))),$C$172)</f>
        <v>0.137428234519202</v>
      </c>
      <c r="W327" s="1" t="n">
        <f aca="false">IF(01_Supuestos!$C$184="Sí",MAX(0.001,IF(V299&gt;0,V320/V299,$C$328*(1-$C$279))),$C$172)</f>
        <v>0.137501675262521</v>
      </c>
      <c r="X327" s="1" t="n">
        <f aca="false">IF(01_Supuestos!$C$184="Sí",MAX(0.001,IF(W299&gt;0,W320/W299,$C$328*(1-$C$279))),$C$172)</f>
        <v>0.137620747373107</v>
      </c>
      <c r="Y327" s="1" t="n">
        <f aca="false">IF(01_Supuestos!$C$184="Sí",MAX(0.001,IF(X299&gt;0,X320/X299,$C$328*(1-$C$279))),$C$172)</f>
        <v>0.137746517208555</v>
      </c>
      <c r="Z327" s="1" t="n">
        <f aca="false">IF(01_Supuestos!$C$184="Sí",MAX(0.001,IF(Y299&gt;0,Y320/Y299,$C$328*(1-$C$279))),$C$172)</f>
        <v>0.137877862729122</v>
      </c>
      <c r="AA327" s="1" t="n">
        <f aca="false">IF(01_Supuestos!$C$184="Sí",MAX(0.001,IF(Z299&gt;0,Z320/Z299,$C$328*(1-$C$279))),$C$172)</f>
        <v>0.138013745951727</v>
      </c>
      <c r="AB327" s="1" t="n">
        <f aca="false">IF(01_Supuestos!$C$184="Sí",MAX(0.001,IF(AA299&gt;0,AA320/AA299,$C$328*(1-$C$279))),$C$172)</f>
        <v>0.138153195339688</v>
      </c>
      <c r="AC327" s="1" t="n">
        <f aca="false">IF(01_Supuestos!$C$184="Sí",MAX(0.001,IF(AB299&gt;0,AB320/AB299,$C$328*(1-$C$279))),$C$172)</f>
        <v>0.138294474286027</v>
      </c>
      <c r="AD327" s="1" t="n">
        <f aca="false">IF(01_Supuestos!$C$184="Sí",MAX(0.001,IF(AC299&gt;0,AC320/AC299,$C$328*(1-$C$279))),$C$172)</f>
        <v>0.138436678288707</v>
      </c>
      <c r="AE327" s="1" t="n">
        <f aca="false">IF(01_Supuestos!$C$184="Sí",MAX(0.001,IF(AD299&gt;0,AD320/AD299,$C$328*(1-$C$279))),$C$172)</f>
        <v>0.138578968381013</v>
      </c>
      <c r="AF327" s="1" t="n">
        <f aca="false">IF(01_Supuestos!$C$184="Sí",MAX(0.001,IF(AE299&gt;0,AE320/AE299,$C$328*(1-$C$279))),$C$172)</f>
        <v>0.138720567086123</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0.00834017273657028</v>
      </c>
      <c r="E330" s="1" t="n">
        <f aca="false">E343</f>
        <v>0.0195614100866012</v>
      </c>
      <c r="F330" s="1" t="n">
        <f aca="false">F343</f>
        <v>0.0316525536405839</v>
      </c>
      <c r="G330" s="1" t="n">
        <f aca="false">G343</f>
        <v>0.0311706474309586</v>
      </c>
      <c r="H330" s="1" t="n">
        <f aca="false">H343</f>
        <v>0.0465539717752099</v>
      </c>
      <c r="I330" s="1" t="n">
        <f aca="false">I343</f>
        <v>0.0623209319587012</v>
      </c>
      <c r="J330" s="1" t="n">
        <f aca="false">J343</f>
        <v>0.0784804909328415</v>
      </c>
      <c r="K330" s="1" t="n">
        <f aca="false">K343</f>
        <v>0.0950418127742169</v>
      </c>
      <c r="L330" s="1" t="n">
        <f aca="false">L343</f>
        <v>0.103410247052934</v>
      </c>
      <c r="M330" s="1" t="n">
        <f aca="false">M343</f>
        <v>0.105029177658031</v>
      </c>
      <c r="N330" s="1" t="n">
        <f aca="false">N343</f>
        <v>0.116834207552354</v>
      </c>
      <c r="O330" s="1" t="n">
        <f aca="false">O343</f>
        <v>0.125694227635745</v>
      </c>
      <c r="P330" s="1" t="n">
        <f aca="false">P343</f>
        <v>0.128313301222234</v>
      </c>
      <c r="Q330" s="1" t="n">
        <f aca="false">Q343</f>
        <v>0.13120492330017</v>
      </c>
      <c r="R330" s="1" t="n">
        <f aca="false">R343</f>
        <v>0.134174523426981</v>
      </c>
      <c r="S330" s="1" t="n">
        <f aca="false">S343</f>
        <v>0.137230977775048</v>
      </c>
      <c r="T330" s="1" t="n">
        <f aca="false">T343</f>
        <v>0.140375562316486</v>
      </c>
      <c r="U330" s="1" t="n">
        <f aca="false">U343</f>
        <v>0.14360911540008</v>
      </c>
      <c r="V330" s="1" t="n">
        <f aca="false">V343</f>
        <v>0.146932544697562</v>
      </c>
      <c r="W330" s="1" t="n">
        <f aca="false">W343</f>
        <v>0.15034681051244</v>
      </c>
      <c r="X330" s="1" t="n">
        <f aca="false">X343</f>
        <v>0.153863338996662</v>
      </c>
      <c r="Y330" s="1" t="n">
        <f aca="false">Y343</f>
        <v>0.15748313510387</v>
      </c>
      <c r="Z330" s="1" t="n">
        <f aca="false">Z343</f>
        <v>0.161207245110086</v>
      </c>
      <c r="AA330" s="1" t="n">
        <f aca="false">AA343</f>
        <v>0.16503675989659</v>
      </c>
      <c r="AB330" s="1" t="n">
        <f aca="false">AB343</f>
        <v>0.168972814342381</v>
      </c>
      <c r="AC330" s="1" t="n">
        <f aca="false">AC343</f>
        <v>0.173016359422207</v>
      </c>
      <c r="AD330" s="1" t="n">
        <f aca="false">AD343</f>
        <v>0.177168393053772</v>
      </c>
      <c r="AE330" s="1" t="n">
        <f aca="false">AE343</f>
        <v>0.181429959441048</v>
      </c>
      <c r="AF330" s="1" t="n">
        <f aca="false">AF343</f>
        <v>0.185802148412695</v>
      </c>
    </row>
    <row r="331" customFormat="false" ht="14.25" hidden="false" customHeight="true" outlineLevel="0" collapsed="false">
      <c r="B331" s="1" t="s">
        <v>1324</v>
      </c>
      <c r="C331" s="1" t="n">
        <f aca="false">C330*$C$338</f>
        <v>0</v>
      </c>
      <c r="D331" s="1" t="n">
        <f aca="false">D330*$C$338</f>
        <v>0.00834017273657028</v>
      </c>
      <c r="E331" s="1" t="n">
        <f aca="false">E330*$C$338</f>
        <v>0.0195614100866012</v>
      </c>
      <c r="F331" s="1" t="n">
        <f aca="false">F330*$C$338</f>
        <v>0.0316525536405839</v>
      </c>
      <c r="G331" s="1" t="n">
        <f aca="false">G330*$C$338</f>
        <v>0.0311706474309586</v>
      </c>
      <c r="H331" s="1" t="n">
        <f aca="false">H330*$C$338</f>
        <v>0.0465539717752099</v>
      </c>
      <c r="I331" s="1" t="n">
        <f aca="false">I330*$C$338</f>
        <v>0.0623209319587012</v>
      </c>
      <c r="J331" s="1" t="n">
        <f aca="false">J330*$C$338</f>
        <v>0.0784804909328415</v>
      </c>
      <c r="K331" s="1" t="n">
        <f aca="false">K330*$C$338</f>
        <v>0.0950418127742169</v>
      </c>
      <c r="L331" s="1" t="n">
        <f aca="false">L330*$C$338</f>
        <v>0.103410247052934</v>
      </c>
      <c r="M331" s="1" t="n">
        <f aca="false">M330*$C$338</f>
        <v>0.105029177658031</v>
      </c>
      <c r="N331" s="1" t="n">
        <f aca="false">N330*$C$338</f>
        <v>0.116834207552354</v>
      </c>
      <c r="O331" s="1" t="n">
        <f aca="false">O330*$C$338</f>
        <v>0.125694227635745</v>
      </c>
      <c r="P331" s="1" t="n">
        <f aca="false">P330*$C$338</f>
        <v>0.128313301222234</v>
      </c>
      <c r="Q331" s="1" t="n">
        <f aca="false">Q330*$C$338</f>
        <v>0.13120492330017</v>
      </c>
      <c r="R331" s="1" t="n">
        <f aca="false">R330*$C$338</f>
        <v>0.134174523426981</v>
      </c>
      <c r="S331" s="1" t="n">
        <f aca="false">S330*$C$338</f>
        <v>0.137230977775048</v>
      </c>
      <c r="T331" s="1" t="n">
        <f aca="false">T330*$C$338</f>
        <v>0.140375562316486</v>
      </c>
      <c r="U331" s="1" t="n">
        <f aca="false">U330*$C$338</f>
        <v>0.14360911540008</v>
      </c>
      <c r="V331" s="1" t="n">
        <f aca="false">V330*$C$338</f>
        <v>0.146932544697562</v>
      </c>
      <c r="W331" s="1" t="n">
        <f aca="false">W330*$C$338</f>
        <v>0.15034681051244</v>
      </c>
      <c r="X331" s="1" t="n">
        <f aca="false">X330*$C$338</f>
        <v>0.153863338996662</v>
      </c>
      <c r="Y331" s="1" t="n">
        <f aca="false">Y330*$C$338</f>
        <v>0.15748313510387</v>
      </c>
      <c r="Z331" s="1" t="n">
        <f aca="false">Z330*$C$338</f>
        <v>0.161207245110086</v>
      </c>
      <c r="AA331" s="1" t="n">
        <f aca="false">AA330*$C$338</f>
        <v>0.16503675989659</v>
      </c>
      <c r="AB331" s="1" t="n">
        <f aca="false">AB330*$C$338</f>
        <v>0.168972814342381</v>
      </c>
      <c r="AC331" s="1" t="n">
        <f aca="false">AC330*$C$338</f>
        <v>0.173016359422207</v>
      </c>
      <c r="AD331" s="1" t="n">
        <f aca="false">AD330*$C$338</f>
        <v>0.177168393053772</v>
      </c>
      <c r="AE331" s="1" t="n">
        <f aca="false">AE330*$C$338</f>
        <v>0.181429959441048</v>
      </c>
      <c r="AF331" s="1" t="n">
        <f aca="false">AF330*$C$338</f>
        <v>0.185802148412695</v>
      </c>
    </row>
    <row r="332" customFormat="false" ht="14.25" hidden="false" customHeight="true" outlineLevel="0" collapsed="false">
      <c r="B332" s="1" t="s">
        <v>1325</v>
      </c>
      <c r="C332" s="1" t="n">
        <f aca="false">IF($C$339&lt;=0,C331,IF($C$339=1,0,0))</f>
        <v>0</v>
      </c>
      <c r="D332" s="1" t="n">
        <f aca="false">IF($C$339&lt;=0,D331,IF($C$339=1,C331,0))</f>
        <v>0.00834017273657028</v>
      </c>
      <c r="E332" s="1" t="n">
        <f aca="false">IF($C$339&lt;=0,E331,IF($C$339=1,D331,C331))</f>
        <v>0.0195614100866012</v>
      </c>
      <c r="F332" s="1" t="n">
        <f aca="false">IF($C$339&lt;=0,F331,IF($C$339=1,E331,D331))</f>
        <v>0.0316525536405839</v>
      </c>
      <c r="G332" s="1" t="n">
        <f aca="false">IF($C$339&lt;=0,G331,IF($C$339=1,F331,E331))</f>
        <v>0.0311706474309586</v>
      </c>
      <c r="H332" s="1" t="n">
        <f aca="false">IF($C$339&lt;=0,H331,IF($C$339=1,G331,F331))</f>
        <v>0.0465539717752099</v>
      </c>
      <c r="I332" s="1" t="n">
        <f aca="false">IF($C$339&lt;=0,I331,IF($C$339=1,H331,G331))</f>
        <v>0.0623209319587012</v>
      </c>
      <c r="J332" s="1" t="n">
        <f aca="false">IF($C$339&lt;=0,J331,IF($C$339=1,I331,H331))</f>
        <v>0.0784804909328415</v>
      </c>
      <c r="K332" s="1" t="n">
        <f aca="false">IF($C$339&lt;=0,K331,IF($C$339=1,J331,I331))</f>
        <v>0.0950418127742169</v>
      </c>
      <c r="L332" s="1" t="n">
        <f aca="false">IF($C$339&lt;=0,L331,IF($C$339=1,K331,J331))</f>
        <v>0.103410247052934</v>
      </c>
      <c r="M332" s="1" t="n">
        <f aca="false">IF($C$339&lt;=0,M331,IF($C$339=1,L331,K331))</f>
        <v>0.105029177658031</v>
      </c>
      <c r="N332" s="1" t="n">
        <f aca="false">IF($C$339&lt;=0,N331,IF($C$339=1,M331,L331))</f>
        <v>0.116834207552354</v>
      </c>
      <c r="O332" s="1" t="n">
        <f aca="false">IF($C$339&lt;=0,O331,IF($C$339=1,N331,M331))</f>
        <v>0.125694227635745</v>
      </c>
      <c r="P332" s="1" t="n">
        <f aca="false">IF($C$339&lt;=0,P331,IF($C$339=1,O331,N331))</f>
        <v>0.128313301222234</v>
      </c>
      <c r="Q332" s="1" t="n">
        <f aca="false">IF($C$339&lt;=0,Q331,IF($C$339=1,P331,O331))</f>
        <v>0.13120492330017</v>
      </c>
      <c r="R332" s="1" t="n">
        <f aca="false">IF($C$339&lt;=0,R331,IF($C$339=1,Q331,P331))</f>
        <v>0.134174523426981</v>
      </c>
      <c r="S332" s="1" t="n">
        <f aca="false">IF($C$339&lt;=0,S331,IF($C$339=1,R331,Q331))</f>
        <v>0.137230977775048</v>
      </c>
      <c r="T332" s="1" t="n">
        <f aca="false">IF($C$339&lt;=0,T331,IF($C$339=1,S331,R331))</f>
        <v>0.140375562316486</v>
      </c>
      <c r="U332" s="1" t="n">
        <f aca="false">IF($C$339&lt;=0,U331,IF($C$339=1,T331,S331))</f>
        <v>0.14360911540008</v>
      </c>
      <c r="V332" s="1" t="n">
        <f aca="false">IF($C$339&lt;=0,V331,IF($C$339=1,U331,T331))</f>
        <v>0.146932544697562</v>
      </c>
      <c r="W332" s="1" t="n">
        <f aca="false">IF($C$339&lt;=0,W331,IF($C$339=1,V331,U331))</f>
        <v>0.15034681051244</v>
      </c>
      <c r="X332" s="1" t="n">
        <f aca="false">IF($C$339&lt;=0,X331,IF($C$339=1,W331,V331))</f>
        <v>0.153863338996662</v>
      </c>
      <c r="Y332" s="1" t="n">
        <f aca="false">IF($C$339&lt;=0,Y331,IF($C$339=1,X331,W331))</f>
        <v>0.15748313510387</v>
      </c>
      <c r="Z332" s="1" t="n">
        <f aca="false">IF($C$339&lt;=0,Z331,IF($C$339=1,Y331,X331))</f>
        <v>0.161207245110086</v>
      </c>
      <c r="AA332" s="1" t="n">
        <f aca="false">IF($C$339&lt;=0,AA331,IF($C$339=1,Z331,Y331))</f>
        <v>0.16503675989659</v>
      </c>
      <c r="AB332" s="1" t="n">
        <f aca="false">IF($C$339&lt;=0,AB331,IF($C$339=1,AA331,Z331))</f>
        <v>0.168972814342381</v>
      </c>
      <c r="AC332" s="1" t="n">
        <f aca="false">IF($C$339&lt;=0,AC331,IF($C$339=1,AB331,AA331))</f>
        <v>0.173016359422207</v>
      </c>
      <c r="AD332" s="1" t="n">
        <f aca="false">IF($C$339&lt;=0,AD331,IF($C$339=1,AC331,AB331))</f>
        <v>0.177168393053772</v>
      </c>
      <c r="AE332" s="1" t="n">
        <f aca="false">IF($C$339&lt;=0,AE331,IF($C$339=1,AD331,AC331))</f>
        <v>0.181429959441048</v>
      </c>
      <c r="AF332" s="1" t="n">
        <f aca="false">IF($C$339&lt;=0,AF331,IF($C$339=1,AE331,AD331))</f>
        <v>0.185802148412695</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0.00350287254935952</v>
      </c>
      <c r="E341" s="1" t="n">
        <f aca="false">D284*$C$340</f>
        <v>0.00821579223637251</v>
      </c>
      <c r="F341" s="1" t="n">
        <f aca="false">E284*$C$340</f>
        <v>0.0132940725290452</v>
      </c>
      <c r="G341" s="1" t="n">
        <f aca="false">F284*$C$340</f>
        <v>0.0130916719210026</v>
      </c>
      <c r="H341" s="1" t="n">
        <f aca="false">G284*$C$340</f>
        <v>0.0195526681455882</v>
      </c>
      <c r="I341" s="1" t="n">
        <f aca="false">H284*$C$340</f>
        <v>0.0261747914226545</v>
      </c>
      <c r="J341" s="1" t="n">
        <f aca="false">I284*$C$340</f>
        <v>0.0329618061917934</v>
      </c>
      <c r="K341" s="1" t="n">
        <f aca="false">J284*$C$340</f>
        <v>0.0399175613651711</v>
      </c>
      <c r="L341" s="1" t="n">
        <f aca="false">K284*$C$340</f>
        <v>0.0434323037622322</v>
      </c>
      <c r="M341" s="1" t="n">
        <f aca="false">L284*$C$340</f>
        <v>0.0441122546163732</v>
      </c>
      <c r="N341" s="1" t="n">
        <f aca="false">M284*$C$340</f>
        <v>0.0490703671719888</v>
      </c>
      <c r="O341" s="1" t="n">
        <f aca="false">N284*$C$340</f>
        <v>0.0527915756070129</v>
      </c>
      <c r="P341" s="1" t="n">
        <f aca="false">O284*$C$340</f>
        <v>0.0538915865133382</v>
      </c>
      <c r="Q341" s="1" t="n">
        <f aca="false">P284*$C$340</f>
        <v>0.0551060677860712</v>
      </c>
      <c r="R341" s="1" t="n">
        <f aca="false">Q284*$C$340</f>
        <v>0.0563532998393319</v>
      </c>
      <c r="S341" s="1" t="n">
        <f aca="false">R284*$C$340</f>
        <v>0.0576370106655203</v>
      </c>
      <c r="T341" s="1" t="n">
        <f aca="false">S284*$C$340</f>
        <v>0.0589577361729239</v>
      </c>
      <c r="U341" s="1" t="n">
        <f aca="false">T284*$C$340</f>
        <v>0.0603158284680337</v>
      </c>
      <c r="V341" s="1" t="n">
        <f aca="false">U284*$C$340</f>
        <v>0.0617116687729762</v>
      </c>
      <c r="W341" s="1" t="n">
        <f aca="false">V284*$C$340</f>
        <v>0.0631456604152247</v>
      </c>
      <c r="X341" s="1" t="n">
        <f aca="false">W284*$C$340</f>
        <v>0.0646226023785979</v>
      </c>
      <c r="Y341" s="1" t="n">
        <f aca="false">X284*$C$340</f>
        <v>0.0661429167436255</v>
      </c>
      <c r="Z341" s="1" t="n">
        <f aca="false">Y284*$C$340</f>
        <v>0.0677070429462361</v>
      </c>
      <c r="AA341" s="1" t="n">
        <f aca="false">Z284*$C$340</f>
        <v>0.0693154391565679</v>
      </c>
      <c r="AB341" s="1" t="n">
        <f aca="false">AA284*$C$340</f>
        <v>0.0709685820238</v>
      </c>
      <c r="AC341" s="1" t="n">
        <f aca="false">AB284*$C$340</f>
        <v>0.0726668709573268</v>
      </c>
      <c r="AD341" s="1" t="n">
        <f aca="false">AC284*$C$340</f>
        <v>0.0744107250825841</v>
      </c>
      <c r="AE341" s="1" t="n">
        <f aca="false">AD284*$C$340</f>
        <v>0.0762005829652401</v>
      </c>
      <c r="AF341" s="1" t="n">
        <f aca="false">AE284*$C$340</f>
        <v>0.078036902333332</v>
      </c>
    </row>
    <row r="342" customFormat="false" ht="14.25" hidden="false" customHeight="true" outlineLevel="0" collapsed="false">
      <c r="B342" s="1" t="s">
        <v>1336</v>
      </c>
      <c r="C342" s="1" t="n">
        <f aca="false">0*$C$340</f>
        <v>0</v>
      </c>
      <c r="D342" s="1" t="n">
        <f aca="false">C289*$C$340</f>
        <v>0.00483730018721076</v>
      </c>
      <c r="E342" s="1" t="n">
        <f aca="false">D289*$C$340</f>
        <v>0.0113456178502287</v>
      </c>
      <c r="F342" s="1" t="n">
        <f aca="false">E289*$C$340</f>
        <v>0.0183584811115387</v>
      </c>
      <c r="G342" s="1" t="n">
        <f aca="false">F289*$C$340</f>
        <v>0.018078975509956</v>
      </c>
      <c r="H342" s="1" t="n">
        <f aca="false">G289*$C$340</f>
        <v>0.0270013036296217</v>
      </c>
      <c r="I342" s="1" t="n">
        <f aca="false">H289*$C$340</f>
        <v>0.0361461405360467</v>
      </c>
      <c r="J342" s="1" t="n">
        <f aca="false">I289*$C$340</f>
        <v>0.0455186847410481</v>
      </c>
      <c r="K342" s="1" t="n">
        <f aca="false">J289*$C$340</f>
        <v>0.0551242514090458</v>
      </c>
      <c r="L342" s="1" t="n">
        <f aca="false">K289*$C$340</f>
        <v>0.0599779432907016</v>
      </c>
      <c r="M342" s="1" t="n">
        <f aca="false">L289*$C$340</f>
        <v>0.0609169230416582</v>
      </c>
      <c r="N342" s="1" t="n">
        <f aca="false">M289*$C$340</f>
        <v>0.0677638403803655</v>
      </c>
      <c r="O342" s="1" t="n">
        <f aca="false">N289*$C$340</f>
        <v>0.0729026520287321</v>
      </c>
      <c r="P342" s="1" t="n">
        <f aca="false">O289*$C$340</f>
        <v>0.0744217147088956</v>
      </c>
      <c r="Q342" s="1" t="n">
        <f aca="false">P289*$C$340</f>
        <v>0.0760988555140984</v>
      </c>
      <c r="R342" s="1" t="n">
        <f aca="false">Q289*$C$340</f>
        <v>0.0778212235876488</v>
      </c>
      <c r="S342" s="1" t="n">
        <f aca="false">R289*$C$340</f>
        <v>0.079593967109528</v>
      </c>
      <c r="T342" s="1" t="n">
        <f aca="false">S289*$C$340</f>
        <v>0.0814178261435616</v>
      </c>
      <c r="U342" s="1" t="n">
        <f aca="false">T289*$C$340</f>
        <v>0.0832932869320465</v>
      </c>
      <c r="V342" s="1" t="n">
        <f aca="false">U289*$C$340</f>
        <v>0.0852208759245862</v>
      </c>
      <c r="W342" s="1" t="n">
        <f aca="false">V289*$C$340</f>
        <v>0.0872011500972151</v>
      </c>
      <c r="X342" s="1" t="n">
        <f aca="false">W289*$C$340</f>
        <v>0.0892407366180637</v>
      </c>
      <c r="Y342" s="1" t="n">
        <f aca="false">X289*$C$340</f>
        <v>0.0913402183602447</v>
      </c>
      <c r="Z342" s="1" t="n">
        <f aca="false">Y289*$C$340</f>
        <v>0.0935002021638499</v>
      </c>
      <c r="AA342" s="1" t="n">
        <f aca="false">Z289*$C$340</f>
        <v>0.0957213207400223</v>
      </c>
      <c r="AB342" s="1" t="n">
        <f aca="false">AA289*$C$340</f>
        <v>0.0980042323185809</v>
      </c>
      <c r="AC342" s="1" t="n">
        <f aca="false">AB289*$C$340</f>
        <v>0.10034948846488</v>
      </c>
      <c r="AD342" s="1" t="n">
        <f aca="false">AC289*$C$340</f>
        <v>0.102757667971188</v>
      </c>
      <c r="AE342" s="1" t="n">
        <f aca="false">AD289*$C$340</f>
        <v>0.105229376475808</v>
      </c>
      <c r="AF342" s="1" t="n">
        <f aca="false">AE289*$C$340</f>
        <v>0.107765246079363</v>
      </c>
    </row>
    <row r="343" customFormat="false" ht="14.25" hidden="false" customHeight="true" outlineLevel="0" collapsed="false">
      <c r="B343" s="1" t="s">
        <v>1337</v>
      </c>
      <c r="C343" s="1" t="n">
        <f aca="false">C341+C342</f>
        <v>0</v>
      </c>
      <c r="D343" s="1" t="n">
        <f aca="false">D341+D342</f>
        <v>0.00834017273657028</v>
      </c>
      <c r="E343" s="1" t="n">
        <f aca="false">E341+E342</f>
        <v>0.0195614100866012</v>
      </c>
      <c r="F343" s="1" t="n">
        <f aca="false">F341+F342</f>
        <v>0.0316525536405839</v>
      </c>
      <c r="G343" s="1" t="n">
        <f aca="false">G341+G342</f>
        <v>0.0311706474309586</v>
      </c>
      <c r="H343" s="1" t="n">
        <f aca="false">H341+H342</f>
        <v>0.0465539717752099</v>
      </c>
      <c r="I343" s="1" t="n">
        <f aca="false">I341+I342</f>
        <v>0.0623209319587012</v>
      </c>
      <c r="J343" s="1" t="n">
        <f aca="false">J341+J342</f>
        <v>0.0784804909328415</v>
      </c>
      <c r="K343" s="1" t="n">
        <f aca="false">K341+K342</f>
        <v>0.0950418127742169</v>
      </c>
      <c r="L343" s="1" t="n">
        <f aca="false">L341+L342</f>
        <v>0.103410247052934</v>
      </c>
      <c r="M343" s="1" t="n">
        <f aca="false">M341+M342</f>
        <v>0.105029177658031</v>
      </c>
      <c r="N343" s="1" t="n">
        <f aca="false">N341+N342</f>
        <v>0.116834207552354</v>
      </c>
      <c r="O343" s="1" t="n">
        <f aca="false">O341+O342</f>
        <v>0.125694227635745</v>
      </c>
      <c r="P343" s="1" t="n">
        <f aca="false">P341+P342</f>
        <v>0.128313301222234</v>
      </c>
      <c r="Q343" s="1" t="n">
        <f aca="false">Q341+Q342</f>
        <v>0.13120492330017</v>
      </c>
      <c r="R343" s="1" t="n">
        <f aca="false">R341+R342</f>
        <v>0.134174523426981</v>
      </c>
      <c r="S343" s="1" t="n">
        <f aca="false">S341+S342</f>
        <v>0.137230977775048</v>
      </c>
      <c r="T343" s="1" t="n">
        <f aca="false">T341+T342</f>
        <v>0.140375562316486</v>
      </c>
      <c r="U343" s="1" t="n">
        <f aca="false">U341+U342</f>
        <v>0.14360911540008</v>
      </c>
      <c r="V343" s="1" t="n">
        <f aca="false">V341+V342</f>
        <v>0.146932544697562</v>
      </c>
      <c r="W343" s="1" t="n">
        <f aca="false">W341+W342</f>
        <v>0.15034681051244</v>
      </c>
      <c r="X343" s="1" t="n">
        <f aca="false">X341+X342</f>
        <v>0.153863338996662</v>
      </c>
      <c r="Y343" s="1" t="n">
        <f aca="false">Y341+Y342</f>
        <v>0.15748313510387</v>
      </c>
      <c r="Z343" s="1" t="n">
        <f aca="false">Z341+Z342</f>
        <v>0.161207245110086</v>
      </c>
      <c r="AA343" s="1" t="n">
        <f aca="false">AA341+AA342</f>
        <v>0.16503675989659</v>
      </c>
      <c r="AB343" s="1" t="n">
        <f aca="false">AB341+AB342</f>
        <v>0.168972814342381</v>
      </c>
      <c r="AC343" s="1" t="n">
        <f aca="false">AC341+AC342</f>
        <v>0.173016359422207</v>
      </c>
      <c r="AD343" s="1" t="n">
        <f aca="false">AD341+AD342</f>
        <v>0.177168393053772</v>
      </c>
      <c r="AE343" s="1" t="n">
        <f aca="false">AE341+AE342</f>
        <v>0.181429959441048</v>
      </c>
      <c r="AF343" s="1" t="n">
        <f aca="false">AF341+AF342</f>
        <v>0.185802148412695</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1354</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4.2798809070573</v>
      </c>
      <c r="G50" s="116" t="n">
        <f aca="false">IF($C$6="Sí",23_v67_Intermedio!G24,22_v67_Prudente!G24)-G194+G345</f>
        <v>4.26351792887913</v>
      </c>
      <c r="H50" s="116" t="n">
        <f aca="false">IF($C$6="Sí",23_v67_Intermedio!H24,22_v67_Prudente!H24)-H194+H345</f>
        <v>4.24554650476089</v>
      </c>
      <c r="I50" s="116" t="n">
        <f aca="false">IF($C$6="Sí",23_v67_Intermedio!I24,22_v67_Prudente!I24)-I194+I345</f>
        <v>4.22575607830701</v>
      </c>
      <c r="J50" s="116" t="n">
        <f aca="false">IF($C$6="Sí",23_v67_Intermedio!J24,22_v67_Prudente!J24)-J194+J345</f>
        <v>4.20422284510999</v>
      </c>
      <c r="K50" s="116" t="n">
        <f aca="false">IF($C$6="Sí",23_v67_Intermedio!K24,22_v67_Prudente!K24)-K194+K345</f>
        <v>4.18178446457611</v>
      </c>
      <c r="L50" s="116" t="n">
        <f aca="false">IF($C$6="Sí",23_v67_Intermedio!L24,22_v67_Prudente!L24)-L194+L345</f>
        <v>4.1585650269152</v>
      </c>
      <c r="M50" s="116" t="n">
        <f aca="false">IF($C$6="Sí",23_v67_Intermedio!M24,22_v67_Prudente!M24)-M194+M345</f>
        <v>4.13454155330738</v>
      </c>
      <c r="N50" s="116" t="n">
        <f aca="false">IF($C$6="Sí",23_v67_Intermedio!N24,22_v67_Prudente!N24)-N194+N345</f>
        <v>4.10969048236993</v>
      </c>
      <c r="O50" s="116" t="n">
        <f aca="false">IF($C$6="Sí",23_v67_Intermedio!O24,22_v67_Prudente!O24)-O194+O345</f>
        <v>4.08382746789396</v>
      </c>
      <c r="P50" s="116" t="n">
        <f aca="false">IF($C$6="Sí",23_v67_Intermedio!P24,22_v67_Prudente!P24)-P194+P345</f>
        <v>4.05708312631921</v>
      </c>
      <c r="Q50" s="116" t="n">
        <f aca="false">IF($C$6="Sí",23_v67_Intermedio!Q24,22_v67_Prudente!Q24)-Q194+Q345</f>
        <v>4.02926692862547</v>
      </c>
      <c r="R50" s="116" t="n">
        <f aca="false">IF($C$6="Sí",23_v67_Intermedio!R24,22_v67_Prudente!R24)-R194+R345</f>
        <v>3.91124130169213</v>
      </c>
      <c r="S50" s="116" t="n">
        <f aca="false">IF($C$6="Sí",23_v67_Intermedio!S24,22_v67_Prudente!S24)-S194+S345</f>
        <v>3.79361340656031</v>
      </c>
      <c r="T50" s="116" t="n">
        <f aca="false">IF($C$6="Sí",23_v67_Intermedio!T24,22_v67_Prudente!T24)-T194+T345</f>
        <v>3.67638249975051</v>
      </c>
      <c r="U50" s="116" t="n">
        <f aca="false">IF($C$6="Sí",23_v67_Intermedio!U24,22_v67_Prudente!U24)-U194+U345</f>
        <v>3.55972276872497</v>
      </c>
      <c r="V50" s="116" t="n">
        <f aca="false">IF($C$6="Sí",23_v67_Intermedio!V24,22_v67_Prudente!V24)-V194+V345</f>
        <v>3.44328532090572</v>
      </c>
      <c r="W50" s="116" t="n">
        <f aca="false">IF($C$6="Sí",23_v67_Intermedio!W24,22_v67_Prudente!W24)-W194+W345</f>
        <v>3.32724127741171</v>
      </c>
      <c r="X50" s="116" t="n">
        <f aca="false">IF($C$6="Sí",23_v67_Intermedio!X24,22_v67_Prudente!X24)-X194+X345</f>
        <v>3.21158893811609</v>
      </c>
      <c r="Y50" s="116" t="n">
        <f aca="false">IF($C$6="Sí",23_v67_Intermedio!Y24,22_v67_Prudente!Y24)-Y194+Y345</f>
        <v>3.09632634156738</v>
      </c>
      <c r="Z50" s="116" t="n">
        <f aca="false">IF($C$6="Sí",23_v67_Intermedio!Z24,22_v67_Prudente!Z24)-Z194+Z345</f>
        <v>2.98126256133401</v>
      </c>
      <c r="AA50" s="116" t="n">
        <f aca="false">IF($C$6="Sí",23_v67_Intermedio!AA24,22_v67_Prudente!AA24)-AA194+AA345</f>
        <v>2.8665781187553</v>
      </c>
      <c r="AB50" s="116" t="n">
        <f aca="false">IF($C$6="Sí",23_v67_Intermedio!AB24,22_v67_Prudente!AB24)-AB194+AB345</f>
        <v>2.75207568667865</v>
      </c>
      <c r="AC50" s="116" t="n">
        <f aca="false">IF($C$6="Sí",23_v67_Intermedio!AC24,22_v67_Prudente!AC24)-AC194+AC345</f>
        <v>2.63774328520034</v>
      </c>
      <c r="AD50" s="116" t="n">
        <f aca="false">IF($C$6="Sí",23_v67_Intermedio!AD24,22_v67_Prudente!AD24)-AD194+AD345</f>
        <v>2.52356835910929</v>
      </c>
      <c r="AE50" s="116" t="n">
        <f aca="false">IF($C$6="Sí",23_v67_Intermedio!AE24,22_v67_Prudente!AE24)-AE194+AE345</f>
        <v>2.40974103812663</v>
      </c>
      <c r="AF50" s="116" t="n">
        <f aca="false">IF($C$6="Sí",23_v67_Intermedio!AF24,22_v67_Prudente!AF24)-AF194+AF345</f>
        <v>2.29584405874269</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2.85232368958475</v>
      </c>
      <c r="G51" s="116" t="n">
        <f aca="false">IF(G$39&lt;4,0,01_Supuestos!$I$21*01_Supuestos!$I$64/1000000000000*G42)+G194+G348</f>
        <v>2.89937458958391</v>
      </c>
      <c r="H51" s="116" t="n">
        <f aca="false">IF(H$39&lt;4,0,01_Supuestos!$I$21*01_Supuestos!$I$64/1000000000000*H42)+H194+H348</f>
        <v>2.94849425435044</v>
      </c>
      <c r="I51" s="116" t="n">
        <f aca="false">IF(I$39&lt;4,0,01_Supuestos!$I$21*01_Supuestos!$I$64/1000000000000*I42)+I194+I348</f>
        <v>2.99990014506235</v>
      </c>
      <c r="J51" s="116" t="n">
        <f aca="false">IF(J$39&lt;4,0,01_Supuestos!$I$21*01_Supuestos!$I$64/1000000000000*J42)+J194+J348</f>
        <v>3.05352307448126</v>
      </c>
      <c r="K51" s="116" t="n">
        <f aca="false">IF(K$39&lt;4,0,01_Supuestos!$I$21*01_Supuestos!$I$64/1000000000000*K42)+K194+K348</f>
        <v>3.10853249668035</v>
      </c>
      <c r="L51" s="116" t="n">
        <f aca="false">IF(L$39&lt;4,0,01_Supuestos!$I$21*01_Supuestos!$I$64/1000000000000*L42)+L194+L348</f>
        <v>3.16481154163146</v>
      </c>
      <c r="M51" s="116" t="n">
        <f aca="false">IF(M$39&lt;4,0,01_Supuestos!$I$21*01_Supuestos!$I$64/1000000000000*M42)+M194+M348</f>
        <v>3.22239051663883</v>
      </c>
      <c r="N51" s="116" t="n">
        <f aca="false">IF(N$39&lt;4,0,01_Supuestos!$I$21*01_Supuestos!$I$64/1000000000000*N42)+N194+N348</f>
        <v>3.28130042149682</v>
      </c>
      <c r="O51" s="116" t="n">
        <f aca="false">IF(O$39&lt;4,0,01_Supuestos!$I$21*01_Supuestos!$I$64/1000000000000*O42)+O194+O348</f>
        <v>3.34173315240214</v>
      </c>
      <c r="P51" s="116" t="n">
        <f aca="false">IF(P$39&lt;4,0,01_Supuestos!$I$21*01_Supuestos!$I$64/1000000000000*P42)+P194+P348</f>
        <v>3.40356575615269</v>
      </c>
      <c r="Q51" s="116" t="n">
        <f aca="false">IF(Q$39&lt;4,0,01_Supuestos!$I$21*01_Supuestos!$I$64/1000000000000*Q42)+Q194+Q348</f>
        <v>3.46699653995485</v>
      </c>
      <c r="R51" s="116" t="n">
        <f aca="false">IF(R$39&lt;4,0,01_Supuestos!$I$21*01_Supuestos!$I$64/1000000000000*R42)+R194+R348</f>
        <v>3.53189945716053</v>
      </c>
      <c r="S51" s="116" t="n">
        <f aca="false">IF(S$39&lt;4,0,01_Supuestos!$I$21*01_Supuestos!$I$64/1000000000000*S42)+S194+S348</f>
        <v>3.59847944371192</v>
      </c>
      <c r="T51" s="116" t="n">
        <f aca="false">IF(T$39&lt;4,0,01_Supuestos!$I$21*01_Supuestos!$I$64/1000000000000*T42)+T194+T348</f>
        <v>3.66677985937377</v>
      </c>
      <c r="U51" s="116" t="n">
        <f aca="false">IF(U$39&lt;4,0,01_Supuestos!$I$21*01_Supuestos!$I$64/1000000000000*U42)+U194+U348</f>
        <v>3.73666994462742</v>
      </c>
      <c r="V51" s="116" t="n">
        <f aca="false">IF(V$39&lt;4,0,01_Supuestos!$I$21*01_Supuestos!$I$64/1000000000000*V42)+V194+V348</f>
        <v>3.80854284641379</v>
      </c>
      <c r="W51" s="116" t="n">
        <f aca="false">IF(W$39&lt;4,0,01_Supuestos!$I$21*01_Supuestos!$I$64/1000000000000*W42)+W194+W348</f>
        <v>3.88227253941753</v>
      </c>
      <c r="X51" s="116" t="n">
        <f aca="false">IF(X$39&lt;4,0,01_Supuestos!$I$21*01_Supuestos!$I$64/1000000000000*X42)+X194+X348</f>
        <v>3.95790667629579</v>
      </c>
      <c r="Y51" s="116" t="n">
        <f aca="false">IF(Y$39&lt;4,0,01_Supuestos!$I$21*01_Supuestos!$I$64/1000000000000*Y42)+Y194+Y348</f>
        <v>4.03549404331226</v>
      </c>
      <c r="Z51" s="116" t="n">
        <f aca="false">IF(Z$39&lt;4,0,01_Supuestos!$I$21*01_Supuestos!$I$64/1000000000000*Z42)+Z194+Z348</f>
        <v>4.11527327982176</v>
      </c>
      <c r="AA51" s="116" t="n">
        <f aca="false">IF(AA$39&lt;4,0,01_Supuestos!$I$21*01_Supuestos!$I$64/1000000000000*AA42)+AA194+AA348</f>
        <v>4.19711248162702</v>
      </c>
      <c r="AB51" s="116" t="n">
        <f aca="false">IF(AB$39&lt;4,0,01_Supuestos!$I$21*01_Supuestos!$I$64/1000000000000*AB42)+AB194+AB348</f>
        <v>4.28125851363266</v>
      </c>
      <c r="AC51" s="116" t="n">
        <f aca="false">IF(AC$39&lt;4,0,01_Supuestos!$I$21*01_Supuestos!$I$64/1000000000000*AC42)+AC194+AC348</f>
        <v>4.36777383078378</v>
      </c>
      <c r="AD51" s="116" t="n">
        <f aca="false">IF(AD$39&lt;4,0,01_Supuestos!$I$21*01_Supuestos!$I$64/1000000000000*AD42)+AD194+AD348</f>
        <v>4.45672241759496</v>
      </c>
      <c r="AE51" s="116" t="n">
        <f aca="false">IF(AE$39&lt;4,0,01_Supuestos!$I$21*01_Supuestos!$I$64/1000000000000*AE42)+AE194+AE348</f>
        <v>4.54796654518162</v>
      </c>
      <c r="AF51" s="116" t="n">
        <f aca="false">IF(AF$39&lt;4,0,01_Supuestos!$I$21*01_Supuestos!$I$64/1000000000000*AF42)+AF194+AF348</f>
        <v>4.64197686699744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4.2798809070573</v>
      </c>
      <c r="G57" s="116" t="n">
        <f aca="false">IF(G$39&lt;=01_Supuestos!$I$29,MIN(G50,G53+G56),0)</f>
        <v>4.26351792887913</v>
      </c>
      <c r="H57" s="116" t="n">
        <f aca="false">IF(H$39&lt;=01_Supuestos!$I$29,MIN(H50,H53+H56),0)</f>
        <v>4.24554650476089</v>
      </c>
      <c r="I57" s="116" t="n">
        <f aca="false">IF(I$39&lt;=01_Supuestos!$I$29,MIN(I50,I53+I56),0)</f>
        <v>4.22575607830701</v>
      </c>
      <c r="J57" s="116" t="n">
        <f aca="false">IF(J$39&lt;=01_Supuestos!$I$29,MIN(J50,J53+J56),0)</f>
        <v>4.20422284510999</v>
      </c>
      <c r="K57" s="116" t="n">
        <f aca="false">IF(K$39&lt;=01_Supuestos!$I$29,MIN(K50,K53+K56),0)</f>
        <v>4.18178446457611</v>
      </c>
      <c r="L57" s="116" t="n">
        <f aca="false">IF(L$39&lt;=01_Supuestos!$I$29,MIN(L50,L53+L56),0)</f>
        <v>4.1585650269152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4.13454155330738</v>
      </c>
      <c r="N64" s="116" t="n">
        <f aca="false">N48+N50-N57</f>
        <v>4.10969048236993</v>
      </c>
      <c r="O64" s="116" t="n">
        <f aca="false">O48+O50-O57</f>
        <v>4.08382746789396</v>
      </c>
      <c r="P64" s="116" t="n">
        <f aca="false">P48+P50-P57</f>
        <v>4.05708312631921</v>
      </c>
      <c r="Q64" s="116" t="n">
        <f aca="false">Q48+Q50-Q57</f>
        <v>4.02926692862547</v>
      </c>
      <c r="R64" s="116" t="n">
        <f aca="false">R48+R50-R57</f>
        <v>3.91124130169213</v>
      </c>
      <c r="S64" s="116" t="n">
        <f aca="false">S48+S50-S57</f>
        <v>3.79361340656031</v>
      </c>
      <c r="T64" s="116" t="n">
        <f aca="false">T48+T50-T57</f>
        <v>3.67638249975051</v>
      </c>
      <c r="U64" s="116" t="n">
        <f aca="false">U48+U50-U57</f>
        <v>3.55972276872497</v>
      </c>
      <c r="V64" s="116" t="n">
        <f aca="false">V48+V50-V57</f>
        <v>3.44328532090572</v>
      </c>
      <c r="W64" s="116" t="n">
        <f aca="false">W48+W50-W57</f>
        <v>3.32724127741171</v>
      </c>
      <c r="X64" s="116" t="n">
        <f aca="false">X48+X50-X57</f>
        <v>3.21158893811609</v>
      </c>
      <c r="Y64" s="116" t="n">
        <f aca="false">Y48+Y50-Y57</f>
        <v>3.09632634156738</v>
      </c>
      <c r="Z64" s="116" t="n">
        <f aca="false">Z48+Z50-Z57</f>
        <v>2.98126256133401</v>
      </c>
      <c r="AA64" s="116" t="n">
        <f aca="false">AA48+AA50-AA57</f>
        <v>2.8665781187553</v>
      </c>
      <c r="AB64" s="116" t="n">
        <f aca="false">AB48+AB50-AB57</f>
        <v>2.75207568667865</v>
      </c>
      <c r="AC64" s="116" t="n">
        <f aca="false">AC48+AC50-AC57</f>
        <v>2.63774328520034</v>
      </c>
      <c r="AD64" s="116" t="n">
        <f aca="false">AD48+AD50-AD57</f>
        <v>2.52356835910929</v>
      </c>
      <c r="AE64" s="116" t="n">
        <f aca="false">AE48+AE50-AE57</f>
        <v>2.40974103812663</v>
      </c>
      <c r="AF64" s="116" t="n">
        <f aca="false">AF48+AF50-AF57</f>
        <v>2.29584405874269</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4.02136613011684</v>
      </c>
      <c r="N66" s="116" t="n">
        <f aca="false">N64-N65</f>
        <v>3.99251996674076</v>
      </c>
      <c r="O66" s="116" t="n">
        <f aca="false">O64-O65</f>
        <v>3.96252083306309</v>
      </c>
      <c r="P66" s="116" t="n">
        <f aca="false">P64-P65</f>
        <v>3.9314943672788</v>
      </c>
      <c r="Q66" s="116" t="n">
        <f aca="false">Q64-Q65</f>
        <v>3.89924488639093</v>
      </c>
      <c r="R66" s="116" t="n">
        <f aca="false">R64-R65</f>
        <v>3.77662948136671</v>
      </c>
      <c r="S66" s="116" t="n">
        <f aca="false">S64-S65</f>
        <v>3.65424978897741</v>
      </c>
      <c r="T66" s="116" t="n">
        <f aca="false">T64-T65</f>
        <v>3.53209934646694</v>
      </c>
      <c r="U66" s="116" t="n">
        <f aca="false">U64-U65</f>
        <v>3.41034642013049</v>
      </c>
      <c r="V66" s="116" t="n">
        <f aca="false">V64-V65</f>
        <v>3.28863598720585</v>
      </c>
      <c r="W66" s="116" t="n">
        <f aca="false">W64-W65</f>
        <v>3.16713282223223</v>
      </c>
      <c r="X66" s="116" t="n">
        <f aca="false">X64-X65</f>
        <v>3.04582865446877</v>
      </c>
      <c r="Y66" s="116" t="n">
        <f aca="false">Y64-Y65</f>
        <v>2.92471471990731</v>
      </c>
      <c r="Z66" s="116" t="n">
        <f aca="false">Z64-Z65</f>
        <v>2.80359304942935</v>
      </c>
      <c r="AA66" s="116" t="n">
        <f aca="false">AA64-AA65</f>
        <v>2.68263687308041</v>
      </c>
      <c r="AB66" s="116" t="n">
        <f aca="false">AB64-AB65</f>
        <v>2.56164131503143</v>
      </c>
      <c r="AC66" s="116" t="n">
        <f aca="false">AC64-AC65</f>
        <v>2.44058658023398</v>
      </c>
      <c r="AD66" s="116" t="n">
        <f aca="false">AD64-AD65</f>
        <v>2.31945202245761</v>
      </c>
      <c r="AE66" s="116" t="n">
        <f aca="false">AE64-AE65</f>
        <v>2.19841939479115</v>
      </c>
      <c r="AF66" s="116" t="n">
        <f aca="false">AF64-AF65</f>
        <v>2.07706276139746</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198.188011723385</v>
      </c>
      <c r="N67" s="116" t="n">
        <f aca="false">M67+N66-N63</f>
        <v>200.871581270616</v>
      </c>
      <c r="O67" s="116" t="n">
        <f aca="false">N67+O66-O63</f>
        <v>203.533874905145</v>
      </c>
      <c r="P67" s="116" t="n">
        <f aca="false">O67+P66-P63</f>
        <v>206.173429133816</v>
      </c>
      <c r="Q67" s="116" t="n">
        <f aca="false">P67+Q66-Q63</f>
        <v>208.78860658853</v>
      </c>
      <c r="R67" s="116" t="n">
        <f aca="false">Q67+R66-R63</f>
        <v>211.288647709803</v>
      </c>
      <c r="S67" s="116" t="n">
        <f aca="false">R67+S66-S63</f>
        <v>213.673414256692</v>
      </c>
      <c r="T67" s="116" t="n">
        <f aca="false">S67+T66-T63</f>
        <v>215.942780223175</v>
      </c>
      <c r="U67" s="116" t="n">
        <f aca="false">T67+U66-U63</f>
        <v>218.09680563232</v>
      </c>
      <c r="V67" s="116" t="n">
        <f aca="false">U67+V66-V63</f>
        <v>220.13521235909</v>
      </c>
      <c r="W67" s="116" t="n">
        <f aca="false">V67+W66-W63</f>
        <v>222.057903083909</v>
      </c>
      <c r="X67" s="116" t="n">
        <f aca="false">W67+X66-X63</f>
        <v>223.864787445834</v>
      </c>
      <c r="Y67" s="116" t="n">
        <f aca="false">X67+Y66-Y63</f>
        <v>225.555780787825</v>
      </c>
      <c r="Z67" s="116" t="n">
        <f aca="false">Y67+Z66-Z63</f>
        <v>227.130614228234</v>
      </c>
      <c r="AA67" s="116" t="n">
        <f aca="false">Z67+AA66-AA63</f>
        <v>228.589205172746</v>
      </c>
      <c r="AB67" s="116" t="n">
        <f aca="false">AA67+AB66-AB63</f>
        <v>229.931278555636</v>
      </c>
      <c r="AC67" s="116" t="n">
        <f aca="false">AB67+AC66-AC63</f>
        <v>231.156551300336</v>
      </c>
      <c r="AD67" s="116" t="n">
        <f aca="false">AC67+AD66-AD63</f>
        <v>232.264730879037</v>
      </c>
      <c r="AE67" s="116" t="n">
        <f aca="false">AD67+AE66-AE63</f>
        <v>233.255717152259</v>
      </c>
      <c r="AF67" s="116" t="n">
        <f aca="false">AE67+AF66-AF63</f>
        <v>234.128994148166</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70.5964750532848</v>
      </c>
      <c r="N68" s="116" t="n">
        <f aca="false">M68+(01_Supuestos!$I$125-1)*N66</f>
        <v>71.9539318419767</v>
      </c>
      <c r="O68" s="116" t="n">
        <f aca="false">N68+(01_Supuestos!$I$125-1)*O66</f>
        <v>73.3011889252181</v>
      </c>
      <c r="P68" s="116" t="n">
        <f aca="false">O68+(01_Supuestos!$I$125-1)*P66</f>
        <v>74.6378970100929</v>
      </c>
      <c r="Q68" s="116" t="n">
        <f aca="false">P68+(01_Supuestos!$I$125-1)*Q66</f>
        <v>75.9636402714659</v>
      </c>
      <c r="R68" s="116" t="n">
        <f aca="false">Q68+(01_Supuestos!$I$125-1)*R66</f>
        <v>77.2476942951305</v>
      </c>
      <c r="S68" s="116" t="n">
        <f aca="false">R68+(01_Supuestos!$I$125-1)*S66</f>
        <v>78.4901392233829</v>
      </c>
      <c r="T68" s="116" t="n">
        <f aca="false">S68+(01_Supuestos!$I$125-1)*T66</f>
        <v>79.6910530011816</v>
      </c>
      <c r="U68" s="116" t="n">
        <f aca="false">T68+(01_Supuestos!$I$125-1)*U66</f>
        <v>80.850570784026</v>
      </c>
      <c r="V68" s="116" t="n">
        <f aca="false">U68+(01_Supuestos!$I$125-1)*V66</f>
        <v>81.968707019676</v>
      </c>
      <c r="W68" s="116" t="n">
        <f aca="false">V68+(01_Supuestos!$I$125-1)*W66</f>
        <v>83.0455321792349</v>
      </c>
      <c r="X68" s="116" t="n">
        <f aca="false">W68+(01_Supuestos!$I$125-1)*X66</f>
        <v>84.0811139217543</v>
      </c>
      <c r="Y68" s="116" t="n">
        <f aca="false">X68+(01_Supuestos!$I$125-1)*Y66</f>
        <v>85.0755169265228</v>
      </c>
      <c r="Z68" s="116" t="n">
        <f aca="false">Y68+(01_Supuestos!$I$125-1)*Z66</f>
        <v>86.0287385633288</v>
      </c>
      <c r="AA68" s="116" t="n">
        <f aca="false">Z68+(01_Supuestos!$I$125-1)*AA66</f>
        <v>86.9408351001761</v>
      </c>
      <c r="AB68" s="116" t="n">
        <f aca="false">AA68+(01_Supuestos!$I$125-1)*AB66</f>
        <v>87.8117931472868</v>
      </c>
      <c r="AC68" s="116" t="n">
        <f aca="false">AB68+(01_Supuestos!$I$125-1)*AC66</f>
        <v>88.6415925845664</v>
      </c>
      <c r="AD68" s="116" t="n">
        <f aca="false">AC68+(01_Supuestos!$I$125-1)*AD66</f>
        <v>89.4302062722019</v>
      </c>
      <c r="AE68" s="116" t="n">
        <f aca="false">AD68+(01_Supuestos!$I$125-1)*AE66</f>
        <v>90.1776688664309</v>
      </c>
      <c r="AF68" s="116" t="n">
        <f aca="false">AE68+(01_Supuestos!$I$125-1)*AF66</f>
        <v>90.8838702053061</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268.326080160049</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304.16960596231</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347.08550685329</v>
      </c>
      <c r="V69" s="116" t="n">
        <f aca="false">U69+V48+V49+V50+V51-V63+V245</f>
        <v>353.087105760173</v>
      </c>
      <c r="W69" s="116" t="n">
        <f aca="false">V69+W48+W49+W50+W51-W63+W245</f>
        <v>359.052177479589</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99.8995537545677</v>
      </c>
      <c r="N70" s="116" t="n">
        <f aca="false">M70+N49+N51+N57+N65+N245</f>
        <v>103.298024691694</v>
      </c>
      <c r="O70" s="116" t="n">
        <f aca="false">N70+O49+O51+O57+O65+O245</f>
        <v>106.761064478927</v>
      </c>
      <c r="P70" s="116" t="n">
        <f aca="false">O70+P49+P51+P57+P65+P245</f>
        <v>110.29021899412</v>
      </c>
      <c r="Q70" s="116" t="n">
        <f aca="false">P70+Q49+Q51+Q57+Q65+Q245</f>
        <v>113.887237576309</v>
      </c>
      <c r="R70" s="116" t="n">
        <f aca="false">Q70+R49+R51+R57+R65+R245</f>
        <v>117.553748853795</v>
      </c>
      <c r="S70" s="116" t="n">
        <f aca="false">R70+S49+S51+S57+S65+S245</f>
        <v>121.29159191509</v>
      </c>
      <c r="T70" s="116" t="n">
        <f aca="false">S70+T49+T51+T57+T65+T245</f>
        <v>125.102654927747</v>
      </c>
      <c r="U70" s="116" t="n">
        <f aca="false">T70+U49+U51+U57+U65+U245</f>
        <v>128.988701220969</v>
      </c>
      <c r="V70" s="116" t="n">
        <f aca="false">U70+V49+V51+V57+V65+V245</f>
        <v>132.951893401083</v>
      </c>
      <c r="W70" s="116" t="n">
        <f aca="false">V70+W49+W51+W57+W65+W245</f>
        <v>136.99427439568</v>
      </c>
      <c r="X70" s="116" t="n">
        <f aca="false">W70+X49+X51+X57+X65+X245</f>
        <v>141.117941355623</v>
      </c>
      <c r="Y70" s="116" t="n">
        <f aca="false">X70+Y49+Y51+Y57+Y65+Y245</f>
        <v>145.325047020595</v>
      </c>
      <c r="Z70" s="116" t="n">
        <f aca="false">Y70+Z49+Z51+Z57+Z65+Z245</f>
        <v>149.617989812322</v>
      </c>
      <c r="AA70" s="116" t="n">
        <f aca="false">Z70+AA49+AA51+AA57+AA65+AA245</f>
        <v>153.999043539624</v>
      </c>
      <c r="AB70" s="116" t="n">
        <f aca="false">AA70+AB49+AB51+AB57+AB65+AB245</f>
        <v>158.470736424904</v>
      </c>
      <c r="AC70" s="116" t="n">
        <f aca="false">AB70+AC49+AC51+AC57+AC65+AC245</f>
        <v>163.035666960654</v>
      </c>
      <c r="AD70" s="116" t="n">
        <f aca="false">AC70+AD49+AD51+AD57+AD65+AD245</f>
        <v>167.6965057149</v>
      </c>
      <c r="AE70" s="116" t="n">
        <f aca="false">AD70+AE49+AE51+AE57+AE65+AE245</f>
        <v>172.455793903417</v>
      </c>
      <c r="AF70" s="116" t="n">
        <f aca="false">AE70+AF49+AF51+AF57+AF65+AF245</f>
        <v>177.31655206776</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187.652382949879</v>
      </c>
      <c r="M72" s="116" t="n">
        <f aca="false">IF($C$173="Sí",(M83-M326)+M181,$C$15*L83)</f>
        <v>201.492893186755</v>
      </c>
      <c r="N72" s="116" t="n">
        <f aca="false">IF($C$173="Sí",(N83-N326)+N181,$C$15*M83)</f>
        <v>206.829327785663</v>
      </c>
      <c r="O72" s="116" t="n">
        <f aca="false">IF($C$173="Sí",(O83-O326)+O181,$C$15*N83)</f>
        <v>212.558285461229</v>
      </c>
      <c r="P72" s="116" t="n">
        <f aca="false">IF($C$173="Sí",(P83-P326)+P181,$C$15*O83)</f>
        <v>217.630580374818</v>
      </c>
      <c r="Q72" s="116" t="n">
        <f aca="false">IF($C$173="Sí",(Q83-Q326)+Q181,$C$15*P83)</f>
        <v>222.629759614543</v>
      </c>
      <c r="R72" s="116" t="n">
        <f aca="false">IF($C$173="Sí",(R83-R326)+R181,$C$15*Q83)</f>
        <v>227.748828529289</v>
      </c>
      <c r="S72" s="116" t="n">
        <f aca="false">IF($C$173="Sí",(S83-S326)+S181,$C$15*R83)</f>
        <v>232.984896199812</v>
      </c>
      <c r="T72" s="116" t="n">
        <f aca="false">IF($C$173="Sí",(T83-T326)+T181,$C$15*S83)</f>
        <v>238.340996452347</v>
      </c>
      <c r="U72" s="116" t="n">
        <f aca="false">IF($C$173="Sí",(U83-U326)+U181,$C$15*T83)</f>
        <v>243.819935587045</v>
      </c>
      <c r="V72" s="116" t="n">
        <f aca="false">IF($C$173="Sí",(V83-V326)+V181,$C$15*U83)</f>
        <v>249.424568859112</v>
      </c>
      <c r="W72" s="116" t="n">
        <f aca="false">IF($C$173="Sí",(W83-W326)+W181,$C$15*V83)</f>
        <v>255.15662758001</v>
      </c>
      <c r="X72" s="116" t="n">
        <f aca="false">IF($C$173="Sí",(X83-X326)+X181,$C$15*W83)</f>
        <v>261.019663397306</v>
      </c>
      <c r="Y72" s="116" t="n">
        <f aca="false">IF($C$173="Sí",(Y83-Y326)+Y181,$C$15*X83)</f>
        <v>267.017055373685</v>
      </c>
      <c r="Z72" s="116" t="n">
        <f aca="false">IF($C$173="Sí",(Z83-Z326)+Z181,$C$15*Y83)</f>
        <v>273.15193287955</v>
      </c>
      <c r="AA72" s="116" t="n">
        <f aca="false">IF($C$173="Sí",(AA83-AA326)+AA181,$C$15*Z83)</f>
        <v>279.427496891226</v>
      </c>
      <c r="AB72" s="116" t="n">
        <f aca="false">IF($C$173="Sí",(AB83-AB326)+AB181,$C$15*AA83)</f>
        <v>285.847047993858</v>
      </c>
      <c r="AC72" s="116" t="n">
        <f aca="false">IF($C$173="Sí",(AC83-AC326)+AC181,$C$15*AB83)</f>
        <v>292.413949101393</v>
      </c>
      <c r="AD72" s="116" t="n">
        <f aca="false">IF($C$173="Sí",(AD83-AD326)+AD181,$C$15*AC83)</f>
        <v>299.131632721342</v>
      </c>
      <c r="AE72" s="116" t="n">
        <f aca="false">IF($C$173="Sí",(AE83-AE326)+AE181,$C$15*AD83)</f>
        <v>306.003609913788</v>
      </c>
      <c r="AF72" s="116" t="n">
        <f aca="false">IF($C$173="Sí",(AF83-AF326)+AF181,$C$15*AE83)</f>
        <v>313.033472080691</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16.568345071877</v>
      </c>
      <c r="M73" s="116" t="n">
        <f aca="false">M72-L72</f>
        <v>13.8405102368756</v>
      </c>
      <c r="N73" s="116" t="n">
        <f aca="false">N72-M72</f>
        <v>5.3364345989078</v>
      </c>
      <c r="O73" s="116" t="n">
        <f aca="false">O72-N72</f>
        <v>5.72895767556651</v>
      </c>
      <c r="P73" s="116" t="n">
        <f aca="false">P72-O72</f>
        <v>5.07229491358842</v>
      </c>
      <c r="Q73" s="116" t="n">
        <f aca="false">Q72-P72</f>
        <v>4.99917923972558</v>
      </c>
      <c r="R73" s="116" t="n">
        <f aca="false">R72-Q72</f>
        <v>5.11906891474581</v>
      </c>
      <c r="S73" s="116" t="n">
        <f aca="false">S72-R72</f>
        <v>5.23606767052311</v>
      </c>
      <c r="T73" s="116" t="n">
        <f aca="false">T72-S72</f>
        <v>5.35610025253519</v>
      </c>
      <c r="U73" s="116" t="n">
        <f aca="false">U72-T72</f>
        <v>5.4789391346973</v>
      </c>
      <c r="V73" s="116" t="n">
        <f aca="false">V72-U72</f>
        <v>5.60463327206699</v>
      </c>
      <c r="W73" s="116" t="n">
        <f aca="false">W72-V72</f>
        <v>5.73205872089818</v>
      </c>
      <c r="X73" s="116" t="n">
        <f aca="false">X72-W72</f>
        <v>5.86303581729652</v>
      </c>
      <c r="Y73" s="116" t="n">
        <f aca="false">Y72-X72</f>
        <v>5.99739197637837</v>
      </c>
      <c r="Z73" s="116" t="n">
        <f aca="false">Z72-Y72</f>
        <v>6.13487750586484</v>
      </c>
      <c r="AA73" s="116" t="n">
        <f aca="false">AA72-Z72</f>
        <v>6.27556401167595</v>
      </c>
      <c r="AB73" s="116" t="n">
        <f aca="false">AB72-AA72</f>
        <v>6.41955110263228</v>
      </c>
      <c r="AC73" s="116" t="n">
        <f aca="false">AC72-AB72</f>
        <v>6.56690110753527</v>
      </c>
      <c r="AD73" s="116" t="n">
        <f aca="false">AD72-AC72</f>
        <v>6.71768361994913</v>
      </c>
      <c r="AE73" s="116" t="n">
        <f aca="false">AE72-AD72</f>
        <v>6.8719771924462</v>
      </c>
      <c r="AF73" s="116" t="n">
        <f aca="false">AF72-AE72</f>
        <v>7.0298621669026</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17.4901132868464</v>
      </c>
      <c r="N75" s="116" t="n">
        <f aca="false">$C$19*M81</f>
        <v>18.1212601304903</v>
      </c>
      <c r="O75" s="116" t="n">
        <f aca="false">$C$19*N81</f>
        <v>18.76037105862</v>
      </c>
      <c r="P75" s="116" t="n">
        <f aca="false">$C$19*O81</f>
        <v>19.3621145864831</v>
      </c>
      <c r="Q75" s="116" t="n">
        <f aca="false">$C$19*P81</f>
        <v>19.8376970812836</v>
      </c>
      <c r="R75" s="116" t="n">
        <f aca="false">$C$19*Q81</f>
        <v>20.3170688555961</v>
      </c>
      <c r="S75" s="116" t="n">
        <f aca="false">$C$19*R81</f>
        <v>20.7950494147316</v>
      </c>
      <c r="T75" s="116" t="n">
        <f aca="false">$C$19*S81</f>
        <v>21.2720825520367</v>
      </c>
      <c r="U75" s="116" t="n">
        <f aca="false">$C$19*T81</f>
        <v>21.7489352608392</v>
      </c>
      <c r="V75" s="116" t="n">
        <f aca="false">$C$19*U81</f>
        <v>22.2263593962697</v>
      </c>
      <c r="W75" s="116" t="n">
        <f aca="false">$C$19*V81</f>
        <v>22.7051026199124</v>
      </c>
      <c r="X75" s="116" t="n">
        <f aca="false">$C$19*W81</f>
        <v>23.1790741819115</v>
      </c>
      <c r="Y75" s="116" t="n">
        <f aca="false">$C$19*X81</f>
        <v>23.6490765723902</v>
      </c>
      <c r="Z75" s="116" t="n">
        <f aca="false">$C$19*Y81</f>
        <v>24.115919659774</v>
      </c>
      <c r="AA75" s="116" t="n">
        <f aca="false">$C$19*Z81</f>
        <v>24.5804187857025</v>
      </c>
      <c r="AB75" s="116" t="n">
        <f aca="false">$C$19*AA81</f>
        <v>25.0433968412049</v>
      </c>
      <c r="AC75" s="116" t="n">
        <f aca="false">$C$19*AB81</f>
        <v>25.5058362672447</v>
      </c>
      <c r="AD75" s="116" t="n">
        <f aca="false">$C$19*AC81</f>
        <v>25.9687265553564</v>
      </c>
      <c r="AE75" s="116" t="n">
        <f aca="false">$C$19*AD81</f>
        <v>26.433065615207</v>
      </c>
      <c r="AF75" s="116" t="n">
        <f aca="false">$C$19*AE81</f>
        <v>26.8998612157433</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649.988715964279</v>
      </c>
      <c r="F76" s="116" t="n">
        <f aca="false">(IF($C$173="Sí",(MAX(0,F74-E96)+MAX(0,E276+F53-F75))/F327,F73+MAX(0,F74-E96)+MAX(0,E276+F53-F75)))+IF($C$173="Sí",MAX(0,$C$226*(F70+E121)*0.3/0.55-E227)/F327,0)</f>
        <v>763.012780646039</v>
      </c>
      <c r="G76" s="116" t="n">
        <f aca="false">(IF($C$173="Sí",(MAX(0,G74-F96)+MAX(0,F276+G53-G75))/G327,G73+MAX(0,G74-F96)+MAX(0,F276+G53-G75)))+IF($C$173="Sí",MAX(0,$C$226*(G70+F121)*0.3/0.55-F227)/G327,0)</f>
        <v>16912.6225090212</v>
      </c>
      <c r="H76" s="116" t="n">
        <f aca="false">(IF($C$173="Sí",(MAX(0,H74-G96)+MAX(0,G276+H53-H75))/H327,H73+MAX(0,H74-G96)+MAX(0,G276+H53-H75)))+IF($C$173="Sí",MAX(0,$C$226*(H70+G121)*0.3/0.55-G227)/H327,0)</f>
        <v>840.973950673821</v>
      </c>
      <c r="I76" s="116" t="n">
        <f aca="false">(IF($C$173="Sí",(MAX(0,I74-H96)+MAX(0,H276+I53-I75))/I327,I73+MAX(0,I74-H96)+MAX(0,H276+I53-I75)))+IF($C$173="Sí",MAX(0,$C$226*(I70+H121)*0.3/0.55-H227)/I327,0)</f>
        <v>916.23044149486</v>
      </c>
      <c r="J76" s="116" t="n">
        <f aca="false">(IF($C$173="Sí",(MAX(0,J74-I96)+MAX(0,I276+J53-J75))/J327,J73+MAX(0,J74-I96)+MAX(0,I276+J53-J75)))+IF($C$173="Sí",MAX(0,$C$226*(J70+I121)*0.3/0.55-I227)/J327,0)</f>
        <v>1008.69544636131</v>
      </c>
      <c r="K76" s="116" t="n">
        <f aca="false">(IF($C$173="Sí",(MAX(0,K74-J96)+MAX(0,J276+K53-K75))/K327,K73+MAX(0,K74-J96)+MAX(0,J276+K53-K75)))+IF($C$173="Sí",MAX(0,$C$226*(K70+J121)*0.3/0.55-J227)/K327,0)</f>
        <v>1112.50982829772</v>
      </c>
      <c r="L76" s="116" t="n">
        <f aca="false">(IF($C$173="Sí",(MAX(0,L74-K96)+MAX(0,K276+L53-L75))/L327,L73+MAX(0,L74-K96)+MAX(0,K276+L53-L75)))+IF($C$173="Sí",MAX(0,$C$226*(L70+K121)*0.3/0.55-K227)/L327,0)</f>
        <v>1226.43241394392</v>
      </c>
      <c r="M76" s="116" t="n">
        <f aca="false">(IF($C$173="Sí",(MAX(0,M74-L96)+MAX(0,L276+M53-M75))/M327,M73+MAX(0,M74-L96)+MAX(0,L276+M53-M75)))+IF($C$173="Sí",MAX(0,$C$226*(M70+L121)*0.3/0.55-L227)/M327,0)</f>
        <v>1159.04479148697</v>
      </c>
      <c r="N76" s="116" t="n">
        <f aca="false">(IF($C$173="Sí",(MAX(0,N74-M96)+MAX(0,M276+N53-N75))/N327,N73+MAX(0,N74-M96)+MAX(0,M276+N53-N75)))+IF($C$173="Sí",MAX(0,$C$226*(N70+M121)*0.3/0.55-M227)/N327,0)</f>
        <v>967.054875655562</v>
      </c>
      <c r="O76" s="116" t="n">
        <f aca="false">(IF($C$173="Sí",(MAX(0,O74-N96)+MAX(0,N276+O53-O75))/O327,O73+MAX(0,O74-N96)+MAX(0,N276+O53-O75)))+IF($C$173="Sí",MAX(0,$C$226*(O70+N121)*0.3/0.55-N227)/O327,0)</f>
        <v>882.096170157702</v>
      </c>
      <c r="P76" s="116" t="n">
        <f aca="false">(IF($C$173="Sí",(MAX(0,P74-O96)+MAX(0,O276+P53-P75))/P327,P73+MAX(0,P74-O96)+MAX(0,O276+P53-P75)))+IF($C$173="Sí",MAX(0,$C$226*(P70+O121)*0.3/0.55-O227)/P327,0)</f>
        <v>979.741867574826</v>
      </c>
      <c r="Q76" s="116" t="n">
        <f aca="false">(IF($C$173="Sí",(MAX(0,Q74-P96)+MAX(0,P276+Q53-Q75))/Q327,Q73+MAX(0,Q74-P96)+MAX(0,P276+Q53-Q75)))+IF($C$173="Sí",MAX(0,$C$226*(Q70+P121)*0.3/0.55-P227)/Q327,0)</f>
        <v>980.064162082597</v>
      </c>
      <c r="R76" s="116" t="n">
        <f aca="false">(IF($C$173="Sí",(MAX(0,R74-Q96)+MAX(0,Q276+R53-R75))/R327,R73+MAX(0,R74-Q96)+MAX(0,Q276+R53-R75)))+IF($C$173="Sí",MAX(0,$C$226*(R70+Q121)*0.3/0.55-Q227)/R327,0)</f>
        <v>984.928556645373</v>
      </c>
      <c r="S76" s="116" t="n">
        <f aca="false">(IF($C$173="Sí",(MAX(0,S74-R96)+MAX(0,R276+S53-S75))/S327,S73+MAX(0,S74-R96)+MAX(0,R276+S53-S75)))+IF($C$173="Sí",MAX(0,$C$226*(S70+R121)*0.3/0.55-R227)/S327,0)</f>
        <v>989.787049536368</v>
      </c>
      <c r="T76" s="116" t="n">
        <f aca="false">(IF($C$173="Sí",(MAX(0,T74-S96)+MAX(0,S276+T53-T75))/T327,T73+MAX(0,T74-S96)+MAX(0,S276+T53-T75)))+IF($C$173="Sí",MAX(0,$C$226*(T70+S121)*0.3/0.55-S227)/T327,0)</f>
        <v>994.849284758517</v>
      </c>
      <c r="U76" s="116" t="n">
        <f aca="false">(IF($C$173="Sí",(MAX(0,U74-T96)+MAX(0,T276+U53-U75))/U327,U73+MAX(0,U74-T96)+MAX(0,T276+U53-U75)))+IF($C$173="Sí",MAX(0,$C$226*(U70+T121)*0.3/0.55-T227)/U327,0)</f>
        <v>1000.13612674111</v>
      </c>
      <c r="V76" s="116" t="n">
        <f aca="false">(IF($C$173="Sí",(MAX(0,V74-U96)+MAX(0,U276+V53-V75))/V327,V73+MAX(0,V74-U96)+MAX(0,U276+V53-V75)))+IF($C$173="Sí",MAX(0,$C$226*(V70+U121)*0.3/0.55-U227)/V327,0)</f>
        <v>1005.65176328367</v>
      </c>
      <c r="W76" s="116" t="n">
        <f aca="false">(IF($C$173="Sí",(MAX(0,W74-V96)+MAX(0,V276+W53-W75))/W327,W73+MAX(0,W74-V96)+MAX(0,V276+W53-W75)))+IF($C$173="Sí",MAX(0,$C$226*(W70+V121)*0.3/0.55-V227)/W327,0)</f>
        <v>1011.40049564422</v>
      </c>
      <c r="X76" s="116" t="n">
        <f aca="false">(IF($C$173="Sí",(MAX(0,X74-W96)+MAX(0,W276+X53-X75))/X327,X73+MAX(0,X74-W96)+MAX(0,W276+X53-X75)))+IF($C$173="Sí",MAX(0,$C$226*(X70+W121)*0.3/0.55-W227)/X327,0)</f>
        <v>1017.14344918382</v>
      </c>
      <c r="Y76" s="116" t="n">
        <f aca="false">(IF($C$173="Sí",(MAX(0,Y74-X96)+MAX(0,X276+Y53-Y75))/Y327,Y73+MAX(0,Y74-X96)+MAX(0,X276+Y53-Y75)))+IF($C$173="Sí",MAX(0,$C$226*(Y70+X121)*0.3/0.55-X227)/Y327,0)</f>
        <v>1023.16284911962</v>
      </c>
      <c r="Z76" s="116" t="n">
        <f aca="false">(IF($C$173="Sí",(MAX(0,Z74-Y96)+MAX(0,Y276+Z53-Z75))/Z327,Z73+MAX(0,Z74-Y96)+MAX(0,Y276+Z53-Z75)))+IF($C$173="Sí",MAX(0,$C$226*(Z70+Y121)*0.3/0.55-Y227)/Z327,0)</f>
        <v>1029.46666849825</v>
      </c>
      <c r="AA76" s="116" t="n">
        <f aca="false">(IF($C$173="Sí",(MAX(0,AA74-Z96)+MAX(0,Z276+AA53-AA75))/AA327,AA73+MAX(0,AA74-Z96)+MAX(0,Z276+AA53-AA75)))+IF($C$173="Sí",MAX(0,$C$226*(AA70+Z121)*0.3/0.55-Z227)/AA327,0)</f>
        <v>1036.0601507492</v>
      </c>
      <c r="AB76" s="116" t="n">
        <f aca="false">(IF($C$173="Sí",(MAX(0,AB74-AA96)+MAX(0,AA276+AB53-AB75))/AB327,AB73+MAX(0,AB74-AA96)+MAX(0,AA276+AB53-AB75)))+IF($C$173="Sí",MAX(0,$C$226*(AB70+AA121)*0.3/0.55-AA227)/AB327,0)</f>
        <v>1042.9483037296</v>
      </c>
      <c r="AC76" s="116" t="n">
        <f aca="false">(IF($C$173="Sí",(MAX(0,AC74-AB96)+MAX(0,AB276+AC53-AC75))/AC327,AC73+MAX(0,AC74-AB96)+MAX(0,AB276+AC53-AC75)))+IF($C$173="Sí",MAX(0,$C$226*(AC70+AB121)*0.3/0.55-AB227)/AC327,0)</f>
        <v>1050.1406868837</v>
      </c>
      <c r="AD76" s="116" t="n">
        <f aca="false">(IF($C$173="Sí",(MAX(0,AD74-AC96)+MAX(0,AC276+AD53-AD75))/AD327,AD73+MAX(0,AD74-AC96)+MAX(0,AC276+AD53-AD75)))+IF($C$173="Sí",MAX(0,$C$226*(AD70+AC121)*0.3/0.55-AC227)/AD327,0)</f>
        <v>1057.64086752543</v>
      </c>
      <c r="AE76" s="116" t="n">
        <f aca="false">(IF($C$173="Sí",(MAX(0,AE74-AD96)+MAX(0,AD276+AE53-AE75))/AE327,AE73+MAX(0,AE74-AD96)+MAX(0,AD276+AE53-AE75)))+IF($C$173="Sí",MAX(0,$C$226*(AE70+AD121)*0.3/0.55-AD227)/AE327,0)</f>
        <v>1065.45214737783</v>
      </c>
      <c r="AF76" s="116" t="n">
        <f aca="false">(IF($C$173="Sí",(MAX(0,AF74-AE96)+MAX(0,AE276+AF53-AF75))/AF327,AF73+MAX(0,AF74-AE96)+MAX(0,AE276+AF53-AF75)))+IF($C$173="Sí",MAX(0,$C$226*(AF70+AE121)*0.3/0.55-AE227)/AF327,0)</f>
        <v>1073.57763972036</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232.264730879037</v>
      </c>
      <c r="AE79" s="116" t="n">
        <f aca="false">MAX(0,MIN(AE67,$C$9*(AE69+AE68+AD121),AE78))</f>
        <v>233.255717152259</v>
      </c>
      <c r="AF79" s="116" t="n">
        <f aca="false">MAX(0,MIN(AF67,$C$9*(AF69+AF68+AE121),AF78))</f>
        <v>234.128994148166</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62.7845765873799</v>
      </c>
      <c r="N80" s="116" t="n">
        <f aca="false">IF($C$177&lt;=1,N68,SUMPRODUCT($C$189:N189,((N$39-$C$39:N$39+1)&gt;=$C$177)+((N$39-$C$39:N$39+1)&lt;$C$177)*(N$39-$C$39:N$39+1)/$C$177))</f>
        <v>66.8517793838353</v>
      </c>
      <c r="O80" s="116" t="n">
        <f aca="false">IF($C$177&lt;=1,O68,SUMPRODUCT($C$189:O189,((O$39-$C$39:O$39+1)&gt;=$C$177)+((O$39-$C$39:O$39+1)&lt;$C$177)*(O$39-$C$39:O$39+1)/$C$177))</f>
        <v>70.0456069803796</v>
      </c>
      <c r="P80" s="116" t="n">
        <f aca="false">IF($C$177&lt;=1,P68,SUMPRODUCT($C$189:P189,((P$39-$C$39:P$39+1)&gt;=$C$177)+((P$39-$C$39:P$39+1)&lt;$C$177)*(P$39-$C$39:P$39+1)/$C$177))</f>
        <v>70.5864756244843</v>
      </c>
      <c r="Q80" s="116" t="n">
        <f aca="false">IF($C$177&lt;=1,Q68,SUMPRODUCT($C$189:Q189,((Q$39-$C$39:Q$39+1)&gt;=$C$177)+((Q$39-$C$39:Q$39+1)&lt;$C$177)*(Q$39-$C$39:Q$39+1)/$C$177))</f>
        <v>71.2599185947264</v>
      </c>
      <c r="R80" s="116" t="n">
        <f aca="false">IF($C$177&lt;=1,R68,SUMPRODUCT($C$189:R189,((R$39-$C$39:R$39+1)&gt;=$C$177)+((R$39-$C$39:R$39+1)&lt;$C$177)*(R$39-$C$39:R$39+1)/$C$177))</f>
        <v>72.061766967335</v>
      </c>
      <c r="S80" s="116" t="n">
        <f aca="false">IF($C$177&lt;=1,S68,SUMPRODUCT($C$189:S189,((S$39-$C$39:S$39+1)&gt;=$C$177)+((S$39-$C$39:S$39+1)&lt;$C$177)*(S$39-$C$39:S$39+1)/$C$177))</f>
        <v>72.9878598327687</v>
      </c>
      <c r="T80" s="116" t="n">
        <f aca="false">IF($C$177&lt;=1,T68,SUMPRODUCT($C$189:T189,((T$39-$C$39:T$39+1)&gt;=$C$177)+((T$39-$C$39:T$39+1)&lt;$C$177)*(T$39-$C$39:T$39+1)/$C$177))</f>
        <v>74.0340440759824</v>
      </c>
      <c r="U80" s="116" t="n">
        <f aca="false">IF($C$177&lt;=1,U68,SUMPRODUCT($C$189:U189,((U$39-$C$39:U$39+1)&gt;=$C$177)+((U$39-$C$39:U$39+1)&lt;$C$177)*(U$39-$C$39:U$39+1)/$C$177))</f>
        <v>75.1961800974805</v>
      </c>
      <c r="V80" s="116" t="n">
        <f aca="false">IF($C$177&lt;=1,V68,SUMPRODUCT($C$189:V189,((V$39-$C$39:V$39+1)&gt;=$C$177)+((V$39-$C$39:V$39+1)&lt;$C$177)*(V$39-$C$39:V$39+1)/$C$177))</f>
        <v>76.4701297425435</v>
      </c>
      <c r="W80" s="116" t="n">
        <f aca="false">IF($C$177&lt;=1,W68,SUMPRODUCT($C$189:W189,((W$39-$C$39:W$39+1)&gt;=$C$177)+((W$39-$C$39:W$39+1)&lt;$C$177)*(W$39-$C$39:W$39+1)/$C$177))</f>
        <v>77.7150354551386</v>
      </c>
      <c r="X80" s="116" t="n">
        <f aca="false">IF($C$177&lt;=1,X68,SUMPRODUCT($C$189:X189,((X$39-$C$39:X$39+1)&gt;=$C$177)+((X$39-$C$39:X$39+1)&lt;$C$177)*(X$39-$C$39:X$39+1)/$C$177))</f>
        <v>78.9277536631163</v>
      </c>
      <c r="Y80" s="116" t="n">
        <f aca="false">IF($C$177&lt;=1,Y68,SUMPRODUCT($C$189:Y189,((Y$39-$C$39:Y$39+1)&gt;=$C$177)+((Y$39-$C$39:Y$39+1)&lt;$C$177)*(Y$39-$C$39:Y$39+1)/$C$177))</f>
        <v>80.1051864632468</v>
      </c>
      <c r="Z80" s="116" t="n">
        <f aca="false">IF($C$177&lt;=1,Z68,SUMPRODUCT($C$189:Z189,((Z$39-$C$39:Z$39+1)&gt;=$C$177)+((Z$39-$C$39:Z$39+1)&lt;$C$177)*(Z$39-$C$39:Z$39+1)/$C$177))</f>
        <v>81.2442706185704</v>
      </c>
      <c r="AA80" s="116" t="n">
        <f aca="false">IF($C$177&lt;=1,AA68,SUMPRODUCT($C$189:AA189,((AA$39-$C$39:AA$39+1)&gt;=$C$177)+((AA$39-$C$39:AA$39+1)&lt;$C$177)*(AA$39-$C$39:AA$39+1)/$C$177))</f>
        <v>82.3419901014414</v>
      </c>
      <c r="AB80" s="116" t="n">
        <f aca="false">IF($C$177&lt;=1,AB68,SUMPRODUCT($C$189:AB189,((AB$39-$C$39:AB$39+1)&gt;=$C$177)+((AB$39-$C$39:AB$39+1)&lt;$C$177)*(AB$39-$C$39:AB$39+1)/$C$177))</f>
        <v>83.398399986657</v>
      </c>
      <c r="AC80" s="116" t="n">
        <f aca="false">IF($C$177&lt;=1,AC68,SUMPRODUCT($C$189:AC189,((AC$39-$C$39:AC$39+1)&gt;=$C$177)+((AC$39-$C$39:AC$39+1)&lt;$C$177)*(AC$39-$C$39:AC$39+1)/$C$177))</f>
        <v>84.4135453227754</v>
      </c>
      <c r="AD80" s="116" t="n">
        <f aca="false">IF($C$177&lt;=1,AD68,SUMPRODUCT($C$189:AD189,((AD$39-$C$39:AD$39+1)&gt;=$C$177)+((AD$39-$C$39:AD$39+1)&lt;$C$177)*(AD$39-$C$39:AD$39+1)/$C$177))</f>
        <v>85.3874606498774</v>
      </c>
      <c r="AE80" s="116" t="n">
        <f aca="false">IF($C$177&lt;=1,AE68,SUMPRODUCT($C$189:AE189,((AE$39-$C$39:AE$39+1)&gt;=$C$177)+((AE$39-$C$39:AE$39+1)&lt;$C$177)*(AE$39-$C$39:AE$39+1)/$C$177))</f>
        <v>86.3201704581179</v>
      </c>
      <c r="AF80" s="116" t="n">
        <f aca="false">IF($C$177&lt;=1,AF68,SUMPRODUCT($C$189:AF189,((AF$39-$C$39:AF$39+1)&gt;=$C$177)+((AF$39-$C$39:AF$39+1)&lt;$C$177)*(AF$39-$C$39:AF$39+1)/$C$177))</f>
        <v>87.2116867766809</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349.802265736928</v>
      </c>
      <c r="M81" s="116" t="n">
        <f aca="false">M69+M80+L121</f>
        <v>362.425202609807</v>
      </c>
      <c r="N81" s="116" t="n">
        <f aca="false">N69+N80+M121</f>
        <v>375.207421172401</v>
      </c>
      <c r="O81" s="116" t="n">
        <f aca="false">O69+O80+N121</f>
        <v>387.242291729662</v>
      </c>
      <c r="P81" s="116" t="n">
        <f aca="false">P69+P80+O121</f>
        <v>396.753941625673</v>
      </c>
      <c r="Q81" s="116" t="n">
        <f aca="false">Q69+Q80+P121</f>
        <v>406.341377111923</v>
      </c>
      <c r="R81" s="116" t="n">
        <f aca="false">R69+R80+Q121</f>
        <v>415.900988294633</v>
      </c>
      <c r="S81" s="116" t="n">
        <f aca="false">S69+S80+R121</f>
        <v>425.441651040733</v>
      </c>
      <c r="T81" s="116" t="n">
        <f aca="false">T69+T80+S121</f>
        <v>434.978705216783</v>
      </c>
      <c r="U81" s="116" t="n">
        <f aca="false">U69+U80+T121</f>
        <v>444.527187925394</v>
      </c>
      <c r="V81" s="116" t="n">
        <f aca="false">V69+V80+U121</f>
        <v>454.102052398249</v>
      </c>
      <c r="W81" s="116" t="n">
        <f aca="false">W69+W80+V121</f>
        <v>463.581483638231</v>
      </c>
      <c r="X81" s="116" t="n">
        <f aca="false">X69+X80+W121</f>
        <v>472.981531447804</v>
      </c>
      <c r="Y81" s="116" t="n">
        <f aca="false">Y69+Y80+X121</f>
        <v>482.31839319548</v>
      </c>
      <c r="Z81" s="116" t="n">
        <f aca="false">Z69+Z80+Y121</f>
        <v>491.608375714051</v>
      </c>
      <c r="AA81" s="116" t="n">
        <f aca="false">AA69+AA80+Z121</f>
        <v>500.867936824098</v>
      </c>
      <c r="AB81" s="116" t="n">
        <f aca="false">AB69+AB80+AA121</f>
        <v>510.116725344894</v>
      </c>
      <c r="AC81" s="116" t="n">
        <f aca="false">AC69+AC80+AB121</f>
        <v>519.374531107127</v>
      </c>
      <c r="AD81" s="116" t="n">
        <f aca="false">AD69+AD80+AC121</f>
        <v>528.66131230414</v>
      </c>
      <c r="AE81" s="116" t="n">
        <f aca="false">AE69+AE80+AD121</f>
        <v>537.997224314867</v>
      </c>
      <c r="AF81" s="116" t="n">
        <f aca="false">AF69+AF80+AE121</f>
        <v>547.402640284587</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0.947124471787873</v>
      </c>
      <c r="AE82" s="116" t="n">
        <f aca="false">MAX(0,MIN(AE80,$C$9*AE81-AE79,AE78-AE79))</f>
        <v>5.32001087163488</v>
      </c>
      <c r="AF82" s="116" t="n">
        <f aca="false">MAX(0,MIN(AF80,$C$9*AF81-AF79,AF78-AF79))</f>
        <v>9.93397562027772</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102.532582029313</v>
      </c>
      <c r="N84" s="116" t="n">
        <f aca="false">N67-N79+N80-N82</f>
        <v>105.639234228526</v>
      </c>
      <c r="O84" s="116" t="n">
        <f aca="false">O67-O79+O80-O82</f>
        <v>107.767420551803</v>
      </c>
      <c r="P84" s="116" t="n">
        <f aca="false">P67-P79+P80-P82</f>
        <v>107.134166013904</v>
      </c>
      <c r="Q84" s="116" t="n">
        <f aca="false">Q67-Q79+Q80-Q82</f>
        <v>106.521394447738</v>
      </c>
      <c r="R84" s="116" t="n">
        <f aca="false">R67-R79+R80-R82</f>
        <v>105.832159934703</v>
      </c>
      <c r="S84" s="116" t="n">
        <f aca="false">S67-S79+S80-S82</f>
        <v>105.06009948795</v>
      </c>
      <c r="T84" s="116" t="n">
        <f aca="false">T67-T79+T80-T82</f>
        <v>104.198822681812</v>
      </c>
      <c r="U84" s="116" t="n">
        <f aca="false">U67-U79+U80-U82</f>
        <v>103.242090075256</v>
      </c>
      <c r="V84" s="116" t="n">
        <f aca="false">V67-V79+V80-V82</f>
        <v>102.183275847035</v>
      </c>
      <c r="W84" s="116" t="n">
        <f aca="false">W67-W79+W80-W82</f>
        <v>100.879164760593</v>
      </c>
      <c r="X84" s="116" t="n">
        <f aca="false">X67-X79+X80-X82</f>
        <v>99.3242105335915</v>
      </c>
      <c r="Y84" s="116" t="n">
        <f aca="false">Y67-Y79+Y80-Y82</f>
        <v>97.5128650724799</v>
      </c>
      <c r="Z84" s="116" t="n">
        <f aca="false">Z67-Z79+Z80-Z82</f>
        <v>95.439376318105</v>
      </c>
      <c r="AA84" s="116" t="n">
        <f aca="false">AA67-AA79+AA80-AA82</f>
        <v>93.0981700493271</v>
      </c>
      <c r="AB84" s="116" t="n">
        <f aca="false">AB67-AB79+AB80-AB82</f>
        <v>90.4864937372616</v>
      </c>
      <c r="AC84" s="116" t="n">
        <f aca="false">AC67-AC79+AC80-AC82</f>
        <v>87.6015185675645</v>
      </c>
      <c r="AD84" s="116" t="n">
        <f aca="false">AD67-AD79+AD80-AD82</f>
        <v>84.4403361780895</v>
      </c>
      <c r="AE84" s="116" t="n">
        <f aca="false">AE67-AE79+AE80-AE82</f>
        <v>81.000159586483</v>
      </c>
      <c r="AF84" s="116" t="n">
        <f aca="false">AF67-AF79+AF80-AF82</f>
        <v>77.2777111564032</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41.9762718884314</v>
      </c>
      <c r="M85" s="116" t="n">
        <f aca="false">IF(AND($C$31&gt;0,M$39&gt;10),MIN(M83,MAX(01_Supuestos!$I$137*M81,L85*(1-1/MAX(1,$C$31)))),MIN(IF(M$39&lt;=10,01_Supuestos!$I$136,01_Supuestos!$I$137)*M81,M83))</f>
        <v>33.5810175107451</v>
      </c>
      <c r="N85" s="116" t="n">
        <f aca="false">IF(AND($C$31&gt;0,N$39&gt;10),MIN(N83,MAX(01_Supuestos!$I$137*N81,M85*(1-1/MAX(1,$C$31)))),MIN(IF(N$39&lt;=10,01_Supuestos!$I$136,01_Supuestos!$I$137)*N81,N83))</f>
        <v>28.1405565879301</v>
      </c>
      <c r="O85" s="116" t="n">
        <f aca="false">IF(AND($C$31&gt;0,O$39&gt;10),MIN(O83,MAX(01_Supuestos!$I$137*O81,N85*(1-1/MAX(1,$C$31)))),MIN(IF(O$39&lt;=10,01_Supuestos!$I$136,01_Supuestos!$I$137)*O81,O83))</f>
        <v>29.0431718797247</v>
      </c>
      <c r="P85" s="116" t="n">
        <f aca="false">IF(AND($C$31&gt;0,P$39&gt;10),MIN(P83,MAX(01_Supuestos!$I$137*P81,O85*(1-1/MAX(1,$C$31)))),MIN(IF(P$39&lt;=10,01_Supuestos!$I$136,01_Supuestos!$I$137)*P81,P83))</f>
        <v>29.7565456219254</v>
      </c>
      <c r="Q85" s="116" t="n">
        <f aca="false">IF(AND($C$31&gt;0,Q$39&gt;10),MIN(Q83,MAX(01_Supuestos!$I$137*Q81,P85*(1-1/MAX(1,$C$31)))),MIN(IF(Q$39&lt;=10,01_Supuestos!$I$136,01_Supuestos!$I$137)*Q81,Q83))</f>
        <v>30.4756032833942</v>
      </c>
      <c r="R85" s="116" t="n">
        <f aca="false">IF(AND($C$31&gt;0,R$39&gt;10),MIN(R83,MAX(01_Supuestos!$I$137*R81,Q85*(1-1/MAX(1,$C$31)))),MIN(IF(R$39&lt;=10,01_Supuestos!$I$136,01_Supuestos!$I$137)*R81,R83))</f>
        <v>31.1925741220975</v>
      </c>
      <c r="S85" s="116" t="n">
        <f aca="false">IF(AND($C$31&gt;0,S$39&gt;10),MIN(S83,MAX(01_Supuestos!$I$137*S81,R85*(1-1/MAX(1,$C$31)))),MIN(IF(S$39&lt;=10,01_Supuestos!$I$136,01_Supuestos!$I$137)*S81,S83))</f>
        <v>31.908123828055</v>
      </c>
      <c r="T85" s="116" t="n">
        <f aca="false">IF(AND($C$31&gt;0,T$39&gt;10),MIN(T83,MAX(01_Supuestos!$I$137*T81,S85*(1-1/MAX(1,$C$31)))),MIN(IF(T$39&lt;=10,01_Supuestos!$I$136,01_Supuestos!$I$137)*T81,T83))</f>
        <v>32.6234028912587</v>
      </c>
      <c r="U85" s="116" t="n">
        <f aca="false">IF(AND($C$31&gt;0,U$39&gt;10),MIN(U83,MAX(01_Supuestos!$I$137*U81,T85*(1-1/MAX(1,$C$31)))),MIN(IF(U$39&lt;=10,01_Supuestos!$I$136,01_Supuestos!$I$137)*U81,U83))</f>
        <v>33.3395390944045</v>
      </c>
      <c r="V85" s="116" t="n">
        <f aca="false">IF(AND($C$31&gt;0,V$39&gt;10),MIN(V83,MAX(01_Supuestos!$I$137*V81,U85*(1-1/MAX(1,$C$31)))),MIN(IF(V$39&lt;=10,01_Supuestos!$I$136,01_Supuestos!$I$137)*V81,V83))</f>
        <v>34.0576539298687</v>
      </c>
      <c r="W85" s="116" t="n">
        <f aca="false">IF(AND($C$31&gt;0,W$39&gt;10),MIN(W83,MAX(01_Supuestos!$I$137*W81,V85*(1-1/MAX(1,$C$31)))),MIN(IF(W$39&lt;=10,01_Supuestos!$I$136,01_Supuestos!$I$137)*W81,W83))</f>
        <v>34.7686112728673</v>
      </c>
      <c r="X85" s="116" t="n">
        <f aca="false">IF(AND($C$31&gt;0,X$39&gt;10),MIN(X83,MAX(01_Supuestos!$I$137*X81,W85*(1-1/MAX(1,$C$31)))),MIN(IF(X$39&lt;=10,01_Supuestos!$I$136,01_Supuestos!$I$137)*X81,X83))</f>
        <v>35.4736148585853</v>
      </c>
      <c r="Y85" s="116" t="n">
        <f aca="false">IF(AND($C$31&gt;0,Y$39&gt;10),MIN(Y83,MAX(01_Supuestos!$I$137*Y81,X85*(1-1/MAX(1,$C$31)))),MIN(IF(Y$39&lt;=10,01_Supuestos!$I$136,01_Supuestos!$I$137)*Y81,Y83))</f>
        <v>36.173879489661</v>
      </c>
      <c r="Z85" s="116" t="n">
        <f aca="false">IF(AND($C$31&gt;0,Z$39&gt;10),MIN(Z83,MAX(01_Supuestos!$I$137*Z81,Y85*(1-1/MAX(1,$C$31)))),MIN(IF(Z$39&lt;=10,01_Supuestos!$I$136,01_Supuestos!$I$137)*Z81,Z83))</f>
        <v>36.8706281785538</v>
      </c>
      <c r="AA85" s="116" t="n">
        <f aca="false">IF(AND($C$31&gt;0,AA$39&gt;10),MIN(AA83,MAX(01_Supuestos!$I$137*AA81,Z85*(1-1/MAX(1,$C$31)))),MIN(IF(AA$39&lt;=10,01_Supuestos!$I$136,01_Supuestos!$I$137)*AA81,AA83))</f>
        <v>37.5650952618073</v>
      </c>
      <c r="AB85" s="116" t="n">
        <f aca="false">IF(AND($C$31&gt;0,AB$39&gt;10),MIN(AB83,MAX(01_Supuestos!$I$137*AB81,AA85*(1-1/MAX(1,$C$31)))),MIN(IF(AB$39&lt;=10,01_Supuestos!$I$136,01_Supuestos!$I$137)*AB81,AB83))</f>
        <v>38.258754400867</v>
      </c>
      <c r="AC85" s="116" t="n">
        <f aca="false">IF(AND($C$31&gt;0,AC$39&gt;10),MIN(AC83,MAX(01_Supuestos!$I$137*AC81,AB85*(1-1/MAX(1,$C$31)))),MIN(IF(AC$39&lt;=10,01_Supuestos!$I$136,01_Supuestos!$I$137)*AC81,AC83))</f>
        <v>38.9530898330345</v>
      </c>
      <c r="AD85" s="116" t="n">
        <f aca="false">IF(AND($C$31&gt;0,AD$39&gt;10),MIN(AD83,MAX(01_Supuestos!$I$137*AD81,AC85*(1-1/MAX(1,$C$31)))),MIN(IF(AD$39&lt;=10,01_Supuestos!$I$136,01_Supuestos!$I$137)*AD81,AD83))</f>
        <v>39.6495984228105</v>
      </c>
      <c r="AE85" s="116" t="n">
        <f aca="false">IF(AND($C$31&gt;0,AE$39&gt;10),MIN(AE83,MAX(01_Supuestos!$I$137*AE81,AD85*(1-1/MAX(1,$C$31)))),MIN(IF(AE$39&lt;=10,01_Supuestos!$I$136,01_Supuestos!$I$137)*AE81,AE83))</f>
        <v>40.349791823615</v>
      </c>
      <c r="AF85" s="116" t="n">
        <f aca="false">IF(AND($C$31&gt;0,AF$39&gt;10),MIN(AF83,MAX(01_Supuestos!$I$137*AF81,AE85*(1-1/MAX(1,$C$31)))),MIN(IF(AF$39&lt;=10,01_Supuestos!$I$136,01_Supuestos!$I$137)*AF81,AF83))</f>
        <v>41.055198021344</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81.5282776226255</v>
      </c>
      <c r="L87" s="116" t="n">
        <f aca="false">L83-L85-L86</f>
        <v>95.1223990611754</v>
      </c>
      <c r="M87" s="116" t="n">
        <f aca="false">M83-M85-M86</f>
        <v>116.936988456634</v>
      </c>
      <c r="N87" s="116" t="n">
        <f aca="false">N83-N85-N86</f>
        <v>125.839363516698</v>
      </c>
      <c r="O87" s="116" t="n">
        <f aca="false">O83-O85-O86</f>
        <v>128.47828638731</v>
      </c>
      <c r="P87" s="116" t="n">
        <f aca="false">P83-P85-P86</f>
        <v>131.387906185251</v>
      </c>
      <c r="Q87" s="116" t="n">
        <f aca="false">Q83-Q85-Q86</f>
        <v>134.375170915348</v>
      </c>
      <c r="R87" s="116" t="n">
        <f aca="false">R83-R85-R86</f>
        <v>137.449767883215</v>
      </c>
      <c r="S87" s="116" t="n">
        <f aca="false">S83-S85-S86</f>
        <v>140.61299204338</v>
      </c>
      <c r="T87" s="116" t="n">
        <f aca="false">T83-T85-T86</f>
        <v>143.865698645219</v>
      </c>
      <c r="U87" s="116" t="n">
        <f aca="false">U83-U85-U86</f>
        <v>147.208811777413</v>
      </c>
      <c r="V87" s="116" t="n">
        <f aca="false">V83-V85-V86</f>
        <v>150.643309012</v>
      </c>
      <c r="W87" s="116" t="n">
        <f aca="false">W83-W85-W86</f>
        <v>154.180473816664</v>
      </c>
      <c r="X87" s="116" t="n">
        <f aca="false">X83-X85-X86</f>
        <v>157.821299188006</v>
      </c>
      <c r="Y87" s="116" t="n">
        <f aca="false">Y83-Y85-Y86</f>
        <v>161.566817580002</v>
      </c>
      <c r="Z87" s="116" t="n">
        <f aca="false">Z83-Z85-Z86</f>
        <v>165.418104923711</v>
      </c>
      <c r="AA87" s="116" t="n">
        <f aca="false">AA83-AA85-AA86</f>
        <v>169.37627870181</v>
      </c>
      <c r="AB87" s="116" t="n">
        <f aca="false">AB83-AB85-AB86</f>
        <v>173.442271163913</v>
      </c>
      <c r="AC87" s="116" t="n">
        <f aca="false">AC83-AC85-AC86</f>
        <v>177.617059319735</v>
      </c>
      <c r="AD87" s="116" t="n">
        <f aca="false">AD83-AD85-AD86</f>
        <v>181.901664160473</v>
      </c>
      <c r="AE87" s="116" t="n">
        <f aca="false">AE83-AE85-AE86</f>
        <v>186.297149799084</v>
      </c>
      <c r="AF87" s="116" t="n">
        <f aca="false">AF83-AF85-AF86</f>
        <v>190.804623258677</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0.459945812682044</v>
      </c>
      <c r="M90" s="116" t="n">
        <f aca="false">M83-L83-M73+M185-M228</f>
        <v>1.38581616532413</v>
      </c>
      <c r="N90" s="116" t="n">
        <f aca="false">N83-M83-N73+N185-N228</f>
        <v>-0.56628751675337</v>
      </c>
      <c r="O90" s="116" t="n">
        <f aca="false">O83-N83-O73+O185-O228</f>
        <v>-0.849097210522515</v>
      </c>
      <c r="P90" s="116" t="n">
        <f aca="false">P83-O83-P73+P185-P228</f>
        <v>-0.0801976578483661</v>
      </c>
      <c r="Q90" s="116" t="n">
        <f aca="false">Q83-P83-Q73+Q185-Q228</f>
        <v>0.107736252896409</v>
      </c>
      <c r="R90" s="116" t="n">
        <f aca="false">R83-Q83-R73+R185-R228</f>
        <v>0.105305634206488</v>
      </c>
      <c r="S90" s="116" t="n">
        <f aca="false">S83-R83-S73+S185-S228</f>
        <v>0.108467493055159</v>
      </c>
      <c r="T90" s="116" t="n">
        <f aca="false">T83-S83-T73+T185-T228</f>
        <v>0.111359219805351</v>
      </c>
      <c r="U90" s="116" t="n">
        <f aca="false">U83-T83-U73+U185-U228</f>
        <v>0.11427190550706</v>
      </c>
      <c r="V90" s="116" t="n">
        <f aca="false">V83-U83-V73+V185-V228</f>
        <v>0.117221622062118</v>
      </c>
      <c r="W90" s="116" t="n">
        <f aca="false">W83-V83-W73+W185-W228</f>
        <v>0.121398835795809</v>
      </c>
      <c r="X90" s="116" t="n">
        <f aca="false">X83-W83-X73+X185-X228</f>
        <v>0.12505126320147</v>
      </c>
      <c r="Y90" s="116" t="n">
        <f aca="false">Y83-X83-Y73+Y185-Y228</f>
        <v>0.128421106971118</v>
      </c>
      <c r="Z90" s="116" t="n">
        <f aca="false">Z83-Y83-Z73+Z185-Z228</f>
        <v>0.131829278401653</v>
      </c>
      <c r="AA90" s="116" t="n">
        <f aca="false">AA83-Z83-AA73+AA185-AA228</f>
        <v>0.13527702862865</v>
      </c>
      <c r="AB90" s="116" t="n">
        <f aca="false">AB83-AA83-AB73+AB185-AB228</f>
        <v>0.138739281599314</v>
      </c>
      <c r="AC90" s="116" t="n">
        <f aca="false">AC83-AB83-AC73+AC185-AC228</f>
        <v>0.142229955533651</v>
      </c>
      <c r="AD90" s="116" t="n">
        <f aca="false">AD83-AC83-AD73+AD185-AD228</f>
        <v>0.145757457570411</v>
      </c>
      <c r="AE90" s="116" t="n">
        <f aca="false">AE83-AD83-AE73+AE185-AE228</f>
        <v>0.149323029856291</v>
      </c>
      <c r="AF90" s="116" t="n">
        <f aca="false">AF83-AE83-AF73+AF185-AF228</f>
        <v>0.152927960512855</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0.459945812682044</v>
      </c>
      <c r="M92" s="116" t="n">
        <f aca="false">IF(M90&gt;0,IF($C$20="BC",MIN(M90-M91,MAX(0,L276+M53-M75)),MIN(M90,MAX(0,L276+M53-M75))),0)</f>
        <v>1.38581616532413</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0.107736252896409</v>
      </c>
      <c r="R92" s="116" t="n">
        <f aca="false">IF(R90&gt;0,IF($C$20="BC",MIN(R90-R91,MAX(0,Q276+R53-R75)),MIN(R90,MAX(0,Q276+R53-R75))),0)</f>
        <v>0.105305634206488</v>
      </c>
      <c r="S92" s="116" t="n">
        <f aca="false">IF(S90&gt;0,IF($C$20="BC",MIN(S90-S91,MAX(0,R276+S53-S75)),MIN(S90,MAX(0,R276+S53-S75))),0)</f>
        <v>0.108467493055159</v>
      </c>
      <c r="T92" s="116" t="n">
        <f aca="false">IF(T90&gt;0,IF($C$20="BC",MIN(T90-T91,MAX(0,S276+T53-T75)),MIN(T90,MAX(0,S276+T53-T75))),0)</f>
        <v>0.111359219805351</v>
      </c>
      <c r="U92" s="116" t="n">
        <f aca="false">IF(U90&gt;0,IF($C$20="BC",MIN(U90-U91,MAX(0,T276+U53-U75)),MIN(U90,MAX(0,T276+U53-U75))),0)</f>
        <v>0.11427190550706</v>
      </c>
      <c r="V92" s="116" t="n">
        <f aca="false">IF(V90&gt;0,IF($C$20="BC",MIN(V90-V91,MAX(0,U276+V53-V75)),MIN(V90,MAX(0,U276+V53-V75))),0)</f>
        <v>0.117221622062118</v>
      </c>
      <c r="W92" s="116" t="n">
        <f aca="false">IF(W90&gt;0,IF($C$20="BC",MIN(W90-W91,MAX(0,V276+W53-W75)),MIN(W90,MAX(0,V276+W53-W75))),0)</f>
        <v>0.121398835795809</v>
      </c>
      <c r="X92" s="116" t="n">
        <f aca="false">IF(X90&gt;0,IF($C$20="BC",MIN(X90-X91,MAX(0,W276+X53-X75)),MIN(X90,MAX(0,W276+X53-X75))),0)</f>
        <v>0.12505126320147</v>
      </c>
      <c r="Y92" s="116" t="n">
        <f aca="false">IF(Y90&gt;0,IF($C$20="BC",MIN(Y90-Y91,MAX(0,X276+Y53-Y75)),MIN(Y90,MAX(0,X276+Y53-Y75))),0)</f>
        <v>0.128421106971118</v>
      </c>
      <c r="Z92" s="116" t="n">
        <f aca="false">IF(Z90&gt;0,IF($C$20="BC",MIN(Z90-Z91,MAX(0,Y276+Z53-Z75)),MIN(Z90,MAX(0,Y276+Z53-Z75))),0)</f>
        <v>0.131829278401653</v>
      </c>
      <c r="AA92" s="116" t="n">
        <f aca="false">IF(AA90&gt;0,IF($C$20="BC",MIN(AA90-AA91,MAX(0,Z276+AA53-AA75)),MIN(AA90,MAX(0,Z276+AA53-AA75))),0)</f>
        <v>0.13527702862865</v>
      </c>
      <c r="AB92" s="116" t="n">
        <f aca="false">IF(AB90&gt;0,IF($C$20="BC",MIN(AB90-AB91,MAX(0,AA276+AB53-AB75)),MIN(AB90,MAX(0,AA276+AB53-AB75))),0)</f>
        <v>0.138739281599314</v>
      </c>
      <c r="AC92" s="116" t="n">
        <f aca="false">IF(AC90&gt;0,IF($C$20="BC",MIN(AC90-AC91,MAX(0,AB276+AC53-AC75)),MIN(AC90,MAX(0,AB276+AC53-AC75))),0)</f>
        <v>0.142229955533651</v>
      </c>
      <c r="AD92" s="116" t="n">
        <f aca="false">IF(AD90&gt;0,IF($C$20="BC",MIN(AD90-AD91,MAX(0,AC276+AD53-AD75)),MIN(AD90,MAX(0,AC276+AD53-AD75))),0)</f>
        <v>0.145757457570411</v>
      </c>
      <c r="AE92" s="116" t="n">
        <f aca="false">IF(AE90&gt;0,IF($C$20="BC",MIN(AE90-AE91,MAX(0,AD276+AE53-AE75)),MIN(AE90,MAX(0,AD276+AE53-AE75))),0)</f>
        <v>0.149323029856291</v>
      </c>
      <c r="AF92" s="116" t="n">
        <f aca="false">IF(AF90&gt;0,IF($C$20="BC",MIN(AF90-AF91,MAX(0,AE276+AF53-AF75)),MIN(AF90,MAX(0,AE276+AF53-AF75))),0)</f>
        <v>0.152927960512855</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0.56628751675337</v>
      </c>
      <c r="O94" s="116" t="n">
        <f aca="false">IF(O90&lt;0,-O90-O93,0)</f>
        <v>0.849097210522515</v>
      </c>
      <c r="P94" s="116" t="n">
        <f aca="false">IF(P90&lt;0,-P90-P93,0)</f>
        <v>0.0801976578483661</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8.41993380206519</v>
      </c>
      <c r="L100" s="116" t="n">
        <f aca="false">$C$21*$C$22*L81</f>
        <v>8.7450566434232</v>
      </c>
      <c r="M100" s="116" t="n">
        <f aca="false">$C$21*$C$22*M81</f>
        <v>9.06063006524517</v>
      </c>
      <c r="N100" s="116" t="n">
        <f aca="false">$C$21*$C$22*N81</f>
        <v>9.38018552931002</v>
      </c>
      <c r="O100" s="116" t="n">
        <f aca="false">$C$21*$C$22*O81</f>
        <v>9.68105729324156</v>
      </c>
      <c r="P100" s="116" t="n">
        <f aca="false">$C$21*$C$22*P81</f>
        <v>9.91884854064182</v>
      </c>
      <c r="Q100" s="116" t="n">
        <f aca="false">$C$21*$C$22*Q81</f>
        <v>10.1585344277981</v>
      </c>
      <c r="R100" s="116" t="n">
        <f aca="false">$C$21*$C$22*R81</f>
        <v>10.3975247073658</v>
      </c>
      <c r="S100" s="116" t="n">
        <f aca="false">$C$21*$C$22*S81</f>
        <v>10.6360412760183</v>
      </c>
      <c r="T100" s="116" t="n">
        <f aca="false">$C$21*$C$22*T81</f>
        <v>10.8744676304196</v>
      </c>
      <c r="U100" s="116" t="n">
        <f aca="false">$C$21*$C$22*U81</f>
        <v>11.1131796981348</v>
      </c>
      <c r="V100" s="116" t="n">
        <f aca="false">$C$21*$C$22*V81</f>
        <v>11.3525513099562</v>
      </c>
      <c r="W100" s="116" t="n">
        <f aca="false">$C$21*$C$22*W81</f>
        <v>11.5895370909558</v>
      </c>
      <c r="X100" s="116" t="n">
        <f aca="false">$C$21*$C$22*X81</f>
        <v>11.8245382861951</v>
      </c>
      <c r="Y100" s="116" t="n">
        <f aca="false">$C$21*$C$22*Y81</f>
        <v>12.057959829887</v>
      </c>
      <c r="Z100" s="116" t="n">
        <f aca="false">$C$21*$C$22*Z81</f>
        <v>12.2902093928513</v>
      </c>
      <c r="AA100" s="116" t="n">
        <f aca="false">$C$21*$C$22*AA81</f>
        <v>12.5216984206024</v>
      </c>
      <c r="AB100" s="116" t="n">
        <f aca="false">$C$21*$C$22*AB81</f>
        <v>12.7529181336223</v>
      </c>
      <c r="AC100" s="116" t="n">
        <f aca="false">$C$21*$C$22*AC81</f>
        <v>12.9843632776782</v>
      </c>
      <c r="AD100" s="116" t="n">
        <f aca="false">$C$21*$C$22*AD81</f>
        <v>13.2165328076035</v>
      </c>
      <c r="AE100" s="116" t="n">
        <f aca="false">$C$21*$C$22*AE81</f>
        <v>13.4499306078717</v>
      </c>
      <c r="AF100" s="116" t="n">
        <f aca="false">$C$21*$C$22*AF81</f>
        <v>13.6850660071147</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0.00841993380206519</v>
      </c>
      <c r="M102" s="116" t="n">
        <f aca="false">L104*$C$24</f>
        <v>0.0087450566434232</v>
      </c>
      <c r="N102" s="116" t="n">
        <f aca="false">M104*$C$24</f>
        <v>0.00906063006524517</v>
      </c>
      <c r="O102" s="116" t="n">
        <f aca="false">N104*$C$24</f>
        <v>0.00938018552931002</v>
      </c>
      <c r="P102" s="116" t="n">
        <f aca="false">O104*$C$24</f>
        <v>0.00968105729324156</v>
      </c>
      <c r="Q102" s="116" t="n">
        <f aca="false">P104*$C$24</f>
        <v>0.00991884854064182</v>
      </c>
      <c r="R102" s="116" t="n">
        <f aca="false">Q104*$C$24</f>
        <v>0.0101585344277981</v>
      </c>
      <c r="S102" s="116" t="n">
        <f aca="false">R104*$C$24</f>
        <v>0.0103975247073658</v>
      </c>
      <c r="T102" s="116" t="n">
        <f aca="false">S104*$C$24</f>
        <v>0.0106360412760183</v>
      </c>
      <c r="U102" s="116" t="n">
        <f aca="false">T104*$C$24</f>
        <v>0.0108744676304196</v>
      </c>
      <c r="V102" s="116" t="n">
        <f aca="false">U104*$C$24</f>
        <v>0.0111131796981348</v>
      </c>
      <c r="W102" s="116" t="n">
        <f aca="false">V104*$C$24</f>
        <v>0.0113525513099562</v>
      </c>
      <c r="X102" s="116" t="n">
        <f aca="false">W104*$C$24</f>
        <v>0.0115895370909558</v>
      </c>
      <c r="Y102" s="116" t="n">
        <f aca="false">X104*$C$24</f>
        <v>0.0118245382861951</v>
      </c>
      <c r="Z102" s="116" t="n">
        <f aca="false">Y104*$C$24</f>
        <v>0.012057959829887</v>
      </c>
      <c r="AA102" s="116" t="n">
        <f aca="false">Z104*$C$24</f>
        <v>0.0122902093928513</v>
      </c>
      <c r="AB102" s="116" t="n">
        <f aca="false">AA104*$C$24</f>
        <v>0.0125216984206024</v>
      </c>
      <c r="AC102" s="116" t="n">
        <f aca="false">AB104*$C$24</f>
        <v>0.0127529181336223</v>
      </c>
      <c r="AD102" s="116" t="n">
        <f aca="false">AC104*$C$24</f>
        <v>0.0129843632776782</v>
      </c>
      <c r="AE102" s="116" t="n">
        <f aca="false">AD104*$C$24</f>
        <v>0.0132165328076035</v>
      </c>
      <c r="AF102" s="116" t="n">
        <f aca="false">AE104*$C$24</f>
        <v>0.0134499306078717</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0.319715530988098</v>
      </c>
      <c r="J103" s="116" t="n">
        <f aca="false">MIN(MAX(0,J100-I104-J101),MAX(0,I276))</f>
        <v>0.320799610944579</v>
      </c>
      <c r="K103" s="116" t="n">
        <f aca="false">MIN(MAX(0,K100-J104-K101),MAX(0,J276))</f>
        <v>0.321881632659604</v>
      </c>
      <c r="L103" s="116" t="n">
        <f aca="false">MIN(MAX(0,L100-K104-L101),MAX(0,K276))</f>
        <v>0.325122841358015</v>
      </c>
      <c r="M103" s="116" t="n">
        <f aca="false">MIN(MAX(0,M100-L104-M101),MAX(0,L276))</f>
        <v>0.31557342182197</v>
      </c>
      <c r="N103" s="116" t="n">
        <f aca="false">MIN(MAX(0,N100-M104-N101),MAX(0,M276))</f>
        <v>0.319555464064846</v>
      </c>
      <c r="O103" s="116" t="n">
        <f aca="false">MIN(MAX(0,O100-N104-O101),MAX(0,N276))</f>
        <v>0.300871763931539</v>
      </c>
      <c r="P103" s="116" t="n">
        <f aca="false">MIN(MAX(0,P100-O104-P101),MAX(0,O276))</f>
        <v>0.237791247400258</v>
      </c>
      <c r="Q103" s="116" t="n">
        <f aca="false">MIN(MAX(0,Q100-P104-Q101),MAX(0,P276))</f>
        <v>0.239685887156259</v>
      </c>
      <c r="R103" s="116" t="n">
        <f aca="false">MIN(MAX(0,R100-Q104-R101),MAX(0,Q276))</f>
        <v>0.23899027956775</v>
      </c>
      <c r="S103" s="116" t="n">
        <f aca="false">MIN(MAX(0,S100-R104-S101),MAX(0,R276))</f>
        <v>0.238516568652514</v>
      </c>
      <c r="T103" s="116" t="n">
        <f aca="false">MIN(MAX(0,T100-S104-T101),MAX(0,S276))</f>
        <v>0.238426354401238</v>
      </c>
      <c r="U103" s="116" t="n">
        <f aca="false">MIN(MAX(0,U100-T104-U101),MAX(0,T276))</f>
        <v>0.238712067715269</v>
      </c>
      <c r="V103" s="116" t="n">
        <f aca="false">MIN(MAX(0,V100-U104-V101),MAX(0,U276))</f>
        <v>0.239371611821376</v>
      </c>
      <c r="W103" s="116" t="n">
        <f aca="false">MIN(MAX(0,W100-V104-W101),MAX(0,V276))</f>
        <v>0.236985780999543</v>
      </c>
      <c r="X103" s="116" t="n">
        <f aca="false">MIN(MAX(0,X100-W104-X101),MAX(0,W276))</f>
        <v>0.235001195239329</v>
      </c>
      <c r="Y103" s="116" t="n">
        <f aca="false">MIN(MAX(0,Y100-X104-Y101),MAX(0,X276))</f>
        <v>0.233421543691897</v>
      </c>
      <c r="Z103" s="116" t="n">
        <f aca="false">MIN(MAX(0,Z100-Y104-Z101),MAX(0,Y276))</f>
        <v>0.232249562964281</v>
      </c>
      <c r="AA103" s="116" t="n">
        <f aca="false">MIN(MAX(0,AA100-Z104-AA101),MAX(0,Z276))</f>
        <v>0.231489027751168</v>
      </c>
      <c r="AB103" s="116" t="n">
        <f aca="false">MIN(MAX(0,AB100-AA104-AB101),MAX(0,AA276))</f>
        <v>0.231219713019904</v>
      </c>
      <c r="AC103" s="116" t="n">
        <f aca="false">MIN(MAX(0,AC100-AB104-AC101),MAX(0,AB276))</f>
        <v>0.231445144055837</v>
      </c>
      <c r="AD103" s="116" t="n">
        <f aca="false">MIN(MAX(0,AD100-AC104-AD101),MAX(0,AC276))</f>
        <v>0.232169529925324</v>
      </c>
      <c r="AE103" s="116" t="n">
        <f aca="false">MIN(MAX(0,AE100-AD104-AE101),MAX(0,AD276))</f>
        <v>0.233397800268168</v>
      </c>
      <c r="AF103" s="116" t="n">
        <f aca="false">MIN(MAX(0,AF100-AE104-AF101),MAX(0,AE276))</f>
        <v>0.235135399242992</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8.41993380206519</v>
      </c>
      <c r="L104" s="136" t="n">
        <f aca="false">K104+L101+L103</f>
        <v>8.7450566434232</v>
      </c>
      <c r="M104" s="136" t="n">
        <f aca="false">L104+M101+M103</f>
        <v>9.06063006524517</v>
      </c>
      <c r="N104" s="136" t="n">
        <f aca="false">M104+N101+N103</f>
        <v>9.38018552931002</v>
      </c>
      <c r="O104" s="136" t="n">
        <f aca="false">N104+O101+O103</f>
        <v>9.68105729324156</v>
      </c>
      <c r="P104" s="136" t="n">
        <f aca="false">O104+P101+P103</f>
        <v>9.91884854064182</v>
      </c>
      <c r="Q104" s="136" t="n">
        <f aca="false">P104+Q101+Q103</f>
        <v>10.1585344277981</v>
      </c>
      <c r="R104" s="136" t="n">
        <f aca="false">Q104+R101+R103</f>
        <v>10.3975247073658</v>
      </c>
      <c r="S104" s="136" t="n">
        <f aca="false">R104+S101+S103</f>
        <v>10.6360412760183</v>
      </c>
      <c r="T104" s="136" t="n">
        <f aca="false">S104+T101+T103</f>
        <v>10.8744676304196</v>
      </c>
      <c r="U104" s="136" t="n">
        <f aca="false">T104+U101+U103</f>
        <v>11.1131796981348</v>
      </c>
      <c r="V104" s="136" t="n">
        <f aca="false">U104+V101+V103</f>
        <v>11.3525513099562</v>
      </c>
      <c r="W104" s="136" t="n">
        <f aca="false">V104+W101+W103</f>
        <v>11.5895370909558</v>
      </c>
      <c r="X104" s="136" t="n">
        <f aca="false">W104+X101+X103</f>
        <v>11.8245382861951</v>
      </c>
      <c r="Y104" s="136" t="n">
        <f aca="false">X104+Y101+Y103</f>
        <v>12.057959829887</v>
      </c>
      <c r="Z104" s="136" t="n">
        <f aca="false">Y104+Z101+Z103</f>
        <v>12.2902093928513</v>
      </c>
      <c r="AA104" s="136" t="n">
        <f aca="false">Z104+AA101+AA103</f>
        <v>12.5216984206024</v>
      </c>
      <c r="AB104" s="136" t="n">
        <f aca="false">AA104+AB101+AB103</f>
        <v>12.7529181336223</v>
      </c>
      <c r="AC104" s="136" t="n">
        <f aca="false">AB104+AC101+AC103</f>
        <v>12.9843632776782</v>
      </c>
      <c r="AD104" s="136" t="n">
        <f aca="false">AC104+AD101+AD103</f>
        <v>13.2165328076035</v>
      </c>
      <c r="AE104" s="136" t="n">
        <f aca="false">AD104+AE101+AE103</f>
        <v>13.4499306078717</v>
      </c>
      <c r="AF104" s="136" t="n">
        <f aca="false">AE104+AF101+AF103</f>
        <v>13.6850660071147</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68.0985635942767</v>
      </c>
      <c r="M105" s="139" t="n">
        <f aca="false">M104/($C$36*(1+$C$23)^(M$39-1))</f>
        <v>70.5559629698164</v>
      </c>
      <c r="N105" s="139" t="n">
        <f aca="false">N104/($C$36*(1+$C$23)^(N$39-1))</f>
        <v>73.0443708760001</v>
      </c>
      <c r="O105" s="139" t="n">
        <f aca="false">O104/($C$36*(1+$C$23)^(O$39-1))</f>
        <v>75.3872870840069</v>
      </c>
      <c r="P105" s="139" t="n">
        <f aca="false">P104/($C$36*(1+$C$23)^(P$39-1))</f>
        <v>77.2389894849773</v>
      </c>
      <c r="Q105" s="139" t="n">
        <f aca="false">Q104/($C$36*(1+$C$23)^(Q$39-1))</f>
        <v>79.1054456206773</v>
      </c>
      <c r="R105" s="139" t="n">
        <f aca="false">R104/($C$36*(1+$C$23)^(R$39-1))</f>
        <v>80.9664849958537</v>
      </c>
      <c r="S105" s="139" t="n">
        <f aca="false">S104/($C$36*(1+$C$23)^(S$39-1))</f>
        <v>82.823835540391</v>
      </c>
      <c r="T105" s="139" t="n">
        <f aca="false">T104/($C$36*(1+$C$23)^(T$39-1))</f>
        <v>84.6804835782234</v>
      </c>
      <c r="U105" s="139" t="n">
        <f aca="false">U104/($C$36*(1+$C$23)^(U$39-1))</f>
        <v>86.5393564920146</v>
      </c>
      <c r="V105" s="139" t="n">
        <f aca="false">V104/($C$36*(1+$C$23)^(V$39-1))</f>
        <v>88.4033653366619</v>
      </c>
      <c r="W105" s="139" t="n">
        <f aca="false">W104/($C$36*(1+$C$23)^(W$39-1))</f>
        <v>90.2487954963938</v>
      </c>
      <c r="X105" s="139" t="n">
        <f aca="false">X104/($C$36*(1+$C$23)^(X$39-1))</f>
        <v>92.0787715035557</v>
      </c>
      <c r="Y105" s="139" t="n">
        <f aca="false">Y104/($C$36*(1+$C$23)^(Y$39-1))</f>
        <v>93.8964466182539</v>
      </c>
      <c r="Z105" s="139" t="n">
        <f aca="false">Z104/($C$36*(1+$C$23)^(Z$39-1))</f>
        <v>95.7049954108064</v>
      </c>
      <c r="AA105" s="139" t="n">
        <f aca="false">AA104/($C$36*(1+$C$23)^(AA$39-1))</f>
        <v>97.5076218454271</v>
      </c>
      <c r="AB105" s="139" t="n">
        <f aca="false">AB104/($C$36*(1+$C$23)^(AB$39-1))</f>
        <v>99.3081511013672</v>
      </c>
      <c r="AC105" s="139" t="n">
        <f aca="false">AC104/($C$36*(1+$C$23)^(AC$39-1))</f>
        <v>101.1104358096</v>
      </c>
      <c r="AD105" s="139" t="n">
        <f aca="false">AD104/($C$36*(1+$C$23)^(AD$39-1))</f>
        <v>102.918361377488</v>
      </c>
      <c r="AE105" s="139" t="n">
        <f aca="false">AE104/($C$36*(1+$C$23)^(AE$39-1))</f>
        <v>104.735851599953</v>
      </c>
      <c r="AF105" s="139" t="n">
        <f aca="false">AF104/($C$36*(1+$C$23)^(AF$39-1))</f>
        <v>106.566872666084</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5.80581219432877</v>
      </c>
      <c r="M107" s="116" t="n">
        <f aca="false">M87*(1-$C$340)*$C$175+M85*01_Supuestos!$I$126+M55*M88</f>
        <v>6.41106416532808</v>
      </c>
      <c r="N107" s="116" t="n">
        <f aca="false">N87*(1-$C$340)*$C$175+N85*01_Supuestos!$I$126+N55*N88</f>
        <v>6.57688996266131</v>
      </c>
      <c r="O107" s="116" t="n">
        <f aca="false">O87*(1-$C$340)*$C$175+O85*01_Supuestos!$I$126+O55*O88</f>
        <v>6.72740326577878</v>
      </c>
      <c r="P107" s="116" t="n">
        <f aca="false">P87*(1-$C$340)*$C$175+P85*01_Supuestos!$I$126+P55*P88</f>
        <v>6.88199934989872</v>
      </c>
      <c r="Q107" s="116" t="n">
        <f aca="false">Q87*(1-$C$340)*$C$175+Q85*01_Supuestos!$I$126+Q55*Q88</f>
        <v>7.04018285386572</v>
      </c>
      <c r="R107" s="116" t="n">
        <f aca="false">R87*(1-$C$340)*$C$175+R85*01_Supuestos!$I$126+R55*R88</f>
        <v>7.20205965298949</v>
      </c>
      <c r="S107" s="116" t="n">
        <f aca="false">S87*(1-$C$340)*$C$175+S85*01_Supuestos!$I$126+S55*S88</f>
        <v>7.36771258268635</v>
      </c>
      <c r="T107" s="116" t="n">
        <f aca="false">T87*(1-$C$340)*$C$175+T85*01_Supuestos!$I$126+T55*T88</f>
        <v>7.53722499530791</v>
      </c>
      <c r="U107" s="116" t="n">
        <f aca="false">U87*(1-$C$340)*$C$175+U85*01_Supuestos!$I$126+U55*U88</f>
        <v>7.71068230570133</v>
      </c>
      <c r="V107" s="116" t="n">
        <f aca="false">V87*(1-$C$340)*$C$175+V85*01_Supuestos!$I$126+V55*V88</f>
        <v>7.88817198855734</v>
      </c>
      <c r="W107" s="116" t="n">
        <f aca="false">W87*(1-$C$340)*$C$175+W85*01_Supuestos!$I$126+W55*W88</f>
        <v>8.06981393853234</v>
      </c>
      <c r="X107" s="116" t="n">
        <f aca="false">X87*(1-$C$340)*$C$175+X85*01_Supuestos!$I$126+X55*X88</f>
        <v>8.25569961153689</v>
      </c>
      <c r="Y107" s="116" t="n">
        <f aca="false">Y87*(1-$C$340)*$C$175+Y85*01_Supuestos!$I$126+Y55*Y88</f>
        <v>8.4459226161083</v>
      </c>
      <c r="Z107" s="116" t="n">
        <f aca="false">Z87*(1-$C$340)*$C$175+Z85*01_Supuestos!$I$126+Z55*Z88</f>
        <v>8.6405787721237</v>
      </c>
      <c r="AA107" s="116" t="n">
        <f aca="false">AA87*(1-$C$340)*$C$175+AA85*01_Supuestos!$I$126+AA55*AA88</f>
        <v>8.83976615301042</v>
      </c>
      <c r="AB107" s="116" t="n">
        <f aca="false">AB87*(1-$C$340)*$C$175+AB85*01_Supuestos!$I$126+AB55*AB88</f>
        <v>9.04358446414931</v>
      </c>
      <c r="AC107" s="116" t="n">
        <f aca="false">AC87*(1-$C$340)*$C$175+AC85*01_Supuestos!$I$126+AC55*AC88</f>
        <v>9.25213577309737</v>
      </c>
      <c r="AD107" s="116" t="n">
        <f aca="false">AD87*(1-$C$340)*$C$175+AD85*01_Supuestos!$I$126+AD55*AD88</f>
        <v>9.46552455857128</v>
      </c>
      <c r="AE107" s="116" t="n">
        <f aca="false">AE87*(1-$C$340)*$C$175+AE85*01_Supuestos!$I$126+AE55*AE88</f>
        <v>9.68385776037058</v>
      </c>
      <c r="AF107" s="116" t="n">
        <f aca="false">AF87*(1-$C$340)*$C$175+AF85*01_Supuestos!$I$126+AF55*AF88</f>
        <v>9.90724483242413</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2.2844640524679</v>
      </c>
      <c r="M109" s="116" t="n">
        <f aca="false">(M70+L121)*(0.3*$C$5+0.25*01_Supuestos!$I$134)/0.55-L227*$C$5</f>
        <v>2.39797088343191</v>
      </c>
      <c r="N109" s="116" t="n">
        <f aca="false">(N70+M121)*(0.3*$C$5+0.25*01_Supuestos!$I$134)/0.55-M227*$C$5</f>
        <v>2.54053233951517</v>
      </c>
      <c r="O109" s="116" t="n">
        <f aca="false">(O70+N121)*(0.3*$C$5+0.25*01_Supuestos!$I$134)/0.55-N227*$C$5</f>
        <v>2.6865755054069</v>
      </c>
      <c r="P109" s="116" t="n">
        <f aca="false">(P70+O121)*(0.3*$C$5+0.25*01_Supuestos!$I$134)/0.55-O227*$C$5</f>
        <v>2.83622268959244</v>
      </c>
      <c r="Q109" s="116" t="n">
        <f aca="false">(Q70+P121)*(0.3*$C$5+0.25*01_Supuestos!$I$134)/0.55-P227*$C$5</f>
        <v>2.9851037728594</v>
      </c>
      <c r="R109" s="116" t="n">
        <f aca="false">(R70+Q121)*(0.3*$C$5+0.25*01_Supuestos!$I$134)/0.55-Q227*$C$5</f>
        <v>3.13301355823169</v>
      </c>
      <c r="S109" s="116" t="n">
        <f aca="false">(S70+R121)*(0.3*$C$5+0.25*01_Supuestos!$I$134)/0.55-R227*$C$5</f>
        <v>3.2802634552119</v>
      </c>
      <c r="T109" s="116" t="n">
        <f aca="false">(T70+S121)*(0.3*$C$5+0.25*01_Supuestos!$I$134)/0.55-S227*$C$5</f>
        <v>3.4273171853257</v>
      </c>
      <c r="U109" s="116" t="n">
        <f aca="false">(U70+T121)*(0.3*$C$5+0.25*01_Supuestos!$I$134)/0.55-T227*$C$5</f>
        <v>3.57462659735038</v>
      </c>
      <c r="V109" s="116" t="n">
        <f aca="false">(V70+U121)*(0.3*$C$5+0.25*01_Supuestos!$I$134)/0.55-U227*$C$5</f>
        <v>3.72264951610181</v>
      </c>
      <c r="W109" s="116" t="n">
        <f aca="false">(W70+V121)*(0.3*$C$5+0.25*01_Supuestos!$I$134)/0.55-V227*$C$5</f>
        <v>3.87183833870797</v>
      </c>
      <c r="X109" s="116" t="n">
        <f aca="false">(X70+W121)*(0.3*$C$5+0.25*01_Supuestos!$I$134)/0.55-W227*$C$5</f>
        <v>4.02264886255471</v>
      </c>
      <c r="Y109" s="116" t="n">
        <f aca="false">(Y70+X121)*(0.3*$C$5+0.25*01_Supuestos!$I$134)/0.55-X227*$C$5</f>
        <v>4.17553915868599</v>
      </c>
      <c r="Z109" s="116" t="n">
        <f aca="false">(Z70+Y121)*(0.3*$C$5+0.25*01_Supuestos!$I$134)/0.55-Y227*$C$5</f>
        <v>4.33097342049854</v>
      </c>
      <c r="AA109" s="116" t="n">
        <f aca="false">(AA70+Z121)*(0.3*$C$5+0.25*01_Supuestos!$I$134)/0.55-Z227*$C$5</f>
        <v>4.4894138911797</v>
      </c>
      <c r="AB109" s="116" t="n">
        <f aca="false">(AB70+AA121)*(0.3*$C$5+0.25*01_Supuestos!$I$134)/0.55-AA227*$C$5</f>
        <v>4.65133019715237</v>
      </c>
      <c r="AC109" s="116" t="n">
        <f aca="false">(AC70+AB121)*(0.3*$C$5+0.25*01_Supuestos!$I$134)/0.55-AB227*$C$5</f>
        <v>4.81719572416763</v>
      </c>
      <c r="AD109" s="116" t="n">
        <f aca="false">(AD70+AC121)*(0.3*$C$5+0.25*01_Supuestos!$I$134)/0.55-AC227*$C$5</f>
        <v>4.98748830923261</v>
      </c>
      <c r="AE109" s="116" t="n">
        <f aca="false">(AE70+AD121)*(0.3*$C$5+0.25*01_Supuestos!$I$134)/0.55-AD227*$C$5</f>
        <v>5.16268614028794</v>
      </c>
      <c r="AF109" s="116" t="n">
        <f aca="false">(AF70+AE121)*(0.3*$C$5+0.25*01_Supuestos!$I$134)/0.55-AE227*$C$5</f>
        <v>5.34328267577567</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1.2286350843469</v>
      </c>
      <c r="F110" s="116" t="n">
        <f aca="false">E120*$C$10</f>
        <v>1.85752021492381</v>
      </c>
      <c r="G110" s="116" t="n">
        <f aca="false">F120*$C$10</f>
        <v>2.16533992298857</v>
      </c>
      <c r="H110" s="116" t="n">
        <f aca="false">G120*$C$10</f>
        <v>2.55009879884011</v>
      </c>
      <c r="I110" s="116" t="n">
        <f aca="false">H120*$C$10</f>
        <v>2.99320707470431</v>
      </c>
      <c r="J110" s="116" t="n">
        <f aca="false">I120*$C$10</f>
        <v>3.49793567682192</v>
      </c>
      <c r="K110" s="116" t="n">
        <f aca="false">J120*$C$10</f>
        <v>4.04953165911522</v>
      </c>
      <c r="L110" s="116" t="n">
        <f aca="false">K120*$C$10</f>
        <v>4.64648357854472</v>
      </c>
      <c r="M110" s="116" t="n">
        <f aca="false">L120*$C$10</f>
        <v>5.2450523971512</v>
      </c>
      <c r="N110" s="116" t="n">
        <f aca="false">M120*$C$10</f>
        <v>5.23344292778124</v>
      </c>
      <c r="O110" s="116" t="n">
        <f aca="false">N120*$C$10</f>
        <v>5.29121619495999</v>
      </c>
      <c r="P110" s="116" t="n">
        <f aca="false">O120*$C$10</f>
        <v>5.3607701720587</v>
      </c>
      <c r="Q110" s="116" t="n">
        <f aca="false">P120*$C$10</f>
        <v>5.40687963505411</v>
      </c>
      <c r="R110" s="116" t="n">
        <f aca="false">Q120*$C$10</f>
        <v>5.44763572974773</v>
      </c>
      <c r="S110" s="116" t="n">
        <f aca="false">R120*$C$10</f>
        <v>5.48982413910099</v>
      </c>
      <c r="T110" s="116" t="n">
        <f aca="false">S120*$C$10</f>
        <v>5.53327443243496</v>
      </c>
      <c r="U110" s="116" t="n">
        <f aca="false">T120*$C$10</f>
        <v>5.57801654121881</v>
      </c>
      <c r="V110" s="116" t="n">
        <f aca="false">U120*$C$10</f>
        <v>5.62407132113414</v>
      </c>
      <c r="W110" s="116" t="n">
        <f aca="false">V120*$C$10</f>
        <v>5.67146000740078</v>
      </c>
      <c r="X110" s="116" t="n">
        <f aca="false">W120*$C$10</f>
        <v>5.72028273150181</v>
      </c>
      <c r="Y110" s="116" t="n">
        <f aca="false">X120*$C$10</f>
        <v>5.77058123578748</v>
      </c>
      <c r="Z110" s="116" t="n">
        <f aca="false">Y120*$C$10</f>
        <v>5.82238959185365</v>
      </c>
      <c r="AA110" s="116" t="n">
        <f aca="false">Z120*$C$10</f>
        <v>5.8757315024662</v>
      </c>
      <c r="AB110" s="116" t="n">
        <f aca="false">AA120*$C$10</f>
        <v>5.93063147730478</v>
      </c>
      <c r="AC110" s="116" t="n">
        <f aca="false">AB120*$C$10</f>
        <v>5.98711311897527</v>
      </c>
      <c r="AD110" s="116" t="n">
        <f aca="false">AC120*$C$10</f>
        <v>6.04520045213386</v>
      </c>
      <c r="AE110" s="116" t="n">
        <f aca="false">AD120*$C$10</f>
        <v>6.10491811825683</v>
      </c>
      <c r="AF110" s="116" t="n">
        <f aca="false">AE120*$C$10</f>
        <v>6.16629162765493</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12.0144898536263</v>
      </c>
      <c r="M111" s="136" t="n">
        <f aca="false">M69*01_Supuestos!$I$107-M218</f>
        <v>12.1731377818496</v>
      </c>
      <c r="N111" s="136" t="n">
        <f aca="false">N69*01_Supuestos!$I$107-N218</f>
        <v>12.3995659728803</v>
      </c>
      <c r="O111" s="136" t="n">
        <f aca="false">O69*01_Supuestos!$I$107-O218</f>
        <v>12.6811119740545</v>
      </c>
      <c r="P111" s="136" t="n">
        <f aca="false">P69*01_Supuestos!$I$107-P218</f>
        <v>13.1722970754048</v>
      </c>
      <c r="Q111" s="136" t="n">
        <f aca="false">Q69*01_Supuestos!$I$107-Q218</f>
        <v>13.653870464581</v>
      </c>
      <c r="R111" s="136" t="n">
        <f aca="false">R69*01_Supuestos!$I$107-R218</f>
        <v>14.1221357146534</v>
      </c>
      <c r="S111" s="136" t="n">
        <f aca="false">S69*01_Supuestos!$I$107-S218</f>
        <v>14.5778889652226</v>
      </c>
      <c r="T111" s="136" t="n">
        <f aca="false">T69*01_Supuestos!$I$107-T218</f>
        <v>15.0218835607842</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0.349802265736928</v>
      </c>
      <c r="M112" s="116" t="n">
        <f aca="false">M81*$C$7</f>
        <v>0.362425202609807</v>
      </c>
      <c r="N112" s="116" t="n">
        <f aca="false">N81*$C$7</f>
        <v>0.375207421172401</v>
      </c>
      <c r="O112" s="116" t="n">
        <f aca="false">O81*$C$7</f>
        <v>0.387242291729662</v>
      </c>
      <c r="P112" s="116" t="n">
        <f aca="false">P81*$C$7</f>
        <v>0.396753941625673</v>
      </c>
      <c r="Q112" s="116" t="n">
        <f aca="false">Q81*$C$7</f>
        <v>0.406341377111923</v>
      </c>
      <c r="R112" s="116" t="n">
        <f aca="false">R81*$C$7</f>
        <v>0.415900988294633</v>
      </c>
      <c r="S112" s="116" t="n">
        <f aca="false">S81*$C$7</f>
        <v>0.425441651040733</v>
      </c>
      <c r="T112" s="116" t="n">
        <f aca="false">T81*$C$7</f>
        <v>0.434978705216783</v>
      </c>
      <c r="U112" s="116" t="n">
        <f aca="false">U81*$C$7</f>
        <v>0.444527187925394</v>
      </c>
      <c r="V112" s="116" t="n">
        <f aca="false">V81*$C$7</f>
        <v>0.454102052398249</v>
      </c>
      <c r="W112" s="116" t="n">
        <f aca="false">W81*$C$7</f>
        <v>0.463581483638231</v>
      </c>
      <c r="X112" s="116" t="n">
        <f aca="false">X81*$C$7</f>
        <v>0.472981531447804</v>
      </c>
      <c r="Y112" s="116" t="n">
        <f aca="false">Y81*$C$7</f>
        <v>0.48231839319548</v>
      </c>
      <c r="Z112" s="116" t="n">
        <f aca="false">Z81*$C$7</f>
        <v>0.491608375714051</v>
      </c>
      <c r="AA112" s="116" t="n">
        <f aca="false">AA81*$C$7</f>
        <v>0.500867936824098</v>
      </c>
      <c r="AB112" s="116" t="n">
        <f aca="false">AB81*$C$7</f>
        <v>0.510116725344894</v>
      </c>
      <c r="AC112" s="116" t="n">
        <f aca="false">AC81*$C$7</f>
        <v>0.519374531107127</v>
      </c>
      <c r="AD112" s="116" t="n">
        <f aca="false">AD81*$C$7</f>
        <v>0.52866131230414</v>
      </c>
      <c r="AE112" s="116" t="n">
        <f aca="false">AE81*$C$7</f>
        <v>0.537997224314867</v>
      </c>
      <c r="AF112" s="116" t="n">
        <f aca="false">AF81*$C$7</f>
        <v>0.547402640284587</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-2.47949637376709</v>
      </c>
      <c r="F113" s="136" t="n">
        <f aca="false">F107+F109+F110-F111-F112-F108-F97-F98-F102+F184-F190-F229-F265-F268-F274</f>
        <v>-6.30123517222942</v>
      </c>
      <c r="G113" s="136" t="n">
        <f aca="false">G107+G109+G110-G111-G112-G108-G97-G98-G102+G184-G190-G229-G265-G268-G274</f>
        <v>-4.97573315375669</v>
      </c>
      <c r="H113" s="136" t="n">
        <f aca="false">H107+H109+H110-H111-H112-H108-H97-H98-H102+H184-H190-H229-H265-H268-H274</f>
        <v>-3.78520238096484</v>
      </c>
      <c r="I113" s="136" t="n">
        <f aca="false">I107+I109+I110-I111-I112-I108-I97-I98-I102+I184-I190-I229-I265-I268-I274</f>
        <v>-2.54509017214588</v>
      </c>
      <c r="J113" s="136" t="n">
        <f aca="false">J107+J109+J110-J111-J112-J108-J97-J98-J102+J184-J190-J229-J265-J268-J274</f>
        <v>-1.25017615893302</v>
      </c>
      <c r="K113" s="136" t="n">
        <f aca="false">K107+K109+K110-K111-K112-K108-K97-K98-K102+K184-K190-K229-K265-K268-K274</f>
        <v>0.0864144050574206</v>
      </c>
      <c r="L113" s="136" t="n">
        <f aca="false">L107+L109+L110-L111-L112-L108-L97-L98-L102+L184-L190-L229-L265-L268-L274</f>
        <v>1.46664613941713</v>
      </c>
      <c r="M113" s="136" t="n">
        <f aca="false">M107+M109+M110-M111-M112-M108-M97-M98-M102+M184-M190-M229-M265-M268-M274</f>
        <v>2.63297528178136</v>
      </c>
      <c r="N113" s="136" t="n">
        <f aca="false">N107+N109+N110-N111-N112-N108-N97-N98-N102+N184-N190-N229-N265-N268-N274</f>
        <v>2.71570953895539</v>
      </c>
      <c r="O113" s="136" t="n">
        <f aca="false">O107+O109+O110-O111-O112-O108-O97-O98-O102+O184-O190-O229-O265-O268-O274</f>
        <v>2.80207250804124</v>
      </c>
      <c r="P113" s="136" t="n">
        <f aca="false">P107+P109+P110-P111-P112-P108-P97-P98-P102+P184-P190-P229-P265-P268-P274</f>
        <v>2.70179647910501</v>
      </c>
      <c r="Q113" s="136" t="n">
        <f aca="false">Q107+Q109+Q110-Q111-Q112-Q108-Q97-Q98-Q102+Q184-Q190-Q229-Q265-Q268-Q274</f>
        <v>2.59121041134209</v>
      </c>
      <c r="R113" s="136" t="n">
        <f aca="false">R107+R109+R110-R111-R112-R108-R97-R98-R102+R184-R190-R229-R265-R268-R274</f>
        <v>2.49196027248312</v>
      </c>
      <c r="S113" s="136" t="n">
        <f aca="false">S107+S109+S110-S111-S112-S108-S97-S98-S102+S184-S190-S229-S265-S268-S274</f>
        <v>2.4104409536958</v>
      </c>
      <c r="T113" s="136" t="n">
        <f aca="false">T107+T109+T110-T111-T112-T108-T97-T98-T102+T184-T190-T229-T265-T268-T274</f>
        <v>2.34627498474527</v>
      </c>
      <c r="U113" s="136" t="n">
        <f aca="false">U107+U109+U110-U111-U112-U108-U97-U98-U102+U184-U190-U229-U265-U268-U274</f>
        <v>2.29931592090823</v>
      </c>
      <c r="V113" s="136" t="n">
        <f aca="false">V107+V109+V110-V111-V112-V108-V97-V98-V102+V184-V190-V229-V265-V268-V274</f>
        <v>2.2694538079713</v>
      </c>
      <c r="W113" s="136" t="n">
        <f aca="false">W107+W109+W110-W111-W112-W108-W97-W98-W102+W184-W190-W229-W265-W268-W274</f>
        <v>2.2567782797268</v>
      </c>
      <c r="X113" s="136" t="n">
        <f aca="false">X107+X109+X110-X111-X112-X108-X97-X98-X102+X184-X190-X229-X265-X268-X274</f>
        <v>2.26132994058184</v>
      </c>
      <c r="Y113" s="136" t="n">
        <f aca="false">Y107+Y109+Y110-Y111-Y112-Y108-Y97-Y98-Y102+Y184-Y190-Y229-Y265-Y268-Y274</f>
        <v>2.28312213111214</v>
      </c>
      <c r="Z113" s="136" t="n">
        <f aca="false">Z107+Z109+Z110-Z111-Z112-Z108-Z97-Z98-Z102+Z184-Z190-Z229-Z265-Z268-Z274</f>
        <v>2.32219695536256</v>
      </c>
      <c r="AA113" s="136" t="n">
        <f aca="false">AA107+AA109+AA110-AA111-AA112-AA108-AA97-AA98-AA102+AA184-AA190-AA229-AA265-AA268-AA274</f>
        <v>2.37861236741007</v>
      </c>
      <c r="AB113" s="136" t="n">
        <f aca="false">AB107+AB109+AB110-AB111-AB112-AB108-AB97-AB98-AB102+AB184-AB190-AB229-AB265-AB268-AB274</f>
        <v>2.45245714566484</v>
      </c>
      <c r="AC113" s="136" t="n">
        <f aca="false">AC107+AC109+AC110-AC111-AC112-AC108-AC97-AC98-AC102+AC184-AC190-AC229-AC265-AC268-AC274</f>
        <v>2.54384753696369</v>
      </c>
      <c r="AD113" s="136" t="n">
        <f aca="false">AD107+AD109+AD110-AD111-AD112-AD108-AD97-AD98-AD102+AD184-AD190-AD229-AD265-AD268-AD274</f>
        <v>2.65292774074718</v>
      </c>
      <c r="AE113" s="136" t="n">
        <f aca="false">AE107+AE109+AE110-AE111-AE112-AE108-AE97-AE98-AE102+AE184-AE190-AE229-AE265-AE268-AE274</f>
        <v>2.77986449090742</v>
      </c>
      <c r="AF113" s="136" t="n">
        <f aca="false">AF107+AF109+AF110-AF111-AF112-AF108-AF97-AF98-AF102+AF184-AF190-AF229-AF265-AF268-AF274</f>
        <v>2.9248608255845</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35.1038595527686</v>
      </c>
      <c r="E114" s="116" t="n">
        <f aca="false">D120+E53+E56-E57+(E58-E65)+E113-E92+E94-E95-E103+E60-E245</f>
        <v>53.0720061406802</v>
      </c>
      <c r="F114" s="116" t="n">
        <f aca="false">E120+F53+F56-F57+(F58-F65)+F113-F92+F94-F95-F103+F60-F245</f>
        <v>61.8668549425304</v>
      </c>
      <c r="G114" s="116" t="n">
        <f aca="false">F120+G53+G56-G57+(G58-G65)+G113-G92+G94-G95-G103+G60-G245</f>
        <v>72.8599656811461</v>
      </c>
      <c r="H114" s="116" t="n">
        <f aca="false">G120+H53+H56-H57+(H58-H65)+H113-H92+H94-H95-H103+H60-H245</f>
        <v>85.5202021344088</v>
      </c>
      <c r="I114" s="116" t="n">
        <f aca="false">H120+I53+I56-I57+(I58-I65)+I113-I92+I94-I95-I103+I60-I245</f>
        <v>99.9410193377691</v>
      </c>
      <c r="J114" s="116" t="n">
        <f aca="false">I120+J53+J56-J57+(J58-J65)+J113-J92+J94-J95-J103+J60-J245</f>
        <v>115.700904546149</v>
      </c>
      <c r="K114" s="116" t="n">
        <f aca="false">J120+K53+K56-K57+(K58-K65)+K113-K92+K94-K95-K103+K60-K245</f>
        <v>132.843088077764</v>
      </c>
      <c r="L114" s="116" t="n">
        <f aca="false">K120+L53+L56-L57+(L58-L65)+L113-L92+L94-L95-L103+L60-L245</f>
        <v>151.325286058023</v>
      </c>
      <c r="M114" s="116" t="n">
        <f aca="false">L120+M53+M56-M57+(M58-M65)+M113-M92+M94-M95-M103+M60-M245</f>
        <v>152.159916075531</v>
      </c>
      <c r="N114" s="116" t="n">
        <f aca="false">M120+N53+N56-N57+(N58-N65)+N113-N92+N94-N95-N103+N60-N245</f>
        <v>153.893315109241</v>
      </c>
      <c r="O114" s="116" t="n">
        <f aca="false">N120+O53+O56-O57+(O58-O65)+O113-O92+O94-O95-O103+O60-O245</f>
        <v>155.966934566861</v>
      </c>
      <c r="P114" s="116" t="n">
        <f aca="false">O120+P53+P56-P57+(P58-P65)+P113-P92+P94-P95-P103+P60-P245</f>
        <v>157.184071766365</v>
      </c>
      <c r="Q114" s="116" t="n">
        <f aca="false">P120+Q53+Q56-Q57+(Q58-Q65)+Q113-Q92+Q94-Q95-Q103+Q60-Q245</f>
        <v>158.237945546992</v>
      </c>
      <c r="R114" s="116" t="n">
        <f aca="false">Q120+R53+R56-R57+(R58-R65)+R113-R92+R94-R95-R103+R60-R245</f>
        <v>159.344078532511</v>
      </c>
      <c r="S114" s="116" t="n">
        <f aca="false">R120+S53+S56-S57+(S58-S65)+S113-S92+S94-S95-S103+S60-S245</f>
        <v>160.503996166123</v>
      </c>
      <c r="T114" s="116" t="n">
        <f aca="false">S120+T53+T56-T57+(T58-T65)+T113-T92+T94-T95-T103+T60-T245</f>
        <v>161.718176162426</v>
      </c>
      <c r="U114" s="116" t="n">
        <f aca="false">T120+U53+U56-U57+(U58-U65)+U113-U92+U94-U95-U103+U60-U245</f>
        <v>162.987067953312</v>
      </c>
      <c r="V114" s="116" t="n">
        <f aca="false">U120+V53+V56-V57+(V58-V65)+V113-V92+V94-V95-V103+V60-V245</f>
        <v>164.311168305136</v>
      </c>
      <c r="W114" s="116" t="n">
        <f aca="false">V120+W53+W56-W57+(W58-W65)+W113-W92+W94-W95-W103+W60-W245</f>
        <v>165.693427751207</v>
      </c>
      <c r="X114" s="116" t="n">
        <f aca="false">W120+X53+X56-X57+(X58-X65)+X113-X92+X94-X95-X103+X60-X245</f>
        <v>167.13507953451</v>
      </c>
      <c r="Y114" s="116" t="n">
        <f aca="false">X120+Y53+Y56-Y57+(Y58-Y65)+Y113-Y92+Y94-Y95-Y103+Y60-Y245</f>
        <v>168.637110469788</v>
      </c>
      <c r="Z114" s="116" t="n">
        <f aca="false">Y120+Z53+Z56-Z57+(Z58-Z65)+Z113-Z92+Z94-Z95-Z103+Z60-Z245</f>
        <v>170.200239882968</v>
      </c>
      <c r="AA114" s="116" t="n">
        <f aca="false">Z120+AA53+AA56-AA57+(AA58-AA65)+AA113-AA92+AA94-AA95-AA103+AA60-AA245</f>
        <v>171.825226004689</v>
      </c>
      <c r="AB114" s="116" t="n">
        <f aca="false">AA120+AB53+AB56-AB57+(AB58-AB65)+AB113-AB92+AB94-AB95-AB103+AB60-AB245</f>
        <v>173.51283197353</v>
      </c>
      <c r="AC114" s="116" t="n">
        <f aca="false">AB120+AC53+AC56-AC57+(AC58-AC65)+AC113-AC92+AC94-AC95-AC103+AC60-AC245</f>
        <v>175.263860455074</v>
      </c>
      <c r="AD114" s="116" t="n">
        <f aca="false">AC120+AD53+AD56-AD57+(AD58-AD65)+AD113-AD92+AD94-AD95-AD103+AD60-AD245</f>
        <v>177.079159690942</v>
      </c>
      <c r="AE114" s="116" t="n">
        <f aca="false">AD120+AE53+AE56-AE57+(AE58-AE65)+AE113-AE92+AE94-AE95-AE103+AE60-AE245</f>
        <v>178.959625281048</v>
      </c>
      <c r="AF114" s="116" t="n">
        <f aca="false">AE120+AF53+AF56-AF57+(AF58-AF65)+AF113-AF92+AF94-AF95-AF103+AF60-AF245</f>
        <v>180.906214167791</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0.0864144050574206</v>
      </c>
      <c r="L115" s="116" t="n">
        <f aca="false">IF(L113&gt;0,MIN(L113,01_Supuestos!$I$106*L81),0)</f>
        <v>1.46664613941713</v>
      </c>
      <c r="M115" s="116" t="n">
        <f aca="false">IF(M113&gt;0,MIN(M113,01_Supuestos!$I$106*M81),0)</f>
        <v>2.63297528178136</v>
      </c>
      <c r="N115" s="116" t="n">
        <f aca="false">IF(N113&gt;0,MIN(N113,01_Supuestos!$I$106*N81),0)</f>
        <v>2.71570953895539</v>
      </c>
      <c r="O115" s="116" t="n">
        <f aca="false">IF(O113&gt;0,MIN(O113,01_Supuestos!$I$106*O81),0)</f>
        <v>2.80207250804124</v>
      </c>
      <c r="P115" s="116" t="n">
        <f aca="false">IF(P113&gt;0,MIN(P113,01_Supuestos!$I$106*P81),0)</f>
        <v>2.70179647910501</v>
      </c>
      <c r="Q115" s="116" t="n">
        <f aca="false">IF(Q113&gt;0,MIN(Q113,01_Supuestos!$I$106*Q81),0)</f>
        <v>2.59121041134209</v>
      </c>
      <c r="R115" s="116" t="n">
        <f aca="false">IF(R113&gt;0,MIN(R113,01_Supuestos!$I$106*R81),0)</f>
        <v>2.49196027248312</v>
      </c>
      <c r="S115" s="116" t="n">
        <f aca="false">IF(S113&gt;0,MIN(S113,01_Supuestos!$I$106*S81),0)</f>
        <v>2.4104409536958</v>
      </c>
      <c r="T115" s="116" t="n">
        <f aca="false">IF(T113&gt;0,MIN(T113,01_Supuestos!$I$106*T81),0)</f>
        <v>2.34627498474527</v>
      </c>
      <c r="U115" s="116" t="n">
        <f aca="false">IF(U113&gt;0,MIN(U113,01_Supuestos!$I$106*U81),0)</f>
        <v>2.29931592090823</v>
      </c>
      <c r="V115" s="116" t="n">
        <f aca="false">IF(V113&gt;0,MIN(V113,01_Supuestos!$I$106*V81),0)</f>
        <v>2.2694538079713</v>
      </c>
      <c r="W115" s="116" t="n">
        <f aca="false">IF(W113&gt;0,MIN(W113,01_Supuestos!$I$106*W81),0)</f>
        <v>2.2567782797268</v>
      </c>
      <c r="X115" s="116" t="n">
        <f aca="false">IF(X113&gt;0,MIN(X113,01_Supuestos!$I$106*X81),0)</f>
        <v>2.26132994058184</v>
      </c>
      <c r="Y115" s="116" t="n">
        <f aca="false">IF(Y113&gt;0,MIN(Y113,01_Supuestos!$I$106*Y81),0)</f>
        <v>2.28312213111214</v>
      </c>
      <c r="Z115" s="116" t="n">
        <f aca="false">IF(Z113&gt;0,MIN(Z113,01_Supuestos!$I$106*Z81),0)</f>
        <v>2.32219695536256</v>
      </c>
      <c r="AA115" s="116" t="n">
        <f aca="false">IF(AA113&gt;0,MIN(AA113,01_Supuestos!$I$106*AA81),0)</f>
        <v>2.37861236741007</v>
      </c>
      <c r="AB115" s="116" t="n">
        <f aca="false">IF(AB113&gt;0,MIN(AB113,01_Supuestos!$I$106*AB81),0)</f>
        <v>2.45245714566484</v>
      </c>
      <c r="AC115" s="116" t="n">
        <f aca="false">IF(AC113&gt;0,MIN(AC113,01_Supuestos!$I$106*AC81),0)</f>
        <v>2.54384753696369</v>
      </c>
      <c r="AD115" s="116" t="n">
        <f aca="false">IF(AD113&gt;0,MIN(AD113,01_Supuestos!$I$106*AD81),0)</f>
        <v>2.65292774074718</v>
      </c>
      <c r="AE115" s="116" t="n">
        <f aca="false">IF(AE113&gt;0,MIN(AE113,01_Supuestos!$I$106*AE81),0)</f>
        <v>2.77986449090742</v>
      </c>
      <c r="AF115" s="116" t="n">
        <f aca="false">IF(AF113&gt;0,MIN(AF113,01_Supuestos!$I$106*AF81),0)</f>
        <v>2.9248608255845</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35.1038595527686</v>
      </c>
      <c r="E120" s="136" t="n">
        <f aca="false">E114-E115+E118+E119</f>
        <v>53.0720061406802</v>
      </c>
      <c r="F120" s="136" t="n">
        <f aca="false">F114-F115+F118+F119</f>
        <v>61.8668549425304</v>
      </c>
      <c r="G120" s="136" t="n">
        <f aca="false">G114-G115+G118+G119</f>
        <v>72.8599656811461</v>
      </c>
      <c r="H120" s="136" t="n">
        <f aca="false">H114-H115+H118+H119</f>
        <v>85.5202021344088</v>
      </c>
      <c r="I120" s="136" t="n">
        <f aca="false">I114-I115+I118+I119</f>
        <v>99.9410193377691</v>
      </c>
      <c r="J120" s="136" t="n">
        <f aca="false">J114-J115+J118+J119</f>
        <v>115.700904546149</v>
      </c>
      <c r="K120" s="136" t="n">
        <f aca="false">K114-K115+K118+K119</f>
        <v>132.756673672706</v>
      </c>
      <c r="L120" s="136" t="n">
        <f aca="false">L114-L115+L118+L119</f>
        <v>149.858639918606</v>
      </c>
      <c r="M120" s="136" t="n">
        <f aca="false">M114-M115+M118+M119</f>
        <v>149.52694079375</v>
      </c>
      <c r="N120" s="136" t="n">
        <f aca="false">N114-N115+N118+N119</f>
        <v>151.177605570286</v>
      </c>
      <c r="O120" s="136" t="n">
        <f aca="false">O114-O115+O118+O119</f>
        <v>153.16486205882</v>
      </c>
      <c r="P120" s="136" t="n">
        <f aca="false">P114-P115+P118+P119</f>
        <v>154.48227528726</v>
      </c>
      <c r="Q120" s="136" t="n">
        <f aca="false">Q114-Q115+Q118+Q119</f>
        <v>155.64673513565</v>
      </c>
      <c r="R120" s="136" t="n">
        <f aca="false">R114-R115+R118+R119</f>
        <v>156.852118260028</v>
      </c>
      <c r="S120" s="136" t="n">
        <f aca="false">S114-S115+S118+S119</f>
        <v>158.093555212427</v>
      </c>
      <c r="T120" s="136" t="n">
        <f aca="false">T114-T115+T118+T119</f>
        <v>159.37190117768</v>
      </c>
      <c r="U120" s="136" t="n">
        <f aca="false">U114-U115+U118+U119</f>
        <v>160.687752032404</v>
      </c>
      <c r="V120" s="136" t="n">
        <f aca="false">V114-V115+V118+V119</f>
        <v>162.041714497165</v>
      </c>
      <c r="W120" s="136" t="n">
        <f aca="false">W114-W115+W118+W119</f>
        <v>163.43664947148</v>
      </c>
      <c r="X120" s="136" t="n">
        <f aca="false">X114-X115+X118+X119</f>
        <v>164.873749593928</v>
      </c>
      <c r="Y120" s="136" t="n">
        <f aca="false">Y114-Y115+Y118+Y119</f>
        <v>166.353988338676</v>
      </c>
      <c r="Z120" s="136" t="n">
        <f aca="false">Z114-Z115+Z118+Z119</f>
        <v>167.878042927606</v>
      </c>
      <c r="AA120" s="136" t="n">
        <f aca="false">AA114-AA115+AA118+AA119</f>
        <v>169.446613637279</v>
      </c>
      <c r="AB120" s="136" t="n">
        <f aca="false">AB114-AB115+AB118+AB119</f>
        <v>171.060374827865</v>
      </c>
      <c r="AC120" s="136" t="n">
        <f aca="false">AC114-AC115+AC118+AC119</f>
        <v>172.72001291811</v>
      </c>
      <c r="AD120" s="136" t="n">
        <f aca="false">AD114-AD115+AD118+AD119</f>
        <v>174.426231950195</v>
      </c>
      <c r="AE120" s="136" t="n">
        <f aca="false">AE114-AE115+AE118+AE119</f>
        <v>176.179760790141</v>
      </c>
      <c r="AF120" s="136" t="n">
        <f aca="false">AF114-AF115+AF118+AF119</f>
        <v>177.981353342207</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0.0864144050574206</v>
      </c>
      <c r="L121" s="116" t="n">
        <f aca="false">K121+L115</f>
        <v>1.55306054447456</v>
      </c>
      <c r="M121" s="116" t="n">
        <f aca="false">L121+M115</f>
        <v>4.18603582625592</v>
      </c>
      <c r="N121" s="116" t="n">
        <f aca="false">M121+N115</f>
        <v>6.90174536521131</v>
      </c>
      <c r="O121" s="116" t="n">
        <f aca="false">N121+O115</f>
        <v>9.70381787325256</v>
      </c>
      <c r="P121" s="116" t="n">
        <f aca="false">O121+P115</f>
        <v>12.4056143523576</v>
      </c>
      <c r="Q121" s="116" t="n">
        <f aca="false">P121+Q115</f>
        <v>14.9968247636997</v>
      </c>
      <c r="R121" s="116" t="n">
        <f aca="false">Q121+R115</f>
        <v>17.4887850361828</v>
      </c>
      <c r="S121" s="116" t="n">
        <f aca="false">R121+S115</f>
        <v>19.8992259898786</v>
      </c>
      <c r="T121" s="116" t="n">
        <f aca="false">S121+T115</f>
        <v>22.2455009746238</v>
      </c>
      <c r="U121" s="116" t="n">
        <f aca="false">T121+U115</f>
        <v>24.5448168955321</v>
      </c>
      <c r="V121" s="116" t="n">
        <f aca="false">U121+V115</f>
        <v>26.8142707035034</v>
      </c>
      <c r="W121" s="116" t="n">
        <f aca="false">V121+W115</f>
        <v>29.0710489832302</v>
      </c>
      <c r="X121" s="116" t="n">
        <f aca="false">W121+X115</f>
        <v>31.332378923812</v>
      </c>
      <c r="Y121" s="116" t="n">
        <f aca="false">X121+Y115</f>
        <v>33.6155010549242</v>
      </c>
      <c r="Z121" s="116" t="n">
        <f aca="false">Y121+Z115</f>
        <v>35.9376980102867</v>
      </c>
      <c r="AA121" s="116" t="n">
        <f aca="false">Z121+AA115</f>
        <v>38.3163103776968</v>
      </c>
      <c r="AB121" s="116" t="n">
        <f aca="false">AA121+AB115</f>
        <v>40.7687675233616</v>
      </c>
      <c r="AC121" s="116" t="n">
        <f aca="false">AB121+AC115</f>
        <v>43.3126150603253</v>
      </c>
      <c r="AD121" s="116" t="n">
        <f aca="false">AC121+AD115</f>
        <v>45.9655428010725</v>
      </c>
      <c r="AE121" s="116" t="n">
        <f aca="false">AD121+AE115</f>
        <v>48.7454072919799</v>
      </c>
      <c r="AF121" s="116" t="n">
        <f aca="false">AE121+AF115</f>
        <v>51.6702681175644</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0.340687329426486</v>
      </c>
      <c r="E122" s="87" t="n">
        <f aca="false">E276/(E81+E115)</f>
        <v>0.381737198412432</v>
      </c>
      <c r="F122" s="87" t="n">
        <f aca="false">F276/(F81+F115)</f>
        <v>0.226739075937521</v>
      </c>
      <c r="G122" s="87" t="n">
        <f aca="false">G276/(G81+G115)</f>
        <v>0.255150927932486</v>
      </c>
      <c r="H122" s="87" t="n">
        <f aca="false">H276/(H81+H115)</f>
        <v>0.28669050458402</v>
      </c>
      <c r="I122" s="87" t="n">
        <f aca="false">I276/(I81+I115)</f>
        <v>0.321260684883641</v>
      </c>
      <c r="J122" s="87" t="n">
        <f aca="false">J276/(J81+J115)</f>
        <v>0.357187451148026</v>
      </c>
      <c r="K122" s="87" t="n">
        <f aca="false">K276/(K81+K115)</f>
        <v>0.394072635368636</v>
      </c>
      <c r="L122" s="87" t="n">
        <f aca="false">L276/(L81+L115)</f>
        <v>0.426620844748593</v>
      </c>
      <c r="M122" s="87" t="n">
        <f aca="false">M276/(M81+M115)</f>
        <v>0.409597565126057</v>
      </c>
      <c r="N122" s="87" t="n">
        <f aca="false">N276/(N81+N115)</f>
        <v>0.400022103134379</v>
      </c>
      <c r="O122" s="87" t="n">
        <f aca="false">O276/(O81+O115)</f>
        <v>0.392685745782183</v>
      </c>
      <c r="P122" s="87" t="n">
        <f aca="false">P276/(P81+P115)</f>
        <v>0.386731896805897</v>
      </c>
      <c r="Q122" s="87" t="n">
        <f aca="false">Q276/(Q81+Q115)</f>
        <v>0.380617098965718</v>
      </c>
      <c r="R122" s="87" t="n">
        <f aca="false">R276/(R81+R115)</f>
        <v>0.374891878071093</v>
      </c>
      <c r="S122" s="87" t="n">
        <f aca="false">S276/(S81+S115)</f>
        <v>0.369505158839999</v>
      </c>
      <c r="T122" s="87" t="n">
        <f aca="false">T276/(T81+T115)</f>
        <v>0.364424417521813</v>
      </c>
      <c r="U122" s="87" t="n">
        <f aca="false">U276/(U81+U115)</f>
        <v>0.359620010561587</v>
      </c>
      <c r="V122" s="87" t="n">
        <f aca="false">V276/(V81+V115)</f>
        <v>0.355065362963181</v>
      </c>
      <c r="W122" s="87" t="n">
        <f aca="false">W276/(W81+W115)</f>
        <v>0.350844193859423</v>
      </c>
      <c r="X122" s="87" t="n">
        <f aca="false">X276/(X81+X115)</f>
        <v>0.346925252306288</v>
      </c>
      <c r="Y122" s="87" t="n">
        <f aca="false">Y276/(Y81+Y115)</f>
        <v>0.343279959053705</v>
      </c>
      <c r="Z122" s="87" t="n">
        <f aca="false">Z276/(Z81+Z115)</f>
        <v>0.339881862384668</v>
      </c>
      <c r="AA122" s="87" t="n">
        <f aca="false">AA276/(AA81+AA115)</f>
        <v>0.33670695588376</v>
      </c>
      <c r="AB122" s="87" t="n">
        <f aca="false">AB276/(AB81+AB115)</f>
        <v>0.333731290665364</v>
      </c>
      <c r="AC122" s="87" t="n">
        <f aca="false">AC276/(AC81+AC115)</f>
        <v>0.330932996394619</v>
      </c>
      <c r="AD122" s="87" t="n">
        <f aca="false">AD276/(AD81+AD115)</f>
        <v>0.328292032856976</v>
      </c>
      <c r="AE122" s="87" t="n">
        <f aca="false">AE276/(AE81+AE115)</f>
        <v>0.325789987107641</v>
      </c>
      <c r="AF122" s="87" t="n">
        <f aca="false">AF276/(AF81+AF115)</f>
        <v>0.323409884083871</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2.47949637376709</v>
      </c>
      <c r="F127" s="116" t="n">
        <f aca="false">MAX(0,-F113)</f>
        <v>6.30123517222942</v>
      </c>
      <c r="G127" s="116" t="n">
        <f aca="false">MAX(0,-G113)</f>
        <v>4.97573315375669</v>
      </c>
      <c r="H127" s="116" t="n">
        <f aca="false">MAX(0,-H113)</f>
        <v>3.78520238096484</v>
      </c>
      <c r="I127" s="116" t="n">
        <f aca="false">MAX(0,-I113)</f>
        <v>2.54509017214588</v>
      </c>
      <c r="J127" s="116" t="n">
        <f aca="false">MAX(0,-J113)</f>
        <v>1.25017615893302</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4.73657855477574</v>
      </c>
      <c r="D128" s="116" t="n">
        <f aca="false">IF(AVERAGE(E127:I127)&gt;0,D120/AVERAGE(E127:I127),99)</f>
        <v>8.73806038248497</v>
      </c>
      <c r="E128" s="116" t="n">
        <f aca="false">IF(AVERAGE(F127:J127)&gt;0,E120/AVERAGE(F127:J127),99)</f>
        <v>14.071903311582</v>
      </c>
      <c r="F128" s="116" t="n">
        <f aca="false">IF(AVERAGE(G127:K127)&gt;0,F120/AVERAGE(G127:K127),99)</f>
        <v>24.6359749563434</v>
      </c>
      <c r="G128" s="116" t="n">
        <f aca="false">IF(AVERAGE(H127:L127)&gt;0,G120/AVERAGE(H127:L127),99)</f>
        <v>48.0576917133021</v>
      </c>
      <c r="H128" s="116" t="n">
        <f aca="false">IF(AVERAGE(I127:M127)&gt;0,H120/AVERAGE(I127:M127),99)</f>
        <v>112.666931216521</v>
      </c>
      <c r="I128" s="116" t="n">
        <f aca="false">IF(AVERAGE(J127:N127)&gt;0,I120/AVERAGE(J127:N127),99)</f>
        <v>399.707747678795</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0.674178361913789</v>
      </c>
      <c r="G136" s="116" t="n">
        <f aca="false">01_Supuestos!$C$152*MAX(0,G111-01_Supuestos!$C$153-01_Supuestos!$C$154-G59-0.05*SUM($C$51:G51))</f>
        <v>0.653438826791035</v>
      </c>
      <c r="H136" s="116" t="n">
        <f aca="false">01_Supuestos!$C$152*MAX(0,H111-01_Supuestos!$C$153-01_Supuestos!$C$154-H59-0.05*SUM($C$51:H51))</f>
        <v>0.634937889385471</v>
      </c>
      <c r="I136" s="116" t="n">
        <f aca="false">01_Supuestos!$C$152*MAX(0,I111-01_Supuestos!$C$153-01_Supuestos!$C$154-I59-0.05*SUM($C$51:I51))</f>
        <v>0.618517190804035</v>
      </c>
      <c r="J136" s="116" t="n">
        <f aca="false">01_Supuestos!$C$152*MAX(0,J111-01_Supuestos!$C$153-01_Supuestos!$C$154-J59-0.05*SUM($C$51:J51))</f>
        <v>0.604028334349797</v>
      </c>
      <c r="K136" s="116" t="n">
        <f aca="false">01_Supuestos!$C$152*MAX(0,K111-01_Supuestos!$C$153-01_Supuestos!$C$154-K59-0.05*SUM($C$51:K51))</f>
        <v>0.591336077182363</v>
      </c>
      <c r="L136" s="116" t="n">
        <f aca="false">01_Supuestos!$C$152*MAX(0,L111-01_Supuestos!$C$153-01_Supuestos!$C$154-L59-0.05*SUM($C$51:L51))</f>
        <v>0.580314186405753</v>
      </c>
      <c r="M136" s="116" t="n">
        <f aca="false">01_Supuestos!$C$152*MAX(0,M111-01_Supuestos!$C$153-01_Supuestos!$C$154-M59-0.05*SUM($C$51:M51))</f>
        <v>0.580067026644893</v>
      </c>
      <c r="N136" s="116" t="n">
        <f aca="false">01_Supuestos!$C$152*MAX(0,N111-01_Supuestos!$C$153-01_Supuestos!$C$154-N59-0.05*SUM($C$51:N51))</f>
        <v>0.586303343640476</v>
      </c>
      <c r="O136" s="116" t="n">
        <f aca="false">01_Supuestos!$C$152*MAX(0,O111-01_Supuestos!$C$153-01_Supuestos!$C$154-O59-0.05*SUM($C$51:O51))</f>
        <v>0.597749277995884</v>
      </c>
      <c r="P136" s="116" t="n">
        <f aca="false">01_Supuestos!$C$152*MAX(0,P111-01_Supuestos!$C$153-01_Supuestos!$C$154-P59-0.05*SUM($C$51:P51))</f>
        <v>0.629849959350151</v>
      </c>
      <c r="Q136" s="116" t="n">
        <f aca="false">01_Supuestos!$C$152*MAX(0,Q111-01_Supuestos!$C$153-01_Supuestos!$C$154-Q59-0.05*SUM($C$51:Q51))</f>
        <v>0.660672315568006</v>
      </c>
      <c r="R136" s="116" t="n">
        <f aca="false">01_Supuestos!$C$152*MAX(0,R111-01_Supuestos!$C$153-01_Supuestos!$C$154-R59-0.05*SUM($C$51:R51))</f>
        <v>0.689839343289434</v>
      </c>
      <c r="S136" s="116" t="n">
        <f aca="false">01_Supuestos!$C$152*MAX(0,S111-01_Supuestos!$C$153-01_Supuestos!$C$154-S59-0.05*SUM($C$51:S51))</f>
        <v>0.7174222711278</v>
      </c>
      <c r="T136" s="116" t="n">
        <f aca="false">01_Supuestos!$C$152*MAX(0,T111-01_Supuestos!$C$153-01_Supuestos!$C$154-T59-0.05*SUM($C$51:T51))</f>
        <v>0.743487831387085</v>
      </c>
      <c r="U136" s="116" t="n">
        <f aca="false">01_Supuestos!$C$152*MAX(0,U111-01_Supuestos!$C$153-01_Supuestos!$C$154-U59-0.05*SUM($C$51:U51))</f>
        <v>0.768099425812325</v>
      </c>
      <c r="V136" s="116" t="n">
        <f aca="false">01_Supuestos!$C$152*MAX(0,V111-01_Supuestos!$C$153-01_Supuestos!$C$154-V59-0.05*SUM($C$51:V51))</f>
        <v>0.791314782443752</v>
      </c>
      <c r="W136" s="116" t="n">
        <f aca="false">01_Supuestos!$C$152*MAX(0,W111-01_Supuestos!$C$153-01_Supuestos!$C$154-W59-0.05*SUM($C$51:W51))</f>
        <v>0.813188810316764</v>
      </c>
      <c r="X136" s="116" t="n">
        <f aca="false">01_Supuestos!$C$152*MAX(0,X111-01_Supuestos!$C$153-01_Supuestos!$C$154-X59-0.05*SUM($C$51:X51))</f>
        <v>0.833772973504076</v>
      </c>
      <c r="Y136" s="116" t="n">
        <f aca="false">01_Supuestos!$C$152*MAX(0,Y111-01_Supuestos!$C$153-01_Supuestos!$C$154-Y59-0.05*SUM($C$51:Y51))</f>
        <v>0.853115512540501</v>
      </c>
      <c r="Z136" s="116" t="n">
        <f aca="false">01_Supuestos!$C$152*MAX(0,Z111-01_Supuestos!$C$153-01_Supuestos!$C$154-Z59-0.05*SUM($C$51:Z51))</f>
        <v>0.87126070790964</v>
      </c>
      <c r="AA136" s="116" t="n">
        <f aca="false">01_Supuestos!$C$152*MAX(0,AA111-01_Supuestos!$C$153-01_Supuestos!$C$154-AA59-0.05*SUM($C$51:AA51))</f>
        <v>0.888250932107273</v>
      </c>
      <c r="AB136" s="116" t="n">
        <f aca="false">01_Supuestos!$C$152*MAX(0,AB111-01_Supuestos!$C$153-01_Supuestos!$C$154-AB59-0.05*SUM($C$51:AB51))</f>
        <v>0.904124942608809</v>
      </c>
      <c r="AC136" s="116" t="n">
        <f aca="false">01_Supuestos!$C$152*MAX(0,AC111-01_Supuestos!$C$153-01_Supuestos!$C$154-AC59-0.05*SUM($C$51:AC51))</f>
        <v>0.918918979016868</v>
      </c>
      <c r="AD136" s="116" t="n">
        <f aca="false">01_Supuestos!$C$152*MAX(0,AD111-01_Supuestos!$C$153-01_Supuestos!$C$154-AD59-0.05*SUM($C$51:AD51))</f>
        <v>0.932666919560792</v>
      </c>
      <c r="AE136" s="116" t="n">
        <f aca="false">01_Supuestos!$C$152*MAX(0,AE111-01_Supuestos!$C$153-01_Supuestos!$C$154-AE59-0.05*SUM($C$51:AE51))</f>
        <v>0.945401443576017</v>
      </c>
      <c r="AF136" s="116" t="n">
        <f aca="false">01_Supuestos!$C$152*MAX(0,AF111-01_Supuestos!$C$153-01_Supuestos!$C$154-AF59-0.05*SUM($C$51:AF51))</f>
        <v>0.957151133939081</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-17.8977364786155</v>
      </c>
      <c r="G140" s="116" t="n">
        <f aca="false">SUM(G133:G139)</f>
        <v>-17.9085283239014</v>
      </c>
      <c r="H140" s="116" t="n">
        <f aca="false">SUM(H133:H139)</f>
        <v>-17.9170542744504</v>
      </c>
      <c r="I140" s="116" t="n">
        <f aca="false">SUM(I133:I139)</f>
        <v>-17.9234691850796</v>
      </c>
      <c r="J140" s="116" t="n">
        <f aca="false">SUM(J133:J139)</f>
        <v>-17.9279180333219</v>
      </c>
      <c r="K140" s="116" t="n">
        <f aca="false">SUM(K133:K139)</f>
        <v>-17.9305327267345</v>
      </c>
      <c r="L140" s="116" t="n">
        <f aca="false">SUM(L133:L139)</f>
        <v>-17.9314362458946</v>
      </c>
      <c r="M140" s="116" t="n">
        <f aca="false">SUM(M133:M139)</f>
        <v>2.67292635557317</v>
      </c>
      <c r="N140" s="116" t="n">
        <f aca="false">SUM(N133:N139)</f>
        <v>2.65633812936765</v>
      </c>
      <c r="O140" s="116" t="n">
        <f aca="false">SUM(O133:O139)</f>
        <v>2.64424981392546</v>
      </c>
      <c r="P140" s="116" t="n">
        <f aca="false">SUM(P133:P139)</f>
        <v>2.65209199124825</v>
      </c>
      <c r="Q140" s="116" t="n">
        <f aca="false">SUM(Q133:Q139)</f>
        <v>2.65791655953302</v>
      </c>
      <c r="R140" s="116" t="n">
        <f aca="false">SUM(R133:R139)</f>
        <v>2.66133099470393</v>
      </c>
      <c r="S140" s="116" t="n">
        <f aca="false">SUM(S133:S139)</f>
        <v>2.66239050426424</v>
      </c>
      <c r="T140" s="116" t="n">
        <f aca="false">SUM(T133:T139)</f>
        <v>2.66114528933369</v>
      </c>
      <c r="U140" s="116" t="n">
        <f aca="false">SUM(U133:U139)</f>
        <v>2.65764170037974</v>
      </c>
      <c r="V140" s="116" t="n">
        <f aca="false">SUM(V133:V139)</f>
        <v>2.65191988370727</v>
      </c>
      <c r="W140" s="116" t="n">
        <f aca="false">SUM(W133:W139)</f>
        <v>2.64401662544289</v>
      </c>
      <c r="X140" s="116" t="n">
        <f aca="false">SUM(X133:X139)</f>
        <v>2.6339647145038</v>
      </c>
      <c r="Y140" s="116" t="n">
        <f aca="false">SUM(Y133:Y139)</f>
        <v>2.62179315258511</v>
      </c>
      <c r="Z140" s="116" t="n">
        <f aca="false">SUM(Z133:Z139)</f>
        <v>2.60752640583822</v>
      </c>
      <c r="AA140" s="116" t="n">
        <f aca="false">SUM(AA133:AA139)</f>
        <v>2.59118644474777</v>
      </c>
      <c r="AB140" s="116" t="n">
        <f aca="false">SUM(AB133:AB139)</f>
        <v>2.57279102452748</v>
      </c>
      <c r="AC140" s="116" t="n">
        <f aca="false">SUM(AC133:AC139)</f>
        <v>2.55235476930322</v>
      </c>
      <c r="AD140" s="116" t="n">
        <f aca="false">SUM(AD133:AD139)</f>
        <v>2.52988931524741</v>
      </c>
      <c r="AE140" s="116" t="n">
        <f aca="false">SUM(AE133:AE139)</f>
        <v>2.5054044592845</v>
      </c>
      <c r="AF140" s="116" t="n">
        <f aca="false">SUM(AF133:AF139)</f>
        <v>2.47890524733516</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-1.67905087553725</v>
      </c>
      <c r="M141" s="116" t="n">
        <f aca="false">-M85*01_Supuestos!$I$126</f>
        <v>-1.3432407004298</v>
      </c>
      <c r="N141" s="116" t="n">
        <f aca="false">-N85*01_Supuestos!$I$126</f>
        <v>-1.1256222635172</v>
      </c>
      <c r="O141" s="116" t="n">
        <f aca="false">-O85*01_Supuestos!$I$126</f>
        <v>-1.16172687518899</v>
      </c>
      <c r="P141" s="116" t="n">
        <f aca="false">-P85*01_Supuestos!$I$126</f>
        <v>-1.19026182487702</v>
      </c>
      <c r="Q141" s="116" t="n">
        <f aca="false">-Q85*01_Supuestos!$I$126</f>
        <v>-1.21902413133577</v>
      </c>
      <c r="R141" s="116" t="n">
        <f aca="false">-R85*01_Supuestos!$I$126</f>
        <v>-1.2477029648839</v>
      </c>
      <c r="S141" s="116" t="n">
        <f aca="false">-S85*01_Supuestos!$I$126</f>
        <v>-1.2763249531222</v>
      </c>
      <c r="T141" s="116" t="n">
        <f aca="false">-T85*01_Supuestos!$I$126</f>
        <v>-1.30493611565035</v>
      </c>
      <c r="U141" s="116" t="n">
        <f aca="false">-U85*01_Supuestos!$I$126</f>
        <v>-1.33358156377618</v>
      </c>
      <c r="V141" s="116" t="n">
        <f aca="false">-V85*01_Supuestos!$I$126</f>
        <v>-1.36230615719475</v>
      </c>
      <c r="W141" s="116" t="n">
        <f aca="false">-W85*01_Supuestos!$I$126</f>
        <v>-1.39074445091469</v>
      </c>
      <c r="X141" s="116" t="n">
        <f aca="false">-X85*01_Supuestos!$I$126</f>
        <v>-1.41894459434341</v>
      </c>
      <c r="Y141" s="116" t="n">
        <f aca="false">-Y85*01_Supuestos!$I$126</f>
        <v>-1.44695517958644</v>
      </c>
      <c r="Z141" s="116" t="n">
        <f aca="false">-Z85*01_Supuestos!$I$126</f>
        <v>-1.47482512714215</v>
      </c>
      <c r="AA141" s="116" t="n">
        <f aca="false">-AA85*01_Supuestos!$I$126</f>
        <v>-1.50260381047229</v>
      </c>
      <c r="AB141" s="116" t="n">
        <f aca="false">-AB85*01_Supuestos!$I$126</f>
        <v>-1.53035017603468</v>
      </c>
      <c r="AC141" s="116" t="n">
        <f aca="false">-AC85*01_Supuestos!$I$126</f>
        <v>-1.55812359332138</v>
      </c>
      <c r="AD141" s="116" t="n">
        <f aca="false">-AD85*01_Supuestos!$I$126</f>
        <v>-1.58598393691242</v>
      </c>
      <c r="AE141" s="116" t="n">
        <f aca="false">-AE85*01_Supuestos!$I$126</f>
        <v>-1.6139916729446</v>
      </c>
      <c r="AF141" s="116" t="n">
        <f aca="false">-AF85*01_Supuestos!$I$126</f>
        <v>-1.64220792085376</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1.13335934098765</v>
      </c>
      <c r="M142" s="116" t="n">
        <f aca="false">M85*01_Supuestos!$I$101</f>
        <v>0.906687472790117</v>
      </c>
      <c r="N142" s="116" t="n">
        <f aca="false">N85*01_Supuestos!$I$101</f>
        <v>0.759795027874112</v>
      </c>
      <c r="O142" s="116" t="n">
        <f aca="false">O85*01_Supuestos!$I$101</f>
        <v>0.784165640752566</v>
      </c>
      <c r="P142" s="116" t="n">
        <f aca="false">P85*01_Supuestos!$I$101</f>
        <v>0.803426731791987</v>
      </c>
      <c r="Q142" s="116" t="n">
        <f aca="false">Q85*01_Supuestos!$I$101</f>
        <v>0.822841288651644</v>
      </c>
      <c r="R142" s="116" t="n">
        <f aca="false">R85*01_Supuestos!$I$101</f>
        <v>0.842199501296632</v>
      </c>
      <c r="S142" s="116" t="n">
        <f aca="false">S85*01_Supuestos!$I$101</f>
        <v>0.861519343357485</v>
      </c>
      <c r="T142" s="116" t="n">
        <f aca="false">T85*01_Supuestos!$I$101</f>
        <v>0.880831878063985</v>
      </c>
      <c r="U142" s="116" t="n">
        <f aca="false">U85*01_Supuestos!$I$101</f>
        <v>0.900167555548922</v>
      </c>
      <c r="V142" s="116" t="n">
        <f aca="false">V85*01_Supuestos!$I$101</f>
        <v>0.919556656106454</v>
      </c>
      <c r="W142" s="116" t="n">
        <f aca="false">W85*01_Supuestos!$I$101</f>
        <v>0.938752504367417</v>
      </c>
      <c r="X142" s="116" t="n">
        <f aca="false">X85*01_Supuestos!$I$101</f>
        <v>0.957787601181803</v>
      </c>
      <c r="Y142" s="116" t="n">
        <f aca="false">Y85*01_Supuestos!$I$101</f>
        <v>0.976694746220846</v>
      </c>
      <c r="Z142" s="116" t="n">
        <f aca="false">Z85*01_Supuestos!$I$101</f>
        <v>0.995506960820953</v>
      </c>
      <c r="AA142" s="116" t="n">
        <f aca="false">AA85*01_Supuestos!$I$101</f>
        <v>1.0142575720688</v>
      </c>
      <c r="AB142" s="116" t="n">
        <f aca="false">AB85*01_Supuestos!$I$101</f>
        <v>1.03298636882341</v>
      </c>
      <c r="AC142" s="116" t="n">
        <f aca="false">AC85*01_Supuestos!$I$101</f>
        <v>1.05173342549193</v>
      </c>
      <c r="AD142" s="116" t="n">
        <f aca="false">AD85*01_Supuestos!$I$101</f>
        <v>1.07053915741588</v>
      </c>
      <c r="AE142" s="116" t="n">
        <f aca="false">AE85*01_Supuestos!$I$101</f>
        <v>1.08944437923761</v>
      </c>
      <c r="AF142" s="116" t="n">
        <f aca="false">AF85*01_Supuestos!$I$101</f>
        <v>1.10849034657629</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-18.3233900335278</v>
      </c>
      <c r="G148" s="136" t="n">
        <f aca="false">G140+G141+G142+G144+G145+G146+G147</f>
        <v>-18.3539962176833</v>
      </c>
      <c r="H148" s="136" t="n">
        <f aca="false">H140+H141+H142+H144+H145+H146+H147</f>
        <v>-18.3824045849647</v>
      </c>
      <c r="I148" s="136" t="n">
        <f aca="false">I140+I141+I142+I144+I145+I146+I147</f>
        <v>-18.4087697447275</v>
      </c>
      <c r="J148" s="136" t="n">
        <f aca="false">J140+J141+J142+J144+J145+J146+J147</f>
        <v>-18.4332364886928</v>
      </c>
      <c r="K148" s="136" t="n">
        <f aca="false">K140+K141+K142+K144+K145+K146+K147</f>
        <v>-18.4559365959834</v>
      </c>
      <c r="L148" s="136" t="n">
        <f aca="false">L140+L141+L142+L144+L145+L146+L147</f>
        <v>-18.4771277804442</v>
      </c>
      <c r="M148" s="136" t="n">
        <f aca="false">M140+M141+M142+M144+M145+M146+M147</f>
        <v>2.23637312793349</v>
      </c>
      <c r="N148" s="136" t="n">
        <f aca="false">N140+N141+N142+N144+N145+N146+N147</f>
        <v>2.29051089372456</v>
      </c>
      <c r="O148" s="136" t="n">
        <f aca="false">O140+O141+O142+O144+O145+O146+O147</f>
        <v>2.26668857948904</v>
      </c>
      <c r="P148" s="136" t="n">
        <f aca="false">P140+P141+P142+P144+P145+P146+P147</f>
        <v>2.26525689816322</v>
      </c>
      <c r="Q148" s="136" t="n">
        <f aca="false">Q140+Q141+Q142+Q144+Q145+Q146+Q147</f>
        <v>2.2617337168489</v>
      </c>
      <c r="R148" s="136" t="n">
        <f aca="false">R140+R141+R142+R144+R145+R146+R147</f>
        <v>2.25582753111666</v>
      </c>
      <c r="S148" s="136" t="n">
        <f aca="false">S140+S141+S142+S144+S145+S146+S147</f>
        <v>2.24758489449952</v>
      </c>
      <c r="T148" s="136" t="n">
        <f aca="false">T140+T141+T142+T144+T145+T146+T147</f>
        <v>2.23704105174733</v>
      </c>
      <c r="U148" s="136" t="n">
        <f aca="false">U140+U141+U142+U144+U145+U146+U147</f>
        <v>2.22422769215248</v>
      </c>
      <c r="V148" s="136" t="n">
        <f aca="false">V140+V141+V142+V144+V145+V146+V147</f>
        <v>2.20917038261898</v>
      </c>
      <c r="W148" s="136" t="n">
        <f aca="false">W140+W141+W142+W144+W145+W146+W147</f>
        <v>2.19202467889562</v>
      </c>
      <c r="X148" s="136" t="n">
        <f aca="false">X140+X141+X142+X144+X145+X146+X147</f>
        <v>2.17280772134219</v>
      </c>
      <c r="Y148" s="136" t="n">
        <f aca="false">Y140+Y141+Y142+Y144+Y145+Y146+Y147</f>
        <v>2.15153271921952</v>
      </c>
      <c r="Z148" s="136" t="n">
        <f aca="false">Z140+Z141+Z142+Z144+Z145+Z146+Z147</f>
        <v>2.12820823951702</v>
      </c>
      <c r="AA148" s="136" t="n">
        <f aca="false">AA140+AA141+AA142+AA144+AA145+AA146+AA147</f>
        <v>2.10284020634428</v>
      </c>
      <c r="AB148" s="136" t="n">
        <f aca="false">AB140+AB141+AB142+AB144+AB145+AB146+AB147</f>
        <v>2.07542721731621</v>
      </c>
      <c r="AC148" s="136" t="n">
        <f aca="false">AC140+AC141+AC142+AC144+AC145+AC146+AC147</f>
        <v>2.04596460147377</v>
      </c>
      <c r="AD148" s="136" t="n">
        <f aca="false">AD140+AD141+AD142+AD144+AD145+AD146+AD147</f>
        <v>2.01444453575087</v>
      </c>
      <c r="AE148" s="136" t="n">
        <f aca="false">AE140+AE141+AE142+AE144+AE145+AE146+AE147</f>
        <v>1.98085716557751</v>
      </c>
      <c r="AF148" s="136" t="n">
        <f aca="false">AF140+AF141+AF142+AF144+AF145+AF146+AF147</f>
        <v>1.94518767305768</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-74.9602921442622</v>
      </c>
      <c r="G149" s="138" t="n">
        <f aca="false">F149+G148</f>
        <v>-93.3142883619455</v>
      </c>
      <c r="H149" s="138" t="n">
        <f aca="false">G149+H148</f>
        <v>-111.69669294691</v>
      </c>
      <c r="I149" s="138" t="n">
        <f aca="false">H149+I148</f>
        <v>-130.105462691638</v>
      </c>
      <c r="J149" s="138" t="n">
        <f aca="false">I149+J148</f>
        <v>-148.538699180331</v>
      </c>
      <c r="K149" s="138" t="n">
        <f aca="false">J149+K148</f>
        <v>-166.994635776314</v>
      </c>
      <c r="L149" s="138" t="n">
        <f aca="false">K149+L148</f>
        <v>-185.471763556758</v>
      </c>
      <c r="M149" s="138" t="n">
        <f aca="false">L149+M148</f>
        <v>-183.235390428825</v>
      </c>
      <c r="N149" s="138" t="n">
        <f aca="false">M149+N148</f>
        <v>-180.9448795351</v>
      </c>
      <c r="O149" s="138" t="n">
        <f aca="false">N149+O148</f>
        <v>-178.678190955611</v>
      </c>
      <c r="P149" s="138" t="n">
        <f aca="false">O149+P148</f>
        <v>-176.412934057448</v>
      </c>
      <c r="Q149" s="138" t="n">
        <f aca="false">P149+Q148</f>
        <v>-174.151200340599</v>
      </c>
      <c r="R149" s="138" t="n">
        <f aca="false">Q149+R148</f>
        <v>-171.895372809482</v>
      </c>
      <c r="S149" s="138" t="n">
        <f aca="false">R149+S148</f>
        <v>-169.647787914983</v>
      </c>
      <c r="T149" s="138" t="n">
        <f aca="false">S149+T148</f>
        <v>-167.410746863235</v>
      </c>
      <c r="U149" s="138" t="n">
        <f aca="false">T149+U148</f>
        <v>-165.186519171083</v>
      </c>
      <c r="V149" s="138" t="n">
        <f aca="false">U149+V148</f>
        <v>-162.977348788464</v>
      </c>
      <c r="W149" s="138" t="n">
        <f aca="false">V149+W148</f>
        <v>-160.785324109568</v>
      </c>
      <c r="X149" s="138" t="n">
        <f aca="false">W149+X148</f>
        <v>-158.612516388226</v>
      </c>
      <c r="Y149" s="138" t="n">
        <f aca="false">X149+Y148</f>
        <v>-156.460983669007</v>
      </c>
      <c r="Z149" s="138" t="n">
        <f aca="false">Y149+Z148</f>
        <v>-154.33277542949</v>
      </c>
      <c r="AA149" s="138" t="n">
        <f aca="false">Z149+AA148</f>
        <v>-152.229935223145</v>
      </c>
      <c r="AB149" s="138" t="n">
        <f aca="false">AA149+AB148</f>
        <v>-150.154508005829</v>
      </c>
      <c r="AC149" s="138" t="n">
        <f aca="false">AB149+AC148</f>
        <v>-148.108543404355</v>
      </c>
      <c r="AD149" s="138" t="n">
        <f aca="false">AC149+AD148</f>
        <v>-146.094098868605</v>
      </c>
      <c r="AE149" s="138" t="n">
        <f aca="false">AD149+AE148</f>
        <v>-144.113241703027</v>
      </c>
      <c r="AF149" s="138" t="n">
        <f aca="false">AE149+AF148</f>
        <v>-142.168054029969</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35.1038595527686</v>
      </c>
      <c r="E153" s="116" t="n">
        <f aca="false">E120</f>
        <v>53.0720061406802</v>
      </c>
      <c r="F153" s="116" t="n">
        <f aca="false">F120</f>
        <v>61.8668549425304</v>
      </c>
      <c r="G153" s="116" t="n">
        <f aca="false">G120</f>
        <v>72.8599656811461</v>
      </c>
      <c r="H153" s="116" t="n">
        <f aca="false">H120</f>
        <v>85.5202021344088</v>
      </c>
      <c r="I153" s="116" t="n">
        <f aca="false">I120</f>
        <v>99.9410193377691</v>
      </c>
      <c r="J153" s="116" t="n">
        <f aca="false">J120</f>
        <v>115.700904546149</v>
      </c>
      <c r="K153" s="116" t="n">
        <f aca="false">K120</f>
        <v>132.756673672706</v>
      </c>
      <c r="L153" s="116" t="n">
        <f aca="false">L120</f>
        <v>149.858639918606</v>
      </c>
      <c r="M153" s="116" t="n">
        <f aca="false">M120</f>
        <v>149.52694079375</v>
      </c>
      <c r="N153" s="116" t="n">
        <f aca="false">N120</f>
        <v>151.177605570286</v>
      </c>
      <c r="O153" s="116" t="n">
        <f aca="false">O120</f>
        <v>153.16486205882</v>
      </c>
      <c r="P153" s="116" t="n">
        <f aca="false">P120</f>
        <v>154.48227528726</v>
      </c>
      <c r="Q153" s="116" t="n">
        <f aca="false">Q120</f>
        <v>155.64673513565</v>
      </c>
      <c r="R153" s="116" t="n">
        <f aca="false">R120</f>
        <v>156.852118260028</v>
      </c>
      <c r="S153" s="116" t="n">
        <f aca="false">S120</f>
        <v>158.093555212427</v>
      </c>
      <c r="T153" s="116" t="n">
        <f aca="false">T120</f>
        <v>159.37190117768</v>
      </c>
      <c r="U153" s="116" t="n">
        <f aca="false">U120</f>
        <v>160.687752032404</v>
      </c>
      <c r="V153" s="116" t="n">
        <f aca="false">V120</f>
        <v>162.041714497165</v>
      </c>
      <c r="W153" s="116" t="n">
        <f aca="false">W120</f>
        <v>163.43664947148</v>
      </c>
      <c r="X153" s="116" t="n">
        <f aca="false">X120</f>
        <v>164.873749593928</v>
      </c>
      <c r="Y153" s="116" t="n">
        <f aca="false">Y120</f>
        <v>166.353988338676</v>
      </c>
      <c r="Z153" s="116" t="n">
        <f aca="false">Z120</f>
        <v>167.878042927606</v>
      </c>
      <c r="AA153" s="116" t="n">
        <f aca="false">AA120</f>
        <v>169.446613637279</v>
      </c>
      <c r="AB153" s="116" t="n">
        <f aca="false">AB120</f>
        <v>171.060374827865</v>
      </c>
      <c r="AC153" s="116" t="n">
        <f aca="false">AC120</f>
        <v>172.72001291811</v>
      </c>
      <c r="AD153" s="116" t="n">
        <f aca="false">AD120</f>
        <v>174.426231950195</v>
      </c>
      <c r="AE153" s="116" t="n">
        <f aca="false">AE120</f>
        <v>176.179760790141</v>
      </c>
      <c r="AF153" s="116" t="n">
        <f aca="false">AF120</f>
        <v>177.981353342207</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8.41993380206519</v>
      </c>
      <c r="L154" s="116" t="n">
        <f aca="false">L104</f>
        <v>8.7450566434232</v>
      </c>
      <c r="M154" s="116" t="n">
        <f aca="false">M104</f>
        <v>9.06063006524517</v>
      </c>
      <c r="N154" s="116" t="n">
        <f aca="false">N104</f>
        <v>9.38018552931002</v>
      </c>
      <c r="O154" s="116" t="n">
        <f aca="false">O104</f>
        <v>9.68105729324156</v>
      </c>
      <c r="P154" s="116" t="n">
        <f aca="false">P104</f>
        <v>9.91884854064182</v>
      </c>
      <c r="Q154" s="116" t="n">
        <f aca="false">Q104</f>
        <v>10.1585344277981</v>
      </c>
      <c r="R154" s="116" t="n">
        <f aca="false">R104</f>
        <v>10.3975247073658</v>
      </c>
      <c r="S154" s="116" t="n">
        <f aca="false">S104</f>
        <v>10.6360412760183</v>
      </c>
      <c r="T154" s="116" t="n">
        <f aca="false">T104</f>
        <v>10.8744676304196</v>
      </c>
      <c r="U154" s="116" t="n">
        <f aca="false">U104</f>
        <v>11.1131796981348</v>
      </c>
      <c r="V154" s="116" t="n">
        <f aca="false">V104</f>
        <v>11.3525513099562</v>
      </c>
      <c r="W154" s="116" t="n">
        <f aca="false">W104</f>
        <v>11.5895370909558</v>
      </c>
      <c r="X154" s="116" t="n">
        <f aca="false">X104</f>
        <v>11.8245382861951</v>
      </c>
      <c r="Y154" s="116" t="n">
        <f aca="false">Y104</f>
        <v>12.057959829887</v>
      </c>
      <c r="Z154" s="116" t="n">
        <f aca="false">Z104</f>
        <v>12.2902093928513</v>
      </c>
      <c r="AA154" s="116" t="n">
        <f aca="false">AA104</f>
        <v>12.5216984206024</v>
      </c>
      <c r="AB154" s="116" t="n">
        <f aca="false">AB104</f>
        <v>12.7529181336223</v>
      </c>
      <c r="AC154" s="116" t="n">
        <f aca="false">AC104</f>
        <v>12.9843632776782</v>
      </c>
      <c r="AD154" s="116" t="n">
        <f aca="false">AD104</f>
        <v>13.2165328076035</v>
      </c>
      <c r="AE154" s="116" t="n">
        <f aca="false">AE104</f>
        <v>13.4499306078717</v>
      </c>
      <c r="AF154" s="116" t="n">
        <f aca="false">AF104</f>
        <v>13.6850660071147</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89.3270256512491</v>
      </c>
      <c r="L155" s="116" t="n">
        <f aca="false">L70+L121-L227</f>
        <v>98.1170483592129</v>
      </c>
      <c r="M155" s="116" t="n">
        <f aca="false">M70+M121-M227</f>
        <v>104.085589580824</v>
      </c>
      <c r="N155" s="116" t="n">
        <f aca="false">N70+N121-N227</f>
        <v>110.199770056905</v>
      </c>
      <c r="O155" s="116" t="n">
        <f aca="false">O70+O121-O227</f>
        <v>116.464882352179</v>
      </c>
      <c r="P155" s="116" t="n">
        <f aca="false">P70+P121-P227</f>
        <v>122.695833346477</v>
      </c>
      <c r="Q155" s="116" t="n">
        <f aca="false">Q70+Q121-Q227</f>
        <v>128.884062340009</v>
      </c>
      <c r="R155" s="116" t="n">
        <f aca="false">R70+R121-R227</f>
        <v>135.042533889978</v>
      </c>
      <c r="S155" s="116" t="n">
        <f aca="false">S70+S121-S227</f>
        <v>141.190817904969</v>
      </c>
      <c r="T155" s="116" t="n">
        <f aca="false">T70+T121-T227</f>
        <v>147.348155902371</v>
      </c>
      <c r="U155" s="116" t="n">
        <f aca="false">U70+U121-U227</f>
        <v>153.533518116501</v>
      </c>
      <c r="V155" s="116" t="n">
        <f aca="false">V70+V121-V227</f>
        <v>159.766164104586</v>
      </c>
      <c r="W155" s="116" t="n">
        <f aca="false">W70+W121-W227</f>
        <v>166.06532337891</v>
      </c>
      <c r="X155" s="116" t="n">
        <f aca="false">X70+X121-X227</f>
        <v>172.450320279435</v>
      </c>
      <c r="Y155" s="116" t="n">
        <f aca="false">Y70+Y121-Y227</f>
        <v>178.940548075519</v>
      </c>
      <c r="Z155" s="116" t="n">
        <f aca="false">Z70+Z121-Z227</f>
        <v>185.555687822608</v>
      </c>
      <c r="AA155" s="116" t="n">
        <f aca="false">AA70+AA121-AA227</f>
        <v>192.31535391732</v>
      </c>
      <c r="AB155" s="116" t="n">
        <f aca="false">AB70+AB121-AB227</f>
        <v>199.239503948265</v>
      </c>
      <c r="AC155" s="116" t="n">
        <f aca="false">AC70+AC121-AC227</f>
        <v>206.348282020979</v>
      </c>
      <c r="AD155" s="116" t="n">
        <f aca="false">AD70+AD121-AD227</f>
        <v>213.662048515973</v>
      </c>
      <c r="AE155" s="116" t="n">
        <f aca="false">AE70+AE121-AE227</f>
        <v>221.201201195397</v>
      </c>
      <c r="AF155" s="116" t="n">
        <f aca="false">AF70+AF121-AF227</f>
        <v>228.986820185325</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79.95545280556</v>
      </c>
      <c r="E156" s="136" t="n">
        <f aca="false">SUM(E152:E155)+E187</f>
        <v>120.991004323071</v>
      </c>
      <c r="F156" s="136" t="n">
        <f aca="false">SUM(F152:F155)+F187</f>
        <v>209.022545060644</v>
      </c>
      <c r="G156" s="136" t="n">
        <f aca="false">SUM(G152:G155)+G187</f>
        <v>251.044985076939</v>
      </c>
      <c r="H156" s="136" t="n">
        <f aca="false">SUM(H152:H155)+H187</f>
        <v>286.765675730139</v>
      </c>
      <c r="I156" s="136" t="n">
        <f aca="false">SUM(I152:I155)+I187</f>
        <v>324.637248709661</v>
      </c>
      <c r="J156" s="136" t="n">
        <f aca="false">SUM(J152:J155)+J187</f>
        <v>364.246887302883</v>
      </c>
      <c r="K156" s="136" t="n">
        <f aca="false">SUM(K152:K155)+K187</f>
        <v>405.646715063369</v>
      </c>
      <c r="L156" s="136" t="n">
        <f aca="false">SUM(L152:L155)+L187</f>
        <v>448.892117743149</v>
      </c>
      <c r="M156" s="136" t="n">
        <f aca="false">SUM(M152:M155)+M187</f>
        <v>470.070859663925</v>
      </c>
      <c r="N156" s="136" t="n">
        <f aca="false">SUM(N152:N155)+N187</f>
        <v>482.925407462762</v>
      </c>
      <c r="O156" s="136" t="n">
        <f aca="false">SUM(O152:O155)+O187</f>
        <v>496.358508475546</v>
      </c>
      <c r="P156" s="136" t="n">
        <f aca="false">SUM(P152:P155)+P187</f>
        <v>509.136761201425</v>
      </c>
      <c r="Q156" s="136" t="n">
        <f aca="false">SUM(Q152:Q155)+Q187</f>
        <v>521.836051423124</v>
      </c>
      <c r="R156" s="136" t="n">
        <f aca="false">SUM(R152:R155)+R187</f>
        <v>534.663270925992</v>
      </c>
      <c r="S156" s="136" t="n">
        <f aca="false">SUM(S152:S155)+S187</f>
        <v>547.636043625612</v>
      </c>
      <c r="T156" s="136" t="n">
        <f aca="false">SUM(T152:T155)+T187</f>
        <v>560.77761341501</v>
      </c>
      <c r="U156" s="136" t="n">
        <f aca="false">SUM(U152:U155)+U187</f>
        <v>574.110749591783</v>
      </c>
      <c r="V156" s="136" t="n">
        <f aca="false">SUM(V152:V155)+V187</f>
        <v>587.65858455058</v>
      </c>
      <c r="W156" s="136" t="n">
        <f aca="false">SUM(W152:W155)+W187</f>
        <v>601.443122136912</v>
      </c>
      <c r="X156" s="136" t="n">
        <f aca="false">SUM(X152:X155)+X187</f>
        <v>615.488307435622</v>
      </c>
      <c r="Y156" s="136" t="n">
        <f aca="false">SUM(Y152:Y155)+Y187</f>
        <v>629.818008603496</v>
      </c>
      <c r="Z156" s="136" t="n">
        <f aca="false">SUM(Z152:Z155)+Z187</f>
        <v>644.456159286745</v>
      </c>
      <c r="AA156" s="136" t="n">
        <f aca="false">SUM(AA152:AA155)+AA187</f>
        <v>659.426726159187</v>
      </c>
      <c r="AB156" s="136" t="n">
        <f aca="false">SUM(AB152:AB155)+AB187</f>
        <v>674.754147477968</v>
      </c>
      <c r="AC156" s="136" t="n">
        <f aca="false">SUM(AC152:AC155)+AC187</f>
        <v>690.463139848053</v>
      </c>
      <c r="AD156" s="136" t="n">
        <f aca="false">SUM(AD152:AD155)+AD187</f>
        <v>706.578735982576</v>
      </c>
      <c r="AE156" s="136" t="n">
        <f aca="false">SUM(AE152:AE155)+AE187</f>
        <v>723.126115524517</v>
      </c>
      <c r="AF156" s="136" t="n">
        <f aca="false">SUM(AF152:AF155)+AF187</f>
        <v>740.131252593169</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336.883766487665</v>
      </c>
      <c r="L157" s="116" t="n">
        <f aca="false">L69+L80+L121</f>
        <v>351.268911876345</v>
      </c>
      <c r="M157" s="116" t="n">
        <f aca="false">M69+M80+M121</f>
        <v>365.058177891588</v>
      </c>
      <c r="N157" s="116" t="n">
        <f aca="false">N69+N80+N121</f>
        <v>377.923130711356</v>
      </c>
      <c r="O157" s="116" t="n">
        <f aca="false">O69+O80+O121</f>
        <v>390.044364237703</v>
      </c>
      <c r="P157" s="116" t="n">
        <f aca="false">P69+P80+P121</f>
        <v>399.455738104778</v>
      </c>
      <c r="Q157" s="116" t="n">
        <f aca="false">Q69+Q80+Q121</f>
        <v>408.932587523265</v>
      </c>
      <c r="R157" s="116" t="n">
        <f aca="false">R69+R80+R121</f>
        <v>418.392948567116</v>
      </c>
      <c r="S157" s="116" t="n">
        <f aca="false">S69+S80+S121</f>
        <v>427.852091994429</v>
      </c>
      <c r="T157" s="116" t="n">
        <f aca="false">T69+T80+T121</f>
        <v>437.324980201528</v>
      </c>
      <c r="U157" s="116" t="n">
        <f aca="false">U69+U80+U121</f>
        <v>446.826503846302</v>
      </c>
      <c r="V157" s="116" t="n">
        <f aca="false">V69+V80+V121</f>
        <v>456.37150620622</v>
      </c>
      <c r="W157" s="116" t="n">
        <f aca="false">W69+W80+W121</f>
        <v>465.838261917957</v>
      </c>
      <c r="X157" s="116" t="n">
        <f aca="false">X69+X80+X121</f>
        <v>475.242861388386</v>
      </c>
      <c r="Y157" s="116" t="n">
        <f aca="false">Y69+Y80+Y121</f>
        <v>484.601515326592</v>
      </c>
      <c r="Z157" s="116" t="n">
        <f aca="false">Z69+Z80+Z121</f>
        <v>493.930572669413</v>
      </c>
      <c r="AA157" s="116" t="n">
        <f aca="false">AA69+AA80+AA121</f>
        <v>503.246549191508</v>
      </c>
      <c r="AB157" s="116" t="n">
        <f aca="false">AB69+AB80+AB121</f>
        <v>512.569182490559</v>
      </c>
      <c r="AC157" s="116" t="n">
        <f aca="false">AC69+AC80+AC121</f>
        <v>521.918378644091</v>
      </c>
      <c r="AD157" s="116" t="n">
        <f aca="false">AD69+AD80+AD121</f>
        <v>531.314240044887</v>
      </c>
      <c r="AE157" s="116" t="n">
        <f aca="false">AE69+AE80+AE121</f>
        <v>540.777088805774</v>
      </c>
      <c r="AF157" s="116" t="n">
        <f aca="false">AF69+AF80+AF121</f>
        <v>550.327501110171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187.652382949879</v>
      </c>
      <c r="M159" s="116" t="n">
        <f aca="false">M72</f>
        <v>201.492893186755</v>
      </c>
      <c r="N159" s="116" t="n">
        <f aca="false">N72</f>
        <v>206.829327785663</v>
      </c>
      <c r="O159" s="116" t="n">
        <f aca="false">O72</f>
        <v>212.558285461229</v>
      </c>
      <c r="P159" s="116" t="n">
        <f aca="false">P72</f>
        <v>217.630580374818</v>
      </c>
      <c r="Q159" s="116" t="n">
        <f aca="false">Q72</f>
        <v>222.629759614543</v>
      </c>
      <c r="R159" s="116" t="n">
        <f aca="false">R72</f>
        <v>227.748828529289</v>
      </c>
      <c r="S159" s="116" t="n">
        <f aca="false">S72</f>
        <v>232.984896199812</v>
      </c>
      <c r="T159" s="116" t="n">
        <f aca="false">T72</f>
        <v>238.340996452347</v>
      </c>
      <c r="U159" s="116" t="n">
        <f aca="false">U72</f>
        <v>243.819935587045</v>
      </c>
      <c r="V159" s="116" t="n">
        <f aca="false">V72</f>
        <v>249.424568859112</v>
      </c>
      <c r="W159" s="116" t="n">
        <f aca="false">W72</f>
        <v>255.15662758001</v>
      </c>
      <c r="X159" s="116" t="n">
        <f aca="false">X72</f>
        <v>261.019663397306</v>
      </c>
      <c r="Y159" s="116" t="n">
        <f aca="false">Y72</f>
        <v>267.017055373685</v>
      </c>
      <c r="Z159" s="116" t="n">
        <f aca="false">Z72</f>
        <v>273.15193287955</v>
      </c>
      <c r="AA159" s="116" t="n">
        <f aca="false">AA72</f>
        <v>279.427496891226</v>
      </c>
      <c r="AB159" s="116" t="n">
        <f aca="false">AB72</f>
        <v>285.847047993858</v>
      </c>
      <c r="AC159" s="116" t="n">
        <f aca="false">AC72</f>
        <v>292.413949101393</v>
      </c>
      <c r="AD159" s="116" t="n">
        <f aca="false">AD72</f>
        <v>299.131632721342</v>
      </c>
      <c r="AE159" s="116" t="n">
        <f aca="false">AE72</f>
        <v>306.003609913788</v>
      </c>
      <c r="AF159" s="116" t="n">
        <f aca="false">AF72</f>
        <v>313.033472080691</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507.967804365667</v>
      </c>
      <c r="L160" s="136" t="n">
        <f aca="false">SUM(L157:L159)</f>
        <v>538.921294826225</v>
      </c>
      <c r="M160" s="136" t="n">
        <f aca="false">SUM(M157:M159)</f>
        <v>566.551071078343</v>
      </c>
      <c r="N160" s="136" t="n">
        <f aca="false">SUM(N157:N159)</f>
        <v>584.752458497019</v>
      </c>
      <c r="O160" s="136" t="n">
        <f aca="false">SUM(O157:O159)</f>
        <v>602.602649698933</v>
      </c>
      <c r="P160" s="136" t="n">
        <f aca="false">SUM(P157:P159)</f>
        <v>617.086318479595</v>
      </c>
      <c r="Q160" s="136" t="n">
        <f aca="false">SUM(Q157:Q159)</f>
        <v>631.562347137808</v>
      </c>
      <c r="R160" s="136" t="n">
        <f aca="false">SUM(R157:R159)</f>
        <v>646.141777096405</v>
      </c>
      <c r="S160" s="136" t="n">
        <f aca="false">SUM(S157:S159)</f>
        <v>660.836988194242</v>
      </c>
      <c r="T160" s="136" t="n">
        <f aca="false">SUM(T157:T159)</f>
        <v>675.665976653876</v>
      </c>
      <c r="U160" s="136" t="n">
        <f aca="false">SUM(U157:U159)</f>
        <v>690.646439433347</v>
      </c>
      <c r="V160" s="136" t="n">
        <f aca="false">SUM(V157:V159)</f>
        <v>705.796075065332</v>
      </c>
      <c r="W160" s="136" t="n">
        <f aca="false">SUM(W157:W159)</f>
        <v>720.994889497967</v>
      </c>
      <c r="X160" s="136" t="n">
        <f aca="false">SUM(X157:X159)</f>
        <v>736.262524785692</v>
      </c>
      <c r="Y160" s="136" t="n">
        <f aca="false">SUM(Y157:Y159)</f>
        <v>751.618570700277</v>
      </c>
      <c r="Z160" s="136" t="n">
        <f aca="false">SUM(Z157:Z159)</f>
        <v>767.082505548963</v>
      </c>
      <c r="AA160" s="136" t="n">
        <f aca="false">SUM(AA157:AA159)</f>
        <v>782.674046082733</v>
      </c>
      <c r="AB160" s="136" t="n">
        <f aca="false">SUM(AB157:AB159)</f>
        <v>798.416230484417</v>
      </c>
      <c r="AC160" s="136" t="n">
        <f aca="false">SUM(AC157:AC159)</f>
        <v>814.332327745484</v>
      </c>
      <c r="AD160" s="136" t="n">
        <f aca="false">SUM(AD157:AD159)</f>
        <v>830.44587276623</v>
      </c>
      <c r="AE160" s="136" t="n">
        <f aca="false">SUM(AE157:AE159)</f>
        <v>846.780698719563</v>
      </c>
      <c r="AF160" s="136" t="n">
        <f aca="false">SUM(AF157:AF159)</f>
        <v>863.360973190862</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-58.2803884221606</v>
      </c>
      <c r="E161" s="138" t="n">
        <f aca="false">E156-E160</f>
        <v>-72.8220340547052</v>
      </c>
      <c r="F161" s="138" t="n">
        <f aca="false">F156-F160</f>
        <v>-150.53349707294</v>
      </c>
      <c r="G161" s="138" t="n">
        <f aca="false">G156-G160</f>
        <v>-143.43836679626</v>
      </c>
      <c r="H161" s="138" t="n">
        <f aca="false">H156-H160</f>
        <v>-135.114454379035</v>
      </c>
      <c r="I161" s="138" t="n">
        <f aca="false">I156-I160</f>
        <v>-125.508882111238</v>
      </c>
      <c r="J161" s="138" t="n">
        <f aca="false">J156-J160</f>
        <v>-114.563636841467</v>
      </c>
      <c r="K161" s="138" t="n">
        <f aca="false">K156-K160</f>
        <v>-102.321089302298</v>
      </c>
      <c r="L161" s="138" t="n">
        <f aca="false">L156-L160</f>
        <v>-90.0291770830756</v>
      </c>
      <c r="M161" s="138" t="n">
        <f aca="false">M156-M160</f>
        <v>-96.4802114144179</v>
      </c>
      <c r="N161" s="138" t="n">
        <f aca="false">N156-N160</f>
        <v>-101.827051034257</v>
      </c>
      <c r="O161" s="138" t="n">
        <f aca="false">O156-O160</f>
        <v>-106.244141223386</v>
      </c>
      <c r="P161" s="138" t="n">
        <f aca="false">P156-P160</f>
        <v>-107.94955727817</v>
      </c>
      <c r="Q161" s="138" t="n">
        <f aca="false">Q156-Q160</f>
        <v>-109.726295714684</v>
      </c>
      <c r="R161" s="138" t="n">
        <f aca="false">R156-R160</f>
        <v>-111.478506170413</v>
      </c>
      <c r="S161" s="138" t="n">
        <f aca="false">S156-S160</f>
        <v>-113.200944568629</v>
      </c>
      <c r="T161" s="138" t="n">
        <f aca="false">T156-T160</f>
        <v>-114.888363238866</v>
      </c>
      <c r="U161" s="138" t="n">
        <f aca="false">U156-U160</f>
        <v>-116.535689841564</v>
      </c>
      <c r="V161" s="138" t="n">
        <f aca="false">V156-V160</f>
        <v>-118.137490514752</v>
      </c>
      <c r="W161" s="138" t="n">
        <f aca="false">W156-W160</f>
        <v>-119.551767361055</v>
      </c>
      <c r="X161" s="138" t="n">
        <f aca="false">X156-X160</f>
        <v>-120.77421735007</v>
      </c>
      <c r="Y161" s="138" t="n">
        <f aca="false">Y156-Y160</f>
        <v>-121.800562096781</v>
      </c>
      <c r="Z161" s="138" t="n">
        <f aca="false">Z156-Z160</f>
        <v>-122.626346262218</v>
      </c>
      <c r="AA161" s="138" t="n">
        <f aca="false">AA156-AA160</f>
        <v>-123.247319923546</v>
      </c>
      <c r="AB161" s="138" t="n">
        <f aca="false">AB156-AB160</f>
        <v>-123.662083006448</v>
      </c>
      <c r="AC161" s="138" t="n">
        <f aca="false">AC156-AC160</f>
        <v>-123.869187897432</v>
      </c>
      <c r="AD161" s="138" t="n">
        <f aca="false">AD156-AD160</f>
        <v>-123.867136783653</v>
      </c>
      <c r="AE161" s="138" t="n">
        <f aca="false">AE156-AE160</f>
        <v>-123.654583195046</v>
      </c>
      <c r="AF161" s="138" t="n">
        <f aca="false">AF156-AF160</f>
        <v>-123.229720597693</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93.2512753953138</v>
      </c>
      <c r="G162" s="116" t="n">
        <f aca="false">G48+G50+(G80-F80)-G63</f>
        <v>9.80212468578364</v>
      </c>
      <c r="H162" s="116" t="n">
        <f aca="false">H48+H50+(H80-G80)-H63</f>
        <v>9.7966446766654</v>
      </c>
      <c r="I162" s="116" t="n">
        <f aca="false">I48+I50+(I80-H80)-I63</f>
        <v>9.78872109446152</v>
      </c>
      <c r="J162" s="116" t="n">
        <f aca="false">J48+J50+(J80-I80)-J63</f>
        <v>9.778461363302</v>
      </c>
      <c r="K162" s="116" t="n">
        <f aca="false">K48+K50+(K80-J80)-K63</f>
        <v>9.76673280970374</v>
      </c>
      <c r="L162" s="116" t="n">
        <f aca="false">L48+L50+(L80-K80)-L63</f>
        <v>9.75368770763167</v>
      </c>
      <c r="M162" s="116" t="n">
        <f aca="false">M48+M50+(M80-L80)-M63</f>
        <v>7.93390021682292</v>
      </c>
      <c r="N162" s="116" t="n">
        <f aca="false">N48+N50+(N80-M80)-N63</f>
        <v>6.86794285931558</v>
      </c>
      <c r="O162" s="116" t="n">
        <f aca="false">O48+O50+(O80-N80)-O63</f>
        <v>5.97742786590405</v>
      </c>
      <c r="P162" s="116" t="n">
        <f aca="false">P48+P50+(P80-O80)-P63</f>
        <v>3.30601163181648</v>
      </c>
      <c r="Q162" s="116" t="n">
        <f aca="false">Q48+Q50+(Q80-P80)-Q63</f>
        <v>3.41864246719042</v>
      </c>
      <c r="R162" s="116" t="n">
        <f aca="false">R48+R50+(R80-Q80)-R63</f>
        <v>3.4365013142074</v>
      </c>
      <c r="S162" s="116" t="n">
        <f aca="false">S48+S50+(S80-R80)-S63</f>
        <v>3.45022302990548</v>
      </c>
      <c r="T162" s="116" t="n">
        <f aca="false">T48+T50+(T80-S80)-T63</f>
        <v>3.45983336297998</v>
      </c>
      <c r="U162" s="116" t="n">
        <f aca="false">U48+U50+(U80-T80)-U63</f>
        <v>3.46553777923809</v>
      </c>
      <c r="V162" s="116" t="n">
        <f aca="false">V48+V50+(V80-U80)-V63</f>
        <v>3.46700570553308</v>
      </c>
      <c r="W162" s="116" t="n">
        <f aca="false">W48+W50+(W80-V80)-W63</f>
        <v>3.32770489259279</v>
      </c>
      <c r="X162" s="116" t="n">
        <f aca="false">X48+X50+(X80-W80)-X63</f>
        <v>3.18536285355061</v>
      </c>
      <c r="Y162" s="116" t="n">
        <f aca="false">Y48+Y50+(Y80-X80)-Y63</f>
        <v>3.04003776378176</v>
      </c>
      <c r="Z162" s="116" t="n">
        <f aca="false">Z48+Z50+(Z80-Y80)-Z63</f>
        <v>2.89158710763733</v>
      </c>
      <c r="AA162" s="116" t="n">
        <f aca="false">AA48+AA50+(AA80-Z80)-AA63</f>
        <v>2.74025167305707</v>
      </c>
      <c r="AB162" s="116" t="n">
        <f aca="false">AB48+AB50+(AB80-AA80)-AB63</f>
        <v>2.58891763975349</v>
      </c>
      <c r="AC162" s="116" t="n">
        <f aca="false">AC48+AC50+(AC80-AB80)-AC63</f>
        <v>2.43757478578494</v>
      </c>
      <c r="AD162" s="116" t="n">
        <f aca="false">AD48+AD50+(AD80-AC80)-AD63</f>
        <v>2.28621124245426</v>
      </c>
      <c r="AE162" s="116" t="n">
        <f aca="false">AE48+AE50+(AE80-AD80)-AE63</f>
        <v>2.13501772479791</v>
      </c>
      <c r="AF162" s="116" t="n">
        <f aca="false">AF48+AF50+(AF80-AE80)-AF63</f>
        <v>1.98357461181495</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-58.2803884221606</v>
      </c>
      <c r="E163" s="116" t="n">
        <f aca="false">D163+E53+E56+E58+E118+E119+E60+E113+E101-E115-E162</f>
        <v>-72.8220340547052</v>
      </c>
      <c r="F163" s="116" t="n">
        <f aca="false">E163+F53+F56+F58+F118+F119+F60+F113+F101-F115-F162</f>
        <v>-150.53349707294</v>
      </c>
      <c r="G163" s="116" t="n">
        <f aca="false">F163+G53+G56+G58+G118+G119+G60+G113+G101-G115-G162</f>
        <v>-143.43836679626</v>
      </c>
      <c r="H163" s="116" t="n">
        <f aca="false">G163+H53+H56+H58+H118+H119+H60+H113+H101-H115-H162</f>
        <v>-135.114454379035</v>
      </c>
      <c r="I163" s="116" t="n">
        <f aca="false">H163+I53+I56+I58+I118+I119+I60+I113+I101-I115-I162</f>
        <v>-125.508882111238</v>
      </c>
      <c r="J163" s="116" t="n">
        <f aca="false">I163+J53+J56+J58+J118+J119+J60+J113+J101-J115-J162</f>
        <v>-114.563636841467</v>
      </c>
      <c r="K163" s="116" t="n">
        <f aca="false">J163+K53+K56+K58+K118+K119+K60+K113+K101-K115-K162</f>
        <v>-102.321089302298</v>
      </c>
      <c r="L163" s="116" t="n">
        <f aca="false">K163+L53+L56+L58+L118+L119+L60+L113+L101-L115-L162</f>
        <v>-90.0291770830755</v>
      </c>
      <c r="M163" s="116" t="n">
        <f aca="false">L163+M53+M56+M58+M118+M119+M60+M113+M101-M115-M162</f>
        <v>-96.4802114144178</v>
      </c>
      <c r="N163" s="116" t="n">
        <f aca="false">M163+N53+N56+N58+N118+N119+N60+N113+N101-N115-N162</f>
        <v>-101.827051034257</v>
      </c>
      <c r="O163" s="116" t="n">
        <f aca="false">N163+O53+O56+O58+O118+O119+O60+O113+O101-O115-O162</f>
        <v>-106.244141223386</v>
      </c>
      <c r="P163" s="116" t="n">
        <f aca="false">O163+P53+P56+P58+P118+P119+P60+P113+P101-P115-P162</f>
        <v>-107.94955727817</v>
      </c>
      <c r="Q163" s="116" t="n">
        <f aca="false">P163+Q53+Q56+Q58+Q118+Q119+Q60+Q113+Q101-Q115-Q162</f>
        <v>-109.726295714684</v>
      </c>
      <c r="R163" s="116" t="n">
        <f aca="false">Q163+R53+R56+R58+R118+R119+R60+R113+R101-R115-R162</f>
        <v>-111.478506170413</v>
      </c>
      <c r="S163" s="116" t="n">
        <f aca="false">R163+S53+S56+S58+S118+S119+S60+S113+S101-S115-S162</f>
        <v>-113.200944568629</v>
      </c>
      <c r="T163" s="116" t="n">
        <f aca="false">S163+T53+T56+T58+T118+T119+T60+T113+T101-T115-T162</f>
        <v>-114.888363238866</v>
      </c>
      <c r="U163" s="116" t="n">
        <f aca="false">T163+U53+U56+U58+U118+U119+U60+U113+U101-U115-U162</f>
        <v>-116.535689841564</v>
      </c>
      <c r="V163" s="116" t="n">
        <f aca="false">U163+V53+V56+V58+V118+V119+V60+V113+V101-V115-V162</f>
        <v>-118.137490514752</v>
      </c>
      <c r="W163" s="116" t="n">
        <f aca="false">V163+W53+W56+W58+W118+W119+W60+W113+W101-W115-W162</f>
        <v>-119.551767361055</v>
      </c>
      <c r="X163" s="116" t="n">
        <f aca="false">W163+X53+X56+X58+X118+X119+X60+X113+X101-X115-X162</f>
        <v>-120.77421735007</v>
      </c>
      <c r="Y163" s="116" t="n">
        <f aca="false">X163+Y53+Y56+Y58+Y118+Y119+Y60+Y113+Y101-Y115-Y162</f>
        <v>-121.800562096781</v>
      </c>
      <c r="Z163" s="116" t="n">
        <f aca="false">Y163+Z53+Z56+Z58+Z118+Z119+Z60+Z113+Z101-Z115-Z162</f>
        <v>-122.626346262217</v>
      </c>
      <c r="AA163" s="116" t="n">
        <f aca="false">Z163+AA53+AA56+AA58+AA118+AA119+AA60+AA113+AA101-AA115-AA162</f>
        <v>-123.247319923546</v>
      </c>
      <c r="AB163" s="116" t="n">
        <f aca="false">AA163+AB53+AB56+AB58+AB118+AB119+AB60+AB113+AB101-AB115-AB162</f>
        <v>-123.662083006448</v>
      </c>
      <c r="AC163" s="116" t="n">
        <f aca="false">AB163+AC53+AC56+AC58+AC118+AC119+AC60+AC113+AC101-AC115-AC162</f>
        <v>-123.869187897432</v>
      </c>
      <c r="AD163" s="116" t="n">
        <f aca="false">AC163+AD53+AD56+AD58+AD118+AD119+AD60+AD113+AD101-AD115-AD162</f>
        <v>-123.867136783653</v>
      </c>
      <c r="AE163" s="116" t="n">
        <f aca="false">AD163+AE53+AE56+AE58+AE118+AE119+AE60+AE113+AE101-AE115-AE162</f>
        <v>-123.654583195046</v>
      </c>
      <c r="AF163" s="116" t="n">
        <f aca="false">AE163+AF53+AF56+AF58+AF118+AF119+AF60+AF113+AF101-AF115-AF162</f>
        <v>-123.229720597693</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398</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53.5748890866575</v>
      </c>
      <c r="N186" s="142" t="n">
        <f aca="false">N84-N181</f>
        <v>55.5555143481895</v>
      </c>
      <c r="O186" s="142" t="n">
        <f aca="false">O84-O181</f>
        <v>56.5317751142187</v>
      </c>
      <c r="P186" s="142" t="n">
        <f aca="false">P84-P181</f>
        <v>54.7201007312546</v>
      </c>
      <c r="Q186" s="142" t="n">
        <f aca="false">Q84-Q181</f>
        <v>52.9018056635885</v>
      </c>
      <c r="R186" s="142" t="n">
        <f aca="false">R84-R181</f>
        <v>50.9793206085182</v>
      </c>
      <c r="S186" s="142" t="n">
        <f aca="false">S84-S181</f>
        <v>48.9456448572626</v>
      </c>
      <c r="T186" s="142" t="n">
        <f aca="false">T84-T181</f>
        <v>46.7937355946184</v>
      </c>
      <c r="U186" s="142" t="n">
        <f aca="false">U84-U181</f>
        <v>44.5166859850576</v>
      </c>
      <c r="V186" s="142" t="n">
        <f aca="false">V84-V181</f>
        <v>42.1071874627617</v>
      </c>
      <c r="W186" s="142" t="n">
        <f aca="false">W84-W181</f>
        <v>39.4213263434811</v>
      </c>
      <c r="X186" s="142" t="n">
        <f aca="false">X84-X181</f>
        <v>36.4528418328864</v>
      </c>
      <c r="Y186" s="142" t="n">
        <f aca="false">Y84-Y181</f>
        <v>33.1954548916586</v>
      </c>
      <c r="Z186" s="142" t="n">
        <f aca="false">Z84-Z181</f>
        <v>29.6426657031247</v>
      </c>
      <c r="AA186" s="142" t="n">
        <f aca="false">AA84-AA181</f>
        <v>25.7881350902023</v>
      </c>
      <c r="AB186" s="142" t="n">
        <f aca="false">AB84-AB181</f>
        <v>21.628327974077</v>
      </c>
      <c r="AC186" s="142" t="n">
        <f aca="false">AC84-AC181</f>
        <v>17.1596149918266</v>
      </c>
      <c r="AD186" s="142" t="n">
        <f aca="false">AD84-AD181</f>
        <v>12.3782688201097</v>
      </c>
      <c r="AE186" s="142" t="n">
        <f aca="false">AE84-AE181</f>
        <v>7.28066467926965</v>
      </c>
      <c r="AF186" s="142" t="n">
        <f aca="false">AF84-AF181</f>
        <v>1.86266786632392</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1.36726448423973</v>
      </c>
      <c r="N189" s="142" t="n">
        <f aca="false">N68-M68</f>
        <v>1.35745678869186</v>
      </c>
      <c r="O189" s="142" t="n">
        <f aca="false">O68-N68</f>
        <v>1.34725708324144</v>
      </c>
      <c r="P189" s="142" t="n">
        <f aca="false">P68-O68</f>
        <v>1.33670808487479</v>
      </c>
      <c r="Q189" s="142" t="n">
        <f aca="false">Q68-P68</f>
        <v>1.32574326137292</v>
      </c>
      <c r="R189" s="142" t="n">
        <f aca="false">R68-Q68</f>
        <v>1.28405402366468</v>
      </c>
      <c r="S189" s="142" t="n">
        <f aca="false">S68-R68</f>
        <v>1.24244492825233</v>
      </c>
      <c r="T189" s="142" t="n">
        <f aca="false">T68-S68</f>
        <v>1.20091377779876</v>
      </c>
      <c r="U189" s="142" t="n">
        <f aca="false">U68-T68</f>
        <v>1.15951778284436</v>
      </c>
      <c r="V189" s="142" t="n">
        <f aca="false">V68-U68</f>
        <v>1.11813623564998</v>
      </c>
      <c r="W189" s="142" t="n">
        <f aca="false">W68-V68</f>
        <v>1.07682515955896</v>
      </c>
      <c r="X189" s="142" t="n">
        <f aca="false">X68-W68</f>
        <v>1.03558174251938</v>
      </c>
      <c r="Y189" s="142" t="n">
        <f aca="false">Y68-X68</f>
        <v>0.994403004768486</v>
      </c>
      <c r="Z189" s="142" t="n">
        <f aca="false">Z68-Y68</f>
        <v>0.953221636805978</v>
      </c>
      <c r="AA189" s="142" t="n">
        <f aca="false">AA68-Z68</f>
        <v>0.912096536847344</v>
      </c>
      <c r="AB189" s="142" t="n">
        <f aca="false">AB68-AA68</f>
        <v>0.87095804711069</v>
      </c>
      <c r="AC189" s="142" t="n">
        <f aca="false">AC68-AB68</f>
        <v>0.829799437279547</v>
      </c>
      <c r="AD189" s="142" t="n">
        <f aca="false">AD68-AC68</f>
        <v>0.788613687635589</v>
      </c>
      <c r="AE189" s="142" t="n">
        <f aca="false">AE68-AD68</f>
        <v>0.747462594228992</v>
      </c>
      <c r="AF189" s="142" t="n">
        <f aca="false">AF68-AE68</f>
        <v>0.706201338875133</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-78.2974921442622</v>
      </c>
      <c r="G192" s="142" t="n">
        <f aca="false">G149-SUM($C$191:G191)</f>
        <v>-98.8762883619455</v>
      </c>
      <c r="H192" s="142" t="n">
        <f aca="false">H149-SUM($C$191:H191)</f>
        <v>-120.03969294691</v>
      </c>
      <c r="I192" s="142" t="n">
        <f aca="false">I149-SUM($C$191:I191)</f>
        <v>-141.785662691638</v>
      </c>
      <c r="J192" s="142" t="n">
        <f aca="false">J149-SUM($C$191:J191)</f>
        <v>-164.112299180331</v>
      </c>
      <c r="K192" s="142" t="n">
        <f aca="false">K149-SUM($C$191:K191)</f>
        <v>-187.017835776314</v>
      </c>
      <c r="L192" s="142" t="n">
        <f aca="false">L149-SUM($C$191:L191)</f>
        <v>-210.500763556758</v>
      </c>
      <c r="M192" s="142" t="n">
        <f aca="false">M149-SUM($C$191:M191)</f>
        <v>-213.826390428825</v>
      </c>
      <c r="N192" s="142" t="n">
        <f aca="false">N149-SUM($C$191:N191)</f>
        <v>-217.0978795351</v>
      </c>
      <c r="O192" s="142" t="n">
        <f aca="false">O149-SUM($C$191:O191)</f>
        <v>-220.393190955611</v>
      </c>
      <c r="P192" s="142" t="n">
        <f aca="false">P149-SUM($C$191:P191)</f>
        <v>-223.689934057448</v>
      </c>
      <c r="Q192" s="142" t="n">
        <f aca="false">Q149-SUM($C$191:Q191)</f>
        <v>-226.990200340599</v>
      </c>
      <c r="R192" s="142" t="n">
        <f aca="false">R149-SUM($C$191:R191)</f>
        <v>-230.296372809482</v>
      </c>
      <c r="S192" s="142" t="n">
        <f aca="false">S149-SUM($C$191:S191)</f>
        <v>-233.610787914983</v>
      </c>
      <c r="T192" s="142" t="n">
        <f aca="false">T149-SUM($C$191:T191)</f>
        <v>-236.935746863235</v>
      </c>
      <c r="U192" s="142" t="n">
        <f aca="false">U149-SUM($C$191:U191)</f>
        <v>-240.273519171083</v>
      </c>
      <c r="V192" s="142" t="n">
        <f aca="false">V149-SUM($C$191:V191)</f>
        <v>-243.626348788464</v>
      </c>
      <c r="W192" s="142" t="n">
        <f aca="false">W149-SUM($C$191:W191)</f>
        <v>-246.996324109568</v>
      </c>
      <c r="X192" s="142" t="n">
        <f aca="false">X149-SUM($C$191:X191)</f>
        <v>-250.385516388226</v>
      </c>
      <c r="Y192" s="142" t="n">
        <f aca="false">Y149-SUM($C$191:Y191)</f>
        <v>-253.795983669007</v>
      </c>
      <c r="Z192" s="142" t="n">
        <f aca="false">Z149-SUM($C$191:Z191)</f>
        <v>-257.22977542949</v>
      </c>
      <c r="AA192" s="142" t="n">
        <f aca="false">AA149-SUM($C$191:AA191)</f>
        <v>-260.688935223145</v>
      </c>
      <c r="AB192" s="142" t="n">
        <f aca="false">AB149-SUM($C$191:AB191)</f>
        <v>-264.175508005829</v>
      </c>
      <c r="AC192" s="142" t="n">
        <f aca="false">AC149-SUM($C$191:AC191)</f>
        <v>-267.691543404355</v>
      </c>
      <c r="AD192" s="142" t="n">
        <f aca="false">AD149-SUM($C$191:AD191)</f>
        <v>-271.239098868605</v>
      </c>
      <c r="AE192" s="142" t="n">
        <f aca="false">AE149-SUM($C$191:AE191)</f>
        <v>-274.820241703027</v>
      </c>
      <c r="AF192" s="142" t="n">
        <f aca="false">AF149-SUM($C$191:AF191)</f>
        <v>-278.437054029969</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0.00532379956993503</v>
      </c>
      <c r="G194" s="142" t="n">
        <f aca="false">IF($C$165="Sí",MAX(0,MIN(IF($C$6="Sí",23_v67_Intermedio!G24,22_v67_Prudente!G24),(IF(G$39&lt;4,0,01_Supuestos!$I$21*01_Supuestos!$I$64/1000000000000*G42))*(G193-1))),0)</f>
        <v>0.00966970121886603</v>
      </c>
      <c r="H194" s="142" t="n">
        <f aca="false">IF($C$165="Sí",MAX(0,MIN(IF($C$6="Sí",23_v67_Intermedio!H24,22_v67_Prudente!H24),(IF(H$39&lt;4,0,01_Supuestos!$I$21*01_Supuestos!$I$64/1000000000000*H42))*(H193-1))),0)</f>
        <v>0.0154437926599257</v>
      </c>
      <c r="I194" s="142" t="n">
        <f aca="false">IF($C$165="Sí",MAX(0,MIN(IF($C$6="Sí",23_v67_Intermedio!I24,22_v67_Prudente!I24),(IF(I$39&lt;4,0,01_Supuestos!$I$21*01_Supuestos!$I$64/1000000000000*I42))*(I193-1))),0)</f>
        <v>0.0228539264464735</v>
      </c>
      <c r="J194" s="142" t="n">
        <f aca="false">IF($C$165="Sí",MAX(0,MIN(IF($C$6="Sí",23_v67_Intermedio!J24,22_v67_Prudente!J24),(IF(J$39&lt;4,0,01_Supuestos!$I$21*01_Supuestos!$I$64/1000000000000*J42))*(J193-1))),0)</f>
        <v>0.0318211625861443</v>
      </c>
      <c r="K194" s="142" t="n">
        <f aca="false">IF($C$165="Sí",MAX(0,MIN(IF($C$6="Sí",23_v67_Intermedio!K24,22_v67_Prudente!K24),(IF(K$39&lt;4,0,01_Supuestos!$I$21*01_Supuestos!$I$64/1000000000000*K42))*(K193-1))),0)</f>
        <v>0.0415050561068109</v>
      </c>
      <c r="L194" s="142" t="n">
        <f aca="false">IF($C$165="Sí",MAX(0,MIN(IF($C$6="Sí",23_v67_Intermedio!L24,22_v67_Prudente!L24),(IF(L$39&lt;4,0,01_Supuestos!$I$21*01_Supuestos!$I$64/1000000000000*L42))*(L193-1))),0)</f>
        <v>0.0517786894493221</v>
      </c>
      <c r="M194" s="142" t="n">
        <f aca="false">IF($C$165="Sí",MAX(0,MIN(IF($C$6="Sí",23_v67_Intermedio!M24,22_v67_Prudente!M24),(IF(M$39&lt;4,0,01_Supuestos!$I$21*01_Supuestos!$I$64/1000000000000*M42))*(M193-1))),0)</f>
        <v>0.0626621716739584</v>
      </c>
      <c r="N194" s="142" t="n">
        <f aca="false">IF($C$165="Sí",MAX(0,MIN(IF($C$6="Sí",23_v67_Intermedio!N24,22_v67_Prudente!N24),(IF(N$39&lt;4,0,01_Supuestos!$I$21*01_Supuestos!$I$64/1000000000000*N42))*(N193-1))),0)</f>
        <v>0.0741761513574735</v>
      </c>
      <c r="O194" s="142" t="n">
        <f aca="false">IF($C$165="Sí",MAX(0,MIN(IF($C$6="Sí",23_v67_Intermedio!O24,22_v67_Prudente!O24),(IF(O$39&lt;4,0,01_Supuestos!$I$21*01_Supuestos!$I$64/1000000000000*O42))*(O193-1))),0)</f>
        <v>0.0865020182107049</v>
      </c>
      <c r="P194" s="142" t="n">
        <f aca="false">IF($C$165="Sí",MAX(0,MIN(IF($C$6="Sí",23_v67_Intermedio!P24,22_v67_Prudente!P24),(IF(P$39&lt;4,0,01_Supuestos!$I$21*01_Supuestos!$I$64/1000000000000*P42))*(P193-1))),0)</f>
        <v>0.0995061549483806</v>
      </c>
      <c r="Q194" s="142" t="n">
        <f aca="false">IF($C$165="Sí",MAX(0,MIN(IF($C$6="Sí",23_v67_Intermedio!Q24,22_v67_Prudente!Q24),(IF(Q$39&lt;4,0,01_Supuestos!$I$21*01_Supuestos!$I$64/1000000000000*Q42))*(Q193-1))),0)</f>
        <v>0.113376044732485</v>
      </c>
      <c r="R194" s="142" t="n">
        <f aca="false">IF($C$165="Sí",MAX(0,MIN(IF($C$6="Sí",23_v67_Intermedio!R24,22_v67_Prudente!R24),(IF(R$39&lt;4,0,01_Supuestos!$I$21*01_Supuestos!$I$64/1000000000000*R42))*(R193-1))),0)</f>
        <v>0.127974654509829</v>
      </c>
      <c r="S194" s="142" t="n">
        <f aca="false">IF($C$165="Sí",MAX(0,MIN(IF($C$6="Sí",23_v67_Intermedio!S24,22_v67_Prudente!S24),(IF(S$39&lt;4,0,01_Supuestos!$I$21*01_Supuestos!$I$64/1000000000000*S42))*(S193-1))),0)</f>
        <v>0.143495769021453</v>
      </c>
      <c r="T194" s="142" t="n">
        <f aca="false">IF($C$165="Sí",MAX(0,MIN(IF($C$6="Sí",23_v67_Intermedio!T24,22_v67_Prudente!T24),(IF(T$39&lt;4,0,01_Supuestos!$I$21*01_Supuestos!$I$64/1000000000000*T42))*(T193-1))),0)</f>
        <v>0.159971429562951</v>
      </c>
      <c r="U194" s="142" t="n">
        <f aca="false">IF($C$165="Sí",MAX(0,MIN(IF($C$6="Sí",23_v67_Intermedio!U24,22_v67_Prudente!U24),(IF(U$39&lt;4,0,01_Supuestos!$I$21*01_Supuestos!$I$64/1000000000000*U42))*(U193-1))),0)</f>
        <v>0.177259388369441</v>
      </c>
      <c r="V194" s="142" t="n">
        <f aca="false">IF($C$165="Sí",MAX(0,MIN(IF($C$6="Sí",23_v67_Intermedio!V24,22_v67_Prudente!V24),(IF(V$39&lt;4,0,01_Supuestos!$I$21*01_Supuestos!$I$64/1000000000000*V42))*(V193-1))),0)</f>
        <v>0.195741131811933</v>
      </c>
      <c r="W194" s="142" t="n">
        <f aca="false">IF($C$165="Sí",MAX(0,MIN(IF($C$6="Sí",23_v67_Intermedio!W24,22_v67_Prudente!W24),(IF(W$39&lt;4,0,01_Supuestos!$I$21*01_Supuestos!$I$64/1000000000000*W42))*(W193-1))),0)</f>
        <v>0.215278799096648</v>
      </c>
      <c r="X194" s="142" t="n">
        <f aca="false">IF($C$165="Sí",MAX(0,MIN(IF($C$6="Sí",23_v67_Intermedio!X24,22_v67_Prudente!X24),(IF(X$39&lt;4,0,01_Supuestos!$I$21*01_Supuestos!$I$64/1000000000000*X42))*(X193-1))),0)</f>
        <v>0.235908029870101</v>
      </c>
      <c r="Y194" s="142" t="n">
        <f aca="false">IF($C$165="Sí",MAX(0,MIN(IF($C$6="Sí",23_v67_Intermedio!Y24,22_v67_Prudente!Y24),(IF(Y$39&lt;4,0,01_Supuestos!$I$21*01_Supuestos!$I$64/1000000000000*Y42))*(Y193-1))),0)</f>
        <v>0.257665417190186</v>
      </c>
      <c r="Z194" s="142" t="n">
        <f aca="false">IF($C$165="Sí",MAX(0,MIN(IF($C$6="Sí",23_v67_Intermedio!Z24,22_v67_Prudente!Z24),(IF(Z$39&lt;4,0,01_Supuestos!$I$21*01_Supuestos!$I$64/1000000000000*Z42))*(Z193-1))),0)</f>
        <v>0.280777224307851</v>
      </c>
      <c r="AA194" s="142" t="n">
        <f aca="false">IF($C$165="Sí",MAX(0,MIN(IF($C$6="Sí",23_v67_Intermedio!AA24,22_v67_Prudente!AA24),(IF(AA$39&lt;4,0,01_Supuestos!$I$21*01_Supuestos!$I$64/1000000000000*AA42))*(AA193-1))),0)</f>
        <v>0.305098985280405</v>
      </c>
      <c r="AB194" s="142" t="n">
        <f aca="false">IF($C$165="Sí",MAX(0,MIN(IF($C$6="Sí",23_v67_Intermedio!AB24,22_v67_Prudente!AB24),(IF(AB$39&lt;4,0,01_Supuestos!$I$21*01_Supuestos!$I$64/1000000000000*AB42))*(AB193-1))),0)</f>
        <v>0.33086481484084</v>
      </c>
      <c r="AC194" s="142" t="n">
        <f aca="false">IF($C$165="Sí",MAX(0,MIN(IF($C$6="Sí",23_v67_Intermedio!AC24,22_v67_Prudente!AC24),(IF(AC$39&lt;4,0,01_Supuestos!$I$21*01_Supuestos!$I$64/1000000000000*AC42))*(AC193-1))),0)</f>
        <v>0.358124226510086</v>
      </c>
      <c r="AD194" s="142" t="n">
        <f aca="false">IF($C$165="Sí",MAX(0,MIN(IF($C$6="Sí",23_v67_Intermedio!AD24,22_v67_Prudente!AD24),(IF(AD$39&lt;4,0,01_Supuestos!$I$21*01_Supuestos!$I$64/1000000000000*AD42))*(AD193-1))),0)</f>
        <v>0.386928069257161</v>
      </c>
      <c r="AE194" s="142" t="n">
        <f aca="false">IF($C$165="Sí",MAX(0,MIN(IF($C$6="Sí",23_v67_Intermedio!AE24,22_v67_Prudente!AE24),(IF(AE$39&lt;4,0,01_Supuestos!$I$21*01_Supuestos!$I$64/1000000000000*AE42))*(AE193-1))),0)</f>
        <v>0.417125281618753</v>
      </c>
      <c r="AF194" s="142" t="n">
        <f aca="false">IF($C$165="Sí",MAX(0,MIN(IF($C$6="Sí",23_v67_Intermedio!AF24,22_v67_Prudente!AF24),(IF(AF$39&lt;4,0,01_Supuestos!$I$21*01_Supuestos!$I$64/1000000000000*AF42))*(AF193-1))),0)</f>
        <v>0.449172984481133</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0.349802265736928</v>
      </c>
      <c r="M221" s="116" t="n">
        <f aca="false">M112</f>
        <v>0.362425202609807</v>
      </c>
      <c r="N221" s="116" t="n">
        <f aca="false">N112</f>
        <v>0.375207421172401</v>
      </c>
      <c r="O221" s="116" t="n">
        <f aca="false">O112</f>
        <v>0.387242291729662</v>
      </c>
      <c r="P221" s="116" t="n">
        <f aca="false">P112</f>
        <v>0.396753941625673</v>
      </c>
      <c r="Q221" s="116" t="n">
        <f aca="false">Q112</f>
        <v>0.406341377111923</v>
      </c>
      <c r="R221" s="116" t="n">
        <f aca="false">R112</f>
        <v>0.415900988294633</v>
      </c>
      <c r="S221" s="116" t="n">
        <f aca="false">S112</f>
        <v>0.425441651040733</v>
      </c>
      <c r="T221" s="116" t="n">
        <f aca="false">T112</f>
        <v>0.434978705216783</v>
      </c>
      <c r="U221" s="116" t="n">
        <f aca="false">U112</f>
        <v>0.444527187925394</v>
      </c>
      <c r="V221" s="116" t="n">
        <f aca="false">V112</f>
        <v>0.454102052398249</v>
      </c>
      <c r="W221" s="116" t="n">
        <f aca="false">W112</f>
        <v>0.463581483638231</v>
      </c>
      <c r="X221" s="116" t="n">
        <f aca="false">X112</f>
        <v>0.472981531447804</v>
      </c>
      <c r="Y221" s="116" t="n">
        <f aca="false">Y112</f>
        <v>0.48231839319548</v>
      </c>
      <c r="Z221" s="116" t="n">
        <f aca="false">Z112</f>
        <v>0.491608375714051</v>
      </c>
      <c r="AA221" s="116" t="n">
        <f aca="false">AA112</f>
        <v>0.500867936824098</v>
      </c>
      <c r="AB221" s="116" t="n">
        <f aca="false">AB112</f>
        <v>0.510116725344894</v>
      </c>
      <c r="AC221" s="116" t="n">
        <f aca="false">AC112</f>
        <v>0.519374531107127</v>
      </c>
      <c r="AD221" s="116" t="n">
        <f aca="false">AD112</f>
        <v>0.52866131230414</v>
      </c>
      <c r="AE221" s="116" t="n">
        <f aca="false">AE112</f>
        <v>0.537997224314867</v>
      </c>
      <c r="AF221" s="116" t="n">
        <f aca="false">AF112</f>
        <v>0.547402640284587</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6.93648925650556</v>
      </c>
      <c r="L222" s="87" t="n">
        <f aca="false">IF(L221&gt;0,L220/L221,0)</f>
        <v>7.39831815894891</v>
      </c>
      <c r="M222" s="87" t="n">
        <f aca="false">IF(M221&gt;0,M220/M221,0)</f>
        <v>7.53601149252449</v>
      </c>
      <c r="N222" s="87" t="n">
        <f aca="false">IF(N221&gt;0,N220/N221,0)</f>
        <v>7.48629735642827</v>
      </c>
      <c r="O222" s="87" t="n">
        <f aca="false">IF(O221&gt;0,O220/O221,0)</f>
        <v>7.31747295082973</v>
      </c>
      <c r="P222" s="87" t="n">
        <f aca="false">IF(P221&gt;0,P220/P221,0)</f>
        <v>6.68143414059155</v>
      </c>
      <c r="Q222" s="87" t="n">
        <f aca="false">IF(Q221&gt;0,Q220/Q221,0)</f>
        <v>6.10305000511387</v>
      </c>
      <c r="R222" s="87" t="n">
        <f aca="false">IF(R221&gt;0,R220/R221,0)</f>
        <v>5.57821255255839</v>
      </c>
      <c r="S222" s="87" t="n">
        <f aca="false">IF(S221&gt;0,S220/S221,0)</f>
        <v>5.10143127278971</v>
      </c>
      <c r="T222" s="87" t="n">
        <f aca="false">IF(T221&gt;0,T220/T221,0)</f>
        <v>4.66778757767016</v>
      </c>
      <c r="U222" s="87" t="n">
        <f aca="false">IF(U221&gt;0,U220/U221,0)</f>
        <v>4.27294975873409</v>
      </c>
      <c r="V222" s="87" t="n">
        <f aca="false">IF(V221&gt;0,V220/V221,0)</f>
        <v>3.91308862781223</v>
      </c>
      <c r="W222" s="87" t="n">
        <f aca="false">IF(W221&gt;0,W220/W221,0)</f>
        <v>3.58586638174016</v>
      </c>
      <c r="X222" s="87" t="n">
        <f aca="false">IF(X221&gt;0,X220/X221,0)</f>
        <v>3.28793357537829</v>
      </c>
      <c r="Y222" s="87" t="n">
        <f aca="false">IF(Y221&gt;0,Y220/Y221,0)</f>
        <v>3.01634094018421</v>
      </c>
      <c r="Z222" s="87" t="n">
        <f aca="false">IF(Z221&gt;0,Z220/Z221,0)</f>
        <v>2.76848397374608</v>
      </c>
      <c r="AA222" s="87" t="n">
        <f aca="false">IF(AA221&gt;0,AA220/AA221,0)</f>
        <v>2.54205586632273</v>
      </c>
      <c r="AB222" s="87" t="n">
        <f aca="false">IF(AB221&gt;0,AB220/AB221,0)</f>
        <v>2.33499413092732</v>
      </c>
      <c r="AC222" s="87" t="n">
        <f aca="false">IF(AC221&gt;0,AC220/AC221,0)</f>
        <v>2.14546652065441</v>
      </c>
      <c r="AD222" s="87" t="n">
        <f aca="false">IF(AD221&gt;0,AD220/AD221,0)</f>
        <v>1.97184101472435</v>
      </c>
      <c r="AE222" s="87" t="n">
        <f aca="false">IF(AE221&gt;0,AE220/AE221,0)</f>
        <v>1.81266030771225</v>
      </c>
      <c r="AF222" s="87" t="n">
        <f aca="false">IF(AF221&gt;0,AF220/AF221,0)</f>
        <v>1.66662006732847</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2.23814618890606</v>
      </c>
      <c r="M223" s="88" t="n">
        <f aca="false">M220-M221</f>
        <v>2.36881528943821</v>
      </c>
      <c r="N223" s="88" t="n">
        <f aca="false">N220-N221</f>
        <v>2.43370690406281</v>
      </c>
      <c r="O223" s="88" t="n">
        <f aca="false">O220-O221</f>
        <v>2.44639270341945</v>
      </c>
      <c r="P223" s="88" t="n">
        <f aca="false">P220-P221</f>
        <v>2.25413138936636</v>
      </c>
      <c r="Q223" s="88" t="n">
        <f aca="false">Q220-Q221</f>
        <v>2.07358036654898</v>
      </c>
      <c r="R223" s="88" t="n">
        <f aca="false">R220-R221</f>
        <v>1.90408312523193</v>
      </c>
      <c r="S223" s="88" t="n">
        <f aca="false">S220-S221</f>
        <v>1.74491969232575</v>
      </c>
      <c r="T223" s="88" t="n">
        <f aca="false">T220-T221</f>
        <v>1.59540949154517</v>
      </c>
      <c r="U223" s="88" t="n">
        <f aca="false">U220-U221</f>
        <v>1.45491515247116</v>
      </c>
      <c r="V223" s="88" t="n">
        <f aca="false">V220-V221</f>
        <v>1.32283952470753</v>
      </c>
      <c r="W223" s="88" t="n">
        <f aca="false">W220-W221</f>
        <v>1.19875977373733</v>
      </c>
      <c r="X223" s="88" t="n">
        <f aca="false">X220-X221</f>
        <v>1.08215032633327</v>
      </c>
      <c r="Y223" s="88" t="n">
        <f aca="false">Y220-Y221</f>
        <v>0.972518322403913</v>
      </c>
      <c r="Z223" s="88" t="n">
        <f aca="false">Z220-Z221</f>
        <v>0.869401533809638</v>
      </c>
      <c r="AA223" s="88" t="n">
        <f aca="false">AA220-AA221</f>
        <v>0.772366340232563</v>
      </c>
      <c r="AB223" s="88" t="n">
        <f aca="false">AB220-AB221</f>
        <v>0.681002834423295</v>
      </c>
      <c r="AC223" s="88" t="n">
        <f aca="false">AC220-AC221</f>
        <v>0.594926137063799</v>
      </c>
      <c r="AD223" s="88" t="n">
        <f aca="false">AD220-AD221</f>
        <v>0.51377474619516</v>
      </c>
      <c r="AE223" s="88" t="n">
        <f aca="false">AE220-AE221</f>
        <v>0.437208989860056</v>
      </c>
      <c r="AF223" s="88" t="n">
        <f aca="false">AF220-AF221</f>
        <v>0.364909584922294</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0.0353755274227365</v>
      </c>
      <c r="F233" s="1" t="n">
        <f aca="false">IF(E81&gt;0,(F107+F109+F110+F184-F108-F229)/E81,0)</f>
        <v>0.046240631504257</v>
      </c>
      <c r="G233" s="1" t="n">
        <f aca="false">IF(F81&gt;0,(G107+G109+G110+G184-G108-G229)/F81,0)</f>
        <v>0.0269486924558677</v>
      </c>
      <c r="H233" s="1" t="n">
        <f aca="false">IF(G81&gt;0,(H107+H109+H110+H184-H108-H229)/G81,0)</f>
        <v>0.0298589615940336</v>
      </c>
      <c r="I233" s="1" t="n">
        <f aca="false">IF(H81&gt;0,(I107+I109+I110+I184-I108-I229)/H81,0)</f>
        <v>0.0327627002971196</v>
      </c>
      <c r="J233" s="1" t="n">
        <f aca="false">IF(I81&gt;0,(J107+J109+J110+J184-J108-J229)/I81,0)</f>
        <v>0.035671117296314</v>
      </c>
      <c r="K233" s="1" t="n">
        <f aca="false">IF(J81&gt;0,(K107+K109+K110+K184-K108-K229)/J81,0)</f>
        <v>0.038538032823872</v>
      </c>
      <c r="L233" s="1" t="n">
        <f aca="false">IF(K81&gt;0,(L107+L109+L110+L184-L108-L229)/K81,0)</f>
        <v>0.0413696375517818</v>
      </c>
      <c r="M233" s="1" t="n">
        <f aca="false">IF(L81&gt;0,(M107+M109+M110+M184-M108-M229)/L81,0)</f>
        <v>0.0436761887099026</v>
      </c>
      <c r="N233" s="1" t="n">
        <f aca="false">IF(M81&gt;0,(N107+N109+N110+N184-N108-N229)/M81,0)</f>
        <v>0.0430515265346062</v>
      </c>
      <c r="O233" s="1" t="n">
        <f aca="false">IF(N81&gt;0,(O107+O109+O110+O184-O108-O229)/N81,0)</f>
        <v>0.042605996576864</v>
      </c>
      <c r="P233" s="1" t="n">
        <f aca="false">IF(O81&gt;0,(P107+P109+P110+P184-P108-P229)/O81,0)</f>
        <v>0.0423232281020009</v>
      </c>
      <c r="Q233" s="1" t="n">
        <f aca="false">IF(P81&gt;0,(Q107+Q109+Q110+Q184-Q108-Q229)/P81,0)</f>
        <v>0.0422747053568218</v>
      </c>
      <c r="R233" s="1" t="n">
        <f aca="false">IF(Q81&gt;0,(R107+R109+R110+R184-R108-R229)/Q81,0)</f>
        <v>0.0422158088995171</v>
      </c>
      <c r="S233" s="1" t="n">
        <f aca="false">IF(R81&gt;0,(S107+S109+S110+S184-S108-S229)/R81,0)</f>
        <v>0.0421750898325355</v>
      </c>
      <c r="T233" s="1" t="n">
        <f aca="false">IF(S81&gt;0,(T107+T109+T110+T184-T108-T229)/S81,0)</f>
        <v>0.0421513590556545</v>
      </c>
      <c r="U233" s="1" t="n">
        <f aca="false">IF(T81&gt;0,(U107+U109+U110+U184-U108-U229)/T81,0)</f>
        <v>0.0421433516783069</v>
      </c>
      <c r="V233" s="1" t="n">
        <f aca="false">IF(U81&gt;0,(V107+V109+V110+V184-V108-V229)/U81,0)</f>
        <v>0.0421499416556379</v>
      </c>
      <c r="W233" s="1" t="n">
        <f aca="false">IF(V81&gt;0,(W107+W109+W110+W184-W108-W229)/V81,0)</f>
        <v>0.0421701644904143</v>
      </c>
      <c r="X233" s="1" t="n">
        <f aca="false">IF(W81&gt;0,(X107+X109+X110+X184-X108-X229)/W81,0)</f>
        <v>0.0422156969461347</v>
      </c>
      <c r="Y233" s="1" t="n">
        <f aca="false">IF(X81&gt;0,(Y107+Y109+Y110+Y184-Y108-Y229)/X81,0)</f>
        <v>0.0422849031840251</v>
      </c>
      <c r="Z233" s="1" t="n">
        <f aca="false">IF(Y81&gt;0,(Z107+Z109+Z110+Z184-Z108-Z229)/Y81,0)</f>
        <v>0.0423762805611411</v>
      </c>
      <c r="AA233" s="1" t="n">
        <f aca="false">IF(Z81&gt;0,(AA107+AA109+AA110+AA184-AA108-AA229)/Z81,0)</f>
        <v>0.0424884185308998</v>
      </c>
      <c r="AB233" s="1" t="n">
        <f aca="false">IF(AA81&gt;0,(AB107+AB109+AB110+AB184-AB108-AB229)/AA81,0)</f>
        <v>0.0426200175999348</v>
      </c>
      <c r="AC233" s="1" t="n">
        <f aca="false">IF(AB81&gt;0,(AC107+AC109+AC110+AC184-AC108-AC229)/AB81,0)</f>
        <v>0.0427696076635848</v>
      </c>
      <c r="AD233" s="1" t="n">
        <f aca="false">IF(AC81&gt;0,(AD107+AD109+AD110+AD184-AD108-AD229)/AC81,0)</f>
        <v>0.0429358077230931</v>
      </c>
      <c r="AE233" s="1" t="n">
        <f aca="false">IF(AD81&gt;0,(AE107+AE109+AE110+AE184-AE108-AE229)/AD81,0)</f>
        <v>0.0431173018737599</v>
      </c>
      <c r="AF233" s="1" t="n">
        <f aca="false">IF(AE81&gt;0,(AF107+AF109+AF110+AF184-AF108-AF229)/AE81,0)</f>
        <v>0.0433128539794639</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0.230355790038912</v>
      </c>
      <c r="F234" s="1" t="n">
        <f aca="false">(F232+E232)/2*F233</f>
        <v>0.558656712324482</v>
      </c>
      <c r="G234" s="1" t="n">
        <f aca="false">(G232+F232)/2*G233</f>
        <v>0.521479925442122</v>
      </c>
      <c r="H234" s="1" t="n">
        <f aca="false">(H232+G232)/2*H233</f>
        <v>0.780852280659862</v>
      </c>
      <c r="I234" s="1" t="n">
        <f aca="false">(I232+H232)/2*I233</f>
        <v>1.06522283607479</v>
      </c>
      <c r="J234" s="1" t="n">
        <f aca="false">(J232+I232)/2*J233</f>
        <v>1.37208614881576</v>
      </c>
      <c r="K234" s="1" t="n">
        <f aca="false">(K232+J232)/2*K233</f>
        <v>1.69693335635203</v>
      </c>
      <c r="L234" s="1" t="n">
        <f aca="false">(L232+K232)/2*L233</f>
        <v>2.03709873360199</v>
      </c>
      <c r="M234" s="1" t="n">
        <f aca="false">(M232+L232)/2*M233</f>
        <v>2.32321900219305</v>
      </c>
      <c r="N234" s="1" t="n">
        <f aca="false">(N232+M232)/2*N233</f>
        <v>2.38512122122095</v>
      </c>
      <c r="O234" s="1" t="n">
        <f aca="false">(O232+N232)/2*O233</f>
        <v>2.40406437029081</v>
      </c>
      <c r="P234" s="1" t="n">
        <f aca="false">(P232+O232)/2*P233</f>
        <v>2.32122604793332</v>
      </c>
      <c r="Q234" s="1" t="n">
        <f aca="false">(Q232+P232)/2*Q233</f>
        <v>2.16903357323649</v>
      </c>
      <c r="R234" s="1" t="n">
        <f aca="false">(R232+Q232)/2*R233</f>
        <v>2.02631908402699</v>
      </c>
      <c r="S234" s="1" t="n">
        <f aca="false">(S232+R232)/2*S233</f>
        <v>1.89380723023582</v>
      </c>
      <c r="T234" s="1" t="n">
        <f aca="false">(T232+S232)/2*T233</f>
        <v>1.77067302168829</v>
      </c>
      <c r="U234" s="1" t="n">
        <f aca="false">(U232+T232)/2*U233</f>
        <v>1.65616230363621</v>
      </c>
      <c r="V234" s="1" t="n">
        <f aca="false">(V232+U232)/2*V233</f>
        <v>1.54959367626449</v>
      </c>
      <c r="W234" s="1" t="n">
        <f aca="false">(W232+V232)/2*W233</f>
        <v>1.45035122859136</v>
      </c>
      <c r="X234" s="1" t="n">
        <f aca="false">(X232+W232)/2*X233</f>
        <v>1.35827869961788</v>
      </c>
      <c r="Y234" s="1" t="n">
        <f aca="false">(Y232+X232)/2*Y233</f>
        <v>1.27276229712351</v>
      </c>
      <c r="Z234" s="1" t="n">
        <f aca="false">(Z232+Y232)/2*Z233</f>
        <v>1.19325106603358</v>
      </c>
      <c r="AA234" s="1" t="n">
        <f aca="false">(AA232+Z232)/2*AA233</f>
        <v>1.11924869512016</v>
      </c>
      <c r="AB234" s="1" t="n">
        <f aca="false">(AB232+AA232)/2*AB233</f>
        <v>1.05030803897942</v>
      </c>
      <c r="AC234" s="1" t="n">
        <f aca="false">(AC232+AB232)/2*AC233</f>
        <v>0.98601918648648</v>
      </c>
      <c r="AD234" s="1" t="n">
        <f aca="false">(AD232+AC232)/2*AD233</f>
        <v>0.92601233405646</v>
      </c>
      <c r="AE234" s="1" t="n">
        <f aca="false">(AE232+AD232)/2*AE233</f>
        <v>0.869952909441535</v>
      </c>
      <c r="AF234" s="1" t="n">
        <f aca="false">(AF232+AE232)/2*AF233</f>
        <v>0.817538105484896</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0.188727116952576</v>
      </c>
      <c r="F236" s="1" t="n">
        <f aca="false">MAX(0,F234-F235)</f>
        <v>0.479470272348824</v>
      </c>
      <c r="G236" s="1" t="n">
        <f aca="false">MAX(0,G234-G235)</f>
        <v>0.407157932199315</v>
      </c>
      <c r="H236" s="1" t="n">
        <f aca="false">MAX(0,H234-H235)</f>
        <v>0.633660731912686</v>
      </c>
      <c r="I236" s="1" t="n">
        <f aca="false">MAX(0,I234-I235)</f>
        <v>0.887281588558394</v>
      </c>
      <c r="J236" s="1" t="n">
        <f aca="false">MAX(0,J234-J235)</f>
        <v>1.16537834331314</v>
      </c>
      <c r="K236" s="1" t="n">
        <f aca="false">MAX(0,K234-K235)</f>
        <v>1.46331423491798</v>
      </c>
      <c r="L236" s="1" t="n">
        <f aca="false">MAX(0,L234-L235)</f>
        <v>1.77830388813769</v>
      </c>
      <c r="M236" s="1" t="n">
        <f aca="false">MAX(0,M234-M235)</f>
        <v>2.05009495298824</v>
      </c>
      <c r="N236" s="1" t="n">
        <f aca="false">MAX(0,N234-N235)</f>
        <v>2.10422978869743</v>
      </c>
      <c r="O236" s="1" t="n">
        <f aca="false">MAX(0,O234-O235)</f>
        <v>2.1207008707759</v>
      </c>
      <c r="P236" s="1" t="n">
        <f aca="false">MAX(0,P234-P235)</f>
        <v>2.05613751483412</v>
      </c>
      <c r="Q236" s="1" t="n">
        <f aca="false">MAX(0,Q234-Q235)</f>
        <v>1.9210413988704</v>
      </c>
      <c r="R236" s="1" t="n">
        <f aca="false">MAX(0,R234-R235)</f>
        <v>1.79432067267433</v>
      </c>
      <c r="S236" s="1" t="n">
        <f aca="false">MAX(0,S234-S235)</f>
        <v>1.67677109589917</v>
      </c>
      <c r="T236" s="1" t="n">
        <f aca="false">MAX(0,T234-T235)</f>
        <v>1.56763420201209</v>
      </c>
      <c r="U236" s="1" t="n">
        <f aca="false">MAX(0,U234-U235)</f>
        <v>1.46621806959655</v>
      </c>
      <c r="V236" s="1" t="n">
        <f aca="false">MAX(0,V234-V235)</f>
        <v>1.37189951855391</v>
      </c>
      <c r="W236" s="1" t="n">
        <f aca="false">MAX(0,W234-W235)</f>
        <v>1.28411710285381</v>
      </c>
      <c r="X236" s="1" t="n">
        <f aca="false">MAX(0,X234-X235)</f>
        <v>1.20276551383978</v>
      </c>
      <c r="Y236" s="1" t="n">
        <f aca="false">MAX(0,Y234-Y235)</f>
        <v>1.12727862556357</v>
      </c>
      <c r="Z236" s="1" t="n">
        <f aca="false">MAX(0,Z234-Z235)</f>
        <v>1.05715007508121</v>
      </c>
      <c r="AA236" s="1" t="n">
        <f aca="false">MAX(0,AA234-AA235)</f>
        <v>0.991925267414491</v>
      </c>
      <c r="AB236" s="1" t="n">
        <f aca="false">MAX(0,AB234-AB235)</f>
        <v>0.9311960830026</v>
      </c>
      <c r="AC236" s="1" t="n">
        <f aca="false">MAX(0,AC234-AC235)</f>
        <v>0.874589119669388</v>
      </c>
      <c r="AD236" s="1" t="n">
        <f aca="false">MAX(0,AD234-AD235)</f>
        <v>0.82176872820653</v>
      </c>
      <c r="AE236" s="1" t="n">
        <f aca="false">MAX(0,AE234-AE235)</f>
        <v>0.772432288024043</v>
      </c>
      <c r="AF236" s="1" t="n">
        <f aca="false">MAX(0,AF234-AF235)</f>
        <v>0.726306882964208</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0.571992635506006</v>
      </c>
      <c r="J238" s="1" t="n">
        <f aca="false">IF(J112&gt;0,J235/J112,0)</f>
        <v>0.638140509527599</v>
      </c>
      <c r="K238" s="1" t="n">
        <f aca="false">IF(K112&gt;0,K235/K112,0)</f>
        <v>0.693648925650556</v>
      </c>
      <c r="L238" s="1" t="n">
        <f aca="false">IF(L112&gt;0,L235/L112,0)</f>
        <v>0.739831815894891</v>
      </c>
      <c r="M238" s="1" t="n">
        <f aca="false">IF(M112&gt;0,M235/M112,0)</f>
        <v>0.753601149252449</v>
      </c>
      <c r="N238" s="1" t="n">
        <f aca="false">IF(N112&gt;0,N235/N112,0)</f>
        <v>0.748629735642827</v>
      </c>
      <c r="O238" s="1" t="n">
        <f aca="false">IF(O112&gt;0,O235/O112,0)</f>
        <v>0.731747295082972</v>
      </c>
      <c r="P238" s="1" t="n">
        <f aca="false">IF(P112&gt;0,P235/P112,0)</f>
        <v>0.668143414059155</v>
      </c>
      <c r="Q238" s="1" t="n">
        <f aca="false">IF(Q112&gt;0,Q235/Q112,0)</f>
        <v>0.610305000511387</v>
      </c>
      <c r="R238" s="1" t="n">
        <f aca="false">IF(R112&gt;0,R235/R112,0)</f>
        <v>0.557821255255839</v>
      </c>
      <c r="S238" s="1" t="n">
        <f aca="false">IF(S112&gt;0,S235/S112,0)</f>
        <v>0.510143127278971</v>
      </c>
      <c r="T238" s="1" t="n">
        <f aca="false">IF(T112&gt;0,T235/T112,0)</f>
        <v>0.466778757767016</v>
      </c>
      <c r="U238" s="1" t="n">
        <f aca="false">IF(U112&gt;0,U235/U112,0)</f>
        <v>0.427294975873409</v>
      </c>
      <c r="V238" s="1" t="n">
        <f aca="false">IF(V112&gt;0,V235/V112,0)</f>
        <v>0.391308862781223</v>
      </c>
      <c r="W238" s="1" t="n">
        <f aca="false">IF(W112&gt;0,W235/W112,0)</f>
        <v>0.358586638174016</v>
      </c>
      <c r="X238" s="1" t="n">
        <f aca="false">IF(X112&gt;0,X235/X112,0)</f>
        <v>0.328793357537829</v>
      </c>
      <c r="Y238" s="1" t="n">
        <f aca="false">IF(Y112&gt;0,Y235/Y112,0)</f>
        <v>0.301634094018421</v>
      </c>
      <c r="Z238" s="1" t="n">
        <f aca="false">IF(Z112&gt;0,Z235/Z112,0)</f>
        <v>0.276848397374608</v>
      </c>
      <c r="AA238" s="1" t="n">
        <f aca="false">IF(AA112&gt;0,AA235/AA112,0)</f>
        <v>0.254205586632273</v>
      </c>
      <c r="AB238" s="1" t="n">
        <f aca="false">IF(AB112&gt;0,AB235/AB112,0)</f>
        <v>0.233499413092732</v>
      </c>
      <c r="AC238" s="1" t="n">
        <f aca="false">IF(AC112&gt;0,AC235/AC112,0)</f>
        <v>0.214546652065441</v>
      </c>
      <c r="AD238" s="1" t="n">
        <f aca="false">IF(AD112&gt;0,AD235/AD112,0)</f>
        <v>0.197184101472435</v>
      </c>
      <c r="AE238" s="1" t="n">
        <f aca="false">IF(AE112&gt;0,AE235/AE112,0)</f>
        <v>0.181266030771225</v>
      </c>
      <c r="AF238" s="1" t="n">
        <f aca="false">IF(AF112&gt;0,AF235/AF112,0)</f>
        <v>0.166662006732847</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0.188727116952576</v>
      </c>
      <c r="F243" s="1" t="n">
        <f aca="false">F236</f>
        <v>0.479470272348824</v>
      </c>
      <c r="G243" s="1" t="n">
        <f aca="false">G236</f>
        <v>0.407157932199315</v>
      </c>
      <c r="H243" s="1" t="n">
        <f aca="false">H236</f>
        <v>0.633660731912686</v>
      </c>
      <c r="I243" s="1" t="n">
        <f aca="false">I236</f>
        <v>0.887281588558394</v>
      </c>
      <c r="J243" s="1" t="n">
        <f aca="false">J236</f>
        <v>1.16537834331314</v>
      </c>
      <c r="K243" s="1" t="n">
        <f aca="false">K236</f>
        <v>1.46331423491798</v>
      </c>
      <c r="L243" s="1" t="n">
        <f aca="false">L236</f>
        <v>1.77830388813769</v>
      </c>
      <c r="M243" s="1" t="n">
        <f aca="false">M236</f>
        <v>2.05009495298824</v>
      </c>
      <c r="N243" s="1" t="n">
        <f aca="false">N236</f>
        <v>2.10422978869743</v>
      </c>
      <c r="O243" s="1" t="n">
        <f aca="false">O236</f>
        <v>2.1207008707759</v>
      </c>
      <c r="P243" s="1" t="n">
        <f aca="false">P236</f>
        <v>2.05613751483412</v>
      </c>
      <c r="Q243" s="1" t="n">
        <f aca="false">Q236</f>
        <v>1.9210413988704</v>
      </c>
      <c r="R243" s="1" t="n">
        <f aca="false">R236</f>
        <v>1.79432067267433</v>
      </c>
      <c r="S243" s="1" t="n">
        <f aca="false">S236</f>
        <v>1.67677109589917</v>
      </c>
      <c r="T243" s="1" t="n">
        <f aca="false">T236</f>
        <v>1.56763420201209</v>
      </c>
      <c r="U243" s="1" t="n">
        <f aca="false">U236</f>
        <v>1.46621806959655</v>
      </c>
      <c r="V243" s="1" t="n">
        <f aca="false">V236</f>
        <v>1.37189951855391</v>
      </c>
      <c r="W243" s="1" t="n">
        <f aca="false">W236</f>
        <v>1.28411710285381</v>
      </c>
      <c r="X243" s="1" t="n">
        <f aca="false">X236</f>
        <v>1.20276551383978</v>
      </c>
      <c r="Y243" s="1" t="n">
        <f aca="false">Y236</f>
        <v>1.12727862556357</v>
      </c>
      <c r="Z243" s="1" t="n">
        <f aca="false">Z236</f>
        <v>1.05715007508121</v>
      </c>
      <c r="AA243" s="1" t="n">
        <f aca="false">AA236</f>
        <v>0.991925267414491</v>
      </c>
      <c r="AB243" s="1" t="n">
        <f aca="false">AB236</f>
        <v>0.9311960830026</v>
      </c>
      <c r="AC243" s="1" t="n">
        <f aca="false">AC236</f>
        <v>0.874589119669388</v>
      </c>
      <c r="AD243" s="1" t="n">
        <f aca="false">AD236</f>
        <v>0.82176872820653</v>
      </c>
      <c r="AE243" s="1" t="n">
        <f aca="false">AE236</f>
        <v>0.772432288024043</v>
      </c>
      <c r="AF243" s="1" t="n">
        <f aca="false">AF236</f>
        <v>0.726306882964208</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0.283849755680774</v>
      </c>
      <c r="F247" s="1" t="n">
        <f aca="false">MAX(0,E248+F243-F244-F245-F246)</f>
        <v>0.763320028029599</v>
      </c>
      <c r="G247" s="1" t="n">
        <f aca="false">MAX(0,F248+G243-G244-G245-G246)</f>
        <v>1.17047796022891</v>
      </c>
      <c r="H247" s="1" t="n">
        <f aca="false">MAX(0,G248+H243-H244-H245-H246)</f>
        <v>1.8041386921416</v>
      </c>
      <c r="I247" s="1" t="n">
        <f aca="false">MAX(0,H248+I243-I244-I245-I246)</f>
        <v>2.69142028069999</v>
      </c>
      <c r="J247" s="1" t="n">
        <f aca="false">MAX(0,I248+J243-J244-J245-J246)</f>
        <v>3.85679862401313</v>
      </c>
      <c r="K247" s="1" t="n">
        <f aca="false">MAX(0,J248+K243-K244-K245-K246)</f>
        <v>5.3201128589311</v>
      </c>
      <c r="L247" s="1" t="n">
        <f aca="false">MAX(0,K248+L243-L244-L245-L246)</f>
        <v>7.0984167470688</v>
      </c>
      <c r="M247" s="1" t="n">
        <f aca="false">MAX(0,L248+M243-M244-M245-M246)</f>
        <v>9.14851170005704</v>
      </c>
      <c r="N247" s="1" t="n">
        <f aca="false">MAX(0,M248+N243-N244-N245-N246)</f>
        <v>11.2527414887545</v>
      </c>
      <c r="O247" s="1" t="n">
        <f aca="false">MAX(0,N248+O243-O244-O245-O246)</f>
        <v>13.3734423595304</v>
      </c>
      <c r="P247" s="1" t="n">
        <f aca="false">MAX(0,O248+P243-P244-P245-P246)</f>
        <v>15.4295798743645</v>
      </c>
      <c r="Q247" s="1" t="n">
        <f aca="false">MAX(0,P248+Q243-Q244-Q245-Q246)</f>
        <v>17.3506212732349</v>
      </c>
      <c r="R247" s="1" t="n">
        <f aca="false">MAX(0,Q248+R243-R244-R245-R246)</f>
        <v>19.1449419459092</v>
      </c>
      <c r="S247" s="1" t="n">
        <f aca="false">MAX(0,R248+S243-S244-S245-S246)</f>
        <v>20.8217130418084</v>
      </c>
      <c r="T247" s="1" t="n">
        <f aca="false">MAX(0,S248+T243-T244-T245-T246)</f>
        <v>22.3893472438205</v>
      </c>
      <c r="U247" s="1" t="n">
        <f aca="false">MAX(0,T248+U243-U244-U245-U246)</f>
        <v>23.855565313417</v>
      </c>
      <c r="V247" s="1" t="n">
        <f aca="false">MAX(0,U248+V243-V244-V245-V246)</f>
        <v>25.2274648319709</v>
      </c>
      <c r="W247" s="1" t="n">
        <f aca="false">MAX(0,V248+W243-W244-W245-W246)</f>
        <v>26.5115819348248</v>
      </c>
      <c r="X247" s="1" t="n">
        <f aca="false">MAX(0,W248+X243-X244-X245-X246)</f>
        <v>27.7143474486645</v>
      </c>
      <c r="Y247" s="1" t="n">
        <f aca="false">MAX(0,X248+Y243-Y244-Y245-Y246)</f>
        <v>28.8416260742281</v>
      </c>
      <c r="Z247" s="1" t="n">
        <f aca="false">MAX(0,Y248+Z243-Z244-Z245-Z246)</f>
        <v>29.8987761493093</v>
      </c>
      <c r="AA247" s="1" t="n">
        <f aca="false">MAX(0,Z248+AA243-AA244-AA245-AA246)</f>
        <v>30.8907014167238</v>
      </c>
      <c r="AB247" s="1" t="n">
        <f aca="false">MAX(0,AA248+AB243-AB244-AB245-AB246)</f>
        <v>31.8218974997264</v>
      </c>
      <c r="AC247" s="1" t="n">
        <f aca="false">MAX(0,AB248+AC243-AC244-AC245-AC246)</f>
        <v>32.6964866193958</v>
      </c>
      <c r="AD247" s="1" t="n">
        <f aca="false">MAX(0,AC248+AD243-AD244-AD245-AD246)</f>
        <v>33.5182553476023</v>
      </c>
      <c r="AE247" s="1" t="n">
        <f aca="false">MAX(0,AD248+AE243-AE244-AE245-AE246)</f>
        <v>34.2906876356264</v>
      </c>
      <c r="AF247" s="1" t="n">
        <f aca="false">MAX(0,AE248+AF243-AF244-AF245-AF246)</f>
        <v>35.0169945185906</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0.283849755680774</v>
      </c>
      <c r="F248" s="1" t="n">
        <f aca="false">MIN(F247,MAX(0,F276))</f>
        <v>0.763320028029599</v>
      </c>
      <c r="G248" s="1" t="n">
        <f aca="false">MIN(G247,MAX(0,G276))</f>
        <v>1.17047796022891</v>
      </c>
      <c r="H248" s="1" t="n">
        <f aca="false">MIN(H247,MAX(0,H276))</f>
        <v>1.8041386921416</v>
      </c>
      <c r="I248" s="1" t="n">
        <f aca="false">MIN(I247,MAX(0,I276))</f>
        <v>2.69142028069999</v>
      </c>
      <c r="J248" s="1" t="n">
        <f aca="false">MIN(J247,MAX(0,J276))</f>
        <v>3.85679862401313</v>
      </c>
      <c r="K248" s="1" t="n">
        <f aca="false">MIN(K247,MAX(0,K276))</f>
        <v>5.3201128589311</v>
      </c>
      <c r="L248" s="1" t="n">
        <f aca="false">MIN(L247,MAX(0,L276))</f>
        <v>7.0984167470688</v>
      </c>
      <c r="M248" s="1" t="n">
        <f aca="false">MIN(M247,MAX(0,M276))</f>
        <v>9.14851170005704</v>
      </c>
      <c r="N248" s="1" t="n">
        <f aca="false">MIN(N247,MAX(0,N276))</f>
        <v>11.2527414887545</v>
      </c>
      <c r="O248" s="1" t="n">
        <f aca="false">MIN(O247,MAX(0,O276))</f>
        <v>13.3734423595304</v>
      </c>
      <c r="P248" s="1" t="n">
        <f aca="false">MIN(P247,MAX(0,P276))</f>
        <v>15.4295798743645</v>
      </c>
      <c r="Q248" s="1" t="n">
        <f aca="false">MIN(Q247,MAX(0,Q276))</f>
        <v>17.3506212732349</v>
      </c>
      <c r="R248" s="1" t="n">
        <f aca="false">MIN(R247,MAX(0,R276))</f>
        <v>19.1449419459092</v>
      </c>
      <c r="S248" s="1" t="n">
        <f aca="false">MIN(S247,MAX(0,S276))</f>
        <v>20.8217130418084</v>
      </c>
      <c r="T248" s="1" t="n">
        <f aca="false">MIN(T247,MAX(0,T276))</f>
        <v>22.3893472438205</v>
      </c>
      <c r="U248" s="1" t="n">
        <f aca="false">MIN(U247,MAX(0,U276))</f>
        <v>23.855565313417</v>
      </c>
      <c r="V248" s="1" t="n">
        <f aca="false">MIN(V247,MAX(0,V276))</f>
        <v>25.2274648319709</v>
      </c>
      <c r="W248" s="1" t="n">
        <f aca="false">MIN(W247,MAX(0,W276))</f>
        <v>26.5115819348248</v>
      </c>
      <c r="X248" s="1" t="n">
        <f aca="false">MIN(X247,MAX(0,X276))</f>
        <v>27.7143474486645</v>
      </c>
      <c r="Y248" s="1" t="n">
        <f aca="false">MIN(Y247,MAX(0,Y276))</f>
        <v>28.8416260742281</v>
      </c>
      <c r="Z248" s="1" t="n">
        <f aca="false">MIN(Z247,MAX(0,Z276))</f>
        <v>29.8987761493093</v>
      </c>
      <c r="AA248" s="1" t="n">
        <f aca="false">MIN(AA247,MAX(0,AA276))</f>
        <v>30.8907014167238</v>
      </c>
      <c r="AB248" s="1" t="n">
        <f aca="false">MIN(AB247,MAX(0,AB276))</f>
        <v>31.8218974997264</v>
      </c>
      <c r="AC248" s="1" t="n">
        <f aca="false">MIN(AC247,MAX(0,AC276))</f>
        <v>32.6964866193958</v>
      </c>
      <c r="AD248" s="1" t="n">
        <f aca="false">MIN(AD247,MAX(0,AD276))</f>
        <v>33.5182553476023</v>
      </c>
      <c r="AE248" s="1" t="n">
        <f aca="false">MIN(AE247,MAX(0,AE276))</f>
        <v>34.2906876356264</v>
      </c>
      <c r="AF248" s="1" t="n">
        <f aca="false">MIN(AF247,MAX(0,AF276))</f>
        <v>35.0169945185906</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35.0087369140404</v>
      </c>
      <c r="E250" s="1" t="n">
        <f aca="false">E120-E248</f>
        <v>52.7881563849995</v>
      </c>
      <c r="F250" s="1" t="n">
        <f aca="false">F120-F248</f>
        <v>61.1035349145009</v>
      </c>
      <c r="G250" s="1" t="n">
        <f aca="false">G120-G248</f>
        <v>71.6894877209172</v>
      </c>
      <c r="H250" s="1" t="n">
        <f aca="false">H120-H248</f>
        <v>83.7160634422672</v>
      </c>
      <c r="I250" s="1" t="n">
        <f aca="false">I120-I248</f>
        <v>97.2495990570691</v>
      </c>
      <c r="J250" s="1" t="n">
        <f aca="false">J120-J248</f>
        <v>111.844105922136</v>
      </c>
      <c r="K250" s="1" t="n">
        <f aca="false">K120-K248</f>
        <v>127.436560813775</v>
      </c>
      <c r="L250" s="1" t="n">
        <f aca="false">L120-L248</f>
        <v>142.760223171537</v>
      </c>
      <c r="M250" s="1" t="n">
        <f aca="false">M120-M248</f>
        <v>140.378429093693</v>
      </c>
      <c r="N250" s="1" t="n">
        <f aca="false">N120-N248</f>
        <v>139.924864081531</v>
      </c>
      <c r="O250" s="1" t="n">
        <f aca="false">O120-O248</f>
        <v>139.79141969929</v>
      </c>
      <c r="P250" s="1" t="n">
        <f aca="false">P120-P248</f>
        <v>139.052695412896</v>
      </c>
      <c r="Q250" s="1" t="n">
        <f aca="false">Q120-Q248</f>
        <v>138.296113862415</v>
      </c>
      <c r="R250" s="1" t="n">
        <f aca="false">R120-R248</f>
        <v>137.707176314119</v>
      </c>
      <c r="S250" s="1" t="n">
        <f aca="false">S120-S248</f>
        <v>137.271842170619</v>
      </c>
      <c r="T250" s="1" t="n">
        <f aca="false">T120-T248</f>
        <v>136.98255393386</v>
      </c>
      <c r="U250" s="1" t="n">
        <f aca="false">U120-U248</f>
        <v>136.832186718987</v>
      </c>
      <c r="V250" s="1" t="n">
        <f aca="false">V120-V248</f>
        <v>136.814249665194</v>
      </c>
      <c r="W250" s="1" t="n">
        <f aca="false">W120-W248</f>
        <v>136.925067536656</v>
      </c>
      <c r="X250" s="1" t="n">
        <f aca="false">X120-X248</f>
        <v>137.159402145264</v>
      </c>
      <c r="Y250" s="1" t="n">
        <f aca="false">Y120-Y248</f>
        <v>137.512362264448</v>
      </c>
      <c r="Z250" s="1" t="n">
        <f aca="false">Z120-Z248</f>
        <v>137.979266778296</v>
      </c>
      <c r="AA250" s="1" t="n">
        <f aca="false">AA120-AA248</f>
        <v>138.555912220556</v>
      </c>
      <c r="AB250" s="1" t="n">
        <f aca="false">AB120-AB248</f>
        <v>139.238477328138</v>
      </c>
      <c r="AC250" s="1" t="n">
        <f aca="false">AC120-AC248</f>
        <v>140.023526298714</v>
      </c>
      <c r="AD250" s="1" t="n">
        <f aca="false">AD120-AD248</f>
        <v>140.907976602593</v>
      </c>
      <c r="AE250" s="1" t="n">
        <f aca="false">AE120-AE248</f>
        <v>141.889073154514</v>
      </c>
      <c r="AF250" s="1" t="n">
        <f aca="false">AF120-AF248</f>
        <v>142.964358823616</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0.00270974872678057</v>
      </c>
      <c r="E252" s="1" t="n">
        <f aca="false">IF(E120&gt;0,E248/E120,0)</f>
        <v>0.00534838941132848</v>
      </c>
      <c r="F252" s="1" t="n">
        <f aca="false">IF(F120&gt;0,F248/F120,0)</f>
        <v>0.0123381094568112</v>
      </c>
      <c r="G252" s="1" t="n">
        <f aca="false">IF(G120&gt;0,G248/G120,0)</f>
        <v>0.0160647613444017</v>
      </c>
      <c r="H252" s="1" t="n">
        <f aca="false">IF(H120&gt;0,H248/H120,0)</f>
        <v>0.0210960527116868</v>
      </c>
      <c r="I252" s="1" t="n">
        <f aca="false">IF(I120&gt;0,I248/I120,0)</f>
        <v>0.0269300863502687</v>
      </c>
      <c r="J252" s="1" t="n">
        <f aca="false">IF(J120&gt;0,J248/J120,0)</f>
        <v>0.0333342132383657</v>
      </c>
      <c r="K252" s="1" t="n">
        <f aca="false">IF(K120&gt;0,K248/K120,0)</f>
        <v>0.0400741651003333</v>
      </c>
      <c r="L252" s="1" t="n">
        <f aca="false">IF(L120&gt;0,L248/L120,0)</f>
        <v>0.0473674173936467</v>
      </c>
      <c r="M252" s="1" t="n">
        <f aca="false">IF(M120&gt;0,M248/M120,0)</f>
        <v>0.0611830326461107</v>
      </c>
      <c r="N252" s="1" t="n">
        <f aca="false">IF(N120&gt;0,N248/N120,0)</f>
        <v>0.0744339179490632</v>
      </c>
      <c r="O252" s="1" t="n">
        <f aca="false">IF(O120&gt;0,O248/O120,0)</f>
        <v>0.0873140365209519</v>
      </c>
      <c r="P252" s="1" t="n">
        <f aca="false">IF(P120&gt;0,P248/P120,0)</f>
        <v>0.0998792893597219</v>
      </c>
      <c r="Q252" s="1" t="n">
        <f aca="false">IF(Q120&gt;0,Q248/Q120,0)</f>
        <v>0.111474366989539</v>
      </c>
      <c r="R252" s="1" t="n">
        <f aca="false">IF(R120&gt;0,R248/R120,0)</f>
        <v>0.122057273808511</v>
      </c>
      <c r="S252" s="1" t="n">
        <f aca="false">IF(S120&gt;0,S248/S120,0)</f>
        <v>0.131705008555413</v>
      </c>
      <c r="T252" s="1" t="n">
        <f aca="false">IF(T120&gt;0,T248/T120,0)</f>
        <v>0.140484910315897</v>
      </c>
      <c r="U252" s="1" t="n">
        <f aca="false">IF(U120&gt;0,U248/U120,0)</f>
        <v>0.148459138992786</v>
      </c>
      <c r="V252" s="1" t="n">
        <f aca="false">IF(V120&gt;0,V248/V120,0)</f>
        <v>0.155685003150299</v>
      </c>
      <c r="W252" s="1" t="n">
        <f aca="false">IF(W120&gt;0,W248/W120,0)</f>
        <v>0.162213200163841</v>
      </c>
      <c r="X252" s="1" t="n">
        <f aca="false">IF(X120&gt;0,X248/X120,0)</f>
        <v>0.168094360181187</v>
      </c>
      <c r="Y252" s="1" t="n">
        <f aca="false">IF(Y120&gt;0,Y248/Y120,0)</f>
        <v>0.173375020113796</v>
      </c>
      <c r="Z252" s="1" t="n">
        <f aca="false">IF(Z120&gt;0,Z248/Z120,0)</f>
        <v>0.178098193354581</v>
      </c>
      <c r="AA252" s="1" t="n">
        <f aca="false">IF(AA120&gt;0,AA248/AA120,0)</f>
        <v>0.182303445041687</v>
      </c>
      <c r="AB252" s="1" t="n">
        <f aca="false">IF(AB120&gt;0,AB248/AB120,0)</f>
        <v>0.186027287334944</v>
      </c>
      <c r="AC252" s="1" t="n">
        <f aca="false">IF(AC120&gt;0,AC248/AC120,0)</f>
        <v>0.189303405361009</v>
      </c>
      <c r="AD252" s="1" t="n">
        <f aca="false">IF(AD120&gt;0,AD248/AD120,0)</f>
        <v>0.192162927404021</v>
      </c>
      <c r="AE252" s="1" t="n">
        <f aca="false">IF(AE120&gt;0,AE248/AE120,0)</f>
        <v>0.194634658838436</v>
      </c>
      <c r="AF252" s="1" t="n">
        <f aca="false">IF(AF120&gt;0,AF248/AF120,0)</f>
        <v>0.196745298656444</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0.349802265736928</v>
      </c>
      <c r="M254" s="116" t="n">
        <f aca="false">M112</f>
        <v>0.362425202609807</v>
      </c>
      <c r="N254" s="116" t="n">
        <f aca="false">N112</f>
        <v>0.375207421172401</v>
      </c>
      <c r="O254" s="116" t="n">
        <f aca="false">O112</f>
        <v>0.387242291729662</v>
      </c>
      <c r="P254" s="116" t="n">
        <f aca="false">P112</f>
        <v>0.396753941625673</v>
      </c>
      <c r="Q254" s="116" t="n">
        <f aca="false">Q112</f>
        <v>0.406341377111923</v>
      </c>
      <c r="R254" s="116" t="n">
        <f aca="false">R112</f>
        <v>0.415900988294633</v>
      </c>
      <c r="S254" s="116" t="n">
        <f aca="false">S112</f>
        <v>0.425441651040733</v>
      </c>
      <c r="T254" s="116" t="n">
        <f aca="false">T112</f>
        <v>0.434978705216783</v>
      </c>
      <c r="U254" s="116" t="n">
        <f aca="false">U112</f>
        <v>0.444527187925394</v>
      </c>
      <c r="V254" s="116" t="n">
        <f aca="false">V112</f>
        <v>0.454102052398249</v>
      </c>
      <c r="W254" s="116" t="n">
        <f aca="false">W112</f>
        <v>0.463581483638231</v>
      </c>
      <c r="X254" s="116" t="n">
        <f aca="false">X112</f>
        <v>0.472981531447804</v>
      </c>
      <c r="Y254" s="116" t="n">
        <f aca="false">Y112</f>
        <v>0.48231839319548</v>
      </c>
      <c r="Z254" s="116" t="n">
        <f aca="false">Z112</f>
        <v>0.491608375714051</v>
      </c>
      <c r="AA254" s="116" t="n">
        <f aca="false">AA112</f>
        <v>0.500867936824098</v>
      </c>
      <c r="AB254" s="116" t="n">
        <f aca="false">AB112</f>
        <v>0.510116725344894</v>
      </c>
      <c r="AC254" s="116" t="n">
        <f aca="false">AC112</f>
        <v>0.519374531107127</v>
      </c>
      <c r="AD254" s="116" t="n">
        <f aca="false">AD112</f>
        <v>0.52866131230414</v>
      </c>
      <c r="AE254" s="116" t="n">
        <f aca="false">AE112</f>
        <v>0.537997224314867</v>
      </c>
      <c r="AF254" s="116" t="n">
        <f aca="false">AF112</f>
        <v>0.547402640284587</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0.0910074202726294</v>
      </c>
      <c r="M256" s="1" t="n">
        <f aca="false">MIN(M254-M255,MAX(0,M107-M108+M109+M110+M184-M229-M235))</f>
        <v>0.0893011534050048</v>
      </c>
      <c r="N256" s="1" t="n">
        <f aca="false">MIN(N254-N255,MAX(0,N107-N108+N109+N110+N184-N229-N235))</f>
        <v>0.0943159886488796</v>
      </c>
      <c r="O256" s="1" t="n">
        <f aca="false">MIN(O254-O255,MAX(0,O107-O108+O109+O110+O184-O229-O235))</f>
        <v>0.103878792214751</v>
      </c>
      <c r="P256" s="1" t="n">
        <f aca="false">MIN(P254-P255,MAX(0,P107-P108+P109+P110+P184-P229-P235))</f>
        <v>0.131665408526469</v>
      </c>
      <c r="Q256" s="1" t="n">
        <f aca="false">MIN(Q254-Q255,MAX(0,Q107-Q108+Q109+Q110+Q184-Q229-Q235))</f>
        <v>0.158349202745833</v>
      </c>
      <c r="R256" s="1" t="n">
        <f aca="false">MIN(R254-R255,MAX(0,R107-R108+R109+R110+R184-R229-R235))</f>
        <v>0.183902576941977</v>
      </c>
      <c r="S256" s="1" t="n">
        <f aca="false">MIN(S254-S255,MAX(0,S107-S108+S109+S110+S184-S229-S235))</f>
        <v>0.208405516704085</v>
      </c>
      <c r="T256" s="1" t="n">
        <f aca="false">MIN(T254-T255,MAX(0,T107-T108+T109+T110+T184-T229-T235))</f>
        <v>0.231939885540588</v>
      </c>
      <c r="U256" s="1" t="n">
        <f aca="false">MIN(U254-U255,MAX(0,U107-U108+U109+U110+U184-U229-U235))</f>
        <v>0.254582953885738</v>
      </c>
      <c r="V256" s="1" t="n">
        <f aca="false">MIN(V254-V255,MAX(0,V107-V108+V109+V110+V184-V229-V235))</f>
        <v>0.276407894687671</v>
      </c>
      <c r="W256" s="1" t="n">
        <f aca="false">MIN(W254-W255,MAX(0,W107-W108+W109+W110+W184-W229-W235))</f>
        <v>0.297347357900675</v>
      </c>
      <c r="X256" s="1" t="n">
        <f aca="false">MIN(X254-X255,MAX(0,X107-X108+X109+X110+X184-X229-X235))</f>
        <v>0.317468345669696</v>
      </c>
      <c r="Y256" s="1" t="n">
        <f aca="false">MIN(Y254-Y255,MAX(0,Y107-Y108+Y109+Y110+Y184-Y229-Y235))</f>
        <v>0.33683472163554</v>
      </c>
      <c r="Z256" s="1" t="n">
        <f aca="false">MIN(Z254-Z255,MAX(0,Z107-Z108+Z109+Z110+Z184-Z229-Z235))</f>
        <v>0.355507384761682</v>
      </c>
      <c r="AA256" s="1" t="n">
        <f aca="false">MIN(AA254-AA255,MAX(0,AA107-AA108+AA109+AA110+AA184-AA229-AA235))</f>
        <v>0.373544509118431</v>
      </c>
      <c r="AB256" s="1" t="n">
        <f aca="false">MIN(AB254-AB255,MAX(0,AB107-AB108+AB109+AB110+AB184-AB229-AB235))</f>
        <v>0.391004769368075</v>
      </c>
      <c r="AC256" s="1" t="n">
        <f aca="false">MIN(AC254-AC255,MAX(0,AC107-AC108+AC109+AC110+AC184-AC229-AC235))</f>
        <v>0.407944464290035</v>
      </c>
      <c r="AD256" s="1" t="n">
        <f aca="false">MIN(AD254-AD255,MAX(0,AD107-AD108+AD109+AD110+AD184-AD229-AD235))</f>
        <v>0.42441770645421</v>
      </c>
      <c r="AE256" s="1" t="n">
        <f aca="false">MIN(AE254-AE255,MAX(0,AE107-AE108+AE109+AE110+AE184-AE229-AE235))</f>
        <v>0.440476602897375</v>
      </c>
      <c r="AF256" s="1" t="n">
        <f aca="false">MIN(AF254-AF255,MAX(0,AF107-AF108+AF109+AF110+AF184-AF229-AF235))</f>
        <v>0.456171417763898</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187.652382949879</v>
      </c>
      <c r="M261" s="1" t="n">
        <f aca="false">(M83-M326)+M181</f>
        <v>201.492893186755</v>
      </c>
      <c r="N261" s="1" t="n">
        <f aca="false">(N83-N326)+N181</f>
        <v>206.829327785663</v>
      </c>
      <c r="O261" s="1" t="n">
        <f aca="false">(O83-O326)+O181</f>
        <v>212.558285461229</v>
      </c>
      <c r="P261" s="1" t="n">
        <f aca="false">(P83-P326)+P181</f>
        <v>217.630580374818</v>
      </c>
      <c r="Q261" s="1" t="n">
        <f aca="false">(Q83-Q326)+Q181</f>
        <v>222.629759614543</v>
      </c>
      <c r="R261" s="1" t="n">
        <f aca="false">(R83-R326)+R181</f>
        <v>227.748828529289</v>
      </c>
      <c r="S261" s="1" t="n">
        <f aca="false">(S83-S326)+S181</f>
        <v>232.984896199812</v>
      </c>
      <c r="T261" s="1" t="n">
        <f aca="false">(T83-T326)+T181</f>
        <v>238.340996452347</v>
      </c>
      <c r="U261" s="1" t="n">
        <f aca="false">(U83-U326)+U181</f>
        <v>243.819935587045</v>
      </c>
      <c r="V261" s="1" t="n">
        <f aca="false">(V83-V326)+V181</f>
        <v>249.424568859112</v>
      </c>
      <c r="W261" s="1" t="n">
        <f aca="false">(W83-W326)+W181</f>
        <v>255.15662758001</v>
      </c>
      <c r="X261" s="1" t="n">
        <f aca="false">(X83-X326)+X181</f>
        <v>261.019663397306</v>
      </c>
      <c r="Y261" s="1" t="n">
        <f aca="false">(Y83-Y326)+Y181</f>
        <v>267.017055373685</v>
      </c>
      <c r="Z261" s="1" t="n">
        <f aca="false">(Z83-Z326)+Z181</f>
        <v>273.15193287955</v>
      </c>
      <c r="AA261" s="1" t="n">
        <f aca="false">(AA83-AA326)+AA181</f>
        <v>279.427496891226</v>
      </c>
      <c r="AB261" s="1" t="n">
        <f aca="false">(AB83-AB326)+AB181</f>
        <v>285.847047993858</v>
      </c>
      <c r="AC261" s="1" t="n">
        <f aca="false">(AC83-AC326)+AC181</f>
        <v>292.413949101393</v>
      </c>
      <c r="AD261" s="1" t="n">
        <f aca="false">(AD83-AD326)+AD181</f>
        <v>299.131632721342</v>
      </c>
      <c r="AE261" s="1" t="n">
        <f aca="false">(AE83-AE326)+AE181</f>
        <v>306.003609913788</v>
      </c>
      <c r="AF261" s="1" t="n">
        <f aca="false">(AF83-AF326)+AF181</f>
        <v>313.033472080691</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9.38261914749397</v>
      </c>
      <c r="M262" s="1" t="n">
        <f aca="false">$C$260*M261</f>
        <v>10.0746446593378</v>
      </c>
      <c r="N262" s="1" t="n">
        <f aca="false">$C$260*N261</f>
        <v>10.3414663892831</v>
      </c>
      <c r="O262" s="1" t="n">
        <f aca="false">$C$260*O261</f>
        <v>10.6279142730615</v>
      </c>
      <c r="P262" s="1" t="n">
        <f aca="false">$C$260*P261</f>
        <v>10.8815290187409</v>
      </c>
      <c r="Q262" s="1" t="n">
        <f aca="false">$C$260*Q261</f>
        <v>11.1314879807272</v>
      </c>
      <c r="R262" s="1" t="n">
        <f aca="false">$C$260*R261</f>
        <v>11.3874414264645</v>
      </c>
      <c r="S262" s="1" t="n">
        <f aca="false">$C$260*S261</f>
        <v>11.6492448099906</v>
      </c>
      <c r="T262" s="1" t="n">
        <f aca="false">$C$260*T261</f>
        <v>11.9170498226174</v>
      </c>
      <c r="U262" s="1" t="n">
        <f aca="false">$C$260*U261</f>
        <v>12.1909967793522</v>
      </c>
      <c r="V262" s="1" t="n">
        <f aca="false">$C$260*V261</f>
        <v>12.4712284429556</v>
      </c>
      <c r="W262" s="1" t="n">
        <f aca="false">$C$260*W261</f>
        <v>12.7578313790005</v>
      </c>
      <c r="X262" s="1" t="n">
        <f aca="false">$C$260*X261</f>
        <v>13.0509831698653</v>
      </c>
      <c r="Y262" s="1" t="n">
        <f aca="false">$C$260*Y261</f>
        <v>13.3508527686842</v>
      </c>
      <c r="Z262" s="1" t="n">
        <f aca="false">$C$260*Z261</f>
        <v>13.6575966439775</v>
      </c>
      <c r="AA262" s="1" t="n">
        <f aca="false">$C$260*AA261</f>
        <v>13.9713748445613</v>
      </c>
      <c r="AB262" s="1" t="n">
        <f aca="false">$C$260*AB261</f>
        <v>14.2923523996929</v>
      </c>
      <c r="AC262" s="1" t="n">
        <f aca="false">$C$260*AC261</f>
        <v>14.6206974550697</v>
      </c>
      <c r="AD262" s="1" t="n">
        <f aca="false">$C$260*AD261</f>
        <v>14.9565816360671</v>
      </c>
      <c r="AE262" s="1" t="n">
        <f aca="false">$C$260*AE261</f>
        <v>15.3001804956894</v>
      </c>
      <c r="AF262" s="1" t="n">
        <f aca="false">$C$260*AF261</f>
        <v>15.6516736040346</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43.9320010089981</v>
      </c>
      <c r="M263" s="1" t="n">
        <f aca="false">MAX(0,(M70+L121-L227)*0.25/0.55)</f>
        <v>46.1148246813828</v>
      </c>
      <c r="N263" s="1" t="n">
        <f aca="false">MAX(0,(N70+M121-M227)*0.25/0.55)</f>
        <v>48.8563911445225</v>
      </c>
      <c r="O263" s="1" t="n">
        <f aca="false">MAX(0,(O70+N121-N227)*0.25/0.55)</f>
        <v>51.6649135655173</v>
      </c>
      <c r="P263" s="1" t="n">
        <f aca="false">MAX(0,(P70+O121-O227)*0.25/0.55)</f>
        <v>54.5427440306238</v>
      </c>
      <c r="Q263" s="1" t="n">
        <f aca="false">MAX(0,(Q70+P121-P227)*0.25/0.55)</f>
        <v>57.4058417857576</v>
      </c>
      <c r="R263" s="1" t="n">
        <f aca="false">MAX(0,(R70+Q121-Q227)*0.25/0.55)</f>
        <v>60.2502607352249</v>
      </c>
      <c r="S263" s="1" t="n">
        <f aca="false">MAX(0,(S70+R121-R227)*0.25/0.55)</f>
        <v>63.0819895233058</v>
      </c>
      <c r="T263" s="1" t="n">
        <f aca="false">MAX(0,(T70+S121-S227)*0.25/0.55)</f>
        <v>65.9099458716481</v>
      </c>
      <c r="U263" s="1" t="n">
        <f aca="false">MAX(0,(U70+T121-T227)*0.25/0.55)</f>
        <v>68.742819179815</v>
      </c>
      <c r="V263" s="1" t="n">
        <f aca="false">MAX(0,(V70+U121-U227)*0.25/0.55)</f>
        <v>71.5894137711886</v>
      </c>
      <c r="W263" s="1" t="n">
        <f aca="false">MAX(0,(W70+V121-V227)*0.25/0.55)</f>
        <v>74.4584295905378</v>
      </c>
      <c r="X263" s="1" t="n">
        <f aca="false">MAX(0,(X70+W121-W227)*0.25/0.55)</f>
        <v>77.358631972206</v>
      </c>
      <c r="Y263" s="1" t="n">
        <f aca="false">MAX(0,(Y70+X121-X227)*0.25/0.55)</f>
        <v>80.2988299747306</v>
      </c>
      <c r="Z263" s="1" t="n">
        <f aca="false">MAX(0,(Z70+Y121-Y227)*0.25/0.55)</f>
        <v>83.2879503942027</v>
      </c>
      <c r="AA263" s="1" t="n">
        <f aca="false">MAX(0,(AA70+Z121-Z227)*0.25/0.55)</f>
        <v>86.3348825226865</v>
      </c>
      <c r="AB263" s="1" t="n">
        <f aca="false">MAX(0,(AB70+AA121-AA227)*0.25/0.55)</f>
        <v>89.4486576375456</v>
      </c>
      <c r="AC263" s="1" t="n">
        <f aca="false">MAX(0,(AC70+AB121-AB227)*0.25/0.55)</f>
        <v>92.638379310916</v>
      </c>
      <c r="AD263" s="1" t="n">
        <f aca="false">MAX(0,(AD70+AC121-AC227)*0.25/0.55)</f>
        <v>95.9132367160116</v>
      </c>
      <c r="AE263" s="1" t="n">
        <f aca="false">MAX(0,(AE70+AD121-AD227)*0.25/0.55)</f>
        <v>99.2824257747681</v>
      </c>
      <c r="AF263" s="1" t="n">
        <f aca="false">MAX(0,(AF70+AE121-AE227)*0.25/0.55)</f>
        <v>102.755436072609</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0.21357140426115</v>
      </c>
      <c r="M266" s="1" t="n">
        <f aca="false">IF(M263&gt;0,M262/M263,0)</f>
        <v>0.218468675289251</v>
      </c>
      <c r="N266" s="1" t="n">
        <f aca="false">IF(N263&gt;0,N262/N263,0)</f>
        <v>0.211670697467031</v>
      </c>
      <c r="O266" s="1" t="n">
        <f aca="false">IF(O263&gt;0,O262/O263,0)</f>
        <v>0.205708546470014</v>
      </c>
      <c r="P266" s="1" t="n">
        <f aca="false">IF(P263&gt;0,P262/P263,0)</f>
        <v>0.199504612614123</v>
      </c>
      <c r="Q266" s="1" t="n">
        <f aca="false">IF(Q263&gt;0,Q262/Q263,0)</f>
        <v>0.19390862731829</v>
      </c>
      <c r="R266" s="1" t="n">
        <f aca="false">IF(R263&gt;0,R262/R263,0)</f>
        <v>0.189002359284511</v>
      </c>
      <c r="S266" s="1" t="n">
        <f aca="false">IF(S263&gt;0,S262/S263,0)</f>
        <v>0.184668316551538</v>
      </c>
      <c r="T266" s="1" t="n">
        <f aca="false">IF(T263&gt;0,T262/T263,0)</f>
        <v>0.180808065687452</v>
      </c>
      <c r="U266" s="1" t="n">
        <f aca="false">IF(U263&gt;0,U262/U263,0)</f>
        <v>0.177342112598895</v>
      </c>
      <c r="V266" s="1" t="n">
        <f aca="false">IF(V263&gt;0,V262/V263,0)</f>
        <v>0.17420492480656</v>
      </c>
      <c r="W266" s="1" t="n">
        <f aca="false">IF(W263&gt;0,W262/W263,0)</f>
        <v>0.171341666070026</v>
      </c>
      <c r="X266" s="1" t="n">
        <f aca="false">IF(X263&gt;0,X262/X263,0)</f>
        <v>0.168707522834095</v>
      </c>
      <c r="Y266" s="1" t="n">
        <f aca="false">IF(Y263&gt;0,Y262/Y263,0)</f>
        <v>0.166264599034452</v>
      </c>
      <c r="Z266" s="1" t="n">
        <f aca="false">IF(Z263&gt;0,Z262/Z263,0)</f>
        <v>0.163980462712024</v>
      </c>
      <c r="AA266" s="1" t="n">
        <f aca="false">IF(AA263&gt;0,AA262/AA263,0)</f>
        <v>0.161827692774007</v>
      </c>
      <c r="AB266" s="1" t="n">
        <f aca="false">IF(AB263&gt;0,AB262/AB263,0)</f>
        <v>0.159782748865912</v>
      </c>
      <c r="AC266" s="1" t="n">
        <f aca="false">IF(AC263&gt;0,AC262/AC263,0)</f>
        <v>0.157825488354013</v>
      </c>
      <c r="AD266" s="1" t="n">
        <f aca="false">IF(AD263&gt;0,AD262/AD263,0)</f>
        <v>0.155938660274305</v>
      </c>
      <c r="AE266" s="1" t="n">
        <f aca="false">IF(AE263&gt;0,AE262/AE263,0)</f>
        <v>0.15410764167265</v>
      </c>
      <c r="AF266" s="1" t="n">
        <f aca="false">IF(AF263&gt;0,AF262/AF263,0)</f>
        <v>0.152319665044045</v>
      </c>
    </row>
    <row r="267" customFormat="false" ht="14.25" hidden="false" customHeight="true" outlineLevel="0" collapsed="false">
      <c r="B267" s="1" t="s">
        <v>1262</v>
      </c>
      <c r="C267" s="1" t="n">
        <f aca="false">C120-C264</f>
        <v>17.9458778419531</v>
      </c>
      <c r="D267" s="1" t="n">
        <f aca="false">D120-D264</f>
        <v>33.1280169060563</v>
      </c>
      <c r="E267" s="1" t="n">
        <f aca="false">E120-E264</f>
        <v>50.0498831427186</v>
      </c>
      <c r="F267" s="1" t="n">
        <f aca="false">F120-F264</f>
        <v>61.8668549425304</v>
      </c>
      <c r="G267" s="1" t="n">
        <f aca="false">G120-G264</f>
        <v>72.8599656811461</v>
      </c>
      <c r="H267" s="1" t="n">
        <f aca="false">H120-H264</f>
        <v>85.5202021344088</v>
      </c>
      <c r="I267" s="1" t="n">
        <f aca="false">I120-I264</f>
        <v>99.9410193377691</v>
      </c>
      <c r="J267" s="1" t="n">
        <f aca="false">J120-J264</f>
        <v>115.700904546149</v>
      </c>
      <c r="K267" s="1" t="n">
        <f aca="false">K120-K264</f>
        <v>132.756673672706</v>
      </c>
      <c r="L267" s="1" t="n">
        <f aca="false">L120-L264</f>
        <v>149.858639918606</v>
      </c>
      <c r="M267" s="1" t="n">
        <f aca="false">M120-M264</f>
        <v>149.52694079375</v>
      </c>
      <c r="N267" s="1" t="n">
        <f aca="false">N120-N264</f>
        <v>151.177605570286</v>
      </c>
      <c r="O267" s="1" t="n">
        <f aca="false">O120-O264</f>
        <v>153.16486205882</v>
      </c>
      <c r="P267" s="1" t="n">
        <f aca="false">P120-P264</f>
        <v>154.48227528726</v>
      </c>
      <c r="Q267" s="1" t="n">
        <f aca="false">Q120-Q264</f>
        <v>155.64673513565</v>
      </c>
      <c r="R267" s="1" t="n">
        <f aca="false">R120-R264</f>
        <v>156.852118260028</v>
      </c>
      <c r="S267" s="1" t="n">
        <f aca="false">S120-S264</f>
        <v>158.093555212427</v>
      </c>
      <c r="T267" s="1" t="n">
        <f aca="false">T120-T264</f>
        <v>159.37190117768</v>
      </c>
      <c r="U267" s="1" t="n">
        <f aca="false">U120-U264</f>
        <v>160.687752032404</v>
      </c>
      <c r="V267" s="1" t="n">
        <f aca="false">V120-V264</f>
        <v>162.041714497165</v>
      </c>
      <c r="W267" s="1" t="n">
        <f aca="false">W120-W264</f>
        <v>163.43664947148</v>
      </c>
      <c r="X267" s="1" t="n">
        <f aca="false">X120-X264</f>
        <v>164.873749593928</v>
      </c>
      <c r="Y267" s="1" t="n">
        <f aca="false">Y120-Y264</f>
        <v>166.353988338676</v>
      </c>
      <c r="Z267" s="1" t="n">
        <f aca="false">Z120-Z264</f>
        <v>167.878042927606</v>
      </c>
      <c r="AA267" s="1" t="n">
        <f aca="false">AA120-AA264</f>
        <v>169.446613637279</v>
      </c>
      <c r="AB267" s="1" t="n">
        <f aca="false">AB120-AB264</f>
        <v>171.060374827865</v>
      </c>
      <c r="AC267" s="1" t="n">
        <f aca="false">AC120-AC264</f>
        <v>172.72001291811</v>
      </c>
      <c r="AD267" s="1" t="n">
        <f aca="false">AD120-AD264</f>
        <v>174.426231950195</v>
      </c>
      <c r="AE267" s="1" t="n">
        <f aca="false">AE120-AE264</f>
        <v>176.179760790141</v>
      </c>
      <c r="AF267" s="1" t="n">
        <f aca="false">AF120-AF264</f>
        <v>177.981353342207</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9.38261914749397</v>
      </c>
      <c r="M270" s="1" t="n">
        <f aca="false">01_Supuestos!$C$173*M261</f>
        <v>10.0746446593378</v>
      </c>
      <c r="N270" s="1" t="n">
        <f aca="false">01_Supuestos!$C$173*N261</f>
        <v>10.3414663892831</v>
      </c>
      <c r="O270" s="1" t="n">
        <f aca="false">01_Supuestos!$C$173*O261</f>
        <v>10.6279142730615</v>
      </c>
      <c r="P270" s="1" t="n">
        <f aca="false">01_Supuestos!$C$173*P261</f>
        <v>10.8815290187409</v>
      </c>
      <c r="Q270" s="1" t="n">
        <f aca="false">01_Supuestos!$C$173*Q261</f>
        <v>11.1314879807272</v>
      </c>
      <c r="R270" s="1" t="n">
        <f aca="false">01_Supuestos!$C$173*R261</f>
        <v>11.3874414264645</v>
      </c>
      <c r="S270" s="1" t="n">
        <f aca="false">01_Supuestos!$C$173*S261</f>
        <v>11.6492448099906</v>
      </c>
      <c r="T270" s="1" t="n">
        <f aca="false">01_Supuestos!$C$173*T261</f>
        <v>11.9170498226174</v>
      </c>
      <c r="U270" s="1" t="n">
        <f aca="false">01_Supuestos!$C$173*U261</f>
        <v>12.1909967793522</v>
      </c>
      <c r="V270" s="1" t="n">
        <f aca="false">01_Supuestos!$C$173*V261</f>
        <v>12.4712284429556</v>
      </c>
      <c r="W270" s="1" t="n">
        <f aca="false">01_Supuestos!$C$173*W261</f>
        <v>12.7578313790005</v>
      </c>
      <c r="X270" s="1" t="n">
        <f aca="false">01_Supuestos!$C$173*X261</f>
        <v>13.0509831698653</v>
      </c>
      <c r="Y270" s="1" t="n">
        <f aca="false">01_Supuestos!$C$173*Y261</f>
        <v>13.3508527686842</v>
      </c>
      <c r="Z270" s="1" t="n">
        <f aca="false">01_Supuestos!$C$173*Z261</f>
        <v>13.6575966439775</v>
      </c>
      <c r="AA270" s="1" t="n">
        <f aca="false">01_Supuestos!$C$173*AA261</f>
        <v>13.9713748445613</v>
      </c>
      <c r="AB270" s="1" t="n">
        <f aca="false">01_Supuestos!$C$173*AB261</f>
        <v>14.2923523996929</v>
      </c>
      <c r="AC270" s="1" t="n">
        <f aca="false">01_Supuestos!$C$173*AC261</f>
        <v>14.6206974550697</v>
      </c>
      <c r="AD270" s="1" t="n">
        <f aca="false">01_Supuestos!$C$173*AD261</f>
        <v>14.9565816360671</v>
      </c>
      <c r="AE270" s="1" t="n">
        <f aca="false">01_Supuestos!$C$173*AE261</f>
        <v>15.3001804956894</v>
      </c>
      <c r="AF270" s="1" t="n">
        <f aca="false">01_Supuestos!$C$173*AF261</f>
        <v>15.6516736040346</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9.38261914749397</v>
      </c>
      <c r="M271" s="1" t="n">
        <f aca="false">MIN(M270,M263)</f>
        <v>10.0746446593378</v>
      </c>
      <c r="N271" s="1" t="n">
        <f aca="false">MIN(N270,N263)</f>
        <v>10.3414663892831</v>
      </c>
      <c r="O271" s="1" t="n">
        <f aca="false">MIN(O270,O263)</f>
        <v>10.6279142730615</v>
      </c>
      <c r="P271" s="1" t="n">
        <f aca="false">MIN(P270,P263)</f>
        <v>10.8815290187409</v>
      </c>
      <c r="Q271" s="1" t="n">
        <f aca="false">MIN(Q270,Q263)</f>
        <v>11.1314879807272</v>
      </c>
      <c r="R271" s="1" t="n">
        <f aca="false">MIN(R270,R263)</f>
        <v>11.3874414264645</v>
      </c>
      <c r="S271" s="1" t="n">
        <f aca="false">MIN(S270,S263)</f>
        <v>11.6492448099906</v>
      </c>
      <c r="T271" s="1" t="n">
        <f aca="false">MIN(T270,T263)</f>
        <v>11.9170498226174</v>
      </c>
      <c r="U271" s="1" t="n">
        <f aca="false">MIN(U270,U263)</f>
        <v>12.1909967793522</v>
      </c>
      <c r="V271" s="1" t="n">
        <f aca="false">MIN(V270,V263)</f>
        <v>12.4712284429556</v>
      </c>
      <c r="W271" s="1" t="n">
        <f aca="false">MIN(W270,W263)</f>
        <v>12.7578313790005</v>
      </c>
      <c r="X271" s="1" t="n">
        <f aca="false">MIN(X270,X263)</f>
        <v>13.0509831698653</v>
      </c>
      <c r="Y271" s="1" t="n">
        <f aca="false">MIN(Y270,Y263)</f>
        <v>13.3508527686842</v>
      </c>
      <c r="Z271" s="1" t="n">
        <f aca="false">MIN(Z270,Z263)</f>
        <v>13.6575966439775</v>
      </c>
      <c r="AA271" s="1" t="n">
        <f aca="false">MIN(AA270,AA263)</f>
        <v>13.9713748445613</v>
      </c>
      <c r="AB271" s="1" t="n">
        <f aca="false">MIN(AB270,AB263)</f>
        <v>14.2923523996929</v>
      </c>
      <c r="AC271" s="1" t="n">
        <f aca="false">MIN(AC270,AC263)</f>
        <v>14.6206974550697</v>
      </c>
      <c r="AD271" s="1" t="n">
        <f aca="false">MIN(AD270,AD263)</f>
        <v>14.9565816360671</v>
      </c>
      <c r="AE271" s="1" t="n">
        <f aca="false">MIN(AE270,AE263)</f>
        <v>15.3001804956894</v>
      </c>
      <c r="AF271" s="1" t="n">
        <f aca="false">MIN(AF270,AF263)</f>
        <v>15.6516736040346</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0.0938261914749397</v>
      </c>
      <c r="M274" s="1" t="n">
        <f aca="false">IF(01_Supuestos!$C$174="Sí",01_Supuestos!$C$172*M271,01_Supuestos!$I$134*(M271+MIN(MIN(M270-M271,MAX(0,L120)),M264))+$C$10*MAX(0,MIN(M270-M271,MAX(0,L120))-M264))</f>
        <v>0.100746446593378</v>
      </c>
      <c r="N274" s="1" t="n">
        <f aca="false">IF(01_Supuestos!$C$174="Sí",01_Supuestos!$C$172*N271,01_Supuestos!$I$134*(N271+MIN(MIN(N270-N271,MAX(0,M120)),N264))+$C$10*MAX(0,MIN(N270-N271,MAX(0,M120))-N264))</f>
        <v>0.103414663892831</v>
      </c>
      <c r="O274" s="1" t="n">
        <f aca="false">IF(01_Supuestos!$C$174="Sí",01_Supuestos!$C$172*O271,01_Supuestos!$I$134*(O271+MIN(MIN(O270-O271,MAX(0,N120)),O264))+$C$10*MAX(0,MIN(O270-O271,MAX(0,N120))-O264))</f>
        <v>0.106279142730615</v>
      </c>
      <c r="P274" s="1" t="n">
        <f aca="false">IF(01_Supuestos!$C$174="Sí",01_Supuestos!$C$172*P271,01_Supuestos!$I$134*(P271+MIN(MIN(P270-P271,MAX(0,O120)),P264))+$C$10*MAX(0,MIN(P270-P271,MAX(0,O120))-P264))</f>
        <v>0.108815290187409</v>
      </c>
      <c r="Q274" s="1" t="n">
        <f aca="false">IF(01_Supuestos!$C$174="Sí",01_Supuestos!$C$172*Q271,01_Supuestos!$I$134*(Q271+MIN(MIN(Q270-Q271,MAX(0,P120)),Q264))+$C$10*MAX(0,MIN(Q270-Q271,MAX(0,P120))-Q264))</f>
        <v>0.111314879807272</v>
      </c>
      <c r="R274" s="1" t="n">
        <f aca="false">IF(01_Supuestos!$C$174="Sí",01_Supuestos!$C$172*R271,01_Supuestos!$I$134*(R271+MIN(MIN(R270-R271,MAX(0,Q120)),R264))+$C$10*MAX(0,MIN(R270-R271,MAX(0,Q120))-R264))</f>
        <v>0.113874414264645</v>
      </c>
      <c r="S274" s="1" t="n">
        <f aca="false">IF(01_Supuestos!$C$174="Sí",01_Supuestos!$C$172*S271,01_Supuestos!$I$134*(S271+MIN(MIN(S270-S271,MAX(0,R120)),S264))+$C$10*MAX(0,MIN(S270-S271,MAX(0,R120))-S264))</f>
        <v>0.116492448099906</v>
      </c>
      <c r="T274" s="1" t="n">
        <f aca="false">IF(01_Supuestos!$C$174="Sí",01_Supuestos!$C$172*T271,01_Supuestos!$I$134*(T271+MIN(MIN(T270-T271,MAX(0,S120)),T264))+$C$10*MAX(0,MIN(T270-T271,MAX(0,S120))-T264))</f>
        <v>0.119170498226174</v>
      </c>
      <c r="U274" s="1" t="n">
        <f aca="false">IF(01_Supuestos!$C$174="Sí",01_Supuestos!$C$172*U271,01_Supuestos!$I$134*(U271+MIN(MIN(U270-U271,MAX(0,T120)),U264))+$C$10*MAX(0,MIN(U270-U271,MAX(0,T120))-U264))</f>
        <v>0.121909967793522</v>
      </c>
      <c r="V274" s="1" t="n">
        <f aca="false">IF(01_Supuestos!$C$174="Sí",01_Supuestos!$C$172*V271,01_Supuestos!$I$134*(V271+MIN(MIN(V270-V271,MAX(0,U120)),V264))+$C$10*MAX(0,MIN(V270-V271,MAX(0,U120))-V264))</f>
        <v>0.124712284429556</v>
      </c>
      <c r="W274" s="1" t="n">
        <f aca="false">IF(01_Supuestos!$C$174="Sí",01_Supuestos!$C$172*W271,01_Supuestos!$I$134*(W271+MIN(MIN(W270-W271,MAX(0,V120)),W264))+$C$10*MAX(0,MIN(W270-W271,MAX(0,V120))-W264))</f>
        <v>0.127578313790005</v>
      </c>
      <c r="X274" s="1" t="n">
        <f aca="false">IF(01_Supuestos!$C$174="Sí",01_Supuestos!$C$172*X271,01_Supuestos!$I$134*(X271+MIN(MIN(X270-X271,MAX(0,W120)),X264))+$C$10*MAX(0,MIN(X270-X271,MAX(0,W120))-X264))</f>
        <v>0.130509831698653</v>
      </c>
      <c r="Y274" s="1" t="n">
        <f aca="false">IF(01_Supuestos!$C$174="Sí",01_Supuestos!$C$172*Y271,01_Supuestos!$I$134*(Y271+MIN(MIN(Y270-Y271,MAX(0,X120)),Y264))+$C$10*MAX(0,MIN(Y270-Y271,MAX(0,X120))-Y264))</f>
        <v>0.133508527686842</v>
      </c>
      <c r="Z274" s="1" t="n">
        <f aca="false">IF(01_Supuestos!$C$174="Sí",01_Supuestos!$C$172*Z271,01_Supuestos!$I$134*(Z271+MIN(MIN(Z270-Z271,MAX(0,Y120)),Z264))+$C$10*MAX(0,MIN(Z270-Z271,MAX(0,Y120))-Z264))</f>
        <v>0.136575966439775</v>
      </c>
      <c r="AA274" s="1" t="n">
        <f aca="false">IF(01_Supuestos!$C$174="Sí",01_Supuestos!$C$172*AA271,01_Supuestos!$I$134*(AA271+MIN(MIN(AA270-AA271,MAX(0,Z120)),AA264))+$C$10*MAX(0,MIN(AA270-AA271,MAX(0,Z120))-AA264))</f>
        <v>0.139713748445613</v>
      </c>
      <c r="AB274" s="1" t="n">
        <f aca="false">IF(01_Supuestos!$C$174="Sí",01_Supuestos!$C$172*AB271,01_Supuestos!$I$134*(AB271+MIN(MIN(AB270-AB271,MAX(0,AA120)),AB264))+$C$10*MAX(0,MIN(AB270-AB271,MAX(0,AA120))-AB264))</f>
        <v>0.142923523996929</v>
      </c>
      <c r="AC274" s="1" t="n">
        <f aca="false">IF(01_Supuestos!$C$174="Sí",01_Supuestos!$C$172*AC271,01_Supuestos!$I$134*(AC271+MIN(MIN(AC270-AC271,MAX(0,AB120)),AC264))+$C$10*MAX(0,MIN(AC270-AC271,MAX(0,AB120))-AC264))</f>
        <v>0.146206974550697</v>
      </c>
      <c r="AD274" s="1" t="n">
        <f aca="false">IF(01_Supuestos!$C$174="Sí",01_Supuestos!$C$172*AD271,01_Supuestos!$I$134*(AD271+MIN(MIN(AD270-AD271,MAX(0,AC120)),AD264))+$C$10*MAX(0,MIN(AD270-AD271,MAX(0,AC120))-AD264))</f>
        <v>0.149565816360671</v>
      </c>
      <c r="AE274" s="1" t="n">
        <f aca="false">IF(01_Supuestos!$C$174="Sí",01_Supuestos!$C$172*AE271,01_Supuestos!$I$134*(AE271+MIN(MIN(AE270-AE271,MAX(0,AD120)),AE264))+$C$10*MAX(0,MIN(AE270-AE271,MAX(0,AD120))-AE264))</f>
        <v>0.153001804956894</v>
      </c>
      <c r="AF274" s="1" t="n">
        <f aca="false">IF(01_Supuestos!$C$174="Sí",01_Supuestos!$C$172*AF271,01_Supuestos!$I$134*(AF271+MIN(MIN(AF270-AF271,MAX(0,AE120)),AF264))+$C$10*MAX(0,MIN(AF270-AF271,MAX(0,AE120))-AF264))</f>
        <v>0.156516736040346</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33.1280169060563</v>
      </c>
      <c r="E276" s="1" t="n">
        <f aca="false">E120-MAX(E264,E272)</f>
        <v>50.0498831427186</v>
      </c>
      <c r="F276" s="1" t="n">
        <f aca="false">F120-MAX(F264,F272)</f>
        <v>61.8668549425304</v>
      </c>
      <c r="G276" s="1" t="n">
        <f aca="false">G120-MAX(G264,G272)</f>
        <v>72.8599656811461</v>
      </c>
      <c r="H276" s="1" t="n">
        <f aca="false">H120-MAX(H264,H272)</f>
        <v>85.5202021344088</v>
      </c>
      <c r="I276" s="1" t="n">
        <f aca="false">I120-MAX(I264,I272)</f>
        <v>99.9410193377691</v>
      </c>
      <c r="J276" s="1" t="n">
        <f aca="false">J120-MAX(J264,J272)</f>
        <v>115.700904546149</v>
      </c>
      <c r="K276" s="1" t="n">
        <f aca="false">K120-MAX(K264,K272)</f>
        <v>132.756673672706</v>
      </c>
      <c r="L276" s="1" t="n">
        <f aca="false">L120-MAX(L264,L272)</f>
        <v>149.858639918606</v>
      </c>
      <c r="M276" s="1" t="n">
        <f aca="false">M120-MAX(M264,M272)</f>
        <v>149.52694079375</v>
      </c>
      <c r="N276" s="1" t="n">
        <f aca="false">N120-MAX(N264,N272)</f>
        <v>151.177605570286</v>
      </c>
      <c r="O276" s="1" t="n">
        <f aca="false">O120-MAX(O264,O272)</f>
        <v>153.16486205882</v>
      </c>
      <c r="P276" s="1" t="n">
        <f aca="false">P120-MAX(P264,P272)</f>
        <v>154.48227528726</v>
      </c>
      <c r="Q276" s="1" t="n">
        <f aca="false">Q120-MAX(Q264,Q272)</f>
        <v>155.64673513565</v>
      </c>
      <c r="R276" s="1" t="n">
        <f aca="false">R120-MAX(R264,R272)</f>
        <v>156.852118260028</v>
      </c>
      <c r="S276" s="1" t="n">
        <f aca="false">S120-MAX(S264,S272)</f>
        <v>158.093555212427</v>
      </c>
      <c r="T276" s="1" t="n">
        <f aca="false">T120-MAX(T264,T272)</f>
        <v>159.37190117768</v>
      </c>
      <c r="U276" s="1" t="n">
        <f aca="false">U120-MAX(U264,U272)</f>
        <v>160.687752032404</v>
      </c>
      <c r="V276" s="1" t="n">
        <f aca="false">V120-MAX(V264,V272)</f>
        <v>162.041714497165</v>
      </c>
      <c r="W276" s="1" t="n">
        <f aca="false">W120-MAX(W264,W272)</f>
        <v>163.43664947148</v>
      </c>
      <c r="X276" s="1" t="n">
        <f aca="false">X120-MAX(X264,X272)</f>
        <v>164.873749593928</v>
      </c>
      <c r="Y276" s="1" t="n">
        <f aca="false">Y120-MAX(Y264,Y272)</f>
        <v>166.353988338676</v>
      </c>
      <c r="Z276" s="1" t="n">
        <f aca="false">Z120-MAX(Z264,Z272)</f>
        <v>167.878042927606</v>
      </c>
      <c r="AA276" s="1" t="n">
        <f aca="false">AA120-MAX(AA264,AA272)</f>
        <v>169.446613637279</v>
      </c>
      <c r="AB276" s="1" t="n">
        <f aca="false">AB120-MAX(AB264,AB272)</f>
        <v>171.060374827865</v>
      </c>
      <c r="AC276" s="1" t="n">
        <f aca="false">AC120-MAX(AC264,AC272)</f>
        <v>172.72001291811</v>
      </c>
      <c r="AD276" s="1" t="n">
        <f aca="false">AD120-MAX(AD264,AD272)</f>
        <v>174.426231950195</v>
      </c>
      <c r="AE276" s="1" t="n">
        <f aca="false">AE120-MAX(AE264,AE272)</f>
        <v>176.179760790141</v>
      </c>
      <c r="AF276" s="1" t="n">
        <f aca="false">AF120-MAX(AF264,AF272)</f>
        <v>177.981353342207</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23.2336567218632</v>
      </c>
      <c r="J284" s="1" t="n">
        <f aca="false">$C$279*J87</f>
        <v>28.6689144574326</v>
      </c>
      <c r="K284" s="1" t="n">
        <f aca="false">$C$279*K87</f>
        <v>34.2418766015027</v>
      </c>
      <c r="L284" s="1" t="n">
        <f aca="false">$C$279*L87</f>
        <v>39.9514076056937</v>
      </c>
      <c r="M284" s="1" t="n">
        <f aca="false">$C$279*M87</f>
        <v>49.1135351517862</v>
      </c>
      <c r="N284" s="1" t="n">
        <f aca="false">$C$279*N87</f>
        <v>52.8525326770134</v>
      </c>
      <c r="O284" s="1" t="n">
        <f aca="false">$C$279*O87</f>
        <v>53.9608802826703</v>
      </c>
      <c r="P284" s="1" t="n">
        <f aca="false">$C$279*P87</f>
        <v>55.1829205978056</v>
      </c>
      <c r="Q284" s="1" t="n">
        <f aca="false">$C$279*Q87</f>
        <v>56.437571784446</v>
      </c>
      <c r="R284" s="1" t="n">
        <f aca="false">$C$279*R87</f>
        <v>57.7289025109505</v>
      </c>
      <c r="S284" s="1" t="n">
        <f aca="false">$C$279*S87</f>
        <v>59.0574566582196</v>
      </c>
      <c r="T284" s="1" t="n">
        <f aca="false">$C$279*T87</f>
        <v>60.4235934309921</v>
      </c>
      <c r="U284" s="1" t="n">
        <f aca="false">$C$279*U87</f>
        <v>61.8277009465133</v>
      </c>
      <c r="V284" s="1" t="n">
        <f aca="false">$C$279*V87</f>
        <v>63.2701897850401</v>
      </c>
      <c r="W284" s="1" t="n">
        <f aca="false">$C$279*W87</f>
        <v>64.7557990029991</v>
      </c>
      <c r="X284" s="1" t="n">
        <f aca="false">$C$279*X87</f>
        <v>66.2849456589624</v>
      </c>
      <c r="Y284" s="1" t="n">
        <f aca="false">$C$279*Y87</f>
        <v>67.8580633836007</v>
      </c>
      <c r="Z284" s="1" t="n">
        <f aca="false">$C$279*Z87</f>
        <v>69.4756040679586</v>
      </c>
      <c r="AA284" s="1" t="n">
        <f aca="false">$C$279*AA87</f>
        <v>71.13803705476</v>
      </c>
      <c r="AB284" s="1" t="n">
        <f aca="false">$C$279*AB87</f>
        <v>72.8457538888435</v>
      </c>
      <c r="AC284" s="1" t="n">
        <f aca="false">$C$279*AC87</f>
        <v>74.5991649142889</v>
      </c>
      <c r="AD284" s="1" t="n">
        <f aca="false">$C$279*AD87</f>
        <v>76.3986989473987</v>
      </c>
      <c r="AE284" s="1" t="n">
        <f aca="false">$C$279*AE87</f>
        <v>78.2448029156153</v>
      </c>
      <c r="AF284" s="1" t="n">
        <f aca="false">$C$279*AF87</f>
        <v>80.1379417686444</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1.9955728099044</v>
      </c>
      <c r="N285" s="1" t="n">
        <f aca="false">MAX(M284*(1-$C$340)/$C$280,M284-N341-N284)</f>
        <v>2.45322108083172</v>
      </c>
      <c r="O285" s="1" t="n">
        <f aca="false">MAX(N284*(1-$C$340)/$C$280,N284-O341-O284)</f>
        <v>2.63998400721682</v>
      </c>
      <c r="P285" s="1" t="n">
        <f aca="false">MAX(O284*(1-$C$340)/$C$280,O284-P341-P284)</f>
        <v>2.69534597011938</v>
      </c>
      <c r="Q285" s="1" t="n">
        <f aca="false">MAX(P284*(1-$C$340)/$C$280,P284-Q341-Q284)</f>
        <v>2.75638688386039</v>
      </c>
      <c r="R285" s="1" t="n">
        <f aca="false">MAX(Q284*(1-$C$340)/$C$280,Q284-R341-R284)</f>
        <v>2.81905671063308</v>
      </c>
      <c r="S285" s="1" t="n">
        <f aca="false">MAX(R284*(1-$C$340)/$C$280,R284-S341-S284)</f>
        <v>2.88355868042198</v>
      </c>
      <c r="T285" s="1" t="n">
        <f aca="false">MAX(S284*(1-$C$340)/$C$280,S284-T341-T284)</f>
        <v>2.94991996007807</v>
      </c>
      <c r="U285" s="1" t="n">
        <f aca="false">MAX(T284*(1-$C$340)/$C$280,T284-U341-U284)</f>
        <v>3.01815849187806</v>
      </c>
      <c r="V285" s="1" t="n">
        <f aca="false">MAX(U284*(1-$C$340)/$C$280,U284-V341-V284)</f>
        <v>3.08829366227834</v>
      </c>
      <c r="W285" s="1" t="n">
        <f aca="false">MAX(V284*(1-$C$340)/$C$280,V284-W341-W284)</f>
        <v>3.16034597976275</v>
      </c>
      <c r="X285" s="1" t="n">
        <f aca="false">MAX(W284*(1-$C$340)/$C$280,W284-X341-X284)</f>
        <v>3.2345521601998</v>
      </c>
      <c r="Y285" s="1" t="n">
        <f aca="false">MAX(X284*(1-$C$340)/$C$280,X284-Y341-Y284)</f>
        <v>3.31093303566517</v>
      </c>
      <c r="Z285" s="1" t="n">
        <f aca="false">MAX(Y284*(1-$C$340)/$C$280,Y284-Z341-Z284)</f>
        <v>3.38951026601085</v>
      </c>
      <c r="AA285" s="1" t="n">
        <f aca="false">MAX(Z284*(1-$C$340)/$C$280,Z284-AA341-AA284)</f>
        <v>3.47030642319453</v>
      </c>
      <c r="AB285" s="1" t="n">
        <f aca="false">MAX(AA284*(1-$C$340)/$C$280,AA284-AB341-AB284)</f>
        <v>3.55334495088526</v>
      </c>
      <c r="AC285" s="1" t="n">
        <f aca="false">MAX(AB284*(1-$C$340)/$C$280,AB284-AC341-AC284)</f>
        <v>3.63864540674773</v>
      </c>
      <c r="AD285" s="1" t="n">
        <f aca="false">MAX(AC284*(1-$C$340)/$C$280,AC284-AD341-AD284)</f>
        <v>3.72622828746873</v>
      </c>
      <c r="AE285" s="1" t="n">
        <f aca="false">MAX(AD284*(1-$C$340)/$C$280,AD284-AE341-AE284)</f>
        <v>3.81611501242257</v>
      </c>
      <c r="AF285" s="1" t="n">
        <f aca="false">MAX(AE284*(1-$C$340)/$C$280,AE284-AF341-AF284)</f>
        <v>3.90832790563499</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6.21438653014726</v>
      </c>
      <c r="J286" s="1" t="n">
        <f aca="false">J284-I284+J285+J341</f>
        <v>6.61901254554823</v>
      </c>
      <c r="K286" s="1" t="n">
        <f aca="false">K284-J284+K285+K341</f>
        <v>7.03364333567636</v>
      </c>
      <c r="L286" s="1" t="n">
        <f aca="false">L284-K284+L285+L341</f>
        <v>7.45415461703752</v>
      </c>
      <c r="M286" s="1" t="n">
        <f aca="false">M284-L284+M285+M341</f>
        <v>11.1976517636026</v>
      </c>
      <c r="N286" s="1" t="n">
        <f aca="false">N284-M284+N285+N341</f>
        <v>6.2413321412107</v>
      </c>
      <c r="O286" s="1" t="n">
        <f aca="false">O284-N284+O285+O341</f>
        <v>3.80118414555079</v>
      </c>
      <c r="P286" s="1" t="n">
        <f aca="false">P284-O284+P285+P341</f>
        <v>3.9713471655373</v>
      </c>
      <c r="Q286" s="1" t="n">
        <f aca="false">Q284-P284+Q285+Q341</f>
        <v>4.06622099109862</v>
      </c>
      <c r="R286" s="1" t="n">
        <f aca="false">R284-Q284+R285+R341</f>
        <v>4.166825008922</v>
      </c>
      <c r="S286" s="1" t="n">
        <f aca="false">S284-R284+S285+S341</f>
        <v>4.26984173020207</v>
      </c>
      <c r="T286" s="1" t="n">
        <f aca="false">T284-S284+T285+T341</f>
        <v>4.37511418950878</v>
      </c>
      <c r="U286" s="1" t="n">
        <f aca="false">U284-T284+U285+U341</f>
        <v>4.4826896008302</v>
      </c>
      <c r="V286" s="1" t="n">
        <f aca="false">V284-U284+V285+V341</f>
        <v>4.59261020175167</v>
      </c>
      <c r="W286" s="1" t="n">
        <f aca="false">W284-V284+W285+W341</f>
        <v>4.70922538750679</v>
      </c>
      <c r="X286" s="1" t="n">
        <f aca="false">X284-W284+X285+X341</f>
        <v>4.82845461516612</v>
      </c>
      <c r="Y286" s="1" t="n">
        <f aca="false">Y284-X284+Y285+Y341</f>
        <v>4.95033570596243</v>
      </c>
      <c r="Z286" s="1" t="n">
        <f aca="false">Z284-Y284+Z285+Z341</f>
        <v>5.07490901375239</v>
      </c>
      <c r="AA286" s="1" t="n">
        <f aca="false">AA284-Z284+AA285+AA341</f>
        <v>5.20221501406388</v>
      </c>
      <c r="AB286" s="1" t="n">
        <f aca="false">AB284-AA284+AB285+AB341</f>
        <v>5.33219982202348</v>
      </c>
      <c r="AC286" s="1" t="n">
        <f aca="false">AC284-AB284+AC285+AC341</f>
        <v>5.46490218608196</v>
      </c>
      <c r="AD286" s="1" t="n">
        <f aca="false">AD284-AC284+AD285+AD341</f>
        <v>5.60036148549288</v>
      </c>
      <c r="AE286" s="1" t="n">
        <f aca="false">AE284-AD284+AE285+AE341</f>
        <v>5.73861767958658</v>
      </c>
      <c r="AF286" s="1" t="n">
        <f aca="false">AF284-AE284+AF285+AF341</f>
        <v>5.87971156157972</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0.998048191801079</v>
      </c>
      <c r="J287" s="1" t="n">
        <f aca="false">J284*(1-$C$340)*$C$175</f>
        <v>1.23153055834793</v>
      </c>
      <c r="K287" s="1" t="n">
        <f aca="false">K284*(1-$C$340)*$C$175</f>
        <v>1.47092829317075</v>
      </c>
      <c r="L287" s="1" t="n">
        <f aca="false">L284*(1-$C$340)*$C$175</f>
        <v>1.71619261651778</v>
      </c>
      <c r="M287" s="1" t="n">
        <f aca="false">M284*(1-$C$340)*$C$175</f>
        <v>2.10977012951528</v>
      </c>
      <c r="N287" s="1" t="n">
        <f aca="false">N284*(1-$C$340)*$C$175</f>
        <v>2.27038624620646</v>
      </c>
      <c r="O287" s="1" t="n">
        <f aca="false">O284*(1-$C$340)*$C$175</f>
        <v>2.31799753430267</v>
      </c>
      <c r="P287" s="1" t="n">
        <f aca="false">P284*(1-$C$340)*$C$175</f>
        <v>2.37049272011993</v>
      </c>
      <c r="Q287" s="1" t="n">
        <f aca="false">Q284*(1-$C$340)*$C$175</f>
        <v>2.42438877114445</v>
      </c>
      <c r="R287" s="1" t="n">
        <f aca="false">R284*(1-$C$340)*$C$175</f>
        <v>2.4798604651629</v>
      </c>
      <c r="S287" s="1" t="n">
        <f aca="false">S284*(1-$C$340)*$C$175</f>
        <v>2.53693116566714</v>
      </c>
      <c r="T287" s="1" t="n">
        <f aca="false">T284*(1-$C$340)*$C$175</f>
        <v>2.59561630301513</v>
      </c>
      <c r="U287" s="1" t="n">
        <f aca="false">U284*(1-$C$340)*$C$175</f>
        <v>2.65593254955937</v>
      </c>
      <c r="V287" s="1" t="n">
        <f aca="false">V284*(1-$C$340)*$C$175</f>
        <v>2.71789754259597</v>
      </c>
      <c r="W287" s="1" t="n">
        <f aca="false">W284*(1-$C$340)*$C$175</f>
        <v>2.78171485777183</v>
      </c>
      <c r="X287" s="1" t="n">
        <f aca="false">X284*(1-$C$340)*$C$175</f>
        <v>2.84740241067205</v>
      </c>
      <c r="Y287" s="1" t="n">
        <f aca="false">Y284*(1-$C$340)*$C$175</f>
        <v>2.91497882876933</v>
      </c>
      <c r="Z287" s="1" t="n">
        <f aca="false">Z284*(1-$C$340)*$C$175</f>
        <v>2.9844635239473</v>
      </c>
      <c r="AA287" s="1" t="n">
        <f aca="false">AA284*(1-$C$340)*$C$175</f>
        <v>3.05587665776133</v>
      </c>
      <c r="AB287" s="1" t="n">
        <f aca="false">AB284*(1-$C$340)*$C$175</f>
        <v>3.12923504980305</v>
      </c>
      <c r="AC287" s="1" t="n">
        <f aca="false">AC284*(1-$C$340)*$C$175</f>
        <v>3.20455632722311</v>
      </c>
      <c r="AD287" s="1" t="n">
        <f aca="false">AD284*(1-$C$340)*$C$175</f>
        <v>3.28185891068341</v>
      </c>
      <c r="AE287" s="1" t="n">
        <f aca="false">AE284*(1-$C$340)*$C$175</f>
        <v>3.36116199884609</v>
      </c>
      <c r="AF287" s="1" t="n">
        <f aca="false">AF284*(1-$C$340)*$C$175</f>
        <v>3.44248556455566</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55.1709914554818</v>
      </c>
      <c r="M289" s="1" t="n">
        <f aca="false">(1-$C$279)*M87</f>
        <v>67.8234533048476</v>
      </c>
      <c r="N289" s="1" t="n">
        <f aca="false">(1-$C$279)*N87</f>
        <v>72.9868308396851</v>
      </c>
      <c r="O289" s="1" t="n">
        <f aca="false">(1-$C$279)*O87</f>
        <v>74.51740610464</v>
      </c>
      <c r="P289" s="1" t="n">
        <f aca="false">(1-$C$279)*P87</f>
        <v>76.2049855874458</v>
      </c>
      <c r="Q289" s="1" t="n">
        <f aca="false">(1-$C$279)*Q87</f>
        <v>77.9375991309016</v>
      </c>
      <c r="R289" s="1" t="n">
        <f aca="false">(1-$C$279)*R87</f>
        <v>79.7208653722649</v>
      </c>
      <c r="S289" s="1" t="n">
        <f aca="false">(1-$C$279)*S87</f>
        <v>81.5555353851604</v>
      </c>
      <c r="T289" s="1" t="n">
        <f aca="false">(1-$C$279)*T87</f>
        <v>83.4421052142272</v>
      </c>
      <c r="U289" s="1" t="n">
        <f aca="false">(1-$C$279)*U87</f>
        <v>85.3811108308993</v>
      </c>
      <c r="V289" s="1" t="n">
        <f aca="false">(1-$C$279)*V87</f>
        <v>87.3731192269601</v>
      </c>
      <c r="W289" s="1" t="n">
        <f aca="false">(1-$C$279)*W87</f>
        <v>89.4246748136654</v>
      </c>
      <c r="X289" s="1" t="n">
        <f aca="false">(1-$C$279)*X87</f>
        <v>91.5363535290433</v>
      </c>
      <c r="Y289" s="1" t="n">
        <f aca="false">(1-$C$279)*Y87</f>
        <v>93.708754196401</v>
      </c>
      <c r="Z289" s="1" t="n">
        <f aca="false">(1-$C$279)*Z87</f>
        <v>95.9425008557524</v>
      </c>
      <c r="AA289" s="1" t="n">
        <f aca="false">(1-$C$279)*AA87</f>
        <v>98.2382416470496</v>
      </c>
      <c r="AB289" s="1" t="n">
        <f aca="false">(1-$C$279)*AB87</f>
        <v>100.59651727507</v>
      </c>
      <c r="AC289" s="1" t="n">
        <f aca="false">(1-$C$279)*AC87</f>
        <v>103.017894405447</v>
      </c>
      <c r="AD289" s="1" t="n">
        <f aca="false">(1-$C$279)*AD87</f>
        <v>105.502965213074</v>
      </c>
      <c r="AE289" s="1" t="n">
        <f aca="false">(1-$C$279)*AE87</f>
        <v>108.052346883469</v>
      </c>
      <c r="AF289" s="1" t="n">
        <f aca="false">(1-$C$279)*AF87</f>
        <v>110.666681490033</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11.0231640928053</v>
      </c>
      <c r="N290" s="1" t="n">
        <f aca="false">MAX(M289*(1-$C$340)/$C$281+IF(AND(01_Supuestos!$C$189&gt;0,N$39=01_Supuestos!$C$189),01_Supuestos!$C$190*M289*(1-$C$340)*(1-1/$C$281),0),M289-N342-N289)</f>
        <v>13.5511259703085</v>
      </c>
      <c r="O290" s="1" t="n">
        <f aca="false">MAX(N289*(1-$C$340)/$C$281+IF(AND(01_Supuestos!$C$189&gt;0,O$39=01_Supuestos!$C$189),01_Supuestos!$C$190*N289*(1-$C$340)*(1-1/$C$281),0),N289-O342-O289)</f>
        <v>14.5827688017691</v>
      </c>
      <c r="P290" s="1" t="n">
        <f aca="false">MAX(O289*(1-$C$340)/$C$281+IF(AND(01_Supuestos!$C$189&gt;0,P$39=01_Supuestos!$C$189),01_Supuestos!$C$190*O289*(1-$C$340)*(1-1/$C$281),0),O289-P342-P289)</f>
        <v>14.8885777397071</v>
      </c>
      <c r="Q290" s="1" t="n">
        <f aca="false">MAX(P289*(1-$C$340)/$C$281+IF(AND(01_Supuestos!$C$189&gt;0,Q$39=01_Supuestos!$C$189),01_Supuestos!$C$190*P289*(1-$C$340)*(1-1/$C$281),0),P289-Q342-Q289)</f>
        <v>15.2257561203717</v>
      </c>
      <c r="R290" s="1" t="n">
        <f aca="false">MAX(Q289*(1-$C$340)/$C$281+IF(AND(01_Supuestos!$C$189&gt;0,R$39=01_Supuestos!$C$189),01_Supuestos!$C$190*Q289*(1-$C$340)*(1-1/$C$281),0),Q289-R342-R289)</f>
        <v>15.5719323063541</v>
      </c>
      <c r="S290" s="1" t="n">
        <f aca="false">MAX(R289*(1-$C$340)/$C$281+IF(AND(01_Supuestos!$C$189&gt;0,S$39=01_Supuestos!$C$189),01_Supuestos!$C$190*R289*(1-$C$340)*(1-1/$C$281),0),R289-S342-S289)</f>
        <v>15.9282289013785</v>
      </c>
      <c r="T290" s="1" t="n">
        <f aca="false">MAX(S289*(1-$C$340)/$C$281+IF(AND(01_Supuestos!$C$189&gt;0,T$39=01_Supuestos!$C$189),01_Supuestos!$C$190*S289*(1-$C$340)*(1-1/$C$281),0),S289-T342-T289)</f>
        <v>16.2947959699551</v>
      </c>
      <c r="U290" s="1" t="n">
        <f aca="false">MAX(T289*(1-$C$340)/$C$281+IF(AND(01_Supuestos!$C$189&gt;0,U$39=01_Supuestos!$C$189),01_Supuestos!$C$190*T289*(1-$C$340)*(1-1/$C$281),0),T289-U342-U289)</f>
        <v>16.6717326218026</v>
      </c>
      <c r="V290" s="1" t="n">
        <f aca="false">MAX(U289*(1-$C$340)/$C$281+IF(AND(01_Supuestos!$C$189&gt;0,V$39=01_Supuestos!$C$189),01_Supuestos!$C$190*U289*(1-$C$340)*(1-1/$C$281),0),U289-V342-V289)</f>
        <v>17.0591459440137</v>
      </c>
      <c r="W290" s="1" t="n">
        <f aca="false">MAX(V289*(1-$C$340)/$C$281+IF(AND(01_Supuestos!$C$189&gt;0,W$39=01_Supuestos!$C$189),01_Supuestos!$C$190*V289*(1-$C$340)*(1-1/$C$281),0),V289-W342-W289)</f>
        <v>17.4571492215466</v>
      </c>
      <c r="X290" s="1" t="n">
        <f aca="false">MAX(W289*(1-$C$340)/$C$281+IF(AND(01_Supuestos!$C$189&gt;0,X$39=01_Supuestos!$C$189),01_Supuestos!$C$190*W289*(1-$C$340)*(1-1/$C$281),0),W289-X342-X289)</f>
        <v>17.8670500277703</v>
      </c>
      <c r="Y290" s="1" t="n">
        <f aca="false">MAX(X289*(1-$C$340)/$C$281+IF(AND(01_Supuestos!$C$189&gt;0,Y$39=01_Supuestos!$C$189),01_Supuestos!$C$190*X289*(1-$C$340)*(1-1/$C$281),0),X289-Y342-Y289)</f>
        <v>18.2889634351029</v>
      </c>
      <c r="Z290" s="1" t="n">
        <f aca="false">MAX(Y289*(1-$C$340)/$C$281+IF(AND(01_Supuestos!$C$189&gt;0,Z$39=01_Supuestos!$C$189),01_Supuestos!$C$190*Y289*(1-$C$340)*(1-1/$C$281),0),Y289-Z342-Z289)</f>
        <v>18.7230090884409</v>
      </c>
      <c r="AA290" s="1" t="n">
        <f aca="false">MAX(Z289*(1-$C$340)/$C$281+IF(AND(01_Supuestos!$C$189&gt;0,AA$39=01_Supuestos!$C$189),01_Supuestos!$C$190*Z289*(1-$C$340)*(1-1/$C$281),0),Z289-AA342-AA289)</f>
        <v>19.1693116709793</v>
      </c>
      <c r="AB290" s="1" t="n">
        <f aca="false">MAX(AA289*(1-$C$340)/$C$281+IF(AND(01_Supuestos!$C$189&gt;0,AB$39=01_Supuestos!$C$189),01_Supuestos!$C$190*AA289*(1-$C$340)*(1-1/$C$281),0),AA289-AB342-AB289)</f>
        <v>19.6280006810805</v>
      </c>
      <c r="AC290" s="1" t="n">
        <f aca="false">MAX(AB289*(1-$C$340)/$C$281+IF(AND(01_Supuestos!$C$189&gt;0,AC$39=01_Supuestos!$C$189),01_Supuestos!$C$190*AB289*(1-$C$340)*(1-1/$C$281),0),AB289-AC342-AC289)</f>
        <v>20.0991841515589</v>
      </c>
      <c r="AD290" s="1" t="n">
        <f aca="false">MAX(AC289*(1-$C$340)/$C$281+IF(AND(01_Supuestos!$C$189&gt;0,AD$39=01_Supuestos!$C$189),01_Supuestos!$C$190*AC289*(1-$C$340)*(1-1/$C$281),0),AC289-AD342-AD289)</f>
        <v>20.5829753022082</v>
      </c>
      <c r="AE290" s="1" t="n">
        <f aca="false">MAX(AD289*(1-$C$340)/$C$281+IF(AND(01_Supuestos!$C$189&gt;0,AE$39=01_Supuestos!$C$189),01_Supuestos!$C$190*AD289*(1-$C$340)*(1-1/$C$281),0),AD289-AE342-AE289)</f>
        <v>21.0794924495723</v>
      </c>
      <c r="AF290" s="1" t="n">
        <f aca="false">MAX(AE289*(1-$C$340)/$C$281+IF(AND(01_Supuestos!$C$189&gt;0,AF$39=01_Supuestos!$C$189),01_Supuestos!$C$190*AE289*(1-$C$340)*(1-1/$C$281),0),AE289-AF342-AF289)</f>
        <v>21.5888589073171</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12.2927405633845</v>
      </c>
      <c r="J291" s="1" t="n">
        <f aca="false">J289-I289+J290+J342</f>
        <v>13.9484144835364</v>
      </c>
      <c r="K291" s="1" t="n">
        <f aca="false">K289-J289+K290+K342</f>
        <v>15.645748802217</v>
      </c>
      <c r="L291" s="1" t="n">
        <f aca="false">L289-K289+L290+L342</f>
        <v>17.3796997594004</v>
      </c>
      <c r="M291" s="1" t="n">
        <f aca="false">M289-L289+M290+M342</f>
        <v>23.7307969336266</v>
      </c>
      <c r="N291" s="1" t="n">
        <f aca="false">N289-M289+N290+N342</f>
        <v>18.7823269584509</v>
      </c>
      <c r="O291" s="1" t="n">
        <f aca="false">O289-N289+O290+O342</f>
        <v>16.1863308975636</v>
      </c>
      <c r="P291" s="1" t="n">
        <f aca="false">P289-O289+P290+P342</f>
        <v>16.6506746286175</v>
      </c>
      <c r="Q291" s="1" t="n">
        <f aca="false">Q289-P289+Q290+Q342</f>
        <v>17.0345746494149</v>
      </c>
      <c r="R291" s="1" t="n">
        <f aca="false">R289-Q289+R290+R342</f>
        <v>17.4331361468484</v>
      </c>
      <c r="S291" s="1" t="n">
        <f aca="false">S289-R289+S290+S342</f>
        <v>17.8426197796463</v>
      </c>
      <c r="T291" s="1" t="n">
        <f aca="false">T289-S289+T290+T342</f>
        <v>18.262921334407</v>
      </c>
      <c r="U291" s="1" t="n">
        <f aca="false">U289-T289+U290+U342</f>
        <v>18.6941803436889</v>
      </c>
      <c r="V291" s="1" t="n">
        <f aca="false">V289-U289+V290+V342</f>
        <v>19.1365354509054</v>
      </c>
      <c r="W291" s="1" t="n">
        <f aca="false">W289-V289+W290+W342</f>
        <v>19.5960779274789</v>
      </c>
      <c r="X291" s="1" t="n">
        <f aca="false">X289-W289+X290+X342</f>
        <v>20.0681534179619</v>
      </c>
      <c r="Y291" s="1" t="n">
        <f aca="false">Y289-X289+Y290+Y342</f>
        <v>20.5529004559895</v>
      </c>
      <c r="Z291" s="1" t="n">
        <f aca="false">Z289-Y289+Z290+Z342</f>
        <v>21.0504645019888</v>
      </c>
      <c r="AA291" s="1" t="n">
        <f aca="false">AA289-Z289+AA290+AA342</f>
        <v>21.5609949631322</v>
      </c>
      <c r="AB291" s="1" t="n">
        <f aca="false">AB289-AA289+AB290+AB342</f>
        <v>22.0845145507476</v>
      </c>
      <c r="AC291" s="1" t="n">
        <f aca="false">AC289-AB289+AC290+AC342</f>
        <v>22.6211577992109</v>
      </c>
      <c r="AD291" s="1" t="n">
        <f aca="false">AD289-AC289+AD290+AD342</f>
        <v>23.1710640042416</v>
      </c>
      <c r="AE291" s="1" t="n">
        <f aca="false">AE289-AD289+AE290+AE342</f>
        <v>23.7343770851797</v>
      </c>
      <c r="AF291" s="1" t="n">
        <f aca="false">AF289-AE289+AF290+AF342</f>
        <v>24.3112458607645</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2.36998027995313</v>
      </c>
      <c r="M292" s="1" t="n">
        <f aca="false">M289*(1-$C$340)*$C$175</f>
        <v>2.91349208361634</v>
      </c>
      <c r="N292" s="1" t="n">
        <f aca="false">N289*(1-$C$340)*$C$175</f>
        <v>3.13529529238035</v>
      </c>
      <c r="O292" s="1" t="n">
        <f aca="false">O289*(1-$C$340)*$C$175</f>
        <v>3.20104421403702</v>
      </c>
      <c r="P292" s="1" t="n">
        <f aca="false">P289*(1-$C$340)*$C$175</f>
        <v>3.27353756587991</v>
      </c>
      <c r="Q292" s="1" t="n">
        <f aca="false">Q289*(1-$C$340)*$C$175</f>
        <v>3.34796544586614</v>
      </c>
      <c r="R292" s="1" t="n">
        <f aca="false">R289*(1-$C$340)*$C$175</f>
        <v>3.42456921379638</v>
      </c>
      <c r="S292" s="1" t="n">
        <f aca="false">S289*(1-$C$340)*$C$175</f>
        <v>3.50338113354034</v>
      </c>
      <c r="T292" s="1" t="n">
        <f aca="false">T289*(1-$C$340)*$C$175</f>
        <v>3.58442251368756</v>
      </c>
      <c r="U292" s="1" t="n">
        <f aca="false">U289*(1-$C$340)*$C$175</f>
        <v>3.66771637796294</v>
      </c>
      <c r="V292" s="1" t="n">
        <f aca="false">V289*(1-$C$340)*$C$175</f>
        <v>3.75328708263253</v>
      </c>
      <c r="W292" s="1" t="n">
        <f aca="false">W289*(1-$C$340)*$C$175</f>
        <v>3.84141575597062</v>
      </c>
      <c r="X292" s="1" t="n">
        <f aca="false">X289*(1-$C$340)*$C$175</f>
        <v>3.93212713854711</v>
      </c>
      <c r="Y292" s="1" t="n">
        <f aca="false">Y289*(1-$C$340)*$C$175</f>
        <v>4.0254469540148</v>
      </c>
      <c r="Z292" s="1" t="n">
        <f aca="false">Z289*(1-$C$340)*$C$175</f>
        <v>4.12140200926056</v>
      </c>
      <c r="AA292" s="1" t="n">
        <f aca="false">AA289*(1-$C$340)*$C$175</f>
        <v>4.22002014643231</v>
      </c>
      <c r="AB292" s="1" t="n">
        <f aca="false">AB289*(1-$C$340)*$C$175</f>
        <v>4.32132459258516</v>
      </c>
      <c r="AC292" s="1" t="n">
        <f aca="false">AC289*(1-$C$340)*$C$175</f>
        <v>4.42533968997477</v>
      </c>
      <c r="AD292" s="1" t="n">
        <f aca="false">AD289*(1-$C$340)*$C$175</f>
        <v>4.53209087665804</v>
      </c>
      <c r="AE292" s="1" t="n">
        <f aca="false">AE289*(1-$C$340)*$C$175</f>
        <v>4.64160466507317</v>
      </c>
      <c r="AF292" s="1" t="n">
        <f aca="false">AF289*(1-$C$340)*$C$175</f>
        <v>4.75390863676734</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41.9762718884314</v>
      </c>
      <c r="M294" s="116" t="n">
        <f aca="false">M85</f>
        <v>33.5810175107451</v>
      </c>
      <c r="N294" s="116" t="n">
        <f aca="false">N85</f>
        <v>28.1405565879301</v>
      </c>
      <c r="O294" s="116" t="n">
        <f aca="false">O85</f>
        <v>29.0431718797247</v>
      </c>
      <c r="P294" s="116" t="n">
        <f aca="false">P85</f>
        <v>29.7565456219254</v>
      </c>
      <c r="Q294" s="116" t="n">
        <f aca="false">Q85</f>
        <v>30.4756032833942</v>
      </c>
      <c r="R294" s="116" t="n">
        <f aca="false">R85</f>
        <v>31.1925741220975</v>
      </c>
      <c r="S294" s="116" t="n">
        <f aca="false">S85</f>
        <v>31.908123828055</v>
      </c>
      <c r="T294" s="116" t="n">
        <f aca="false">T85</f>
        <v>32.6234028912587</v>
      </c>
      <c r="U294" s="116" t="n">
        <f aca="false">U85</f>
        <v>33.3395390944045</v>
      </c>
      <c r="V294" s="116" t="n">
        <f aca="false">V85</f>
        <v>34.0576539298687</v>
      </c>
      <c r="W294" s="116" t="n">
        <f aca="false">W85</f>
        <v>34.7686112728673</v>
      </c>
      <c r="X294" s="116" t="n">
        <f aca="false">X85</f>
        <v>35.4736148585853</v>
      </c>
      <c r="Y294" s="116" t="n">
        <f aca="false">Y85</f>
        <v>36.173879489661</v>
      </c>
      <c r="Z294" s="116" t="n">
        <f aca="false">Z85</f>
        <v>36.8706281785538</v>
      </c>
      <c r="AA294" s="116" t="n">
        <f aca="false">AA85</f>
        <v>37.5650952618073</v>
      </c>
      <c r="AB294" s="116" t="n">
        <f aca="false">AB85</f>
        <v>38.258754400867</v>
      </c>
      <c r="AC294" s="116" t="n">
        <f aca="false">AC85</f>
        <v>38.9530898330345</v>
      </c>
      <c r="AD294" s="116" t="n">
        <f aca="false">AD85</f>
        <v>39.6495984228105</v>
      </c>
      <c r="AE294" s="116" t="n">
        <f aca="false">AE85</f>
        <v>40.349791823615</v>
      </c>
      <c r="AF294" s="116" t="n">
        <f aca="false">AF85</f>
        <v>41.055198021344</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8.39525437768627</v>
      </c>
      <c r="N295" s="1" t="n">
        <f aca="false">MAX(M294/$C$282,M294-N294)</f>
        <v>5.44046092281504</v>
      </c>
      <c r="O295" s="1" t="n">
        <f aca="false">MAX(N294/$C$282,N294-O294)</f>
        <v>2.81405565879301</v>
      </c>
      <c r="P295" s="1" t="n">
        <f aca="false">MAX(O294/$C$282,O294-P294)</f>
        <v>2.90431718797247</v>
      </c>
      <c r="Q295" s="1" t="n">
        <f aca="false">MAX(P294/$C$282,P294-Q294)</f>
        <v>2.97565456219254</v>
      </c>
      <c r="R295" s="1" t="n">
        <f aca="false">MAX(Q294/$C$282,Q294-R294)</f>
        <v>3.04756032833942</v>
      </c>
      <c r="S295" s="1" t="n">
        <f aca="false">MAX(R294/$C$282,R294-S294)</f>
        <v>3.11925741220975</v>
      </c>
      <c r="T295" s="1" t="n">
        <f aca="false">MAX(S294/$C$282,S294-T294)</f>
        <v>3.1908123828055</v>
      </c>
      <c r="U295" s="1" t="n">
        <f aca="false">MAX(T294/$C$282,T294-U294)</f>
        <v>3.26234028912587</v>
      </c>
      <c r="V295" s="1" t="n">
        <f aca="false">MAX(U294/$C$282,U294-V294)</f>
        <v>3.33395390944045</v>
      </c>
      <c r="W295" s="1" t="n">
        <f aca="false">MAX(V294/$C$282,V294-W294)</f>
        <v>3.40576539298687</v>
      </c>
      <c r="X295" s="1" t="n">
        <f aca="false">MAX(W294/$C$282,W294-X294)</f>
        <v>3.47686112728673</v>
      </c>
      <c r="Y295" s="1" t="n">
        <f aca="false">MAX(X294/$C$282,X294-Y294)</f>
        <v>3.54736148585853</v>
      </c>
      <c r="Z295" s="1" t="n">
        <f aca="false">MAX(Y294/$C$282,Y294-Z294)</f>
        <v>3.6173879489661</v>
      </c>
      <c r="AA295" s="1" t="n">
        <f aca="false">MAX(Z294/$C$282,Z294-AA294)</f>
        <v>3.68706281785538</v>
      </c>
      <c r="AB295" s="1" t="n">
        <f aca="false">MAX(AA294/$C$282,AA294-AB294)</f>
        <v>3.75650952618073</v>
      </c>
      <c r="AC295" s="1" t="n">
        <f aca="false">MAX(AB294/$C$282,AB294-AC294)</f>
        <v>3.8258754400867</v>
      </c>
      <c r="AD295" s="1" t="n">
        <f aca="false">MAX(AC294/$C$282,AC294-AD294)</f>
        <v>3.89530898330345</v>
      </c>
      <c r="AE295" s="1" t="n">
        <f aca="false">MAX(AD294/$C$282,AD294-AE294)</f>
        <v>3.96495984228105</v>
      </c>
      <c r="AF295" s="1" t="n">
        <f aca="false">MAX(AE294/$C$282,AE294-AF294)</f>
        <v>4.0349791823615</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5.11425232192987</v>
      </c>
      <c r="J296" s="1" t="n">
        <f aca="false">J294-I294+J295</f>
        <v>5.27291936059526</v>
      </c>
      <c r="K296" s="1" t="n">
        <f aca="false">K294-J294+K295</f>
        <v>5.43209687808077</v>
      </c>
      <c r="L296" s="1" t="n">
        <f aca="false">L294-K294+L295</f>
        <v>5.60215786350977</v>
      </c>
      <c r="M296" s="1" t="n">
        <f aca="false">M294-L294+M295</f>
        <v>0</v>
      </c>
      <c r="N296" s="1" t="n">
        <f aca="false">N294-M294+N295</f>
        <v>0</v>
      </c>
      <c r="O296" s="1" t="n">
        <f aca="false">O294-N294+O295</f>
        <v>3.71667095058762</v>
      </c>
      <c r="P296" s="1" t="n">
        <f aca="false">P294-O294+P295</f>
        <v>3.61769093017324</v>
      </c>
      <c r="Q296" s="1" t="n">
        <f aca="false">Q294-P294+Q295</f>
        <v>3.69471222366132</v>
      </c>
      <c r="R296" s="1" t="n">
        <f aca="false">R294-Q294+R295</f>
        <v>3.76453116704267</v>
      </c>
      <c r="S296" s="1" t="n">
        <f aca="false">S294-R294+S295</f>
        <v>3.83480711816729</v>
      </c>
      <c r="T296" s="1" t="n">
        <f aca="false">T294-S294+T295</f>
        <v>3.90609144600921</v>
      </c>
      <c r="U296" s="1" t="n">
        <f aca="false">U294-T294+U295</f>
        <v>3.97847649227168</v>
      </c>
      <c r="V296" s="1" t="n">
        <f aca="false">V294-U294+V295</f>
        <v>4.05206874490458</v>
      </c>
      <c r="W296" s="1" t="n">
        <f aca="false">W294-V294+W295</f>
        <v>4.1167227359855</v>
      </c>
      <c r="X296" s="1" t="n">
        <f aca="false">X294-W294+X295</f>
        <v>4.18186471300472</v>
      </c>
      <c r="Y296" s="1" t="n">
        <f aca="false">Y294-X294+Y295</f>
        <v>4.24762611693422</v>
      </c>
      <c r="Z296" s="1" t="n">
        <f aca="false">Z294-Y294+Z295</f>
        <v>4.31413663785894</v>
      </c>
      <c r="AA296" s="1" t="n">
        <f aca="false">AA294-Z294+AA295</f>
        <v>4.38152990110889</v>
      </c>
      <c r="AB296" s="1" t="n">
        <f aca="false">AB294-AA294+AB295</f>
        <v>4.45016866524044</v>
      </c>
      <c r="AC296" s="1" t="n">
        <f aca="false">AC294-AB294+AC295</f>
        <v>4.52021087225421</v>
      </c>
      <c r="AD296" s="1" t="n">
        <f aca="false">AD294-AC294+AD295</f>
        <v>4.59181757307943</v>
      </c>
      <c r="AE296" s="1" t="n">
        <f aca="false">AE294-AD294+AE295</f>
        <v>4.66515324308555</v>
      </c>
      <c r="AF296" s="1" t="n">
        <f aca="false">AF294-AE294+AF295</f>
        <v>4.74038538009048</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1.67905087553725</v>
      </c>
      <c r="M297" s="1" t="n">
        <f aca="false">M294*01_Supuestos!$I$126</f>
        <v>1.3432407004298</v>
      </c>
      <c r="N297" s="1" t="n">
        <f aca="false">N294*01_Supuestos!$I$126</f>
        <v>1.1256222635172</v>
      </c>
      <c r="O297" s="1" t="n">
        <f aca="false">O294*01_Supuestos!$I$126</f>
        <v>1.16172687518899</v>
      </c>
      <c r="P297" s="1" t="n">
        <f aca="false">P294*01_Supuestos!$I$126</f>
        <v>1.19026182487702</v>
      </c>
      <c r="Q297" s="1" t="n">
        <f aca="false">Q294*01_Supuestos!$I$126</f>
        <v>1.21902413133577</v>
      </c>
      <c r="R297" s="1" t="n">
        <f aca="false">R294*01_Supuestos!$I$126</f>
        <v>1.2477029648839</v>
      </c>
      <c r="S297" s="1" t="n">
        <f aca="false">S294*01_Supuestos!$I$126</f>
        <v>1.2763249531222</v>
      </c>
      <c r="T297" s="1" t="n">
        <f aca="false">T294*01_Supuestos!$I$126</f>
        <v>1.30493611565035</v>
      </c>
      <c r="U297" s="1" t="n">
        <f aca="false">U294*01_Supuestos!$I$126</f>
        <v>1.33358156377618</v>
      </c>
      <c r="V297" s="1" t="n">
        <f aca="false">V294*01_Supuestos!$I$126</f>
        <v>1.36230615719475</v>
      </c>
      <c r="W297" s="1" t="n">
        <f aca="false">W294*01_Supuestos!$I$126</f>
        <v>1.39074445091469</v>
      </c>
      <c r="X297" s="1" t="n">
        <f aca="false">X294*01_Supuestos!$I$126</f>
        <v>1.41894459434341</v>
      </c>
      <c r="Y297" s="1" t="n">
        <f aca="false">Y294*01_Supuestos!$I$126</f>
        <v>1.44695517958644</v>
      </c>
      <c r="Z297" s="1" t="n">
        <f aca="false">Z294*01_Supuestos!$I$126</f>
        <v>1.47482512714215</v>
      </c>
      <c r="AA297" s="1" t="n">
        <f aca="false">AA294*01_Supuestos!$I$126</f>
        <v>1.50260381047229</v>
      </c>
      <c r="AB297" s="1" t="n">
        <f aca="false">AB294*01_Supuestos!$I$126</f>
        <v>1.53035017603468</v>
      </c>
      <c r="AC297" s="1" t="n">
        <f aca="false">AC294*01_Supuestos!$I$126</f>
        <v>1.55812359332138</v>
      </c>
      <c r="AD297" s="1" t="n">
        <f aca="false">AD294*01_Supuestos!$I$126</f>
        <v>1.58598393691242</v>
      </c>
      <c r="AE297" s="1" t="n">
        <f aca="false">AE294*01_Supuestos!$I$126</f>
        <v>1.6139916729446</v>
      </c>
      <c r="AF297" s="1" t="n">
        <f aca="false">AF294*01_Supuestos!$I$126</f>
        <v>1.64220792085376</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34.9284486972292</v>
      </c>
      <c r="N299" s="1" t="n">
        <f aca="false">N286+N291+N296</f>
        <v>25.0236590996616</v>
      </c>
      <c r="O299" s="1" t="n">
        <f aca="false">O286+O291+O296</f>
        <v>23.704185993702</v>
      </c>
      <c r="P299" s="1" t="n">
        <f aca="false">P286+P291+P296</f>
        <v>24.2397127243281</v>
      </c>
      <c r="Q299" s="1" t="n">
        <f aca="false">Q286+Q291+Q296</f>
        <v>24.7955078641749</v>
      </c>
      <c r="R299" s="1" t="n">
        <f aca="false">R286+R291+R296</f>
        <v>25.364492322813</v>
      </c>
      <c r="S299" s="1" t="n">
        <f aca="false">S286+S291+S296</f>
        <v>25.9472686280157</v>
      </c>
      <c r="T299" s="1" t="n">
        <f aca="false">T286+T291+T296</f>
        <v>26.544126969925</v>
      </c>
      <c r="U299" s="1" t="n">
        <f aca="false">U286+U291+U296</f>
        <v>27.1553464367908</v>
      </c>
      <c r="V299" s="1" t="n">
        <f aca="false">V286+V291+V296</f>
        <v>27.7812143975617</v>
      </c>
      <c r="W299" s="1" t="n">
        <f aca="false">W286+W291+W296</f>
        <v>28.4220260509712</v>
      </c>
      <c r="X299" s="1" t="n">
        <f aca="false">X286+X291+X296</f>
        <v>29.0784727461328</v>
      </c>
      <c r="Y299" s="1" t="n">
        <f aca="false">Y286+Y291+Y296</f>
        <v>29.7508622788862</v>
      </c>
      <c r="Z299" s="1" t="n">
        <f aca="false">Z286+Z291+Z296</f>
        <v>30.4395101536001</v>
      </c>
      <c r="AA299" s="1" t="n">
        <f aca="false">AA286+AA291+AA296</f>
        <v>31.144739878305</v>
      </c>
      <c r="AB299" s="1" t="n">
        <f aca="false">AB286+AB291+AB296</f>
        <v>31.8668830380115</v>
      </c>
      <c r="AC299" s="1" t="n">
        <f aca="false">AC286+AC291+AC296</f>
        <v>32.6062708575471</v>
      </c>
      <c r="AD299" s="1" t="n">
        <f aca="false">AD286+AD291+AD296</f>
        <v>33.3632430628139</v>
      </c>
      <c r="AE299" s="1" t="n">
        <f aca="false">AE286+AE291+AE296</f>
        <v>34.1381480078518</v>
      </c>
      <c r="AF299" s="1" t="n">
        <f aca="false">AF286+AF291+AF296</f>
        <v>34.9313428024347</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21.4139912803959</v>
      </c>
      <c r="N300" s="1" t="n">
        <f aca="false">N285+N290+N295</f>
        <v>21.4448079739553</v>
      </c>
      <c r="O300" s="1" t="n">
        <f aca="false">O285+O290+O295</f>
        <v>20.0368084677789</v>
      </c>
      <c r="P300" s="1" t="n">
        <f aca="false">P285+P290+P295</f>
        <v>20.4882408977989</v>
      </c>
      <c r="Q300" s="1" t="n">
        <f aca="false">Q285+Q290+Q295</f>
        <v>20.9577975664246</v>
      </c>
      <c r="R300" s="1" t="n">
        <f aca="false">R285+R290+R295</f>
        <v>21.4385493453266</v>
      </c>
      <c r="S300" s="1" t="n">
        <f aca="false">S285+S290+S295</f>
        <v>21.9310449940103</v>
      </c>
      <c r="T300" s="1" t="n">
        <f aca="false">T285+T290+T295</f>
        <v>22.4355283128386</v>
      </c>
      <c r="U300" s="1" t="n">
        <f aca="false">U285+U290+U295</f>
        <v>22.9522314028065</v>
      </c>
      <c r="V300" s="1" t="n">
        <f aca="false">V285+V290+V295</f>
        <v>23.4813935157325</v>
      </c>
      <c r="W300" s="1" t="n">
        <f aca="false">W285+W290+W295</f>
        <v>24.0232605942963</v>
      </c>
      <c r="X300" s="1" t="n">
        <f aca="false">X285+X290+X295</f>
        <v>24.5784633152569</v>
      </c>
      <c r="Y300" s="1" t="n">
        <f aca="false">Y285+Y290+Y295</f>
        <v>25.1472579566266</v>
      </c>
      <c r="Z300" s="1" t="n">
        <f aca="false">Z285+Z290+Z295</f>
        <v>25.7299073034179</v>
      </c>
      <c r="AA300" s="1" t="n">
        <f aca="false">AA285+AA290+AA295</f>
        <v>26.3266809120292</v>
      </c>
      <c r="AB300" s="1" t="n">
        <f aca="false">AB285+AB290+AB295</f>
        <v>26.9378551581465</v>
      </c>
      <c r="AC300" s="1" t="n">
        <f aca="false">AC285+AC290+AC295</f>
        <v>27.5637049983933</v>
      </c>
      <c r="AD300" s="1" t="n">
        <f aca="false">AD285+AD290+AD295</f>
        <v>28.2045125729804</v>
      </c>
      <c r="AE300" s="1" t="n">
        <f aca="false">AE285+AE290+AE295</f>
        <v>28.8605673042759</v>
      </c>
      <c r="AF300" s="1" t="n">
        <f aca="false">AF285+AF290+AF295</f>
        <v>29.5321659953136</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5.76522377200817</v>
      </c>
      <c r="M302" s="1" t="n">
        <f aca="false">M287+M292+M297</f>
        <v>6.36650291356142</v>
      </c>
      <c r="N302" s="1" t="n">
        <f aca="false">N287+N292+N297</f>
        <v>6.53130380210402</v>
      </c>
      <c r="O302" s="1" t="n">
        <f aca="false">O287+O292+O297</f>
        <v>6.68076862352868</v>
      </c>
      <c r="P302" s="1" t="n">
        <f aca="false">P287+P292+P297</f>
        <v>6.83429211087686</v>
      </c>
      <c r="Q302" s="1" t="n">
        <f aca="false">Q287+Q292+Q297</f>
        <v>6.99137834834636</v>
      </c>
      <c r="R302" s="1" t="n">
        <f aca="false">R287+R292+R297</f>
        <v>7.15213264384318</v>
      </c>
      <c r="S302" s="1" t="n">
        <f aca="false">S287+S292+S297</f>
        <v>7.31663725232968</v>
      </c>
      <c r="T302" s="1" t="n">
        <f aca="false">T287+T292+T297</f>
        <v>7.48497493235304</v>
      </c>
      <c r="U302" s="1" t="n">
        <f aca="false">U287+U292+U297</f>
        <v>7.65723049129849</v>
      </c>
      <c r="V302" s="1" t="n">
        <f aca="false">V287+V292+V297</f>
        <v>7.83349078242324</v>
      </c>
      <c r="W302" s="1" t="n">
        <f aca="false">W287+W292+W297</f>
        <v>8.01387506465715</v>
      </c>
      <c r="X302" s="1" t="n">
        <f aca="false">X287+X292+X297</f>
        <v>8.19847414356257</v>
      </c>
      <c r="Y302" s="1" t="n">
        <f aca="false">Y287+Y292+Y297</f>
        <v>8.38738096237057</v>
      </c>
      <c r="Z302" s="1" t="n">
        <f aca="false">Z287+Z292+Z297</f>
        <v>8.58069066035001</v>
      </c>
      <c r="AA302" s="1" t="n">
        <f aca="false">AA287+AA292+AA297</f>
        <v>8.77850061466593</v>
      </c>
      <c r="AB302" s="1" t="n">
        <f aca="false">AB287+AB292+AB297</f>
        <v>8.98090981842289</v>
      </c>
      <c r="AC302" s="1" t="n">
        <f aca="false">AC287+AC292+AC297</f>
        <v>9.18801961051925</v>
      </c>
      <c r="AD302" s="1" t="n">
        <f aca="false">AD287+AD292+AD297</f>
        <v>9.39993372425387</v>
      </c>
      <c r="AE302" s="1" t="n">
        <f aca="false">AE287+AE292+AE297</f>
        <v>9.61675833686386</v>
      </c>
      <c r="AF302" s="1" t="n">
        <f aca="false">AF287+AF292+AF297</f>
        <v>9.83860212217676</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349.802265736928</v>
      </c>
      <c r="M307" s="116" t="n">
        <f aca="false">M81</f>
        <v>362.425202609807</v>
      </c>
      <c r="N307" s="116" t="n">
        <f aca="false">N81</f>
        <v>375.207421172401</v>
      </c>
      <c r="O307" s="116" t="n">
        <f aca="false">O81</f>
        <v>387.242291729662</v>
      </c>
      <c r="P307" s="116" t="n">
        <f aca="false">P81</f>
        <v>396.753941625673</v>
      </c>
      <c r="Q307" s="116" t="n">
        <f aca="false">Q81</f>
        <v>406.341377111923</v>
      </c>
      <c r="R307" s="116" t="n">
        <f aca="false">R81</f>
        <v>415.900988294633</v>
      </c>
      <c r="S307" s="116" t="n">
        <f aca="false">S81</f>
        <v>425.441651040733</v>
      </c>
      <c r="T307" s="116" t="n">
        <f aca="false">T81</f>
        <v>434.978705216783</v>
      </c>
      <c r="U307" s="116" t="n">
        <f aca="false">U81</f>
        <v>444.527187925394</v>
      </c>
      <c r="V307" s="116" t="n">
        <f aca="false">V81</f>
        <v>454.102052398249</v>
      </c>
      <c r="W307" s="116" t="n">
        <f aca="false">W81</f>
        <v>463.581483638231</v>
      </c>
      <c r="X307" s="116" t="n">
        <f aca="false">X81</f>
        <v>472.981531447804</v>
      </c>
      <c r="Y307" s="116" t="n">
        <f aca="false">Y81</f>
        <v>482.31839319548</v>
      </c>
      <c r="Z307" s="116" t="n">
        <f aca="false">Z81</f>
        <v>491.608375714051</v>
      </c>
      <c r="AA307" s="116" t="n">
        <f aca="false">AA81</f>
        <v>500.867936824098</v>
      </c>
      <c r="AB307" s="116" t="n">
        <f aca="false">AB81</f>
        <v>510.116725344894</v>
      </c>
      <c r="AC307" s="116" t="n">
        <f aca="false">AC81</f>
        <v>519.374531107127</v>
      </c>
      <c r="AD307" s="116" t="n">
        <f aca="false">AD81</f>
        <v>528.66131230414</v>
      </c>
      <c r="AE307" s="116" t="n">
        <f aca="false">AE81</f>
        <v>537.997224314867</v>
      </c>
      <c r="AF307" s="116" t="n">
        <f aca="false">AF81</f>
        <v>547.402640284587</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212.703594787321</v>
      </c>
      <c r="M309" s="1" t="n">
        <f aca="false">M307-M308</f>
        <v>211.907196642428</v>
      </c>
      <c r="N309" s="1" t="n">
        <f aca="false">N307-N308</f>
        <v>221.227501067772</v>
      </c>
      <c r="O309" s="1" t="n">
        <f aca="false">O307-O308</f>
        <v>229.720833462627</v>
      </c>
      <c r="P309" s="1" t="n">
        <f aca="false">P307-P308</f>
        <v>235.609489818496</v>
      </c>
      <c r="Q309" s="1" t="n">
        <f aca="false">Q307-Q308</f>
        <v>241.490602913181</v>
      </c>
      <c r="R309" s="1" t="n">
        <f aca="false">R307-R308</f>
        <v>247.25864628932</v>
      </c>
      <c r="S309" s="1" t="n">
        <f aca="false">S307-S308</f>
        <v>252.920535169298</v>
      </c>
      <c r="T309" s="1" t="n">
        <f aca="false">T307-T308</f>
        <v>258.489603680305</v>
      </c>
      <c r="U309" s="1" t="n">
        <f aca="false">U307-U308</f>
        <v>263.978837053577</v>
      </c>
      <c r="V309" s="1" t="n">
        <f aca="false">V307-V308</f>
        <v>269.40108945638</v>
      </c>
      <c r="W309" s="1" t="n">
        <f aca="false">W307-W308</f>
        <v>274.632398548699</v>
      </c>
      <c r="X309" s="1" t="n">
        <f aca="false">X307-X308</f>
        <v>279.686617401213</v>
      </c>
      <c r="Y309" s="1" t="n">
        <f aca="false">Y307-Y308</f>
        <v>284.577696125817</v>
      </c>
      <c r="Z309" s="1" t="n">
        <f aca="false">Z307-Z308</f>
        <v>289.319642611786</v>
      </c>
      <c r="AA309" s="1" t="n">
        <f aca="false">AA307-AA308</f>
        <v>293.926562860481</v>
      </c>
      <c r="AB309" s="1" t="n">
        <f aca="false">AB307-AB308</f>
        <v>298.415699780114</v>
      </c>
      <c r="AC309" s="1" t="n">
        <f aca="false">AC307-AC308</f>
        <v>302.804381954357</v>
      </c>
      <c r="AD309" s="1" t="n">
        <f aca="false">AD307-AD308</f>
        <v>307.110049720856</v>
      </c>
      <c r="AE309" s="1" t="n">
        <f aca="false">AE307-AE308</f>
        <v>311.350282692168</v>
      </c>
      <c r="AF309" s="1" t="n">
        <f aca="false">AF307-AF308</f>
        <v>315.542819004565</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39.193191233562</v>
      </c>
      <c r="M310" s="1" t="n">
        <f aca="false">IF(M307&gt;0,100*M308/M307,0)</f>
        <v>41.530777904932</v>
      </c>
      <c r="N310" s="1" t="n">
        <f aca="false">IF(N307&gt;0,100*N308/N307,0)</f>
        <v>41.0386126221842</v>
      </c>
      <c r="O310" s="1" t="n">
        <f aca="false">IF(O307&gt;0,100*O308/O307,0)</f>
        <v>40.6777517929272</v>
      </c>
      <c r="P310" s="1" t="n">
        <f aca="false">IF(P307&gt;0,100*P308/P307,0)</f>
        <v>40.615715409631</v>
      </c>
      <c r="Q310" s="1" t="n">
        <f aca="false">IF(Q307&gt;0,100*Q308/Q307,0)</f>
        <v>40.5695268767412</v>
      </c>
      <c r="R310" s="1" t="n">
        <f aca="false">IF(R307&gt;0,100*R308/R307,0)</f>
        <v>40.5486754664413</v>
      </c>
      <c r="S310" s="1" t="n">
        <f aca="false">IF(S307&gt;0,100*S308/S307,0)</f>
        <v>40.5510639236677</v>
      </c>
      <c r="T310" s="1" t="n">
        <f aca="false">IF(T307&gt;0,100*T308/T307,0)</f>
        <v>40.5741934995462</v>
      </c>
      <c r="U310" s="1" t="n">
        <f aca="false">IF(U307&gt;0,100*U308/U307,0)</f>
        <v>40.6158173844069</v>
      </c>
      <c r="V310" s="1" t="n">
        <f aca="false">IF(V307&gt;0,100*V308/V307,0)</f>
        <v>40.6738886042042</v>
      </c>
      <c r="W310" s="1" t="n">
        <f aca="false">IF(W307&gt;0,100*W308/W307,0)</f>
        <v>40.7585487683075</v>
      </c>
      <c r="X310" s="1" t="n">
        <f aca="false">IF(X307&gt;0,100*X308/X307,0)</f>
        <v>40.8673280444825</v>
      </c>
      <c r="Y310" s="1" t="n">
        <f aca="false">IF(Y307&gt;0,100*Y308/Y307,0)</f>
        <v>40.9979589954223</v>
      </c>
      <c r="Z310" s="1" t="n">
        <f aca="false">IF(Z307&gt;0,100*Z308/Z307,0)</f>
        <v>41.1483496001151</v>
      </c>
      <c r="AA310" s="1" t="n">
        <f aca="false">IF(AA307&gt;0,100*AA308/AA307,0)</f>
        <v>41.3165544745767</v>
      </c>
      <c r="AB310" s="1" t="n">
        <f aca="false">IF(AB307&gt;0,100*AB308/AB307,0)</f>
        <v>41.5005066578924</v>
      </c>
      <c r="AC310" s="1" t="n">
        <f aca="false">IF(AC307&gt;0,100*AC308/AC307,0)</f>
        <v>41.6982613088703</v>
      </c>
      <c r="AD310" s="1" t="n">
        <f aca="false">IF(AD307&gt;0,100*AD308/AD307,0)</f>
        <v>41.9079772676508</v>
      </c>
      <c r="AE310" s="1" t="n">
        <f aca="false">IF(AE307&gt;0,100*AE308/AE307,0)</f>
        <v>42.1279016655395</v>
      </c>
      <c r="AF310" s="1" t="n">
        <f aca="false">IF(AF307&gt;0,100*AF308/AF307,0)</f>
        <v>42.3563578647485</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12.0144898536263</v>
      </c>
      <c r="M313" s="116" t="n">
        <f aca="false">M111</f>
        <v>12.1731377818496</v>
      </c>
      <c r="N313" s="116" t="n">
        <f aca="false">N111</f>
        <v>12.3995659728803</v>
      </c>
      <c r="O313" s="116" t="n">
        <f aca="false">O111</f>
        <v>12.6811119740545</v>
      </c>
      <c r="P313" s="116" t="n">
        <f aca="false">P111</f>
        <v>13.1722970754048</v>
      </c>
      <c r="Q313" s="116" t="n">
        <f aca="false">Q111</f>
        <v>13.653870464581</v>
      </c>
      <c r="R313" s="116" t="n">
        <f aca="false">R111</f>
        <v>14.1221357146534</v>
      </c>
      <c r="S313" s="116" t="n">
        <f aca="false">S111</f>
        <v>14.5778889652226</v>
      </c>
      <c r="T313" s="116" t="n">
        <f aca="false">T111</f>
        <v>15.0218835607842</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5.76522377200817</v>
      </c>
      <c r="M314" s="1" t="n">
        <f aca="false">M302</f>
        <v>6.36650291356142</v>
      </c>
      <c r="N314" s="1" t="n">
        <f aca="false">N302</f>
        <v>6.53130380210402</v>
      </c>
      <c r="O314" s="1" t="n">
        <f aca="false">O302</f>
        <v>6.68076862352868</v>
      </c>
      <c r="P314" s="1" t="n">
        <f aca="false">P302</f>
        <v>6.83429211087686</v>
      </c>
      <c r="Q314" s="1" t="n">
        <f aca="false">Q302</f>
        <v>6.99137834834636</v>
      </c>
      <c r="R314" s="1" t="n">
        <f aca="false">R302</f>
        <v>7.15213264384318</v>
      </c>
      <c r="S314" s="1" t="n">
        <f aca="false">S302</f>
        <v>7.31663725232968</v>
      </c>
      <c r="T314" s="1" t="n">
        <f aca="false">T302</f>
        <v>7.48497493235304</v>
      </c>
      <c r="U314" s="1" t="n">
        <f aca="false">U302</f>
        <v>7.65723049129849</v>
      </c>
      <c r="V314" s="1" t="n">
        <f aca="false">V302</f>
        <v>7.83349078242324</v>
      </c>
      <c r="W314" s="1" t="n">
        <f aca="false">W302</f>
        <v>8.01387506465715</v>
      </c>
      <c r="X314" s="1" t="n">
        <f aca="false">X302</f>
        <v>8.19847414356257</v>
      </c>
      <c r="Y314" s="1" t="n">
        <f aca="false">Y302</f>
        <v>8.38738096237057</v>
      </c>
      <c r="Z314" s="1" t="n">
        <f aca="false">Z302</f>
        <v>8.58069066035001</v>
      </c>
      <c r="AA314" s="1" t="n">
        <f aca="false">AA302</f>
        <v>8.77850061466593</v>
      </c>
      <c r="AB314" s="1" t="n">
        <f aca="false">AB302</f>
        <v>8.98090981842289</v>
      </c>
      <c r="AC314" s="1" t="n">
        <f aca="false">AC302</f>
        <v>9.18801961051925</v>
      </c>
      <c r="AD314" s="1" t="n">
        <f aca="false">AD302</f>
        <v>9.39993372425387</v>
      </c>
      <c r="AE314" s="1" t="n">
        <f aca="false">AE302</f>
        <v>9.61675833686386</v>
      </c>
      <c r="AF314" s="1" t="n">
        <f aca="false">AF302</f>
        <v>9.83860212217676</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57.066429452404</v>
      </c>
      <c r="D316" s="1" t="n">
        <f aca="false">IF(D313&gt;0,100*(D314+D315)/D313,0)</f>
        <v>48.8274483834642</v>
      </c>
      <c r="E316" s="1" t="n">
        <f aca="false">IF(E313&gt;0,100*(E314+E315)/E313,0)</f>
        <v>47.6514402741486</v>
      </c>
      <c r="F316" s="1" t="n">
        <f aca="false">IF(F313&gt;0,100*(F314+F315)/F313,0)</f>
        <v>26.9990174466285</v>
      </c>
      <c r="G316" s="1" t="n">
        <f aca="false">IF(G313&gt;0,100*(G314+G315)/G313,0)</f>
        <v>32.191742531</v>
      </c>
      <c r="H316" s="1" t="n">
        <f aca="false">IF(H313&gt;0,100*(H314+H315)/H313,0)</f>
        <v>37.4787778154359</v>
      </c>
      <c r="I316" s="1" t="n">
        <f aca="false">IF(I313&gt;0,100*(I314+I315)/I313,0)</f>
        <v>42.8359936611859</v>
      </c>
      <c r="J316" s="1" t="n">
        <f aca="false">IF(J313&gt;0,100*(J314+J315)/J313,0)</f>
        <v>48.2405150894827</v>
      </c>
      <c r="K316" s="1" t="n">
        <f aca="false">IF(K313&gt;0,100*(K314+K315)/K313,0)</f>
        <v>53.6710457358489</v>
      </c>
      <c r="L316" s="1" t="n">
        <f aca="false">IF(L313&gt;0,100*(L314+L315)/L313,0)</f>
        <v>59.1078542357649</v>
      </c>
      <c r="M316" s="1" t="n">
        <f aca="false">IF(M313&gt;0,100*(M314+M315)/M313,0)</f>
        <v>63.5513498203096</v>
      </c>
      <c r="N316" s="1" t="n">
        <f aca="false">IF(N313&gt;0,100*(N314+N315)/N313,0)</f>
        <v>63.9960829540884</v>
      </c>
      <c r="O316" s="1" t="n">
        <f aca="false">IF(O313&gt;0,100*(O314+O315)/O313,0)</f>
        <v>64.0306597882372</v>
      </c>
      <c r="P316" s="1" t="n">
        <f aca="false">IF(P313&gt;0,100*(P314+P315)/P313,0)</f>
        <v>63.081624118424</v>
      </c>
      <c r="Q316" s="1" t="n">
        <f aca="false">IF(Q313&gt;0,100*(Q314+Q315)/Q313,0)</f>
        <v>62.2772887647224</v>
      </c>
      <c r="R316" s="1" t="n">
        <f aca="false">IF(R313&gt;0,100*(R314+R315)/R313,0)</f>
        <v>61.6182414460656</v>
      </c>
      <c r="S316" s="1" t="n">
        <f aca="false">IF(S313&gt;0,100*(S314+S315)/S313,0)</f>
        <v>61.0860618274746</v>
      </c>
      <c r="T316" s="1" t="n">
        <f aca="false">IF(T313&gt;0,100*(T314+T315)/T313,0)</f>
        <v>60.6655379462733</v>
      </c>
      <c r="U316" s="1" t="n">
        <f aca="false">IF(U313&gt;0,100*(U314+U315)/U313,0)</f>
        <v>60.3440057739601</v>
      </c>
      <c r="V316" s="1" t="n">
        <f aca="false">IF(V313&gt;0,100*(V314+V315)/V313,0)</f>
        <v>60.110838294237</v>
      </c>
      <c r="W316" s="1" t="n">
        <f aca="false">IF(W313&gt;0,100*(W314+W315)/W313,0)</f>
        <v>59.9572387982911</v>
      </c>
      <c r="X316" s="1" t="n">
        <f aca="false">IF(X313&gt;0,100*(X314+X315)/X313,0)</f>
        <v>59.8755479859754</v>
      </c>
      <c r="Y316" s="1" t="n">
        <f aca="false">IF(Y313&gt;0,100*(Y314+Y315)/Y313,0)</f>
        <v>59.8592067473616</v>
      </c>
      <c r="Z316" s="1" t="n">
        <f aca="false">IF(Z313&gt;0,100*(Z314+Z315)/Z313,0)</f>
        <v>59.9025653733917</v>
      </c>
      <c r="AA316" s="1" t="n">
        <f aca="false">IF(AA313&gt;0,100*(AA314+AA315)/AA313,0)</f>
        <v>60.0007307587382</v>
      </c>
      <c r="AB316" s="1" t="n">
        <f aca="false">IF(AB313&gt;0,100*(AB314+AB315)/AB313,0)</f>
        <v>60.1494394546217</v>
      </c>
      <c r="AC316" s="1" t="n">
        <f aca="false">IF(AC313&gt;0,100*(AC314+AC315)/AC313,0)</f>
        <v>60.3449614584655</v>
      </c>
      <c r="AD316" s="1" t="n">
        <f aca="false">IF(AD313&gt;0,100*(AD314+AD315)/AD313,0)</f>
        <v>60.5840180770198</v>
      </c>
      <c r="AE316" s="1" t="n">
        <f aca="false">IF(AE313&gt;0,100*(AE314+AE315)/AE313,0)</f>
        <v>60.8637142089005</v>
      </c>
      <c r="AF316" s="1" t="n">
        <f aca="false">IF(AF313&gt;0,100*(AF314+AF315)/AF313,0)</f>
        <v>61.1814821726989</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11.5864665062669</v>
      </c>
      <c r="M317" s="1" t="n">
        <f aca="false">$C$329*M291</f>
        <v>15.8205312890844</v>
      </c>
      <c r="N317" s="1" t="n">
        <f aca="false">$C$329*N291</f>
        <v>12.521551305634</v>
      </c>
      <c r="O317" s="1" t="n">
        <f aca="false">$C$329*O291</f>
        <v>10.7908872650424</v>
      </c>
      <c r="P317" s="1" t="n">
        <f aca="false">$C$329*P291</f>
        <v>11.1004497524117</v>
      </c>
      <c r="Q317" s="1" t="n">
        <f aca="false">$C$329*Q291</f>
        <v>11.35638309961</v>
      </c>
      <c r="R317" s="1" t="n">
        <f aca="false">$C$329*R291</f>
        <v>11.6220907645656</v>
      </c>
      <c r="S317" s="1" t="n">
        <f aca="false">$C$329*S291</f>
        <v>11.8950798530975</v>
      </c>
      <c r="T317" s="1" t="n">
        <f aca="false">$C$329*T291</f>
        <v>12.1752808896047</v>
      </c>
      <c r="U317" s="1" t="n">
        <f aca="false">$C$329*U291</f>
        <v>12.4627868957926</v>
      </c>
      <c r="V317" s="1" t="n">
        <f aca="false">$C$329*V291</f>
        <v>12.7576903006036</v>
      </c>
      <c r="W317" s="1" t="n">
        <f aca="false">$C$329*W291</f>
        <v>13.0640519516526</v>
      </c>
      <c r="X317" s="1" t="n">
        <f aca="false">$C$329*X291</f>
        <v>13.378768945308</v>
      </c>
      <c r="Y317" s="1" t="n">
        <f aca="false">$C$329*Y291</f>
        <v>13.7019336373264</v>
      </c>
      <c r="Z317" s="1" t="n">
        <f aca="false">$C$329*Z291</f>
        <v>14.0336430013258</v>
      </c>
      <c r="AA317" s="1" t="n">
        <f aca="false">$C$329*AA291</f>
        <v>14.3739966420882</v>
      </c>
      <c r="AB317" s="1" t="n">
        <f aca="false">$C$329*AB291</f>
        <v>14.7230097004984</v>
      </c>
      <c r="AC317" s="1" t="n">
        <f aca="false">$C$329*AC291</f>
        <v>15.0807718661406</v>
      </c>
      <c r="AD317" s="1" t="n">
        <f aca="false">$C$329*AD291</f>
        <v>15.4473760028277</v>
      </c>
      <c r="AE317" s="1" t="n">
        <f aca="false">$C$329*AE291</f>
        <v>15.8229180567865</v>
      </c>
      <c r="AF317" s="1" t="n">
        <f aca="false">$C$329*AF291</f>
        <v>16.2074972405097</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7.38555672284049</v>
      </c>
      <c r="N318" s="1" t="n">
        <f aca="false">$C$329*(N290+(1-$C$279)*N332)</f>
        <v>9.07929961574226</v>
      </c>
      <c r="O318" s="1" t="n">
        <f aca="false">$C$329*(O290+(1-$C$279)*O332)</f>
        <v>9.77050375507252</v>
      </c>
      <c r="P318" s="1" t="n">
        <f aca="false">$C$329*(P290+(1-$C$279)*P332)</f>
        <v>9.97539676387447</v>
      </c>
      <c r="Q318" s="1" t="n">
        <f aca="false">$C$329*(Q290+(1-$C$279)*Q332)</f>
        <v>10.2013074039727</v>
      </c>
      <c r="R318" s="1" t="n">
        <f aca="false">$C$329*(R290+(1-$C$279)*R332)</f>
        <v>10.4332466036567</v>
      </c>
      <c r="S318" s="1" t="n">
        <f aca="false">$C$329*(S290+(1-$C$279)*S332)</f>
        <v>10.6719665111672</v>
      </c>
      <c r="T318" s="1" t="n">
        <f aca="false">$C$329*(T290+(1-$C$279)*T332)</f>
        <v>10.9175676702268</v>
      </c>
      <c r="U318" s="1" t="n">
        <f aca="false">$C$329*(U290+(1-$C$279)*U332)</f>
        <v>11.1701164846779</v>
      </c>
      <c r="V318" s="1" t="n">
        <f aca="false">$C$329*(V290+(1-$C$279)*V332)</f>
        <v>11.4296847032297</v>
      </c>
      <c r="W318" s="1" t="n">
        <f aca="false">$C$329*(W290+(1-$C$279)*W332)</f>
        <v>11.6963482271824</v>
      </c>
      <c r="X318" s="1" t="n">
        <f aca="false">$C$329*(X290+(1-$C$279)*X332)</f>
        <v>11.970983135056</v>
      </c>
      <c r="Y318" s="1" t="n">
        <f aca="false">$C$329*(Y290+(1-$C$279)*Y332)</f>
        <v>12.2536665257546</v>
      </c>
      <c r="Z318" s="1" t="n">
        <f aca="false">$C$329*(Z290+(1-$C$279)*Z332)</f>
        <v>12.5444785617582</v>
      </c>
      <c r="AA318" s="1" t="n">
        <f aca="false">$C$329*(AA290+(1-$C$279)*AA332)</f>
        <v>12.8435027812234</v>
      </c>
      <c r="AB318" s="1" t="n">
        <f aca="false">$C$329*(AB290+(1-$C$279)*AB332)</f>
        <v>13.150825948485</v>
      </c>
      <c r="AC318" s="1" t="n">
        <f aca="false">$C$329*(AC290+(1-$C$279)*AC332)</f>
        <v>13.4665204458893</v>
      </c>
      <c r="AD318" s="1" t="n">
        <f aca="false">$C$329*(AD290+(1-$C$279)*AD332)</f>
        <v>13.7906621310758</v>
      </c>
      <c r="AE318" s="1" t="n">
        <f aca="false">$C$329*(AE290+(1-$C$279)*AE332)</f>
        <v>14.1233302765236</v>
      </c>
      <c r="AF318" s="1" t="n">
        <f aca="false">$C$329*(AF290+(1-$C$279)*AF332)</f>
        <v>14.4646075028004</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4.51898987202788</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5.90480603735201</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5.33851852059862</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4.48942131007612</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4.40922365222775</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4.51695990512416</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4.62226553933067</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4.73073303238582</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4.84209225219115</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4.95636415769824</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5.07358577976034</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5.19498461555614</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5.32003587875764</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5.4484569857287</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5.58028626413039</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5.71556329275903</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5.85430257435833</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5.99653252989203</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6.14228998746238</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6.29161301731871</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6.44454097783155</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2.78968289670728</v>
      </c>
      <c r="K320" s="1" t="n">
        <f aca="false">01_Supuestos!$C$185*K317</f>
        <v>3.12914976044339</v>
      </c>
      <c r="L320" s="1" t="n">
        <f aca="false">01_Supuestos!$C$185*L317</f>
        <v>3.47593995188008</v>
      </c>
      <c r="M320" s="1" t="n">
        <f aca="false">01_Supuestos!$C$185*M317</f>
        <v>4.74615938672531</v>
      </c>
      <c r="N320" s="1" t="n">
        <f aca="false">01_Supuestos!$C$185*N317</f>
        <v>3.75646539169019</v>
      </c>
      <c r="O320" s="1" t="n">
        <f aca="false">01_Supuestos!$C$185*O317</f>
        <v>3.23726617951273</v>
      </c>
      <c r="P320" s="1" t="n">
        <f aca="false">01_Supuestos!$C$185*P317</f>
        <v>3.3301349257235</v>
      </c>
      <c r="Q320" s="1" t="n">
        <f aca="false">01_Supuestos!$C$185*Q317</f>
        <v>3.40691492988299</v>
      </c>
      <c r="R320" s="1" t="n">
        <f aca="false">01_Supuestos!$C$185*R317</f>
        <v>3.48662722936967</v>
      </c>
      <c r="S320" s="1" t="n">
        <f aca="false">01_Supuestos!$C$185*S317</f>
        <v>3.56852395592926</v>
      </c>
      <c r="T320" s="1" t="n">
        <f aca="false">01_Supuestos!$C$185*T317</f>
        <v>3.6525842668814</v>
      </c>
      <c r="U320" s="1" t="n">
        <f aca="false">01_Supuestos!$C$185*U317</f>
        <v>3.73883606873778</v>
      </c>
      <c r="V320" s="1" t="n">
        <f aca="false">01_Supuestos!$C$185*V317</f>
        <v>3.82730709018109</v>
      </c>
      <c r="W320" s="1" t="n">
        <f aca="false">01_Supuestos!$C$185*W317</f>
        <v>3.91921558549577</v>
      </c>
      <c r="X320" s="1" t="n">
        <f aca="false">01_Supuestos!$C$185*X317</f>
        <v>4.01363068359239</v>
      </c>
      <c r="Y320" s="1" t="n">
        <f aca="false">01_Supuestos!$C$185*Y317</f>
        <v>4.11058009119791</v>
      </c>
      <c r="Z320" s="1" t="n">
        <f aca="false">01_Supuestos!$C$185*Z317</f>
        <v>4.21009290039775</v>
      </c>
      <c r="AA320" s="1" t="n">
        <f aca="false">01_Supuestos!$C$185*AA317</f>
        <v>4.31219899262645</v>
      </c>
      <c r="AB320" s="1" t="n">
        <f aca="false">01_Supuestos!$C$185*AB317</f>
        <v>4.41690291014951</v>
      </c>
      <c r="AC320" s="1" t="n">
        <f aca="false">01_Supuestos!$C$185*AC317</f>
        <v>4.52423155984219</v>
      </c>
      <c r="AD320" s="1" t="n">
        <f aca="false">01_Supuestos!$C$185*AD317</f>
        <v>4.63421280084831</v>
      </c>
      <c r="AE320" s="1" t="n">
        <f aca="false">01_Supuestos!$C$185*AE317</f>
        <v>4.74687541703594</v>
      </c>
      <c r="AF320" s="1" t="n">
        <f aca="false">01_Supuestos!$C$185*AF317</f>
        <v>4.86224917215291</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4.51898987202788</v>
      </c>
      <c r="M321" s="1" t="n">
        <f aca="false">L321+M320-M323</f>
        <v>5.90480603735201</v>
      </c>
      <c r="N321" s="1" t="n">
        <f aca="false">M321+N320-N323</f>
        <v>5.33851852059862</v>
      </c>
      <c r="O321" s="1" t="n">
        <f aca="false">N321+O320-O323</f>
        <v>4.48942131007612</v>
      </c>
      <c r="P321" s="1" t="n">
        <f aca="false">O321+P320-P323</f>
        <v>4.40922365222775</v>
      </c>
      <c r="Q321" s="1" t="n">
        <f aca="false">P321+Q320-Q323</f>
        <v>4.51695990512416</v>
      </c>
      <c r="R321" s="1" t="n">
        <f aca="false">Q321+R320-R323</f>
        <v>4.62226553933067</v>
      </c>
      <c r="S321" s="1" t="n">
        <f aca="false">R321+S320-S323</f>
        <v>4.73073303238582</v>
      </c>
      <c r="T321" s="1" t="n">
        <f aca="false">S321+T320-T323</f>
        <v>4.84209225219115</v>
      </c>
      <c r="U321" s="1" t="n">
        <f aca="false">T321+U320-U323</f>
        <v>4.95636415769824</v>
      </c>
      <c r="V321" s="1" t="n">
        <f aca="false">U321+V320-V323</f>
        <v>5.07358577976034</v>
      </c>
      <c r="W321" s="1" t="n">
        <f aca="false">V321+W320-W323</f>
        <v>5.19498461555614</v>
      </c>
      <c r="X321" s="1" t="n">
        <f aca="false">W321+X320-X323</f>
        <v>5.32003587875764</v>
      </c>
      <c r="Y321" s="1" t="n">
        <f aca="false">X321+Y320-Y323</f>
        <v>5.4484569857287</v>
      </c>
      <c r="Z321" s="1" t="n">
        <f aca="false">Y321+Z320-Z323</f>
        <v>5.58028626413039</v>
      </c>
      <c r="AA321" s="1" t="n">
        <f aca="false">Z321+AA320-AA323</f>
        <v>5.71556329275903</v>
      </c>
      <c r="AB321" s="1" t="n">
        <f aca="false">AA321+AB320-AB323</f>
        <v>5.85430257435833</v>
      </c>
      <c r="AC321" s="1" t="n">
        <f aca="false">AB321+AC320-AC323</f>
        <v>5.99653252989203</v>
      </c>
      <c r="AD321" s="1" t="n">
        <f aca="false">AC321+AD320-AD323</f>
        <v>6.14228998746238</v>
      </c>
      <c r="AE321" s="1" t="n">
        <f aca="false">AD321+AE320-AE323</f>
        <v>6.29161301731871</v>
      </c>
      <c r="AF321" s="1" t="n">
        <f aca="false">AE321+AF320-AF323</f>
        <v>6.44454097783155</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3.36034322140119</v>
      </c>
      <c r="N323" s="1" t="n">
        <f aca="false">MAX(0,MIN(N318,M321+N320,M321+N320-N319))</f>
        <v>4.32275290844357</v>
      </c>
      <c r="O323" s="1" t="n">
        <f aca="false">MAX(0,MIN(O318,N321+O320,N321+O320-O319))</f>
        <v>4.08636339003523</v>
      </c>
      <c r="P323" s="1" t="n">
        <f aca="false">MAX(0,MIN(P318,O321+P320,O321+P320-P319))</f>
        <v>3.41033258357188</v>
      </c>
      <c r="Q323" s="1" t="n">
        <f aca="false">MAX(0,MIN(Q318,P321+Q320,P321+Q320-Q319))</f>
        <v>3.29917867698658</v>
      </c>
      <c r="R323" s="1" t="n">
        <f aca="false">MAX(0,MIN(R318,Q321+R320,Q321+R320-R319))</f>
        <v>3.38132159516316</v>
      </c>
      <c r="S323" s="1" t="n">
        <f aca="false">MAX(0,MIN(S318,R321+S320,R321+S320-S319))</f>
        <v>3.46005646287411</v>
      </c>
      <c r="T323" s="1" t="n">
        <f aca="false">MAX(0,MIN(T318,S321+T320,S321+T320-T319))</f>
        <v>3.54122504707606</v>
      </c>
      <c r="U323" s="1" t="n">
        <f aca="false">MAX(0,MIN(U318,T321+U320,T321+U320-U319))</f>
        <v>3.62456416323069</v>
      </c>
      <c r="V323" s="1" t="n">
        <f aca="false">MAX(0,MIN(V318,U321+V320,U321+V320-V319))</f>
        <v>3.71008546811898</v>
      </c>
      <c r="W323" s="1" t="n">
        <f aca="false">MAX(0,MIN(W318,V321+W320,V321+W320-W319))</f>
        <v>3.79781674969998</v>
      </c>
      <c r="X323" s="1" t="n">
        <f aca="false">MAX(0,MIN(X318,W321+X320,W321+X320-X319))</f>
        <v>3.88857942039088</v>
      </c>
      <c r="Y323" s="1" t="n">
        <f aca="false">MAX(0,MIN(Y318,X321+Y320,X321+Y320-Y319))</f>
        <v>3.98215898422685</v>
      </c>
      <c r="Z323" s="1" t="n">
        <f aca="false">MAX(0,MIN(Z318,Y321+Z320,Y321+Z320-Z319))</f>
        <v>4.07826362199607</v>
      </c>
      <c r="AA323" s="1" t="n">
        <f aca="false">MAX(0,MIN(AA318,Z321+AA320,Z321+AA320-AA319))</f>
        <v>4.1769219639978</v>
      </c>
      <c r="AB323" s="1" t="n">
        <f aca="false">MAX(0,MIN(AB318,AA321+AB320,AA321+AB320-AB319))</f>
        <v>4.27816362855022</v>
      </c>
      <c r="AC323" s="1" t="n">
        <f aca="false">MAX(0,MIN(AC318,AB321+AC320,AB321+AC320-AC319))</f>
        <v>4.38200160430849</v>
      </c>
      <c r="AD323" s="1" t="n">
        <f aca="false">MAX(0,MIN(AD318,AC321+AD320,AC321+AD320-AD319))</f>
        <v>4.48845534327796</v>
      </c>
      <c r="AE323" s="1" t="n">
        <f aca="false">MAX(0,MIN(AE318,AD321+AE320,AD321+AE320-AE319))</f>
        <v>4.59755238717961</v>
      </c>
      <c r="AF323" s="1" t="n">
        <f aca="false">MAX(0,MIN(AF318,AE321+AF320,AE321+AF320-AF319))</f>
        <v>4.70932121164007</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4.51898987202788</v>
      </c>
      <c r="M326" s="1" t="n">
        <f aca="false">IF(01_Supuestos!$C$184="Sí",M321,$C$172*M83)</f>
        <v>5.90480603735201</v>
      </c>
      <c r="N326" s="1" t="n">
        <f aca="false">IF(01_Supuestos!$C$184="Sí",N321,$C$172*N83)</f>
        <v>5.33851852059862</v>
      </c>
      <c r="O326" s="1" t="n">
        <f aca="false">IF(01_Supuestos!$C$184="Sí",O321,$C$172*O83)</f>
        <v>4.48942131007612</v>
      </c>
      <c r="P326" s="1" t="n">
        <f aca="false">IF(01_Supuestos!$C$184="Sí",P321,$C$172*P83)</f>
        <v>4.40922365222775</v>
      </c>
      <c r="Q326" s="1" t="n">
        <f aca="false">IF(01_Supuestos!$C$184="Sí",Q321,$C$172*Q83)</f>
        <v>4.51695990512416</v>
      </c>
      <c r="R326" s="1" t="n">
        <f aca="false">IF(01_Supuestos!$C$184="Sí",R321,$C$172*R83)</f>
        <v>4.62226553933067</v>
      </c>
      <c r="S326" s="1" t="n">
        <f aca="false">IF(01_Supuestos!$C$184="Sí",S321,$C$172*S83)</f>
        <v>4.73073303238582</v>
      </c>
      <c r="T326" s="1" t="n">
        <f aca="false">IF(01_Supuestos!$C$184="Sí",T321,$C$172*T83)</f>
        <v>4.84209225219115</v>
      </c>
      <c r="U326" s="1" t="n">
        <f aca="false">IF(01_Supuestos!$C$184="Sí",U321,$C$172*U83)</f>
        <v>4.95636415769824</v>
      </c>
      <c r="V326" s="1" t="n">
        <f aca="false">IF(01_Supuestos!$C$184="Sí",V321,$C$172*V83)</f>
        <v>5.07358577976034</v>
      </c>
      <c r="W326" s="1" t="n">
        <f aca="false">IF(01_Supuestos!$C$184="Sí",W321,$C$172*W83)</f>
        <v>5.19498461555614</v>
      </c>
      <c r="X326" s="1" t="n">
        <f aca="false">IF(01_Supuestos!$C$184="Sí",X321,$C$172*X83)</f>
        <v>5.32003587875764</v>
      </c>
      <c r="Y326" s="1" t="n">
        <f aca="false">IF(01_Supuestos!$C$184="Sí",Y321,$C$172*Y83)</f>
        <v>5.4484569857287</v>
      </c>
      <c r="Z326" s="1" t="n">
        <f aca="false">IF(01_Supuestos!$C$184="Sí",Z321,$C$172*Z83)</f>
        <v>5.58028626413039</v>
      </c>
      <c r="AA326" s="1" t="n">
        <f aca="false">IF(01_Supuestos!$C$184="Sí",AA321,$C$172*AA83)</f>
        <v>5.71556329275903</v>
      </c>
      <c r="AB326" s="1" t="n">
        <f aca="false">IF(01_Supuestos!$C$184="Sí",AB321,$C$172*AB83)</f>
        <v>5.85430257435833</v>
      </c>
      <c r="AC326" s="1" t="n">
        <f aca="false">IF(01_Supuestos!$C$184="Sí",AC321,$C$172*AC83)</f>
        <v>5.99653252989203</v>
      </c>
      <c r="AD326" s="1" t="n">
        <f aca="false">IF(01_Supuestos!$C$184="Sí",AD321,$C$172*AD83)</f>
        <v>6.14228998746238</v>
      </c>
      <c r="AE326" s="1" t="n">
        <f aca="false">IF(01_Supuestos!$C$184="Sí",AE321,$C$172*AE83)</f>
        <v>6.29161301731871</v>
      </c>
      <c r="AF326" s="1" t="n">
        <f aca="false">IF(01_Supuestos!$C$184="Sí",AF321,$C$172*AF83)</f>
        <v>6.44454097783155</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0.114204841438389</v>
      </c>
      <c r="N327" s="1" t="n">
        <f aca="false">IF(01_Supuestos!$C$184="Sí",MAX(0.001,IF(M299&gt;0,M320/M299,$C$328*(1-$C$279))),$C$172)</f>
        <v>0.135882341293383</v>
      </c>
      <c r="O327" s="1" t="n">
        <f aca="false">IF(01_Supuestos!$C$184="Sí",MAX(0.001,IF(N299&gt;0,N320/N299,$C$328*(1-$C$279))),$C$172)</f>
        <v>0.150116550770186</v>
      </c>
      <c r="P327" s="1" t="n">
        <f aca="false">IF(01_Supuestos!$C$184="Sí",MAX(0.001,IF(O299&gt;0,O320/O299,$C$328*(1-$C$279))),$C$172)</f>
        <v>0.136569388224208</v>
      </c>
      <c r="Q327" s="1" t="n">
        <f aca="false">IF(01_Supuestos!$C$184="Sí",MAX(0.001,IF(P299&gt;0,P320/P299,$C$328*(1-$C$279))),$C$172)</f>
        <v>0.137383432039656</v>
      </c>
      <c r="R327" s="1" t="n">
        <f aca="false">IF(01_Supuestos!$C$184="Sí",MAX(0.001,IF(Q299&gt;0,Q320/Q299,$C$328*(1-$C$279))),$C$172)</f>
        <v>0.137400489981711</v>
      </c>
      <c r="S327" s="1" t="n">
        <f aca="false">IF(01_Supuestos!$C$184="Sí",MAX(0.001,IF(R299&gt;0,R320/R299,$C$328*(1-$C$279))),$C$172)</f>
        <v>0.137460950725742</v>
      </c>
      <c r="T327" s="1" t="n">
        <f aca="false">IF(01_Supuestos!$C$184="Sí",MAX(0.001,IF(S299&gt;0,S320/S299,$C$328*(1-$C$279))),$C$172)</f>
        <v>0.137529849753676</v>
      </c>
      <c r="U327" s="1" t="n">
        <f aca="false">IF(01_Supuestos!$C$184="Sí",MAX(0.001,IF(T299&gt;0,T320/T299,$C$328*(1-$C$279))),$C$172)</f>
        <v>0.137604234300862</v>
      </c>
      <c r="V327" s="1" t="n">
        <f aca="false">IF(01_Supuestos!$C$184="Sí",MAX(0.001,IF(U299&gt;0,U320/U299,$C$328*(1-$C$279))),$C$172)</f>
        <v>0.137683239558023</v>
      </c>
      <c r="W327" s="1" t="n">
        <f aca="false">IF(01_Supuestos!$C$184="Sí",MAX(0.001,IF(V299&gt;0,V320/V299,$C$328*(1-$C$279))),$C$172)</f>
        <v>0.137766011068148</v>
      </c>
      <c r="X327" s="1" t="n">
        <f aca="false">IF(01_Supuestos!$C$184="Sí",MAX(0.001,IF(W299&gt;0,W320/W299,$C$328*(1-$C$279))),$C$172)</f>
        <v>0.137893603308476</v>
      </c>
      <c r="Y327" s="1" t="n">
        <f aca="false">IF(01_Supuestos!$C$184="Sí",MAX(0.001,IF(X299&gt;0,X320/X299,$C$328*(1-$C$279))),$C$172)</f>
        <v>0.138027561441519</v>
      </c>
      <c r="Z327" s="1" t="n">
        <f aca="false">IF(01_Supuestos!$C$184="Sí",MAX(0.001,IF(Y299&gt;0,Y320/Y299,$C$328*(1-$C$279))),$C$172)</f>
        <v>0.138166754720085</v>
      </c>
      <c r="AA327" s="1" t="n">
        <f aca="false">IF(01_Supuestos!$C$184="Sí",MAX(0.001,IF(Z299&gt;0,Z320/Z299,$C$328*(1-$C$279))),$C$172)</f>
        <v>0.138310139655773</v>
      </c>
      <c r="AB327" s="1" t="n">
        <f aca="false">IF(01_Supuestos!$C$184="Sí",MAX(0.001,IF(AA299&gt;0,AA320/AA299,$C$328*(1-$C$279))),$C$172)</f>
        <v>0.138456734892503</v>
      </c>
      <c r="AC327" s="1" t="n">
        <f aca="false">IF(01_Supuestos!$C$184="Sí",MAX(0.001,IF(AB299&gt;0,AB320/AB299,$C$328*(1-$C$279))),$C$172)</f>
        <v>0.138604798746113</v>
      </c>
      <c r="AD327" s="1" t="n">
        <f aca="false">IF(01_Supuestos!$C$184="Sí",MAX(0.001,IF(AC299&gt;0,AC320/AC299,$C$328*(1-$C$279))),$C$172)</f>
        <v>0.138753418923863</v>
      </c>
      <c r="AE327" s="1" t="n">
        <f aca="false">IF(01_Supuestos!$C$184="Sí",MAX(0.001,IF(AD299&gt;0,AD320/AD299,$C$328*(1-$C$279))),$C$172)</f>
        <v>0.138901748613687</v>
      </c>
      <c r="AF327" s="1" t="n">
        <f aca="false">IF(01_Supuestos!$C$184="Sí",MAX(0.001,IF(AE299&gt;0,AE320/AE299,$C$328*(1-$C$279))),$C$172)</f>
        <v>0.139049002187938</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0.0815282776226255</v>
      </c>
      <c r="M330" s="1" t="n">
        <f aca="false">M343</f>
        <v>0.0951223990611755</v>
      </c>
      <c r="N330" s="1" t="n">
        <f aca="false">N343</f>
        <v>0.116936988456634</v>
      </c>
      <c r="O330" s="1" t="n">
        <f aca="false">O343</f>
        <v>0.125839363516699</v>
      </c>
      <c r="P330" s="1" t="n">
        <f aca="false">P343</f>
        <v>0.12847828638731</v>
      </c>
      <c r="Q330" s="1" t="n">
        <f aca="false">Q343</f>
        <v>0.131387906185251</v>
      </c>
      <c r="R330" s="1" t="n">
        <f aca="false">R343</f>
        <v>0.134375170915348</v>
      </c>
      <c r="S330" s="1" t="n">
        <f aca="false">S343</f>
        <v>0.137449767883215</v>
      </c>
      <c r="T330" s="1" t="n">
        <f aca="false">T343</f>
        <v>0.14061299204338</v>
      </c>
      <c r="U330" s="1" t="n">
        <f aca="false">U343</f>
        <v>0.143865698645219</v>
      </c>
      <c r="V330" s="1" t="n">
        <f aca="false">V343</f>
        <v>0.147208811777413</v>
      </c>
      <c r="W330" s="1" t="n">
        <f aca="false">W343</f>
        <v>0.150643309012</v>
      </c>
      <c r="X330" s="1" t="n">
        <f aca="false">X343</f>
        <v>0.154180473816664</v>
      </c>
      <c r="Y330" s="1" t="n">
        <f aca="false">Y343</f>
        <v>0.157821299188006</v>
      </c>
      <c r="Z330" s="1" t="n">
        <f aca="false">Z343</f>
        <v>0.161566817580002</v>
      </c>
      <c r="AA330" s="1" t="n">
        <f aca="false">AA343</f>
        <v>0.165418104923711</v>
      </c>
      <c r="AB330" s="1" t="n">
        <f aca="false">AB343</f>
        <v>0.16937627870181</v>
      </c>
      <c r="AC330" s="1" t="n">
        <f aca="false">AC343</f>
        <v>0.173442271163913</v>
      </c>
      <c r="AD330" s="1" t="n">
        <f aca="false">AD343</f>
        <v>0.177617059319735</v>
      </c>
      <c r="AE330" s="1" t="n">
        <f aca="false">AE343</f>
        <v>0.181901664160473</v>
      </c>
      <c r="AF330" s="1" t="n">
        <f aca="false">AF343</f>
        <v>0.186297149799084</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0.0815282776226255</v>
      </c>
      <c r="M331" s="1" t="n">
        <f aca="false">M330*$C$338</f>
        <v>0.0951223990611755</v>
      </c>
      <c r="N331" s="1" t="n">
        <f aca="false">N330*$C$338</f>
        <v>0.116936988456634</v>
      </c>
      <c r="O331" s="1" t="n">
        <f aca="false">O330*$C$338</f>
        <v>0.125839363516699</v>
      </c>
      <c r="P331" s="1" t="n">
        <f aca="false">P330*$C$338</f>
        <v>0.12847828638731</v>
      </c>
      <c r="Q331" s="1" t="n">
        <f aca="false">Q330*$C$338</f>
        <v>0.131387906185251</v>
      </c>
      <c r="R331" s="1" t="n">
        <f aca="false">R330*$C$338</f>
        <v>0.134375170915348</v>
      </c>
      <c r="S331" s="1" t="n">
        <f aca="false">S330*$C$338</f>
        <v>0.137449767883215</v>
      </c>
      <c r="T331" s="1" t="n">
        <f aca="false">T330*$C$338</f>
        <v>0.14061299204338</v>
      </c>
      <c r="U331" s="1" t="n">
        <f aca="false">U330*$C$338</f>
        <v>0.143865698645219</v>
      </c>
      <c r="V331" s="1" t="n">
        <f aca="false">V330*$C$338</f>
        <v>0.147208811777413</v>
      </c>
      <c r="W331" s="1" t="n">
        <f aca="false">W330*$C$338</f>
        <v>0.150643309012</v>
      </c>
      <c r="X331" s="1" t="n">
        <f aca="false">X330*$C$338</f>
        <v>0.154180473816664</v>
      </c>
      <c r="Y331" s="1" t="n">
        <f aca="false">Y330*$C$338</f>
        <v>0.157821299188006</v>
      </c>
      <c r="Z331" s="1" t="n">
        <f aca="false">Z330*$C$338</f>
        <v>0.161566817580002</v>
      </c>
      <c r="AA331" s="1" t="n">
        <f aca="false">AA330*$C$338</f>
        <v>0.165418104923711</v>
      </c>
      <c r="AB331" s="1" t="n">
        <f aca="false">AB330*$C$338</f>
        <v>0.16937627870181</v>
      </c>
      <c r="AC331" s="1" t="n">
        <f aca="false">AC330*$C$338</f>
        <v>0.173442271163913</v>
      </c>
      <c r="AD331" s="1" t="n">
        <f aca="false">AD330*$C$338</f>
        <v>0.177617059319735</v>
      </c>
      <c r="AE331" s="1" t="n">
        <f aca="false">AE330*$C$338</f>
        <v>0.181901664160473</v>
      </c>
      <c r="AF331" s="1" t="n">
        <f aca="false">AF330*$C$338</f>
        <v>0.186297149799084</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0.0815282776226255</v>
      </c>
      <c r="M332" s="1" t="n">
        <f aca="false">IF($C$339&lt;=0,M331,IF($C$339=1,L331,K331))</f>
        <v>0.0951223990611755</v>
      </c>
      <c r="N332" s="1" t="n">
        <f aca="false">IF($C$339&lt;=0,N331,IF($C$339=1,M331,L331))</f>
        <v>0.116936988456634</v>
      </c>
      <c r="O332" s="1" t="n">
        <f aca="false">IF($C$339&lt;=0,O331,IF($C$339=1,N331,M331))</f>
        <v>0.125839363516699</v>
      </c>
      <c r="P332" s="1" t="n">
        <f aca="false">IF($C$339&lt;=0,P331,IF($C$339=1,O331,N331))</f>
        <v>0.12847828638731</v>
      </c>
      <c r="Q332" s="1" t="n">
        <f aca="false">IF($C$339&lt;=0,Q331,IF($C$339=1,P331,O331))</f>
        <v>0.131387906185251</v>
      </c>
      <c r="R332" s="1" t="n">
        <f aca="false">IF($C$339&lt;=0,R331,IF($C$339=1,Q331,P331))</f>
        <v>0.134375170915348</v>
      </c>
      <c r="S332" s="1" t="n">
        <f aca="false">IF($C$339&lt;=0,S331,IF($C$339=1,R331,Q331))</f>
        <v>0.137449767883215</v>
      </c>
      <c r="T332" s="1" t="n">
        <f aca="false">IF($C$339&lt;=0,T331,IF($C$339=1,S331,R331))</f>
        <v>0.14061299204338</v>
      </c>
      <c r="U332" s="1" t="n">
        <f aca="false">IF($C$339&lt;=0,U331,IF($C$339=1,T331,S331))</f>
        <v>0.143865698645219</v>
      </c>
      <c r="V332" s="1" t="n">
        <f aca="false">IF($C$339&lt;=0,V331,IF($C$339=1,U331,T331))</f>
        <v>0.147208811777413</v>
      </c>
      <c r="W332" s="1" t="n">
        <f aca="false">IF($C$339&lt;=0,W331,IF($C$339=1,V331,U331))</f>
        <v>0.150643309012</v>
      </c>
      <c r="X332" s="1" t="n">
        <f aca="false">IF($C$339&lt;=0,X331,IF($C$339=1,W331,V331))</f>
        <v>0.154180473816664</v>
      </c>
      <c r="Y332" s="1" t="n">
        <f aca="false">IF($C$339&lt;=0,Y331,IF($C$339=1,X331,W331))</f>
        <v>0.157821299188006</v>
      </c>
      <c r="Z332" s="1" t="n">
        <f aca="false">IF($C$339&lt;=0,Z331,IF($C$339=1,Y331,X331))</f>
        <v>0.161566817580002</v>
      </c>
      <c r="AA332" s="1" t="n">
        <f aca="false">IF($C$339&lt;=0,AA331,IF($C$339=1,Z331,Y331))</f>
        <v>0.165418104923711</v>
      </c>
      <c r="AB332" s="1" t="n">
        <f aca="false">IF($C$339&lt;=0,AB331,IF($C$339=1,AA331,Z331))</f>
        <v>0.16937627870181</v>
      </c>
      <c r="AC332" s="1" t="n">
        <f aca="false">IF($C$339&lt;=0,AC331,IF($C$339=1,AB331,AA331))</f>
        <v>0.173442271163913</v>
      </c>
      <c r="AD332" s="1" t="n">
        <f aca="false">IF($C$339&lt;=0,AD331,IF($C$339=1,AC331,AB331))</f>
        <v>0.177617059319735</v>
      </c>
      <c r="AE332" s="1" t="n">
        <f aca="false">IF($C$339&lt;=0,AE331,IF($C$339=1,AD331,AC331))</f>
        <v>0.181901664160473</v>
      </c>
      <c r="AF332" s="1" t="n">
        <f aca="false">IF($C$339&lt;=0,AF331,IF($C$339=1,AE331,AD331))</f>
        <v>0.186297149799084</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0.0232336567218632</v>
      </c>
      <c r="K341" s="1" t="n">
        <f aca="false">J284*$C$340</f>
        <v>0.0286689144574326</v>
      </c>
      <c r="L341" s="1" t="n">
        <f aca="false">K284*$C$340</f>
        <v>0.0342418766015027</v>
      </c>
      <c r="M341" s="1" t="n">
        <f aca="false">L284*$C$340</f>
        <v>0.0399514076056937</v>
      </c>
      <c r="N341" s="1" t="n">
        <f aca="false">M284*$C$340</f>
        <v>0.0491135351517862</v>
      </c>
      <c r="O341" s="1" t="n">
        <f aca="false">N284*$C$340</f>
        <v>0.0528525326770134</v>
      </c>
      <c r="P341" s="1" t="n">
        <f aca="false">O284*$C$340</f>
        <v>0.0539608802826703</v>
      </c>
      <c r="Q341" s="1" t="n">
        <f aca="false">P284*$C$340</f>
        <v>0.0551829205978056</v>
      </c>
      <c r="R341" s="1" t="n">
        <f aca="false">Q284*$C$340</f>
        <v>0.056437571784446</v>
      </c>
      <c r="S341" s="1" t="n">
        <f aca="false">R284*$C$340</f>
        <v>0.0577289025109505</v>
      </c>
      <c r="T341" s="1" t="n">
        <f aca="false">S284*$C$340</f>
        <v>0.0590574566582196</v>
      </c>
      <c r="U341" s="1" t="n">
        <f aca="false">T284*$C$340</f>
        <v>0.0604235934309921</v>
      </c>
      <c r="V341" s="1" t="n">
        <f aca="false">U284*$C$340</f>
        <v>0.0618277009465133</v>
      </c>
      <c r="W341" s="1" t="n">
        <f aca="false">V284*$C$340</f>
        <v>0.0632701897850401</v>
      </c>
      <c r="X341" s="1" t="n">
        <f aca="false">W284*$C$340</f>
        <v>0.0647557990029991</v>
      </c>
      <c r="Y341" s="1" t="n">
        <f aca="false">X284*$C$340</f>
        <v>0.0662849456589624</v>
      </c>
      <c r="Z341" s="1" t="n">
        <f aca="false">Y284*$C$340</f>
        <v>0.0678580633836007</v>
      </c>
      <c r="AA341" s="1" t="n">
        <f aca="false">Z284*$C$340</f>
        <v>0.0694756040679586</v>
      </c>
      <c r="AB341" s="1" t="n">
        <f aca="false">AA284*$C$340</f>
        <v>0.07113803705476</v>
      </c>
      <c r="AC341" s="1" t="n">
        <f aca="false">AB284*$C$340</f>
        <v>0.0728457538888435</v>
      </c>
      <c r="AD341" s="1" t="n">
        <f aca="false">AC284*$C$340</f>
        <v>0.0745991649142889</v>
      </c>
      <c r="AE341" s="1" t="n">
        <f aca="false">AD284*$C$340</f>
        <v>0.0763986989473987</v>
      </c>
      <c r="AF341" s="1" t="n">
        <f aca="false">AE284*$C$340</f>
        <v>0.0782448029156153</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0.0320845735682873</v>
      </c>
      <c r="K342" s="1" t="n">
        <f aca="false">J289*$C$340</f>
        <v>0.0395904056793116</v>
      </c>
      <c r="L342" s="1" t="n">
        <f aca="false">K289*$C$340</f>
        <v>0.0472864010211228</v>
      </c>
      <c r="M342" s="1" t="n">
        <f aca="false">L289*$C$340</f>
        <v>0.0551709914554818</v>
      </c>
      <c r="N342" s="1" t="n">
        <f aca="false">M289*$C$340</f>
        <v>0.0678234533048476</v>
      </c>
      <c r="O342" s="1" t="n">
        <f aca="false">N289*$C$340</f>
        <v>0.0729868308396851</v>
      </c>
      <c r="P342" s="1" t="n">
        <f aca="false">O289*$C$340</f>
        <v>0.07451740610464</v>
      </c>
      <c r="Q342" s="1" t="n">
        <f aca="false">P289*$C$340</f>
        <v>0.0762049855874458</v>
      </c>
      <c r="R342" s="1" t="n">
        <f aca="false">Q289*$C$340</f>
        <v>0.0779375991309016</v>
      </c>
      <c r="S342" s="1" t="n">
        <f aca="false">R289*$C$340</f>
        <v>0.0797208653722649</v>
      </c>
      <c r="T342" s="1" t="n">
        <f aca="false">S289*$C$340</f>
        <v>0.0815555353851604</v>
      </c>
      <c r="U342" s="1" t="n">
        <f aca="false">T289*$C$340</f>
        <v>0.0834421052142272</v>
      </c>
      <c r="V342" s="1" t="n">
        <f aca="false">U289*$C$340</f>
        <v>0.0853811108308993</v>
      </c>
      <c r="W342" s="1" t="n">
        <f aca="false">V289*$C$340</f>
        <v>0.0873731192269601</v>
      </c>
      <c r="X342" s="1" t="n">
        <f aca="false">W289*$C$340</f>
        <v>0.0894246748136654</v>
      </c>
      <c r="Y342" s="1" t="n">
        <f aca="false">X289*$C$340</f>
        <v>0.0915363535290433</v>
      </c>
      <c r="Z342" s="1" t="n">
        <f aca="false">Y289*$C$340</f>
        <v>0.0937087541964009</v>
      </c>
      <c r="AA342" s="1" t="n">
        <f aca="false">Z289*$C$340</f>
        <v>0.0959425008557524</v>
      </c>
      <c r="AB342" s="1" t="n">
        <f aca="false">AA289*$C$340</f>
        <v>0.0982382416470496</v>
      </c>
      <c r="AC342" s="1" t="n">
        <f aca="false">AB289*$C$340</f>
        <v>0.10059651727507</v>
      </c>
      <c r="AD342" s="1" t="n">
        <f aca="false">AC289*$C$340</f>
        <v>0.103017894405447</v>
      </c>
      <c r="AE342" s="1" t="n">
        <f aca="false">AD289*$C$340</f>
        <v>0.105502965213074</v>
      </c>
      <c r="AF342" s="1" t="n">
        <f aca="false">AE289*$C$340</f>
        <v>0.108052346883469</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0.0815282776226255</v>
      </c>
      <c r="M343" s="1" t="n">
        <f aca="false">M341+M342</f>
        <v>0.0951223990611755</v>
      </c>
      <c r="N343" s="1" t="n">
        <f aca="false">N341+N342</f>
        <v>0.116936988456634</v>
      </c>
      <c r="O343" s="1" t="n">
        <f aca="false">O341+O342</f>
        <v>0.125839363516699</v>
      </c>
      <c r="P343" s="1" t="n">
        <f aca="false">P341+P342</f>
        <v>0.12847828638731</v>
      </c>
      <c r="Q343" s="1" t="n">
        <f aca="false">Q341+Q342</f>
        <v>0.131387906185251</v>
      </c>
      <c r="R343" s="1" t="n">
        <f aca="false">R341+R342</f>
        <v>0.134375170915348</v>
      </c>
      <c r="S343" s="1" t="n">
        <f aca="false">S341+S342</f>
        <v>0.137449767883215</v>
      </c>
      <c r="T343" s="1" t="n">
        <f aca="false">T341+T342</f>
        <v>0.14061299204338</v>
      </c>
      <c r="U343" s="1" t="n">
        <f aca="false">U341+U342</f>
        <v>0.143865698645219</v>
      </c>
      <c r="V343" s="1" t="n">
        <f aca="false">V341+V342</f>
        <v>0.147208811777413</v>
      </c>
      <c r="W343" s="1" t="n">
        <f aca="false">W341+W342</f>
        <v>0.150643309012</v>
      </c>
      <c r="X343" s="1" t="n">
        <f aca="false">X341+X342</f>
        <v>0.154180473816664</v>
      </c>
      <c r="Y343" s="1" t="n">
        <f aca="false">Y341+Y342</f>
        <v>0.157821299188006</v>
      </c>
      <c r="Z343" s="1" t="n">
        <f aca="false">Z341+Z342</f>
        <v>0.161566817580002</v>
      </c>
      <c r="AA343" s="1" t="n">
        <f aca="false">AA341+AA342</f>
        <v>0.165418104923711</v>
      </c>
      <c r="AB343" s="1" t="n">
        <f aca="false">AB341+AB342</f>
        <v>0.16937627870181</v>
      </c>
      <c r="AC343" s="1" t="n">
        <f aca="false">AC341+AC342</f>
        <v>0.173442271163913</v>
      </c>
      <c r="AD343" s="1" t="n">
        <f aca="false">AD341+AD342</f>
        <v>0.177617059319735</v>
      </c>
      <c r="AE343" s="1" t="n">
        <f aca="false">AE341+AE342</f>
        <v>0.181901664160473</v>
      </c>
      <c r="AF343" s="1" t="n">
        <f aca="false">AF341+AF342</f>
        <v>0.186297149799084</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1355</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0.0065</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1344</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4.32650714191</v>
      </c>
      <c r="G50" s="116" t="n">
        <f aca="false">IF($C$6="Sí",23_v67_Intermedio!G24,22_v67_Prudente!G24)-G194+G345</f>
        <v>4.32254714191</v>
      </c>
      <c r="H50" s="116" t="n">
        <f aca="false">IF($C$6="Sí",23_v67_Intermedio!H24,22_v67_Prudente!H24)-H194+H345</f>
        <v>4.31739914191</v>
      </c>
      <c r="I50" s="116" t="n">
        <f aca="false">IF($C$6="Sí",23_v67_Intermedio!I24,22_v67_Prudente!I24)-I194+I345</f>
        <v>4.31093114191</v>
      </c>
      <c r="J50" s="116" t="n">
        <f aca="false">IF($C$6="Sí",23_v67_Intermedio!J24,22_v67_Prudente!J24)-J194+J345</f>
        <v>4.30327514191</v>
      </c>
      <c r="K50" s="116" t="n">
        <f aca="false">IF($C$6="Sí",23_v67_Intermedio!K24,22_v67_Prudente!K24)-K194+K345</f>
        <v>4.29522314191</v>
      </c>
      <c r="L50" s="116" t="n">
        <f aca="false">IF($C$6="Sí",23_v67_Intermedio!L24,22_v67_Prudente!L24)-L194+L345</f>
        <v>4.28690714191</v>
      </c>
      <c r="M50" s="116" t="n">
        <f aca="false">IF($C$6="Sí",23_v67_Intermedio!M24,22_v67_Prudente!M24)-M194+M345</f>
        <v>4.27832714191</v>
      </c>
      <c r="N50" s="116" t="n">
        <f aca="false">IF($C$6="Sí",23_v67_Intermedio!N24,22_v67_Prudente!N24)-N194+N345</f>
        <v>4.26948314191</v>
      </c>
      <c r="O50" s="116" t="n">
        <f aca="false">IF($C$6="Sí",23_v67_Intermedio!O24,22_v67_Prudente!O24)-O194+O345</f>
        <v>4.26024314191</v>
      </c>
      <c r="P50" s="116" t="n">
        <f aca="false">IF($C$6="Sí",23_v67_Intermedio!P24,22_v67_Prudente!P24)-P194+P345</f>
        <v>4.25073914191</v>
      </c>
      <c r="Q50" s="116" t="n">
        <f aca="false">IF($C$6="Sí",23_v67_Intermedio!Q24,22_v67_Prudente!Q24)-Q194+Q345</f>
        <v>4.24083914191</v>
      </c>
      <c r="R50" s="116" t="n">
        <f aca="false">IF($C$6="Sí",23_v67_Intermedio!R24,22_v67_Prudente!R24)-R194+R345</f>
        <v>4.130575058158</v>
      </c>
      <c r="S50" s="116" t="n">
        <f aca="false">IF($C$6="Sí",23_v67_Intermedio!S24,22_v67_Prudente!S24)-S194+S345</f>
        <v>4.019914974406</v>
      </c>
      <c r="T50" s="116" t="n">
        <f aca="false">IF($C$6="Sí",23_v67_Intermedio!T24,22_v67_Prudente!T24)-T194+T345</f>
        <v>3.908858890654</v>
      </c>
      <c r="U50" s="116" t="n">
        <f aca="false">IF($C$6="Sí",23_v67_Intermedio!U24,22_v67_Prudente!U24)-U194+U345</f>
        <v>3.797538806902</v>
      </c>
      <c r="V50" s="116" t="n">
        <f aca="false">IF($C$6="Sí",23_v67_Intermedio!V24,22_v67_Prudente!V24)-V194+V345</f>
        <v>3.68569072315</v>
      </c>
      <c r="W50" s="116" t="n">
        <f aca="false">IF($C$6="Sí",23_v67_Intermedio!W24,22_v67_Prudente!W24)-W194+W345</f>
        <v>3.573446639398</v>
      </c>
      <c r="X50" s="116" t="n">
        <f aca="false">IF($C$6="Sí",23_v67_Intermedio!X24,22_v67_Prudente!X24)-X194+X345</f>
        <v>3.460806555646</v>
      </c>
      <c r="Y50" s="116" t="n">
        <f aca="false">IF($C$6="Sí",23_v67_Intermedio!Y24,22_v67_Prudente!Y24)-Y194+Y345</f>
        <v>3.347770471894</v>
      </c>
      <c r="Z50" s="116" t="n">
        <f aca="false">IF($C$6="Sí",23_v67_Intermedio!Z24,22_v67_Prudente!Z24)-Z194+Z345</f>
        <v>3.234206388142</v>
      </c>
      <c r="AA50" s="116" t="n">
        <f aca="false">IF($C$6="Sí",23_v67_Intermedio!AA24,22_v67_Prudente!AA24)-AA194+AA345</f>
        <v>3.12024630439</v>
      </c>
      <c r="AB50" s="116" t="n">
        <f aca="false">IF($C$6="Sí",23_v67_Intermedio!AB24,22_v67_Prudente!AB24)-AB194+AB345</f>
        <v>3.005758220638</v>
      </c>
      <c r="AC50" s="116" t="n">
        <f aca="false">IF($C$6="Sí",23_v67_Intermedio!AC24,22_v67_Prudente!AC24)-AC194+AC345</f>
        <v>2.890742136886</v>
      </c>
      <c r="AD50" s="116" t="n">
        <f aca="false">IF($C$6="Sí",23_v67_Intermedio!AD24,22_v67_Prudente!AD24)-AD194+AD345</f>
        <v>2.775198053134</v>
      </c>
      <c r="AE50" s="116" t="n">
        <f aca="false">IF($C$6="Sí",23_v67_Intermedio!AE24,22_v67_Prudente!AE24)-AE194+AE345</f>
        <v>2.659257969382</v>
      </c>
      <c r="AF50" s="116" t="n">
        <f aca="false">IF($C$6="Sí",23_v67_Intermedio!AF24,22_v67_Prudente!AF24)-AF194+AF345</f>
        <v>2.54265788563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2.6874144</v>
      </c>
      <c r="G51" s="116" t="n">
        <f aca="false">IF(G$39&lt;4,0,01_Supuestos!$I$21*01_Supuestos!$I$64/1000000000000*G42)+G194+G348</f>
        <v>2.6913744</v>
      </c>
      <c r="H51" s="116" t="n">
        <f aca="false">IF(H$39&lt;4,0,01_Supuestos!$I$21*01_Supuestos!$I$64/1000000000000*H42)+H194+H348</f>
        <v>2.6965224</v>
      </c>
      <c r="I51" s="116" t="n">
        <f aca="false">IF(I$39&lt;4,0,01_Supuestos!$I$21*01_Supuestos!$I$64/1000000000000*I42)+I194+I348</f>
        <v>2.7029904</v>
      </c>
      <c r="J51" s="116" t="n">
        <f aca="false">IF(J$39&lt;4,0,01_Supuestos!$I$21*01_Supuestos!$I$64/1000000000000*J42)+J194+J348</f>
        <v>2.7106464</v>
      </c>
      <c r="K51" s="116" t="n">
        <f aca="false">IF(K$39&lt;4,0,01_Supuestos!$I$21*01_Supuestos!$I$64/1000000000000*K42)+K194+K348</f>
        <v>2.7186984</v>
      </c>
      <c r="L51" s="116" t="n">
        <f aca="false">IF(L$39&lt;4,0,01_Supuestos!$I$21*01_Supuestos!$I$64/1000000000000*L42)+L194+L348</f>
        <v>2.7270144</v>
      </c>
      <c r="M51" s="116" t="n">
        <f aca="false">IF(M$39&lt;4,0,01_Supuestos!$I$21*01_Supuestos!$I$64/1000000000000*M42)+M194+M348</f>
        <v>2.7355944</v>
      </c>
      <c r="N51" s="116" t="n">
        <f aca="false">IF(N$39&lt;4,0,01_Supuestos!$I$21*01_Supuestos!$I$64/1000000000000*N42)+N194+N348</f>
        <v>2.7444384</v>
      </c>
      <c r="O51" s="116" t="n">
        <f aca="false">IF(O$39&lt;4,0,01_Supuestos!$I$21*01_Supuestos!$I$64/1000000000000*O42)+O194+O348</f>
        <v>2.7536784</v>
      </c>
      <c r="P51" s="116" t="n">
        <f aca="false">IF(P$39&lt;4,0,01_Supuestos!$I$21*01_Supuestos!$I$64/1000000000000*P42)+P194+P348</f>
        <v>2.7631824</v>
      </c>
      <c r="Q51" s="116" t="n">
        <f aca="false">IF(Q$39&lt;4,0,01_Supuestos!$I$21*01_Supuestos!$I$64/1000000000000*Q42)+Q194+Q348</f>
        <v>2.7730824</v>
      </c>
      <c r="R51" s="116" t="n">
        <f aca="false">IF(R$39&lt;4,0,01_Supuestos!$I$21*01_Supuestos!$I$64/1000000000000*R42)+R194+R348</f>
        <v>2.7832464</v>
      </c>
      <c r="S51" s="116" t="n">
        <f aca="false">IF(S$39&lt;4,0,01_Supuestos!$I$21*01_Supuestos!$I$64/1000000000000*S42)+S194+S348</f>
        <v>2.7938064</v>
      </c>
      <c r="T51" s="116" t="n">
        <f aca="false">IF(T$39&lt;4,0,01_Supuestos!$I$21*01_Supuestos!$I$64/1000000000000*T42)+T194+T348</f>
        <v>2.8047624</v>
      </c>
      <c r="U51" s="116" t="n">
        <f aca="false">IF(U$39&lt;4,0,01_Supuestos!$I$21*01_Supuestos!$I$64/1000000000000*U42)+U194+U348</f>
        <v>2.8159824</v>
      </c>
      <c r="V51" s="116" t="n">
        <f aca="false">IF(V$39&lt;4,0,01_Supuestos!$I$21*01_Supuestos!$I$64/1000000000000*V42)+V194+V348</f>
        <v>2.8277304</v>
      </c>
      <c r="W51" s="116" t="n">
        <f aca="false">IF(W$39&lt;4,0,01_Supuestos!$I$21*01_Supuestos!$I$64/1000000000000*W42)+W194+W348</f>
        <v>2.8398744</v>
      </c>
      <c r="X51" s="116" t="n">
        <f aca="false">IF(X$39&lt;4,0,01_Supuestos!$I$21*01_Supuestos!$I$64/1000000000000*X42)+X194+X348</f>
        <v>2.8524144</v>
      </c>
      <c r="Y51" s="116" t="n">
        <f aca="false">IF(Y$39&lt;4,0,01_Supuestos!$I$21*01_Supuestos!$I$64/1000000000000*Y42)+Y194+Y348</f>
        <v>2.8653504</v>
      </c>
      <c r="Z51" s="116" t="n">
        <f aca="false">IF(Z$39&lt;4,0,01_Supuestos!$I$21*01_Supuestos!$I$64/1000000000000*Z42)+Z194+Z348</f>
        <v>2.8788144</v>
      </c>
      <c r="AA51" s="116" t="n">
        <f aca="false">IF(AA$39&lt;4,0,01_Supuestos!$I$21*01_Supuestos!$I$64/1000000000000*AA42)+AA194+AA348</f>
        <v>2.8926744</v>
      </c>
      <c r="AB51" s="116" t="n">
        <f aca="false">IF(AB$39&lt;4,0,01_Supuestos!$I$21*01_Supuestos!$I$64/1000000000000*AB42)+AB194+AB348</f>
        <v>2.9070624</v>
      </c>
      <c r="AC51" s="116" t="n">
        <f aca="false">IF(AC$39&lt;4,0,01_Supuestos!$I$21*01_Supuestos!$I$64/1000000000000*AC42)+AC194+AC348</f>
        <v>2.9219784</v>
      </c>
      <c r="AD51" s="116" t="n">
        <f aca="false">IF(AD$39&lt;4,0,01_Supuestos!$I$21*01_Supuestos!$I$64/1000000000000*AD42)+AD194+AD348</f>
        <v>2.9374224</v>
      </c>
      <c r="AE51" s="116" t="n">
        <f aca="false">IF(AE$39&lt;4,0,01_Supuestos!$I$21*01_Supuestos!$I$64/1000000000000*AE42)+AE194+AE348</f>
        <v>2.9532624</v>
      </c>
      <c r="AF51" s="116" t="n">
        <f aca="false">IF(AF$39&lt;4,0,01_Supuestos!$I$21*01_Supuestos!$I$64/1000000000000*AF42)+AF194+AF348</f>
        <v>2.9697624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4.32650714191</v>
      </c>
      <c r="G57" s="116" t="n">
        <f aca="false">IF(G$39&lt;=01_Supuestos!$I$29,MIN(G50,G53+G56),0)</f>
        <v>4.32254714191</v>
      </c>
      <c r="H57" s="116" t="n">
        <f aca="false">IF(H$39&lt;=01_Supuestos!$I$29,MIN(H50,H53+H56),0)</f>
        <v>4.31739914191</v>
      </c>
      <c r="I57" s="116" t="n">
        <f aca="false">IF(I$39&lt;=01_Supuestos!$I$29,MIN(I50,I53+I56),0)</f>
        <v>4.31093114191</v>
      </c>
      <c r="J57" s="116" t="n">
        <f aca="false">IF(J$39&lt;=01_Supuestos!$I$29,MIN(J50,J53+J56),0)</f>
        <v>4.30327514191</v>
      </c>
      <c r="K57" s="116" t="n">
        <f aca="false">IF(K$39&lt;=01_Supuestos!$I$29,MIN(K50,K53+K56),0)</f>
        <v>4.29522314191</v>
      </c>
      <c r="L57" s="116" t="n">
        <f aca="false">IF(L$39&lt;=01_Supuestos!$I$29,MIN(L50,L53+L56),0)</f>
        <v>4.28690714191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4.27832714191</v>
      </c>
      <c r="N64" s="116" t="n">
        <f aca="false">N48+N50-N57</f>
        <v>4.26948314191</v>
      </c>
      <c r="O64" s="116" t="n">
        <f aca="false">O48+O50-O57</f>
        <v>4.26024314191</v>
      </c>
      <c r="P64" s="116" t="n">
        <f aca="false">P48+P50-P57</f>
        <v>4.25073914191</v>
      </c>
      <c r="Q64" s="116" t="n">
        <f aca="false">Q48+Q50-Q57</f>
        <v>4.24083914191</v>
      </c>
      <c r="R64" s="116" t="n">
        <f aca="false">R48+R50-R57</f>
        <v>4.130575058158</v>
      </c>
      <c r="S64" s="116" t="n">
        <f aca="false">S48+S50-S57</f>
        <v>4.019914974406</v>
      </c>
      <c r="T64" s="116" t="n">
        <f aca="false">T48+T50-T57</f>
        <v>3.908858890654</v>
      </c>
      <c r="U64" s="116" t="n">
        <f aca="false">U48+U50-U57</f>
        <v>3.797538806902</v>
      </c>
      <c r="V64" s="116" t="n">
        <f aca="false">V48+V50-V57</f>
        <v>3.68569072315</v>
      </c>
      <c r="W64" s="116" t="n">
        <f aca="false">W48+W50-W57</f>
        <v>3.573446639398</v>
      </c>
      <c r="X64" s="116" t="n">
        <f aca="false">X48+X50-X57</f>
        <v>3.460806555646</v>
      </c>
      <c r="Y64" s="116" t="n">
        <f aca="false">Y48+Y50-Y57</f>
        <v>3.347770471894</v>
      </c>
      <c r="Z64" s="116" t="n">
        <f aca="false">Z48+Z50-Z57</f>
        <v>3.234206388142</v>
      </c>
      <c r="AA64" s="116" t="n">
        <f aca="false">AA48+AA50-AA57</f>
        <v>3.12024630439</v>
      </c>
      <c r="AB64" s="116" t="n">
        <f aca="false">AB48+AB50-AB57</f>
        <v>3.005758220638</v>
      </c>
      <c r="AC64" s="116" t="n">
        <f aca="false">AC48+AC50-AC57</f>
        <v>2.890742136886</v>
      </c>
      <c r="AD64" s="116" t="n">
        <f aca="false">AD48+AD50-AD57</f>
        <v>2.775198053134</v>
      </c>
      <c r="AE64" s="116" t="n">
        <f aca="false">AE48+AE50-AE57</f>
        <v>2.659257969382</v>
      </c>
      <c r="AF64" s="116" t="n">
        <f aca="false">AF48+AF50-AF57</f>
        <v>2.54265788563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4.16515171871946</v>
      </c>
      <c r="N66" s="116" t="n">
        <f aca="false">N64-N65</f>
        <v>4.15231262628083</v>
      </c>
      <c r="O66" s="116" t="n">
        <f aca="false">O64-O65</f>
        <v>4.13893650707912</v>
      </c>
      <c r="P66" s="116" t="n">
        <f aca="false">P64-P65</f>
        <v>4.12515038286959</v>
      </c>
      <c r="Q66" s="116" t="n">
        <f aca="false">Q64-Q65</f>
        <v>4.11081709967547</v>
      </c>
      <c r="R66" s="116" t="n">
        <f aca="false">R64-R65</f>
        <v>3.99596323783259</v>
      </c>
      <c r="S66" s="116" t="n">
        <f aca="false">S64-S65</f>
        <v>3.8805513568231</v>
      </c>
      <c r="T66" s="116" t="n">
        <f aca="false">T64-T65</f>
        <v>3.76457573737042</v>
      </c>
      <c r="U66" s="116" t="n">
        <f aca="false">U64-U65</f>
        <v>3.64816245830751</v>
      </c>
      <c r="V66" s="116" t="n">
        <f aca="false">V64-V65</f>
        <v>3.53104138945013</v>
      </c>
      <c r="W66" s="116" t="n">
        <f aca="false">W64-W65</f>
        <v>3.41333818421852</v>
      </c>
      <c r="X66" s="116" t="n">
        <f aca="false">X64-X65</f>
        <v>3.29504627199869</v>
      </c>
      <c r="Y66" s="116" t="n">
        <f aca="false">Y64-Y65</f>
        <v>3.17615885023394</v>
      </c>
      <c r="Z66" s="116" t="n">
        <f aca="false">Z64-Z65</f>
        <v>3.05653687623734</v>
      </c>
      <c r="AA66" s="116" t="n">
        <f aca="false">AA64-AA65</f>
        <v>2.9363050587151</v>
      </c>
      <c r="AB66" s="116" t="n">
        <f aca="false">AB64-AB65</f>
        <v>2.81532384899078</v>
      </c>
      <c r="AC66" s="116" t="n">
        <f aca="false">AC64-AC65</f>
        <v>2.69358543191963</v>
      </c>
      <c r="AD66" s="116" t="n">
        <f aca="false">AD64-AD65</f>
        <v>2.57108171648232</v>
      </c>
      <c r="AE66" s="116" t="n">
        <f aca="false">AE64-AE65</f>
        <v>2.44793632604651</v>
      </c>
      <c r="AF66" s="116" t="n">
        <f aca="false">AF64-AF65</f>
        <v>2.32387658828477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198.331797311987</v>
      </c>
      <c r="N67" s="116" t="n">
        <f aca="false">M67+N66-N63</f>
        <v>201.175159518758</v>
      </c>
      <c r="O67" s="116" t="n">
        <f aca="false">N67+O66-O63</f>
        <v>204.013868827303</v>
      </c>
      <c r="P67" s="116" t="n">
        <f aca="false">O67+P66-P63</f>
        <v>206.847079071565</v>
      </c>
      <c r="Q67" s="116" t="n">
        <f aca="false">P67+Q66-Q63</f>
        <v>209.673828739564</v>
      </c>
      <c r="R67" s="116" t="n">
        <f aca="false">Q67+R66-R63</f>
        <v>212.393203617303</v>
      </c>
      <c r="S67" s="116" t="n">
        <f aca="false">R67+S66-S63</f>
        <v>215.004271732038</v>
      </c>
      <c r="T67" s="116" t="n">
        <f aca="false">S67+T66-T63</f>
        <v>217.506114089424</v>
      </c>
      <c r="U67" s="116" t="n">
        <f aca="false">T67+U66-U63</f>
        <v>219.897955536746</v>
      </c>
      <c r="V67" s="116" t="n">
        <f aca="false">U67+V66-V63</f>
        <v>222.178767665761</v>
      </c>
      <c r="W67" s="116" t="n">
        <f aca="false">V67+W66-W63</f>
        <v>224.347663752565</v>
      </c>
      <c r="X67" s="116" t="n">
        <f aca="false">W67+X66-X63</f>
        <v>226.403765732021</v>
      </c>
      <c r="Y67" s="116" t="n">
        <f aca="false">X67+Y66-Y63</f>
        <v>228.346203204339</v>
      </c>
      <c r="Z67" s="116" t="n">
        <f aca="false">Y67+Z66-Z63</f>
        <v>230.173980471556</v>
      </c>
      <c r="AA67" s="116" t="n">
        <f aca="false">Z67+AA66-AA63</f>
        <v>231.886239601702</v>
      </c>
      <c r="AB67" s="116" t="n">
        <f aca="false">AA67+AB66-AB63</f>
        <v>233.481995518552</v>
      </c>
      <c r="AC67" s="116" t="n">
        <f aca="false">AB67+AC66-AC63</f>
        <v>234.960267114938</v>
      </c>
      <c r="AD67" s="116" t="n">
        <f aca="false">AC67+AD66-AD63</f>
        <v>236.320076387663</v>
      </c>
      <c r="AE67" s="116" t="n">
        <f aca="false">AD67+AE66-AE63</f>
        <v>237.56057959214</v>
      </c>
      <c r="AF67" s="116" t="n">
        <f aca="false">AE67+AF66-AF63</f>
        <v>238.680670414934</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70.6453621534097</v>
      </c>
      <c r="N68" s="116" t="n">
        <f aca="false">M68+(01_Supuestos!$I$125-1)*N66</f>
        <v>72.0571484463452</v>
      </c>
      <c r="O68" s="116" t="n">
        <f aca="false">N68+(01_Supuestos!$I$125-1)*O66</f>
        <v>73.4643868587521</v>
      </c>
      <c r="P68" s="116" t="n">
        <f aca="false">O68+(01_Supuestos!$I$125-1)*P66</f>
        <v>74.8669379889278</v>
      </c>
      <c r="Q68" s="116" t="n">
        <f aca="false">P68+(01_Supuestos!$I$125-1)*Q66</f>
        <v>76.2646158028174</v>
      </c>
      <c r="R68" s="116" t="n">
        <f aca="false">Q68+(01_Supuestos!$I$125-1)*R66</f>
        <v>77.6232433036805</v>
      </c>
      <c r="S68" s="116" t="n">
        <f aca="false">R68+(01_Supuestos!$I$125-1)*S66</f>
        <v>78.9426307650004</v>
      </c>
      <c r="T68" s="116" t="n">
        <f aca="false">S68+(01_Supuestos!$I$125-1)*T66</f>
        <v>80.2225865157063</v>
      </c>
      <c r="U68" s="116" t="n">
        <f aca="false">T68+(01_Supuestos!$I$125-1)*U66</f>
        <v>81.4629617515309</v>
      </c>
      <c r="V68" s="116" t="n">
        <f aca="false">U68+(01_Supuestos!$I$125-1)*V66</f>
        <v>82.6635158239439</v>
      </c>
      <c r="W68" s="116" t="n">
        <f aca="false">V68+(01_Supuestos!$I$125-1)*W66</f>
        <v>83.8240508065782</v>
      </c>
      <c r="X68" s="116" t="n">
        <f aca="false">W68+(01_Supuestos!$I$125-1)*X66</f>
        <v>84.9443665390578</v>
      </c>
      <c r="Y68" s="116" t="n">
        <f aca="false">X68+(01_Supuestos!$I$125-1)*Y66</f>
        <v>86.0242605481373</v>
      </c>
      <c r="Z68" s="116" t="n">
        <f aca="false">Y68+(01_Supuestos!$I$125-1)*Z66</f>
        <v>87.063483086058</v>
      </c>
      <c r="AA68" s="116" t="n">
        <f aca="false">Z68+(01_Supuestos!$I$125-1)*AA66</f>
        <v>88.0618268060211</v>
      </c>
      <c r="AB68" s="116" t="n">
        <f aca="false">AA68+(01_Supuestos!$I$125-1)*AB66</f>
        <v>89.019036914678</v>
      </c>
      <c r="AC68" s="116" t="n">
        <f aca="false">AB68+(01_Supuestos!$I$125-1)*AC66</f>
        <v>89.9348559615307</v>
      </c>
      <c r="AD68" s="116" t="n">
        <f aca="false">AC68+(01_Supuestos!$I$125-1)*AD66</f>
        <v>90.8090237451347</v>
      </c>
      <c r="AE68" s="116" t="n">
        <f aca="false">AD68+(01_Supuestos!$I$125-1)*AE66</f>
        <v>91.6413220959905</v>
      </c>
      <c r="AF68" s="116" t="n">
        <f aca="false">AE68+(01_Supuestos!$I$125-1)*AF66</f>
        <v>92.4314401360073</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256.607001012742</v>
      </c>
      <c r="G69" s="116" t="n">
        <f aca="false">F69+G48+G49+G50+G51-G63+G245</f>
        <v>262.236608254652</v>
      </c>
      <c r="H69" s="116" t="n">
        <f aca="false">G69+H48+H49+H50+H51-H63+H245</f>
        <v>267.878706911562</v>
      </c>
      <c r="I69" s="116" t="n">
        <f aca="false">H69+I48+I49+I50+I51-I63+I245</f>
        <v>273.532672412722</v>
      </c>
      <c r="J69" s="116" t="n">
        <f aca="false">I69+J48+J49+J50+J51-J63+J245</f>
        <v>279.197911415919</v>
      </c>
      <c r="K69" s="116" t="n">
        <f aca="false">J69+K48+K49+K50+K51-K63+K245</f>
        <v>284.873860246053</v>
      </c>
      <c r="L69" s="116" t="n">
        <f aca="false">K69+L48+L49+L50+L51-L63+L245</f>
        <v>290.559983411774</v>
      </c>
      <c r="M69" s="116" t="n">
        <f aca="false">L69+M48+M49+M50+M51-M63+M245</f>
        <v>296.255772196306</v>
      </c>
      <c r="N69" s="116" t="n">
        <f aca="false">M69+N48+N49+N50+N51-N63+N245</f>
        <v>301.960743318706</v>
      </c>
      <c r="O69" s="116" t="n">
        <f aca="false">N69+O48+O49+O50+O51-O63+O245</f>
        <v>307.674437662082</v>
      </c>
      <c r="P69" s="116" t="n">
        <f aca="false">O69+P48+P49+P50+P51-P63+P245</f>
        <v>313.396419065384</v>
      </c>
      <c r="Q69" s="116" t="n">
        <f aca="false">P69+Q48+Q49+Q50+Q51-Q63+Q245</f>
        <v>319.126273175617</v>
      </c>
      <c r="R69" s="116" t="n">
        <f aca="false">Q69+R48+R49+R50+R51-R63+R245</f>
        <v>324.763506273682</v>
      </c>
      <c r="S69" s="116" t="n">
        <f aca="false">R69+S48+S49+S50+S51-S63+S245</f>
        <v>330.307744405999</v>
      </c>
      <c r="T69" s="116" t="n">
        <f aca="false">S69+T48+T49+T50+T51-T63+T245</f>
        <v>335.758632316669</v>
      </c>
      <c r="U69" s="116" t="n">
        <f aca="false">T69+U48+U49+U50+U51-U63+U245</f>
        <v>341.115832512586</v>
      </c>
      <c r="V69" s="116" t="n">
        <f aca="false">U69+V48+V49+V50+V51-V63+V245</f>
        <v>346.379024375301</v>
      </c>
      <c r="W69" s="116" t="n">
        <f aca="false">V69+W48+W49+W50+W51-W63+W245</f>
        <v>351.547903317285</v>
      </c>
      <c r="X69" s="116" t="n">
        <f aca="false">W69+X48+X49+X50+X51-X63+X245</f>
        <v>356.622179980387</v>
      </c>
      <c r="Y69" s="116" t="n">
        <f aca="false">X69+Y48+Y49+Y50+Y51-Y63+Y245</f>
        <v>361.601579474365</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380.565374819157</v>
      </c>
      <c r="AD69" s="116" t="n">
        <f aca="false">AC69+AD48+AD49+AD50+AD51-AD63+AD245</f>
        <v>385.066722828534</v>
      </c>
      <c r="AE69" s="116" t="n">
        <f aca="false">AD69+AE48+AE49+AE50+AE51-AE63+AE245</f>
        <v>389.471810076347</v>
      </c>
      <c r="AF69" s="116" t="n">
        <f aca="false">AE69+AF48+AF49+AF50+AF51-AF63+AF245</f>
        <v>393.780444596486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52.9916758096682</v>
      </c>
      <c r="G70" s="116" t="n">
        <f aca="false">F70+G49+G51+G57+G65+G245</f>
        <v>60.0055973515782</v>
      </c>
      <c r="H70" s="116" t="n">
        <f aca="false">G70+H49+H51+H57+H65+H245</f>
        <v>67.0195188934882</v>
      </c>
      <c r="I70" s="116" t="n">
        <f aca="false">H70+I49+I51+I57+I65+I245</f>
        <v>74.0334404353982</v>
      </c>
      <c r="J70" s="116" t="n">
        <f aca="false">I70+J49+J51+J57+J65+J245</f>
        <v>81.0473619773082</v>
      </c>
      <c r="K70" s="116" t="n">
        <f aca="false">J70+K49+K51+K57+K65+K245</f>
        <v>88.0612835192182</v>
      </c>
      <c r="L70" s="116" t="n">
        <f aca="false">K70+L49+L51+L57+L65+L245</f>
        <v>95.0752050611282</v>
      </c>
      <c r="M70" s="116" t="n">
        <f aca="false">L70+M49+M51+M57+M65+M245</f>
        <v>97.9239748843187</v>
      </c>
      <c r="N70" s="116" t="n">
        <f aca="false">M70+N49+N51+N57+N65+N245</f>
        <v>100.785583799948</v>
      </c>
      <c r="O70" s="116" t="n">
        <f aca="false">N70+O49+O51+O57+O65+O245</f>
        <v>103.660568834779</v>
      </c>
      <c r="P70" s="116" t="n">
        <f aca="false">O70+P49+P51+P57+P65+P245</f>
        <v>106.549339993819</v>
      </c>
      <c r="Q70" s="116" t="n">
        <f aca="false">P70+Q49+Q51+Q57+Q65+Q245</f>
        <v>109.452444436054</v>
      </c>
      <c r="R70" s="116" t="n">
        <f aca="false">Q70+R49+R51+R57+R65+R245</f>
        <v>112.370302656379</v>
      </c>
      <c r="S70" s="116" t="n">
        <f aca="false">R70+S49+S51+S57+S65+S245</f>
        <v>115.303472673962</v>
      </c>
      <c r="T70" s="116" t="n">
        <f aca="false">S70+T49+T51+T57+T65+T245</f>
        <v>118.252518227246</v>
      </c>
      <c r="U70" s="116" t="n">
        <f aca="false">T70+U49+U51+U57+U65+U245</f>
        <v>121.21787697584</v>
      </c>
      <c r="V70" s="116" t="n">
        <f aca="false">U70+V49+V51+V57+V65+V245</f>
        <v>124.20025670954</v>
      </c>
      <c r="W70" s="116" t="n">
        <f aca="false">V70+W49+W51+W57+W65+W245</f>
        <v>127.200239564719</v>
      </c>
      <c r="X70" s="116" t="n">
        <f aca="false">W70+X49+X51+X57+X65+X245</f>
        <v>130.218414248367</v>
      </c>
      <c r="Y70" s="116" t="n">
        <f aca="false">X70+Y49+Y51+Y57+Y65+Y245</f>
        <v>133.255376270027</v>
      </c>
      <c r="Z70" s="116" t="n">
        <f aca="false">Y70+Z49+Z51+Z57+Z65+Z245</f>
        <v>136.311860181931</v>
      </c>
      <c r="AA70" s="116" t="n">
        <f aca="false">Z70+AA49+AA51+AA57+AA65+AA245</f>
        <v>139.388475827606</v>
      </c>
      <c r="AB70" s="116" t="n">
        <f aca="false">AA70+AB49+AB51+AB57+AB65+AB245</f>
        <v>142.485972599254</v>
      </c>
      <c r="AC70" s="116" t="n">
        <f aca="false">AB70+AC49+AC51+AC57+AC65+AC245</f>
        <v>145.60510770422</v>
      </c>
      <c r="AD70" s="116" t="n">
        <f aca="false">AC70+AD49+AD51+AD57+AD65+AD245</f>
        <v>148.746646440872</v>
      </c>
      <c r="AE70" s="116" t="n">
        <f aca="false">AD70+AE49+AE51+AE57+AE65+AE245</f>
        <v>151.911230484207</v>
      </c>
      <c r="AF70" s="116" t="n">
        <f aca="false">AE70+AF49+AF51+AF57+AF65+AF245</f>
        <v>155.099774181552</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17.2988399625579</v>
      </c>
      <c r="D72" s="116" t="n">
        <f aca="false">IF($C$173="Sí",(D83-D326)+D181,$C$15*C83)</f>
        <v>34.9771117069655</v>
      </c>
      <c r="E72" s="116" t="n">
        <f aca="false">IF($C$173="Sí",(E83-E326)+E181,$C$15*D83)</f>
        <v>53.3834374272829</v>
      </c>
      <c r="F72" s="116" t="n">
        <f aca="false">IF($C$173="Sí",(F83-F326)+F181,$C$15*E83)</f>
        <v>73.4908703934434</v>
      </c>
      <c r="G72" s="116" t="n">
        <f aca="false">IF($C$173="Sí",(G83-G326)+G181,$C$15*F83)</f>
        <v>92.6207487315235</v>
      </c>
      <c r="H72" s="116" t="n">
        <f aca="false">IF($C$173="Sí",(H83-H326)+H181,$C$15*G83)</f>
        <v>103.907740862016</v>
      </c>
      <c r="I72" s="116" t="n">
        <f aca="false">IF($C$173="Sí",(I83-I326)+I181,$C$15*H83)</f>
        <v>115.76703498894</v>
      </c>
      <c r="J72" s="116" t="n">
        <f aca="false">IF($C$173="Sí",(J83-J326)+J181,$C$15*I83)</f>
        <v>127.898004101118</v>
      </c>
      <c r="K72" s="116" t="n">
        <f aca="false">IF($C$173="Sí",(K83-K326)+K181,$C$15*J83)</f>
        <v>140.306894140748</v>
      </c>
      <c r="L72" s="116" t="n">
        <f aca="false">IF($C$173="Sí",(L83-L326)+L181,$C$15*K83)</f>
        <v>153.00009483582</v>
      </c>
      <c r="M72" s="116" t="n">
        <f aca="false">IF($C$173="Sí",(M83-M326)+M181,$C$15*L83)</f>
        <v>164.839026400822</v>
      </c>
      <c r="N72" s="116" t="n">
        <f aca="false">IF($C$173="Sí",(N83-N326)+N181,$C$15*M83)</f>
        <v>177.796038338054</v>
      </c>
      <c r="O72" s="116" t="n">
        <f aca="false">IF($C$173="Sí",(O83-O326)+O181,$C$15*N83)</f>
        <v>191.975606720555</v>
      </c>
      <c r="P72" s="116" t="n">
        <f aca="false">IF($C$173="Sí",(P83-P326)+P181,$C$15*O83)</f>
        <v>206.025227989956</v>
      </c>
      <c r="Q72" s="116" t="n">
        <f aca="false">IF($C$173="Sí",(Q83-Q326)+Q181,$C$15*P83)</f>
        <v>220.205065332303</v>
      </c>
      <c r="R72" s="116" t="n">
        <f aca="false">IF($C$173="Sí",(R83-R326)+R181,$C$15*Q83)</f>
        <v>227.146021872928</v>
      </c>
      <c r="S72" s="116" t="n">
        <f aca="false">IF($C$173="Sí",(S83-S326)+S181,$C$15*R83)</f>
        <v>232.712846883418</v>
      </c>
      <c r="T72" s="116" t="n">
        <f aca="false">IF($C$173="Sí",(T83-T326)+T181,$C$15*S83)</f>
        <v>238.093731873826</v>
      </c>
      <c r="U72" s="116" t="n">
        <f aca="false">IF($C$173="Sí",(U83-U326)+U181,$C$15*T83)</f>
        <v>243.56139677963</v>
      </c>
      <c r="V72" s="116" t="n">
        <f aca="false">IF($C$173="Sí",(V83-V326)+V181,$C$15*U83)</f>
        <v>249.154292868884</v>
      </c>
      <c r="W72" s="116" t="n">
        <f aca="false">IF($C$173="Sí",(W83-W326)+W181,$C$15*V83)</f>
        <v>253.586287389102</v>
      </c>
      <c r="X72" s="116" t="n">
        <f aca="false">IF($C$173="Sí",(X83-X326)+X181,$C$15*W83)</f>
        <v>257.774038239038</v>
      </c>
      <c r="Y72" s="116" t="n">
        <f aca="false">IF($C$173="Sí",(Y83-Y326)+Y181,$C$15*X83)</f>
        <v>261.888785669419</v>
      </c>
      <c r="Z72" s="116" t="n">
        <f aca="false">IF($C$173="Sí",(Z83-Z326)+Z181,$C$15*Y83)</f>
        <v>265.972231785923</v>
      </c>
      <c r="AA72" s="116" t="n">
        <f aca="false">IF($C$173="Sí",(AA83-AA326)+AA181,$C$15*Z83)</f>
        <v>270.029924972549</v>
      </c>
      <c r="AB72" s="116" t="n">
        <f aca="false">IF($C$173="Sí",(AB83-AB326)+AB181,$C$15*AA83)</f>
        <v>274.062454680085</v>
      </c>
      <c r="AC72" s="116" t="n">
        <f aca="false">IF($C$173="Sí",(AC83-AC326)+AC181,$C$15*AB83)</f>
        <v>278.070418519224</v>
      </c>
      <c r="AD72" s="116" t="n">
        <f aca="false">IF($C$173="Sí",(AD83-AD326)+AD181,$C$15*AC83)</f>
        <v>282.05442773183</v>
      </c>
      <c r="AE72" s="116" t="n">
        <f aca="false">IF($C$173="Sí",(AE83-AE326)+AE181,$C$15*AD83)</f>
        <v>286.015133798989</v>
      </c>
      <c r="AF72" s="116" t="n">
        <f aca="false">IF($C$173="Sí",(AF83-AF326)+AF181,$C$15*AE83)</f>
        <v>289.953175695889</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17.2988399625579</v>
      </c>
      <c r="D73" s="116" t="n">
        <f aca="false">D72-C72</f>
        <v>17.6782717444076</v>
      </c>
      <c r="E73" s="116" t="n">
        <f aca="false">E72-D72</f>
        <v>18.4063257203175</v>
      </c>
      <c r="F73" s="116" t="n">
        <f aca="false">F72-E72</f>
        <v>20.1074329661605</v>
      </c>
      <c r="G73" s="116" t="n">
        <f aca="false">G72-F72</f>
        <v>19.1298783380801</v>
      </c>
      <c r="H73" s="116" t="n">
        <f aca="false">H72-G72</f>
        <v>11.2869921304925</v>
      </c>
      <c r="I73" s="116" t="n">
        <f aca="false">I72-H72</f>
        <v>11.8592941269238</v>
      </c>
      <c r="J73" s="116" t="n">
        <f aca="false">J72-I72</f>
        <v>12.1309691121785</v>
      </c>
      <c r="K73" s="116" t="n">
        <f aca="false">K72-J72</f>
        <v>12.4088900396301</v>
      </c>
      <c r="L73" s="116" t="n">
        <f aca="false">L72-K72</f>
        <v>12.6932006950722</v>
      </c>
      <c r="M73" s="116" t="n">
        <f aca="false">M72-L72</f>
        <v>11.8389315650012</v>
      </c>
      <c r="N73" s="116" t="n">
        <f aca="false">N72-M72</f>
        <v>12.9570119372319</v>
      </c>
      <c r="O73" s="116" t="n">
        <f aca="false">O72-N72</f>
        <v>14.1795683825017</v>
      </c>
      <c r="P73" s="116" t="n">
        <f aca="false">P72-O72</f>
        <v>14.0496212694007</v>
      </c>
      <c r="Q73" s="116" t="n">
        <f aca="false">Q72-P72</f>
        <v>14.1798373423474</v>
      </c>
      <c r="R73" s="116" t="n">
        <f aca="false">R72-Q72</f>
        <v>6.94095654062465</v>
      </c>
      <c r="S73" s="116" t="n">
        <f aca="false">S72-R72</f>
        <v>5.56682501048951</v>
      </c>
      <c r="T73" s="116" t="n">
        <f aca="false">T72-S72</f>
        <v>5.38088499040819</v>
      </c>
      <c r="U73" s="116" t="n">
        <f aca="false">U72-T72</f>
        <v>5.46766490580382</v>
      </c>
      <c r="V73" s="116" t="n">
        <f aca="false">V72-U72</f>
        <v>5.59289608925454</v>
      </c>
      <c r="W73" s="116" t="n">
        <f aca="false">W72-V72</f>
        <v>4.43199452021801</v>
      </c>
      <c r="X73" s="116" t="n">
        <f aca="false">X72-W72</f>
        <v>4.1877508499357</v>
      </c>
      <c r="Y73" s="116" t="n">
        <f aca="false">Y72-X72</f>
        <v>4.1147474303815</v>
      </c>
      <c r="Z73" s="116" t="n">
        <f aca="false">Z72-Y72</f>
        <v>4.08344611650409</v>
      </c>
      <c r="AA73" s="116" t="n">
        <f aca="false">AA72-Z72</f>
        <v>4.0576931866259</v>
      </c>
      <c r="AB73" s="116" t="n">
        <f aca="false">AB72-AA72</f>
        <v>4.03252970753596</v>
      </c>
      <c r="AC73" s="116" t="n">
        <f aca="false">AC72-AB72</f>
        <v>4.00796383913854</v>
      </c>
      <c r="AD73" s="116" t="n">
        <f aca="false">AD72-AC72</f>
        <v>3.98400921260594</v>
      </c>
      <c r="AE73" s="116" t="n">
        <f aca="false">AE72-AD72</f>
        <v>3.96070606715949</v>
      </c>
      <c r="AF73" s="116" t="n">
        <f aca="false">AF72-AE72</f>
        <v>3.93804189689956</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13.63682799189</v>
      </c>
      <c r="H75" s="116" t="n">
        <f aca="false">$C$19*G81</f>
        <v>14.2644544068308</v>
      </c>
      <c r="I75" s="116" t="n">
        <f aca="false">$C$19*H81</f>
        <v>14.8927053925215</v>
      </c>
      <c r="J75" s="116" t="n">
        <f aca="false">$C$19*I81</f>
        <v>15.5215497204247</v>
      </c>
      <c r="K75" s="116" t="n">
        <f aca="false">$C$19*J81</f>
        <v>16.1509577234298</v>
      </c>
      <c r="L75" s="116" t="n">
        <f aca="false">$C$19*K81</f>
        <v>16.7809012177817</v>
      </c>
      <c r="M75" s="116" t="n">
        <f aca="false">$C$19*L81</f>
        <v>17.411353428913</v>
      </c>
      <c r="N75" s="116" t="n">
        <f aca="false">$C$19*M81</f>
        <v>17.9522618746849</v>
      </c>
      <c r="O75" s="116" t="n">
        <f aca="false">$C$19*N81</f>
        <v>18.4413866536495</v>
      </c>
      <c r="P75" s="116" t="n">
        <f aca="false">$C$19*O81</f>
        <v>18.8979004961749</v>
      </c>
      <c r="Q75" s="116" t="n">
        <f aca="false">$C$19*P81</f>
        <v>19.2343374576546</v>
      </c>
      <c r="R75" s="116" t="n">
        <f aca="false">$C$19*Q81</f>
        <v>19.5844741810761</v>
      </c>
      <c r="S75" s="116" t="n">
        <f aca="false">$C$19*R81</f>
        <v>19.9436730544932</v>
      </c>
      <c r="T75" s="116" t="n">
        <f aca="false">$C$19*S81</f>
        <v>20.2958006197642</v>
      </c>
      <c r="U75" s="116" t="n">
        <f aca="false">$C$19*T81</f>
        <v>20.6432239892556</v>
      </c>
      <c r="V75" s="116" t="n">
        <f aca="false">$C$19*U81</f>
        <v>20.9864792970852</v>
      </c>
      <c r="W75" s="116" t="n">
        <f aca="false">$C$19*V81</f>
        <v>21.3256634926235</v>
      </c>
      <c r="X75" s="116" t="n">
        <f aca="false">$C$19*W81</f>
        <v>21.6542498239798</v>
      </c>
      <c r="Y75" s="116" t="n">
        <f aca="false">$C$19*X81</f>
        <v>21.9723997475985</v>
      </c>
      <c r="Z75" s="116" t="n">
        <f aca="false">$C$19*Y81</f>
        <v>22.2841690907443</v>
      </c>
      <c r="AA75" s="116" t="n">
        <f aca="false">$C$19*Z81</f>
        <v>22.5893648751861</v>
      </c>
      <c r="AB75" s="116" t="n">
        <f aca="false">$C$19*AA81</f>
        <v>22.8877946689931</v>
      </c>
      <c r="AC75" s="116" t="n">
        <f aca="false">$C$19*AB81</f>
        <v>23.179436271473</v>
      </c>
      <c r="AD75" s="116" t="n">
        <f aca="false">$C$19*AC81</f>
        <v>23.4642677325232</v>
      </c>
      <c r="AE75" s="116" t="n">
        <f aca="false">$C$19*AD81</f>
        <v>23.7422673191392</v>
      </c>
      <c r="AF75" s="116" t="n">
        <f aca="false">$C$19*AE81</f>
        <v>24.0134134832522</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1324.00659137758</v>
      </c>
      <c r="E76" s="116" t="n">
        <f aca="false">(IF($C$173="Sí",(MAX(0,E74-D96)+MAX(0,D276+E53-E75))/E327,E73+MAX(0,E74-D96)+MAX(0,D276+E53-E75)))+IF($C$173="Sí",MAX(0,$C$226*(E70+D121)*0.3/0.55-D227)/E327,0)</f>
        <v>831.150638441392</v>
      </c>
      <c r="F76" s="116" t="n">
        <f aca="false">(IF($C$173="Sí",(MAX(0,F74-E96)+MAX(0,E276+F53-F75))/F327,F73+MAX(0,F74-E96)+MAX(0,E276+F53-F75)))+IF($C$173="Sí",MAX(0,$C$226*(F70+E121)*0.3/0.55-E227)/F327,0)</f>
        <v>925.243053883518</v>
      </c>
      <c r="G76" s="116" t="n">
        <f aca="false">(IF($C$173="Sí",(MAX(0,G74-F96)+MAX(0,F276+G53-G75))/G327,G73+MAX(0,G74-F96)+MAX(0,F276+G53-G75)))+IF($C$173="Sí",MAX(0,$C$226*(G70+F121)*0.3/0.55-F227)/G327,0)</f>
        <v>66980.9430916769</v>
      </c>
      <c r="H76" s="116" t="n">
        <f aca="false">(IF($C$173="Sí",(MAX(0,H74-G96)+MAX(0,G276+H53-H75))/H327,H73+MAX(0,H74-G96)+MAX(0,G276+H53-H75)))+IF($C$173="Sí",MAX(0,$C$226*(H70+G121)*0.3/0.55-G227)/H327,0)</f>
        <v>959.530666265762</v>
      </c>
      <c r="I76" s="116" t="n">
        <f aca="false">(IF($C$173="Sí",(MAX(0,I74-H96)+MAX(0,H276+I53-I75))/I327,I73+MAX(0,I74-H96)+MAX(0,H276+I53-I75)))+IF($C$173="Sí",MAX(0,$C$226*(I70+H121)*0.3/0.55-H227)/I327,0)</f>
        <v>1013.14565166042</v>
      </c>
      <c r="J76" s="116" t="n">
        <f aca="false">(IF($C$173="Sí",(MAX(0,J74-I96)+MAX(0,I276+J53-J75))/J327,J73+MAX(0,J74-I96)+MAX(0,I276+J53-J75)))+IF($C$173="Sí",MAX(0,$C$226*(J70+I121)*0.3/0.55-I227)/J327,0)</f>
        <v>1085.99777376096</v>
      </c>
      <c r="K76" s="116" t="n">
        <f aca="false">(IF($C$173="Sí",(MAX(0,K74-J96)+MAX(0,J276+K53-K75))/K327,K73+MAX(0,K74-J96)+MAX(0,J276+K53-K75)))+IF($C$173="Sí",MAX(0,$C$226*(K70+J121)*0.3/0.55-J227)/K327,0)</f>
        <v>1171.39320758501</v>
      </c>
      <c r="L76" s="116" t="n">
        <f aca="false">(IF($C$173="Sí",(MAX(0,L74-K96)+MAX(0,K276+L53-L75))/L327,L73+MAX(0,L74-K96)+MAX(0,K276+L53-L75)))+IF($C$173="Sí",MAX(0,$C$226*(L70+K121)*0.3/0.55-K227)/L327,0)</f>
        <v>1267.72286896926</v>
      </c>
      <c r="M76" s="116" t="n">
        <f aca="false">(IF($C$173="Sí",(MAX(0,M74-L96)+MAX(0,L276+M53-M75))/M327,M73+MAX(0,M74-L96)+MAX(0,L276+M53-M75)))+IF($C$173="Sí",MAX(0,$C$226*(M70+L121)*0.3/0.55-L227)/M327,0)</f>
        <v>1176.16500760861</v>
      </c>
      <c r="N76" s="116" t="n">
        <f aca="false">(IF($C$173="Sí",(MAX(0,N74-M96)+MAX(0,M276+N53-N75))/N327,N73+MAX(0,N74-M96)+MAX(0,M276+N53-N75)))+IF($C$173="Sí",MAX(0,$C$226*(N70+M121)*0.3/0.55-M227)/N327,0)</f>
        <v>924.908344898592</v>
      </c>
      <c r="O76" s="116" t="n">
        <f aca="false">(IF($C$173="Sí",(MAX(0,O74-N96)+MAX(0,N276+O53-O75))/O327,O73+MAX(0,O74-N96)+MAX(0,N276+O53-O75)))+IF($C$173="Sí",MAX(0,$C$226*(O70+N121)*0.3/0.55-N227)/O327,0)</f>
        <v>893.439603031094</v>
      </c>
      <c r="P76" s="116" t="n">
        <f aca="false">(IF($C$173="Sí",(MAX(0,P74-O96)+MAX(0,O276+P53-P75))/P327,P73+MAX(0,P74-O96)+MAX(0,O276+P53-P75)))+IF($C$173="Sí",MAX(0,$C$226*(P70+O121)*0.3/0.55-O227)/P327,0)</f>
        <v>965.947046159819</v>
      </c>
      <c r="Q76" s="116" t="n">
        <f aca="false">(IF($C$173="Sí",(MAX(0,Q74-P96)+MAX(0,P276+Q53-Q75))/Q327,Q73+MAX(0,Q74-P96)+MAX(0,P276+Q53-Q75)))+IF($C$173="Sí",MAX(0,$C$226*(Q70+P121)*0.3/0.55-P227)/Q327,0)</f>
        <v>953.890449778504</v>
      </c>
      <c r="R76" s="116" t="n">
        <f aca="false">(IF($C$173="Sí",(MAX(0,R74-Q96)+MAX(0,Q276+R53-R75))/R327,R73+MAX(0,R74-Q96)+MAX(0,Q276+R53-R75)))+IF($C$173="Sí",MAX(0,$C$226*(R70+Q121)*0.3/0.55-Q227)/R327,0)</f>
        <v>946.992208380243</v>
      </c>
      <c r="S76" s="116" t="n">
        <f aca="false">(IF($C$173="Sí",(MAX(0,S74-R96)+MAX(0,R276+S53-S75))/S327,S73+MAX(0,S74-R96)+MAX(0,R276+S53-S75)))+IF($C$173="Sí",MAX(0,$C$226*(S70+R121)*0.3/0.55-R227)/S327,0)</f>
        <v>915.735683327894</v>
      </c>
      <c r="T76" s="116" t="n">
        <f aca="false">(IF($C$173="Sí",(MAX(0,T74-S96)+MAX(0,S276+T53-T75))/T327,T73+MAX(0,T74-S96)+MAX(0,S276+T53-T75)))+IF($C$173="Sí",MAX(0,$C$226*(T70+S121)*0.3/0.55-S227)/T327,0)</f>
        <v>916.566714250616</v>
      </c>
      <c r="U76" s="116" t="n">
        <f aca="false">(IF($C$173="Sí",(MAX(0,U74-T96)+MAX(0,T276+U53-U75))/U327,U73+MAX(0,U74-T96)+MAX(0,T276+U53-U75)))+IF($C$173="Sí",MAX(0,$C$226*(U70+T121)*0.3/0.55-T227)/U327,0)</f>
        <v>922.735712094523</v>
      </c>
      <c r="V76" s="116" t="n">
        <f aca="false">(IF($C$173="Sí",(MAX(0,V74-U96)+MAX(0,U276+V53-V75))/V327,V73+MAX(0,V74-U96)+MAX(0,U276+V53-V75)))+IF($C$173="Sí",MAX(0,$C$226*(V70+U121)*0.3/0.55-U227)/V327,0)</f>
        <v>928.91988775394</v>
      </c>
      <c r="W76" s="116" t="n">
        <f aca="false">(IF($C$173="Sí",(MAX(0,W74-V96)+MAX(0,V276+W53-W75))/W327,W73+MAX(0,W74-V96)+MAX(0,V276+W53-W75)))+IF($C$173="Sí",MAX(0,$C$226*(W70+V121)*0.3/0.55-V227)/W327,0)</f>
        <v>935.369271877454</v>
      </c>
      <c r="X76" s="116" t="n">
        <f aca="false">(IF($C$173="Sí",(MAX(0,X74-W96)+MAX(0,W276+X53-X75))/X327,X73+MAX(0,X74-W96)+MAX(0,W276+X53-X75)))+IF($C$173="Sí",MAX(0,$C$226*(X70+W121)*0.3/0.55-W227)/X327,0)</f>
        <v>935.231980600366</v>
      </c>
      <c r="Y76" s="116" t="n">
        <f aca="false">(IF($C$173="Sí",(MAX(0,Y74-X96)+MAX(0,X276+Y53-Y75))/Y327,Y73+MAX(0,Y74-X96)+MAX(0,X276+Y53-Y75)))+IF($C$173="Sí",MAX(0,$C$226*(Y70+X121)*0.3/0.55-X227)/Y327,0)</f>
        <v>941.203203924783</v>
      </c>
      <c r="Z76" s="116" t="n">
        <f aca="false">(IF($C$173="Sí",(MAX(0,Z74-Y96)+MAX(0,Y276+Z53-Z75))/Z327,Z73+MAX(0,Z74-Y96)+MAX(0,Y276+Z53-Z75)))+IF($C$173="Sí",MAX(0,$C$226*(Z70+Y121)*0.3/0.55-Y227)/Z327,0)</f>
        <v>947.719866675404</v>
      </c>
      <c r="AA76" s="116" t="n">
        <f aca="false">(IF($C$173="Sí",(MAX(0,AA74-Z96)+MAX(0,Z276+AA53-AA75))/AA327,AA73+MAX(0,AA74-Z96)+MAX(0,Z276+AA53-AA75)))+IF($C$173="Sí",MAX(0,$C$226*(AA70+Z121)*0.3/0.55-Z227)/AA327,0)</f>
        <v>953.889465623273</v>
      </c>
      <c r="AB76" s="116" t="n">
        <f aca="false">(IF($C$173="Sí",(MAX(0,AB74-AA96)+MAX(0,AA276+AB53-AB75))/AB327,AB73+MAX(0,AB74-AA96)+MAX(0,AA276+AB53-AB75)))+IF($C$173="Sí",MAX(0,$C$226*(AB70+AA121)*0.3/0.55-AA227)/AB327,0)</f>
        <v>959.815904154617</v>
      </c>
      <c r="AC76" s="116" t="n">
        <f aca="false">(IF($C$173="Sí",(MAX(0,AC74-AB96)+MAX(0,AB276+AC53-AC75))/AC327,AC73+MAX(0,AC74-AB96)+MAX(0,AB276+AC53-AC75)))+IF($C$173="Sí",MAX(0,$C$226*(AC70+AB121)*0.3/0.55-AB227)/AC327,0)</f>
        <v>965.573600578608</v>
      </c>
      <c r="AD76" s="116" t="n">
        <f aca="false">(IF($C$173="Sí",(MAX(0,AD74-AC96)+MAX(0,AC276+AD53-AD75))/AD327,AD73+MAX(0,AD74-AC96)+MAX(0,AC276+AD53-AD75)))+IF($C$173="Sí",MAX(0,$C$226*(AD70+AC121)*0.3/0.55-AC227)/AD327,0)</f>
        <v>971.231220417858</v>
      </c>
      <c r="AE76" s="116" t="n">
        <f aca="false">(IF($C$173="Sí",(MAX(0,AE74-AD96)+MAX(0,AD276+AE53-AE75))/AE327,AE73+MAX(0,AE74-AD96)+MAX(0,AD276+AE53-AE75)))+IF($C$173="Sí",MAX(0,$C$226*(AE70+AD121)*0.3/0.55-AD227)/AE327,0)</f>
        <v>976.857658851695</v>
      </c>
      <c r="AF76" s="116" t="n">
        <f aca="false">(IF($C$173="Sí",(MAX(0,AF74-AE96)+MAX(0,AE276+AF53-AF75))/AF327,AF73+MAX(0,AF74-AE96)+MAX(0,AE276+AF53-AF75)))+IF($C$173="Sí",MAX(0,$C$226*(AF70+AE121)*0.3/0.55-AE227)/AF327,0)</f>
        <v>982.522368345301</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9.75</v>
      </c>
      <c r="D78" s="116" t="n">
        <f aca="false">MIN(MIN(C83+IF(D$39&lt;=01_Supuestos!$C$182,01_Supuestos!$C$181,$C$174)*D41,C83+D76),IF(01_Supuestos!$C$179&gt;0,01_Supuestos!$C$179/(1-01_Supuestos!$C$179)*64_Inflacion!$C$5*D41/$C$41,1E+099))</f>
        <v>19.72425</v>
      </c>
      <c r="E78" s="116" t="n">
        <f aca="false">MIN(MIN(D83+IF(E$39&lt;=01_Supuestos!$C$182,01_Supuestos!$C$181,$C$174)*E41,D83+E76),IF(01_Supuestos!$C$179&gt;0,01_Supuestos!$C$179/(1-01_Supuestos!$C$179)*64_Inflacion!$C$5*E41/$C$41,1E+099))</f>
        <v>29.92790775</v>
      </c>
      <c r="F78" s="116" t="n">
        <f aca="false">MIN(MIN(E83+IF(F$39&lt;=01_Supuestos!$C$182,01_Supuestos!$C$181,$C$174)*F41,E83+F76),IF(01_Supuestos!$C$179&gt;0,01_Supuestos!$C$179/(1-01_Supuestos!$C$179)*64_Inflacion!$C$5*F41/$C$41,1E+099))</f>
        <v>40.36624962825</v>
      </c>
      <c r="G78" s="116" t="n">
        <f aca="false">MIN(MIN(F83+IF(G$39&lt;=01_Supuestos!$C$182,01_Supuestos!$C$181,$C$174)*G41,F83+G76),IF(01_Supuestos!$C$179&gt;0,01_Supuestos!$C$179/(1-01_Supuestos!$C$179)*64_Inflacion!$C$5*G41/$C$41,1E+099))</f>
        <v>51.0446733696997</v>
      </c>
      <c r="H78" s="116" t="n">
        <f aca="false">MIN(MIN(G83+IF(H$39&lt;=01_Supuestos!$C$182,01_Supuestos!$C$181,$C$174)*H41,G83+H76),IF(01_Supuestos!$C$179&gt;0,01_Supuestos!$C$179/(1-01_Supuestos!$C$179)*64_Inflacion!$C$5*H41/$C$41,1E+099))</f>
        <v>61.9687008572028</v>
      </c>
      <c r="I78" s="116" t="n">
        <f aca="false">MIN(MIN(H83+IF(I$39&lt;=01_Supuestos!$C$182,01_Supuestos!$C$181,$C$174)*I41,H83+I76),IF(01_Supuestos!$C$179&gt;0,01_Supuestos!$C$179/(1-01_Supuestos!$C$179)*64_Inflacion!$C$5*I41/$C$41,1E+099))</f>
        <v>73.1439809769185</v>
      </c>
      <c r="J78" s="116" t="n">
        <f aca="false">MIN(MIN(I83+IF(J$39&lt;=01_Supuestos!$C$182,01_Supuestos!$C$181,$C$174)*J41,I83+J76),IF(01_Supuestos!$C$179&gt;0,01_Supuestos!$C$179/(1-01_Supuestos!$C$179)*64_Inflacion!$C$5*J41/$C$41,1E+099))</f>
        <v>84.5762925393876</v>
      </c>
      <c r="K78" s="116" t="n">
        <f aca="false">MIN(MIN(J83+IF(K$39&lt;=01_Supuestos!$C$182,01_Supuestos!$C$181,$C$174)*K41,J83+K76),IF(01_Supuestos!$C$179&gt;0,01_Supuestos!$C$179/(1-01_Supuestos!$C$179)*64_Inflacion!$C$5*K41/$C$41,1E+099))</f>
        <v>96.2715472677935</v>
      </c>
      <c r="L78" s="116" t="n">
        <f aca="false">MIN(MIN(K83+IF(L$39&lt;=01_Supuestos!$C$182,01_Supuestos!$C$181,$C$174)*L41,K83+L76),IF(01_Supuestos!$C$179&gt;0,01_Supuestos!$C$179/(1-01_Supuestos!$C$179)*64_Inflacion!$C$5*L41/$C$41,1E+099))</f>
        <v>108.235792854953</v>
      </c>
      <c r="M78" s="116" t="n">
        <f aca="false">MIN(MIN(L83+IF(M$39&lt;=01_Supuestos!$C$182,01_Supuestos!$C$181,$C$174)*M41,L83+M76),IF(01_Supuestos!$C$179&gt;0,01_Supuestos!$C$179/(1-01_Supuestos!$C$179)*64_Inflacion!$C$5*M41/$C$41,1E+099))</f>
        <v>120.475216090617</v>
      </c>
      <c r="N78" s="116" t="n">
        <f aca="false">MIN(MIN(M83+IF(N$39&lt;=01_Supuestos!$C$182,01_Supuestos!$C$181,$C$174)*N41,M83+N76),IF(01_Supuestos!$C$179&gt;0,01_Supuestos!$C$179/(1-01_Supuestos!$C$179)*64_Inflacion!$C$5*N41/$C$41,1E+099))</f>
        <v>132.996146060701</v>
      </c>
      <c r="O78" s="116" t="n">
        <f aca="false">MIN(MIN(N83+IF(O$39&lt;=01_Supuestos!$C$182,01_Supuestos!$C$181,$C$174)*O41,N83+O76),IF(01_Supuestos!$C$179&gt;0,01_Supuestos!$C$179/(1-01_Supuestos!$C$179)*64_Inflacion!$C$5*O41/$C$41,1E+099))</f>
        <v>145.805057420097</v>
      </c>
      <c r="P78" s="116" t="n">
        <f aca="false">MIN(MIN(O83+IF(P$39&lt;=01_Supuestos!$C$182,01_Supuestos!$C$181,$C$174)*P41,O83+P76),IF(01_Supuestos!$C$179&gt;0,01_Supuestos!$C$179/(1-01_Supuestos!$C$179)*64_Inflacion!$C$5*P41/$C$41,1E+099))</f>
        <v>158.908573740759</v>
      </c>
      <c r="Q78" s="116" t="n">
        <f aca="false">MIN(MIN(P83+IF(Q$39&lt;=01_Supuestos!$C$182,01_Supuestos!$C$181,$C$174)*Q41,P83+Q76),IF(01_Supuestos!$C$179&gt;0,01_Supuestos!$C$179/(1-01_Supuestos!$C$179)*64_Inflacion!$C$5*Q41/$C$41,1E+099))</f>
        <v>172.313470936797</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231.269669100997</v>
      </c>
      <c r="AE78" s="116" t="n">
        <f aca="false">MIN(MIN(AD83+IF(AE$39&lt;=01_Supuestos!$C$182,01_Supuestos!$C$181,$C$174)*AE41,AD83+AE76),IF(01_Supuestos!$C$179&gt;0,01_Supuestos!$C$179/(1-01_Supuestos!$C$179)*64_Inflacion!$C$5*AE41/$C$41,1E+099))</f>
        <v>234.103008095147</v>
      </c>
      <c r="AF78" s="116" t="n">
        <f aca="false">MIN(MIN(AE83+IF(AF$39&lt;=01_Supuestos!$C$182,01_Supuestos!$C$181,$C$174)*AF41,AE83+AF76),IF(01_Supuestos!$C$179&gt;0,01_Supuestos!$C$179/(1-01_Supuestos!$C$179)*64_Inflacion!$C$5*AF41/$C$41,1E+099))</f>
        <v>236.883718710264</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9.75</v>
      </c>
      <c r="D79" s="116" t="n">
        <f aca="false">MAX(0,MIN(D67,$C$9*(D69+D68+C121),D78))</f>
        <v>19.72425</v>
      </c>
      <c r="E79" s="116" t="n">
        <f aca="false">MAX(0,MIN(E67,$C$9*(E69+E68+D121),E78))</f>
        <v>29.92790775</v>
      </c>
      <c r="F79" s="116" t="n">
        <f aca="false">MAX(0,MIN(F67,$C$9*(F69+F68+E121),F78))</f>
        <v>40.36624962825</v>
      </c>
      <c r="G79" s="116" t="n">
        <f aca="false">MAX(0,MIN(G67,$C$9*(G69+G68+F121),G78))</f>
        <v>51.0446733696997</v>
      </c>
      <c r="H79" s="116" t="n">
        <f aca="false">MAX(0,MIN(H67,$C$9*(H69+H68+G121),H78))</f>
        <v>61.9687008572028</v>
      </c>
      <c r="I79" s="116" t="n">
        <f aca="false">MAX(0,MIN(I67,$C$9*(I69+I68+H121),I78))</f>
        <v>73.1439809769185</v>
      </c>
      <c r="J79" s="116" t="n">
        <f aca="false">MAX(0,MIN(J67,$C$9*(J69+J68+I121),J78))</f>
        <v>84.5762925393876</v>
      </c>
      <c r="K79" s="116" t="n">
        <f aca="false">MAX(0,MIN(K67,$C$9*(K69+K68+J121),K78))</f>
        <v>96.2715472677935</v>
      </c>
      <c r="L79" s="116" t="n">
        <f aca="false">MAX(0,MIN(L67,$C$9*(L69+L68+K121),L78))</f>
        <v>108.235792854953</v>
      </c>
      <c r="M79" s="116" t="n">
        <f aca="false">MAX(0,MIN(M67,$C$9*(M69+M68+L121),M78))</f>
        <v>120.475216090617</v>
      </c>
      <c r="N79" s="116" t="n">
        <f aca="false">MAX(0,MIN(N67,$C$9*(N69+N68+M121),N78))</f>
        <v>132.996146060701</v>
      </c>
      <c r="O79" s="116" t="n">
        <f aca="false">MAX(0,MIN(O67,$C$9*(O69+O68+N121),O78))</f>
        <v>145.805057420097</v>
      </c>
      <c r="P79" s="116" t="n">
        <f aca="false">MAX(0,MIN(P67,$C$9*(P69+P68+O121),P78))</f>
        <v>158.908573740759</v>
      </c>
      <c r="Q79" s="116" t="n">
        <f aca="false">MAX(0,MIN(Q67,$C$9*(Q69+Q68+P121),Q78))</f>
        <v>172.313470936797</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197.446427765931</v>
      </c>
      <c r="X79" s="116" t="n">
        <f aca="false">MAX(0,MIN(X67,$C$9*(X69+X68+W121),X78))</f>
        <v>200.233994343943</v>
      </c>
      <c r="Y79" s="116" t="n">
        <f aca="false">MAX(0,MIN(Y67,$C$9*(Y69+Y68+X121),Y78))</f>
        <v>202.960676420319</v>
      </c>
      <c r="Z79" s="116" t="n">
        <f aca="false">MAX(0,MIN(Z67,$C$9*(Z69+Z68+Y121),Z78))</f>
        <v>205.626244092988</v>
      </c>
      <c r="AA79" s="116" t="n">
        <f aca="false">MAX(0,MIN(AA67,$C$9*(AA69+AA68+Z121),AA78))</f>
        <v>208.230492416091</v>
      </c>
      <c r="AB79" s="116" t="n">
        <f aca="false">MAX(0,MIN(AB67,$C$9*(AB69+AB68+AA121),AB78))</f>
        <v>210.77320067481</v>
      </c>
      <c r="AC79" s="116" t="n">
        <f aca="false">MAX(0,MIN(AC67,$C$9*(AC69+AC68+AB121),AC78))</f>
        <v>213.254152261502</v>
      </c>
      <c r="AD79" s="116" t="n">
        <f aca="false">MAX(0,MIN(AD67,$C$9*(AD69+AD68+AC121),AD78))</f>
        <v>215.673134368343</v>
      </c>
      <c r="AE79" s="116" t="n">
        <f aca="false">MAX(0,MIN(AE67,$C$9*(AE69+AE68+AD121),AE78))</f>
        <v>218.029957887744</v>
      </c>
      <c r="AF79" s="116" t="n">
        <f aca="false">MAX(0,MIN(AF67,$C$9*(AF69+AF68+AE121),AF78))</f>
        <v>220.324396539815</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62.7894652973924</v>
      </c>
      <c r="N80" s="116" t="n">
        <f aca="false">IF($C$177&lt;=1,N68,SUMPRODUCT($C$189:N189,((N$39-$C$39:N$39+1)&gt;=$C$177)+((N$39-$C$39:N$39+1)&lt;$C$177)*(N$39-$C$39:N$39+1)/$C$177))</f>
        <v>66.8669897542846</v>
      </c>
      <c r="O80" s="116" t="n">
        <f aca="false">IF($C$177&lt;=1,O68,SUMPRODUCT($C$189:O189,((O$39-$C$39:O$39+1)&gt;=$C$177)+((O$39-$C$39:O$39+1)&lt;$C$177)*(O$39-$C$39:O$39+1)/$C$177))</f>
        <v>70.0771371441823</v>
      </c>
      <c r="P80" s="116" t="n">
        <f aca="false">IF($C$177&lt;=1,P68,SUMPRODUCT($C$189:P189,((P$39-$C$39:P$39+1)&gt;=$C$177)+((P$39-$C$39:P$39+1)&lt;$C$177)*(P$39-$C$39:P$39+1)/$C$177))</f>
        <v>70.6409098861706</v>
      </c>
      <c r="Q80" s="116" t="n">
        <f aca="false">IF($C$177&lt;=1,Q68,SUMPRODUCT($C$189:Q189,((Q$39-$C$39:Q$39+1)&gt;=$C$177)+((Q$39-$C$39:Q$39+1)&lt;$C$177)*(Q$39-$C$39:Q$39+1)/$C$177))</f>
        <v>71.3444504095478</v>
      </c>
      <c r="R80" s="116" t="n">
        <f aca="false">IF($C$177&lt;=1,R68,SUMPRODUCT($C$189:R189,((R$39-$C$39:R$39+1)&gt;=$C$177)+((R$39-$C$39:R$39+1)&lt;$C$177)*(R$39-$C$39:R$39+1)/$C$177))</f>
        <v>72.1838536830113</v>
      </c>
      <c r="S80" s="116" t="n">
        <f aca="false">IF($C$177&lt;=1,S68,SUMPRODUCT($C$189:S189,((S$39-$C$39:S$39+1)&gt;=$C$177)+((S$39-$C$39:S$39+1)&lt;$C$177)*(S$39-$C$39:S$39+1)/$C$177))</f>
        <v>73.1551957026069</v>
      </c>
      <c r="T80" s="116" t="n">
        <f aca="false">IF($C$177&lt;=1,T68,SUMPRODUCT($C$189:T189,((T$39-$C$39:T$39+1)&gt;=$C$177)+((T$39-$C$39:T$39+1)&lt;$C$177)*(T$39-$C$39:T$39+1)/$C$177))</f>
        <v>74.254533297273</v>
      </c>
      <c r="U80" s="116" t="n">
        <f aca="false">IF($C$177&lt;=1,U68,SUMPRODUCT($C$189:U189,((U$39-$C$39:U$39+1)&gt;=$C$177)+((U$39-$C$39:U$39+1)&lt;$C$177)*(U$39-$C$39:U$39+1)/$C$177))</f>
        <v>75.4779084155215</v>
      </c>
      <c r="V80" s="116" t="n">
        <f aca="false">IF($C$177&lt;=1,V68,SUMPRODUCT($C$189:V189,((V$39-$C$39:V$39+1)&gt;=$C$177)+((V$39-$C$39:V$39+1)&lt;$C$177)*(V$39-$C$39:V$39+1)/$C$177))</f>
        <v>76.8213389410114</v>
      </c>
      <c r="W80" s="116" t="n">
        <f aca="false">IF($C$177&lt;=1,W68,SUMPRODUCT($C$189:W189,((W$39-$C$39:W$39+1)&gt;=$C$177)+((W$39-$C$39:W$39+1)&lt;$C$177)*(W$39-$C$39:W$39+1)/$C$177))</f>
        <v>78.1392078063283</v>
      </c>
      <c r="X80" s="116" t="n">
        <f aca="false">IF($C$177&lt;=1,X68,SUMPRODUCT($C$189:X189,((X$39-$C$39:X$39+1)&gt;=$C$177)+((X$39-$C$39:X$39+1)&lt;$C$177)*(X$39-$C$39:X$39+1)/$C$177))</f>
        <v>79.4279296155995</v>
      </c>
      <c r="Y80" s="116" t="n">
        <f aca="false">IF($C$177&lt;=1,Y68,SUMPRODUCT($C$189:Y189,((Y$39-$C$39:Y$39+1)&gt;=$C$177)+((Y$39-$C$39:Y$39+1)&lt;$C$177)*(Y$39-$C$39:Y$39+1)/$C$177))</f>
        <v>80.683916984538</v>
      </c>
      <c r="Z80" s="116" t="n">
        <f aca="false">IF($C$177&lt;=1,Z68,SUMPRODUCT($C$189:Z189,((Z$39-$C$39:Z$39+1)&gt;=$C$177)+((Z$39-$C$39:Z$39+1)&lt;$C$177)*(Z$39-$C$39:Z$39+1)/$C$177))</f>
        <v>81.9035714942511</v>
      </c>
      <c r="AA80" s="116" t="n">
        <f aca="false">IF($C$177&lt;=1,AA68,SUMPRODUCT($C$189:AA189,((AA$39-$C$39:AA$39+1)&gt;=$C$177)+((AA$39-$C$39:AA$39+1)&lt;$C$177)*(AA$39-$C$39:AA$39+1)/$C$177))</f>
        <v>83.0832925945714</v>
      </c>
      <c r="AB80" s="116" t="n">
        <f aca="false">IF($C$177&lt;=1,AB68,SUMPRODUCT($C$189:AB189,((AB$39-$C$39:AB$39+1)&gt;=$C$177)+((AB$39-$C$39:AB$39+1)&lt;$C$177)*(AB$39-$C$39:AB$39+1)/$C$177))</f>
        <v>84.2228719556712</v>
      </c>
      <c r="AC80" s="116" t="n">
        <f aca="false">IF($C$177&lt;=1,AC68,SUMPRODUCT($C$189:AC189,((AC$39-$C$39:AC$39+1)&gt;=$C$177)+((AC$39-$C$39:AC$39+1)&lt;$C$177)*(AC$39-$C$39:AC$39+1)/$C$177))</f>
        <v>85.3220944753242</v>
      </c>
      <c r="AD80" s="116" t="n">
        <f aca="false">IF($C$177&lt;=1,AD68,SUMPRODUCT($C$189:AD189,((AD$39-$C$39:AD$39+1)&gt;=$C$177)+((AD$39-$C$39:AD$39+1)&lt;$C$177)*(AD$39-$C$39:AD$39+1)/$C$177))</f>
        <v>86.380738198267</v>
      </c>
      <c r="AE80" s="116" t="n">
        <f aca="false">IF($C$177&lt;=1,AE68,SUMPRODUCT($C$189:AE189,((AE$39-$C$39:AE$39+1)&gt;=$C$177)+((AE$39-$C$39:AE$39+1)&lt;$C$177)*(AE$39-$C$39:AE$39+1)/$C$177))</f>
        <v>87.398574232713</v>
      </c>
      <c r="AF80" s="116" t="n">
        <f aca="false">IF($C$177&lt;=1,AF68,SUMPRODUCT($C$189:AF189,((AF$39-$C$39:AF$39+1)&gt;=$C$177)+((AF$39-$C$39:AF$39+1)&lt;$C$177)*(AF$39-$C$39:AF$39+1)/$C$177))</f>
        <v>88.3753666639193</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272.736559837801</v>
      </c>
      <c r="G81" s="116" t="n">
        <f aca="false">G69+G80+F121</f>
        <v>285.289088136615</v>
      </c>
      <c r="H81" s="116" t="n">
        <f aca="false">H69+H80+G121</f>
        <v>297.85410785043</v>
      </c>
      <c r="I81" s="116" t="n">
        <f aca="false">I69+I80+H121</f>
        <v>310.430994408494</v>
      </c>
      <c r="J81" s="116" t="n">
        <f aca="false">J69+J80+I121</f>
        <v>323.019154468596</v>
      </c>
      <c r="K81" s="116" t="n">
        <f aca="false">K69+K80+J121</f>
        <v>335.618024355634</v>
      </c>
      <c r="L81" s="116" t="n">
        <f aca="false">L69+L80+K121</f>
        <v>348.22706857826</v>
      </c>
      <c r="M81" s="116" t="n">
        <f aca="false">M69+M80+L121</f>
        <v>359.045237493698</v>
      </c>
      <c r="N81" s="116" t="n">
        <f aca="false">N69+N80+M121</f>
        <v>368.827733072991</v>
      </c>
      <c r="O81" s="116" t="n">
        <f aca="false">O69+O80+N121</f>
        <v>377.958009923497</v>
      </c>
      <c r="P81" s="116" t="n">
        <f aca="false">P69+P80+O121</f>
        <v>384.686749153093</v>
      </c>
      <c r="Q81" s="116" t="n">
        <f aca="false">Q69+Q80+P121</f>
        <v>391.689483621522</v>
      </c>
      <c r="R81" s="116" t="n">
        <f aca="false">R69+R80+Q121</f>
        <v>398.873461089864</v>
      </c>
      <c r="S81" s="116" t="n">
        <f aca="false">S69+S80+R121</f>
        <v>405.916012395284</v>
      </c>
      <c r="T81" s="116" t="n">
        <f aca="false">T69+T80+S121</f>
        <v>412.864479785111</v>
      </c>
      <c r="U81" s="116" t="n">
        <f aca="false">U69+U80+T121</f>
        <v>419.729585941705</v>
      </c>
      <c r="V81" s="116" t="n">
        <f aca="false">V69+V80+U121</f>
        <v>426.51326985247</v>
      </c>
      <c r="W81" s="116" t="n">
        <f aca="false">W69+W80+V121</f>
        <v>433.084996479596</v>
      </c>
      <c r="X81" s="116" t="n">
        <f aca="false">X69+X80+W121</f>
        <v>439.44799495197</v>
      </c>
      <c r="Y81" s="116" t="n">
        <f aca="false">Y69+Y80+X121</f>
        <v>445.683381814887</v>
      </c>
      <c r="Z81" s="116" t="n">
        <f aca="false">Z69+Z80+Y121</f>
        <v>451.787297503722</v>
      </c>
      <c r="AA81" s="116" t="n">
        <f aca="false">AA69+AA80+Z121</f>
        <v>457.755893379863</v>
      </c>
      <c r="AB81" s="116" t="n">
        <f aca="false">AB69+AB80+AA121</f>
        <v>463.588725429459</v>
      </c>
      <c r="AC81" s="116" t="n">
        <f aca="false">AC69+AC80+AB121</f>
        <v>469.285354650465</v>
      </c>
      <c r="AD81" s="116" t="n">
        <f aca="false">AD69+AD80+AC121</f>
        <v>474.845346382784</v>
      </c>
      <c r="AE81" s="116" t="n">
        <f aca="false">AE69+AE80+AD121</f>
        <v>480.268269665043</v>
      </c>
      <c r="AF81" s="116" t="n">
        <f aca="false">AF69+AF80+AE121</f>
        <v>485.553696616389</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9.75</v>
      </c>
      <c r="D83" s="136" t="n">
        <f aca="false">D79+D82</f>
        <v>19.72425</v>
      </c>
      <c r="E83" s="136" t="n">
        <f aca="false">E79+E82</f>
        <v>29.92790775</v>
      </c>
      <c r="F83" s="136" t="n">
        <f aca="false">F79+F82</f>
        <v>40.36624962825</v>
      </c>
      <c r="G83" s="136" t="n">
        <f aca="false">G79+G82</f>
        <v>51.0446733696997</v>
      </c>
      <c r="H83" s="136" t="n">
        <f aca="false">H79+H82</f>
        <v>61.9687008572028</v>
      </c>
      <c r="I83" s="136" t="n">
        <f aca="false">I79+I82</f>
        <v>73.1439809769185</v>
      </c>
      <c r="J83" s="136" t="n">
        <f aca="false">J79+J82</f>
        <v>84.5762925393876</v>
      </c>
      <c r="K83" s="136" t="n">
        <f aca="false">K79+K82</f>
        <v>96.2715472677935</v>
      </c>
      <c r="L83" s="136" t="n">
        <f aca="false">L79+L82</f>
        <v>108.235792854953</v>
      </c>
      <c r="M83" s="136" t="n">
        <f aca="false">M79+M82</f>
        <v>120.475216090617</v>
      </c>
      <c r="N83" s="136" t="n">
        <f aca="false">N79+N82</f>
        <v>132.996146060701</v>
      </c>
      <c r="O83" s="136" t="n">
        <f aca="false">O79+O82</f>
        <v>145.805057420097</v>
      </c>
      <c r="P83" s="136" t="n">
        <f aca="false">P79+P82</f>
        <v>158.908573740759</v>
      </c>
      <c r="Q83" s="136" t="n">
        <f aca="false">Q79+Q82</f>
        <v>172.313470936797</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197.446427765931</v>
      </c>
      <c r="X83" s="136" t="n">
        <f aca="false">X79+X82</f>
        <v>200.233994343943</v>
      </c>
      <c r="Y83" s="136" t="n">
        <f aca="false">Y79+Y82</f>
        <v>202.960676420319</v>
      </c>
      <c r="Z83" s="136" t="n">
        <f aca="false">Z79+Z82</f>
        <v>205.626244092988</v>
      </c>
      <c r="AA83" s="136" t="n">
        <f aca="false">AA79+AA82</f>
        <v>208.230492416091</v>
      </c>
      <c r="AB83" s="136" t="n">
        <f aca="false">AB79+AB82</f>
        <v>210.77320067481</v>
      </c>
      <c r="AC83" s="136" t="n">
        <f aca="false">AC79+AC82</f>
        <v>213.254152261502</v>
      </c>
      <c r="AD83" s="136" t="n">
        <f aca="false">AD79+AD82</f>
        <v>215.673134368343</v>
      </c>
      <c r="AE83" s="136" t="n">
        <f aca="false">AE79+AE82</f>
        <v>218.029957887744</v>
      </c>
      <c r="AF83" s="136" t="n">
        <f aca="false">AF79+AF82</f>
        <v>220.324396539815</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49.3143938619143</v>
      </c>
      <c r="D84" s="116" t="n">
        <f aca="false">D67-D79+D80-D82</f>
        <v>77.3516961116566</v>
      </c>
      <c r="E84" s="116" t="n">
        <f aca="false">E67-E79+E80-E82</f>
        <v>100.934356370434</v>
      </c>
      <c r="F84" s="116" t="n">
        <f aca="false">F67-F79+F80-F82</f>
        <v>179.378634399883</v>
      </c>
      <c r="G84" s="116" t="n">
        <f aca="false">G67-G79+G80-G82</f>
        <v>174.238817415337</v>
      </c>
      <c r="H84" s="116" t="n">
        <f aca="false">H67-H79+H80-H82</f>
        <v>168.865888099739</v>
      </c>
      <c r="I84" s="116" t="n">
        <f aca="false">I67-I79+I80-I82</f>
        <v>163.253572996178</v>
      </c>
      <c r="J84" s="116" t="n">
        <f aca="false">J67-J79+J80-J82</f>
        <v>157.3954999519</v>
      </c>
      <c r="K84" s="116" t="n">
        <f aca="false">K67-K79+K80-K82</f>
        <v>151.285193568622</v>
      </c>
      <c r="L84" s="116" t="n">
        <f aca="false">L67-L79+L80-L82</f>
        <v>144.916070662179</v>
      </c>
      <c r="M84" s="116" t="n">
        <f aca="false">M67-M79+M80-M82</f>
        <v>140.646046518763</v>
      </c>
      <c r="N84" s="116" t="n">
        <f aca="false">N67-N79+N80-N82</f>
        <v>135.046003212342</v>
      </c>
      <c r="O84" s="116" t="n">
        <f aca="false">O67-O79+O80-O82</f>
        <v>128.285948551389</v>
      </c>
      <c r="P84" s="116" t="n">
        <f aca="false">P67-P79+P80-P82</f>
        <v>118.579415216977</v>
      </c>
      <c r="Q84" s="116" t="n">
        <f aca="false">Q67-Q79+Q80-Q82</f>
        <v>108.704808212315</v>
      </c>
      <c r="R84" s="116" t="n">
        <f aca="false">R67-R79+R80-R82</f>
        <v>107.05880255788</v>
      </c>
      <c r="S84" s="116" t="n">
        <f aca="false">S67-S79+S80-S82</f>
        <v>106.558292833134</v>
      </c>
      <c r="T84" s="116" t="n">
        <f aca="false">T67-T79+T80-T82</f>
        <v>105.982645769351</v>
      </c>
      <c r="U84" s="116" t="n">
        <f aca="false">U67-U79+U80-U82</f>
        <v>105.324968297724</v>
      </c>
      <c r="V84" s="116" t="n">
        <f aca="false">V67-V79+V80-V82</f>
        <v>104.578040352173</v>
      </c>
      <c r="W84" s="116" t="n">
        <f aca="false">W67-W79+W80-W82</f>
        <v>105.040443792963</v>
      </c>
      <c r="X84" s="116" t="n">
        <f aca="false">X67-X79+X80-X82</f>
        <v>105.597701003678</v>
      </c>
      <c r="Y84" s="116" t="n">
        <f aca="false">Y67-Y79+Y80-Y82</f>
        <v>106.069443768558</v>
      </c>
      <c r="Z84" s="116" t="n">
        <f aca="false">Z67-Z79+Z80-Z82</f>
        <v>106.451307872819</v>
      </c>
      <c r="AA84" s="116" t="n">
        <f aca="false">AA67-AA79+AA80-AA82</f>
        <v>106.739039780183</v>
      </c>
      <c r="AB84" s="116" t="n">
        <f aca="false">AB67-AB79+AB80-AB82</f>
        <v>106.931666799413</v>
      </c>
      <c r="AC84" s="116" t="n">
        <f aca="false">AC67-AC79+AC80-AC82</f>
        <v>107.02820932876</v>
      </c>
      <c r="AD84" s="116" t="n">
        <f aca="false">AD67-AD79+AD80-AD82</f>
        <v>107.027680217586</v>
      </c>
      <c r="AE84" s="116" t="n">
        <f aca="false">AE67-AE79+AE80-AE82</f>
        <v>106.929195937109</v>
      </c>
      <c r="AF84" s="116" t="n">
        <f aca="false">AF67-AF79+AF80-AF82</f>
        <v>106.731640539039</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32.7283871805361</v>
      </c>
      <c r="G85" s="116" t="n">
        <f aca="false">IF(AND($C$31&gt;0,G$39&gt;10),MIN(G83,MAX(01_Supuestos!$I$137*G81,F85*(1-1/MAX(1,$C$31)))),MIN(IF(G$39&lt;=10,01_Supuestos!$I$136,01_Supuestos!$I$137)*G81,G83))</f>
        <v>34.2346905763938</v>
      </c>
      <c r="H85" s="116" t="n">
        <f aca="false">IF(AND($C$31&gt;0,H$39&gt;10),MIN(H83,MAX(01_Supuestos!$I$137*H81,G85*(1-1/MAX(1,$C$31)))),MIN(IF(H$39&lt;=10,01_Supuestos!$I$136,01_Supuestos!$I$137)*H81,H83))</f>
        <v>35.7424929420516</v>
      </c>
      <c r="I85" s="116" t="n">
        <f aca="false">IF(AND($C$31&gt;0,I$39&gt;10),MIN(I83,MAX(01_Supuestos!$I$137*I81,H85*(1-1/MAX(1,$C$31)))),MIN(IF(I$39&lt;=10,01_Supuestos!$I$136,01_Supuestos!$I$137)*I81,I83))</f>
        <v>37.2517193290193</v>
      </c>
      <c r="J85" s="116" t="n">
        <f aca="false">IF(AND($C$31&gt;0,J$39&gt;10),MIN(J83,MAX(01_Supuestos!$I$137*J81,I85*(1-1/MAX(1,$C$31)))),MIN(IF(J$39&lt;=10,01_Supuestos!$I$136,01_Supuestos!$I$137)*J81,J83))</f>
        <v>38.7622985362315</v>
      </c>
      <c r="K85" s="116" t="n">
        <f aca="false">IF(AND($C$31&gt;0,K$39&gt;10),MIN(K83,MAX(01_Supuestos!$I$137*K81,J85*(1-1/MAX(1,$C$31)))),MIN(IF(K$39&lt;=10,01_Supuestos!$I$136,01_Supuestos!$I$137)*K81,K83))</f>
        <v>40.2741629226761</v>
      </c>
      <c r="L85" s="116" t="n">
        <f aca="false">IF(AND($C$31&gt;0,L$39&gt;10),MIN(L83,MAX(01_Supuestos!$I$137*L81,K85*(1-1/MAX(1,$C$31)))),MIN(IF(L$39&lt;=10,01_Supuestos!$I$136,01_Supuestos!$I$137)*L81,L83))</f>
        <v>41.7872482293912</v>
      </c>
      <c r="M85" s="116" t="n">
        <f aca="false">IF(AND($C$31&gt;0,M$39&gt;10),MIN(M83,MAX(01_Supuestos!$I$137*M81,L85*(1-1/MAX(1,$C$31)))),MIN(IF(M$39&lt;=10,01_Supuestos!$I$136,01_Supuestos!$I$137)*M81,M83))</f>
        <v>33.429798583513</v>
      </c>
      <c r="N85" s="116" t="n">
        <f aca="false">IF(AND($C$31&gt;0,N$39&gt;10),MIN(N83,MAX(01_Supuestos!$I$137*N81,M85*(1-1/MAX(1,$C$31)))),MIN(IF(N$39&lt;=10,01_Supuestos!$I$136,01_Supuestos!$I$137)*N81,N83))</f>
        <v>27.6620799804743</v>
      </c>
      <c r="O85" s="116" t="n">
        <f aca="false">IF(AND($C$31&gt;0,O$39&gt;10),MIN(O83,MAX(01_Supuestos!$I$137*O81,N85*(1-1/MAX(1,$C$31)))),MIN(IF(O$39&lt;=10,01_Supuestos!$I$136,01_Supuestos!$I$137)*O81,O83))</f>
        <v>28.3468507442623</v>
      </c>
      <c r="P85" s="116" t="n">
        <f aca="false">IF(AND($C$31&gt;0,P$39&gt;10),MIN(P83,MAX(01_Supuestos!$I$137*P81,O85*(1-1/MAX(1,$C$31)))),MIN(IF(P$39&lt;=10,01_Supuestos!$I$136,01_Supuestos!$I$137)*P81,P83))</f>
        <v>28.851506186482</v>
      </c>
      <c r="Q85" s="116" t="n">
        <f aca="false">IF(AND($C$31&gt;0,Q$39&gt;10),MIN(Q83,MAX(01_Supuestos!$I$137*Q81,P85*(1-1/MAX(1,$C$31)))),MIN(IF(Q$39&lt;=10,01_Supuestos!$I$136,01_Supuestos!$I$137)*Q81,Q83))</f>
        <v>29.3767112716142</v>
      </c>
      <c r="R85" s="116" t="n">
        <f aca="false">IF(AND($C$31&gt;0,R$39&gt;10),MIN(R83,MAX(01_Supuestos!$I$137*R81,Q85*(1-1/MAX(1,$C$31)))),MIN(IF(R$39&lt;=10,01_Supuestos!$I$136,01_Supuestos!$I$137)*R81,R83))</f>
        <v>29.9155095817398</v>
      </c>
      <c r="S85" s="116" t="n">
        <f aca="false">IF(AND($C$31&gt;0,S$39&gt;10),MIN(S83,MAX(01_Supuestos!$I$137*S81,R85*(1-1/MAX(1,$C$31)))),MIN(IF(S$39&lt;=10,01_Supuestos!$I$136,01_Supuestos!$I$137)*S81,S83))</f>
        <v>30.4437009296463</v>
      </c>
      <c r="T85" s="116" t="n">
        <f aca="false">IF(AND($C$31&gt;0,T$39&gt;10),MIN(T83,MAX(01_Supuestos!$I$137*T81,S85*(1-1/MAX(1,$C$31)))),MIN(IF(T$39&lt;=10,01_Supuestos!$I$136,01_Supuestos!$I$137)*T81,T83))</f>
        <v>30.9648359838834</v>
      </c>
      <c r="U85" s="116" t="n">
        <f aca="false">IF(AND($C$31&gt;0,U$39&gt;10),MIN(U83,MAX(01_Supuestos!$I$137*U81,T85*(1-1/MAX(1,$C$31)))),MIN(IF(U$39&lt;=10,01_Supuestos!$I$136,01_Supuestos!$I$137)*U81,U83))</f>
        <v>31.4797189456279</v>
      </c>
      <c r="V85" s="116" t="n">
        <f aca="false">IF(AND($C$31&gt;0,V$39&gt;10),MIN(V83,MAX(01_Supuestos!$I$137*V81,U85*(1-1/MAX(1,$C$31)))),MIN(IF(V$39&lt;=10,01_Supuestos!$I$136,01_Supuestos!$I$137)*V81,V83))</f>
        <v>31.9884952389352</v>
      </c>
      <c r="W85" s="116" t="n">
        <f aca="false">IF(AND($C$31&gt;0,W$39&gt;10),MIN(W83,MAX(01_Supuestos!$I$137*W81,V85*(1-1/MAX(1,$C$31)))),MIN(IF(W$39&lt;=10,01_Supuestos!$I$136,01_Supuestos!$I$137)*W81,W83))</f>
        <v>32.4813747359697</v>
      </c>
      <c r="X85" s="116" t="n">
        <f aca="false">IF(AND($C$31&gt;0,X$39&gt;10),MIN(X83,MAX(01_Supuestos!$I$137*X81,W85*(1-1/MAX(1,$C$31)))),MIN(IF(X$39&lt;=10,01_Supuestos!$I$136,01_Supuestos!$I$137)*X81,X83))</f>
        <v>32.9585996213978</v>
      </c>
      <c r="Y85" s="116" t="n">
        <f aca="false">IF(AND($C$31&gt;0,Y$39&gt;10),MIN(Y83,MAX(01_Supuestos!$I$137*Y81,X85*(1-1/MAX(1,$C$31)))),MIN(IF(Y$39&lt;=10,01_Supuestos!$I$136,01_Supuestos!$I$137)*Y81,Y83))</f>
        <v>33.4262536361165</v>
      </c>
      <c r="Z85" s="116" t="n">
        <f aca="false">IF(AND($C$31&gt;0,Z$39&gt;10),MIN(Z83,MAX(01_Supuestos!$I$137*Z81,Y85*(1-1/MAX(1,$C$31)))),MIN(IF(Z$39&lt;=10,01_Supuestos!$I$136,01_Supuestos!$I$137)*Z81,Z83))</f>
        <v>33.8840473127791</v>
      </c>
      <c r="AA85" s="116" t="n">
        <f aca="false">IF(AND($C$31&gt;0,AA$39&gt;10),MIN(AA83,MAX(01_Supuestos!$I$137*AA81,Z85*(1-1/MAX(1,$C$31)))),MIN(IF(AA$39&lt;=10,01_Supuestos!$I$136,01_Supuestos!$I$137)*AA81,AA83))</f>
        <v>34.3316920034897</v>
      </c>
      <c r="AB85" s="116" t="n">
        <f aca="false">IF(AND($C$31&gt;0,AB$39&gt;10),MIN(AB83,MAX(01_Supuestos!$I$137*AB81,AA85*(1-1/MAX(1,$C$31)))),MIN(IF(AB$39&lt;=10,01_Supuestos!$I$136,01_Supuestos!$I$137)*AB81,AB83))</f>
        <v>34.7691544072095</v>
      </c>
      <c r="AC85" s="116" t="n">
        <f aca="false">IF(AND($C$31&gt;0,AC$39&gt;10),MIN(AC83,MAX(01_Supuestos!$I$137*AC81,AB85*(1-1/MAX(1,$C$31)))),MIN(IF(AC$39&lt;=10,01_Supuestos!$I$136,01_Supuestos!$I$137)*AC81,AC83))</f>
        <v>35.1964015987849</v>
      </c>
      <c r="AD85" s="116" t="n">
        <f aca="false">IF(AND($C$31&gt;0,AD$39&gt;10),MIN(AD83,MAX(01_Supuestos!$I$137*AD81,AC85*(1-1/MAX(1,$C$31)))),MIN(IF(AD$39&lt;=10,01_Supuestos!$I$136,01_Supuestos!$I$137)*AD81,AD83))</f>
        <v>35.6134009787088</v>
      </c>
      <c r="AE85" s="116" t="n">
        <f aca="false">IF(AND($C$31&gt;0,AE$39&gt;10),MIN(AE83,MAX(01_Supuestos!$I$137*AE81,AD85*(1-1/MAX(1,$C$31)))),MIN(IF(AE$39&lt;=10,01_Supuestos!$I$136,01_Supuestos!$I$137)*AE81,AE83))</f>
        <v>36.0201202248782</v>
      </c>
      <c r="AF85" s="116" t="n">
        <f aca="false">IF(AND($C$31&gt;0,AF$39&gt;10),MIN(AF83,MAX(01_Supuestos!$I$137*AF81,AE85*(1-1/MAX(1,$C$31)))),MIN(IF(AF$39&lt;=10,01_Supuestos!$I$136,01_Supuestos!$I$137)*AF81,AF83))</f>
        <v>36.4165272462292</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0.4875</v>
      </c>
      <c r="D86" s="116" t="n">
        <f aca="false">01_Supuestos!$I$127*D83</f>
        <v>0.9862125</v>
      </c>
      <c r="E86" s="116" t="n">
        <f aca="false">01_Supuestos!$I$127*E83</f>
        <v>1.4963953875</v>
      </c>
      <c r="F86" s="116" t="n">
        <f aca="false">01_Supuestos!$I$127*F83</f>
        <v>2.0183124814125</v>
      </c>
      <c r="G86" s="116" t="n">
        <f aca="false">01_Supuestos!$I$127*G83</f>
        <v>2.55223366848499</v>
      </c>
      <c r="H86" s="116" t="n">
        <f aca="false">01_Supuestos!$I$127*H83</f>
        <v>3.09843504286014</v>
      </c>
      <c r="I86" s="116" t="n">
        <f aca="false">01_Supuestos!$I$127*I83</f>
        <v>3.65719904884592</v>
      </c>
      <c r="J86" s="116" t="n">
        <f aca="false">01_Supuestos!$I$127*J83</f>
        <v>4.22881462696938</v>
      </c>
      <c r="K86" s="116" t="n">
        <f aca="false">01_Supuestos!$I$127*K83</f>
        <v>4.81357736338968</v>
      </c>
      <c r="L86" s="116" t="n">
        <f aca="false">01_Supuestos!$I$127*L83</f>
        <v>5.41178964274764</v>
      </c>
      <c r="M86" s="116" t="n">
        <f aca="false">01_Supuestos!$I$127*M83</f>
        <v>6.02376080453083</v>
      </c>
      <c r="N86" s="116" t="n">
        <f aca="false">01_Supuestos!$I$127*N83</f>
        <v>6.64980730303504</v>
      </c>
      <c r="O86" s="116" t="n">
        <f aca="false">01_Supuestos!$I$127*O83</f>
        <v>7.29025287100485</v>
      </c>
      <c r="P86" s="116" t="n">
        <f aca="false">01_Supuestos!$I$127*P83</f>
        <v>7.94542868703796</v>
      </c>
      <c r="Q86" s="116" t="n">
        <f aca="false">01_Supuestos!$I$127*Q83</f>
        <v>8.61567354683983</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9.87232138829654</v>
      </c>
      <c r="X86" s="116" t="n">
        <f aca="false">01_Supuestos!$I$127*X83</f>
        <v>10.0116997171971</v>
      </c>
      <c r="Y86" s="116" t="n">
        <f aca="false">01_Supuestos!$I$127*Y83</f>
        <v>10.1480338210159</v>
      </c>
      <c r="Z86" s="116" t="n">
        <f aca="false">01_Supuestos!$I$127*Z83</f>
        <v>10.2813122046494</v>
      </c>
      <c r="AA86" s="116" t="n">
        <f aca="false">01_Supuestos!$I$127*AA83</f>
        <v>10.4115246208045</v>
      </c>
      <c r="AB86" s="116" t="n">
        <f aca="false">01_Supuestos!$I$127*AB83</f>
        <v>10.5386600337405</v>
      </c>
      <c r="AC86" s="116" t="n">
        <f aca="false">01_Supuestos!$I$127*AC83</f>
        <v>10.6627076130751</v>
      </c>
      <c r="AD86" s="116" t="n">
        <f aca="false">01_Supuestos!$I$127*AD83</f>
        <v>10.7836567184172</v>
      </c>
      <c r="AE86" s="116" t="n">
        <f aca="false">01_Supuestos!$I$127*AE83</f>
        <v>10.9014978943872</v>
      </c>
      <c r="AF86" s="116" t="n">
        <f aca="false">01_Supuestos!$I$127*AF83</f>
        <v>11.0162198269907</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2.16517273657028</v>
      </c>
      <c r="D87" s="116" t="n">
        <f aca="false">D83-D85-D86</f>
        <v>7.0693850866012</v>
      </c>
      <c r="E87" s="116" t="n">
        <f aca="false">E83-E85-E86</f>
        <v>12.6982120655839</v>
      </c>
      <c r="F87" s="116" t="n">
        <f aca="false">F83-F85-F86</f>
        <v>5.61954996630141</v>
      </c>
      <c r="G87" s="116" t="n">
        <f aca="false">G83-G85-G86</f>
        <v>14.2577491248209</v>
      </c>
      <c r="H87" s="116" t="n">
        <f aca="false">H83-H85-H86</f>
        <v>23.1277728722911</v>
      </c>
      <c r="I87" s="116" t="n">
        <f aca="false">I83-I85-I86</f>
        <v>32.2350625990533</v>
      </c>
      <c r="J87" s="116" t="n">
        <f aca="false">J83-J85-J86</f>
        <v>41.5851793761867</v>
      </c>
      <c r="K87" s="116" t="n">
        <f aca="false">K83-K85-K86</f>
        <v>51.1838069817278</v>
      </c>
      <c r="L87" s="116" t="n">
        <f aca="false">L83-L85-L86</f>
        <v>61.0367549828139</v>
      </c>
      <c r="M87" s="116" t="n">
        <f aca="false">M83-M85-M86</f>
        <v>81.0216567025729</v>
      </c>
      <c r="N87" s="116" t="n">
        <f aca="false">N83-N85-N86</f>
        <v>98.6842587771915</v>
      </c>
      <c r="O87" s="116" t="n">
        <f aca="false">O83-O85-O86</f>
        <v>110.16795380483</v>
      </c>
      <c r="P87" s="116" t="n">
        <f aca="false">P83-P85-P86</f>
        <v>122.111638867239</v>
      </c>
      <c r="Q87" s="116" t="n">
        <f aca="false">Q83-Q85-Q86</f>
        <v>134.321086118343</v>
      </c>
      <c r="R87" s="116" t="n">
        <f aca="false">R83-R85-R86</f>
        <v>138.726832423573</v>
      </c>
      <c r="S87" s="116" t="n">
        <f aca="false">S83-S85-S86</f>
        <v>142.077414941789</v>
      </c>
      <c r="T87" s="116" t="n">
        <f aca="false">T83-T85-T86</f>
        <v>145.524265552595</v>
      </c>
      <c r="U87" s="116" t="n">
        <f aca="false">U83-U85-U86</f>
        <v>149.068631926189</v>
      </c>
      <c r="V87" s="116" t="n">
        <f aca="false">V83-V85-V86</f>
        <v>152.712467702934</v>
      </c>
      <c r="W87" s="116" t="n">
        <f aca="false">W83-W85-W86</f>
        <v>155.092731641665</v>
      </c>
      <c r="X87" s="116" t="n">
        <f aca="false">X83-X85-X86</f>
        <v>157.263695005348</v>
      </c>
      <c r="Y87" s="116" t="n">
        <f aca="false">Y83-Y85-Y86</f>
        <v>159.386388963186</v>
      </c>
      <c r="Z87" s="116" t="n">
        <f aca="false">Z83-Z85-Z86</f>
        <v>161.460884575559</v>
      </c>
      <c r="AA87" s="116" t="n">
        <f aca="false">AA83-AA85-AA86</f>
        <v>163.487275791796</v>
      </c>
      <c r="AB87" s="116" t="n">
        <f aca="false">AB83-AB85-AB86</f>
        <v>165.46538623386</v>
      </c>
      <c r="AC87" s="116" t="n">
        <f aca="false">AC83-AC85-AC86</f>
        <v>167.395043049642</v>
      </c>
      <c r="AD87" s="116" t="n">
        <f aca="false">AD83-AD85-AD86</f>
        <v>169.276076671217</v>
      </c>
      <c r="AE87" s="116" t="n">
        <f aca="false">AE83-AE85-AE86</f>
        <v>171.108339768479</v>
      </c>
      <c r="AF87" s="116" t="n">
        <f aca="false">AF83-AF85-AF86</f>
        <v>172.891649466595</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0.027421875</v>
      </c>
      <c r="D88" s="116" t="n">
        <f aca="false">D86/01_Supuestos!$I$131*01_Supuestos!$I$129*01_Supuestos!$I$130*01_Supuestos!$I$128</f>
        <v>0.055474453125</v>
      </c>
      <c r="E88" s="116" t="n">
        <f aca="false">E86/01_Supuestos!$I$131*01_Supuestos!$I$129*01_Supuestos!$I$130*01_Supuestos!$I$128</f>
        <v>0.084172240546875</v>
      </c>
      <c r="F88" s="116" t="n">
        <f aca="false">F86/01_Supuestos!$I$131*01_Supuestos!$I$129*01_Supuestos!$I$130*01_Supuestos!$I$128</f>
        <v>0.113530077079453</v>
      </c>
      <c r="G88" s="116" t="n">
        <f aca="false">G86/01_Supuestos!$I$131*01_Supuestos!$I$129*01_Supuestos!$I$130*01_Supuestos!$I$128</f>
        <v>0.143563143852281</v>
      </c>
      <c r="H88" s="116" t="n">
        <f aca="false">H86/01_Supuestos!$I$131*01_Supuestos!$I$129*01_Supuestos!$I$130*01_Supuestos!$I$128</f>
        <v>0.174286971160883</v>
      </c>
      <c r="I88" s="116" t="n">
        <f aca="false">I86/01_Supuestos!$I$131*01_Supuestos!$I$129*01_Supuestos!$I$130*01_Supuestos!$I$128</f>
        <v>0.205717446497583</v>
      </c>
      <c r="J88" s="116" t="n">
        <f aca="false">J86/01_Supuestos!$I$131*01_Supuestos!$I$129*01_Supuestos!$I$130*01_Supuestos!$I$128</f>
        <v>0.237870822767028</v>
      </c>
      <c r="K88" s="116" t="n">
        <f aca="false">K86/01_Supuestos!$I$131*01_Supuestos!$I$129*01_Supuestos!$I$130*01_Supuestos!$I$128</f>
        <v>0.270763726690669</v>
      </c>
      <c r="L88" s="116" t="n">
        <f aca="false">L86/01_Supuestos!$I$131*01_Supuestos!$I$129*01_Supuestos!$I$130*01_Supuestos!$I$128</f>
        <v>0.304413167404555</v>
      </c>
      <c r="M88" s="116" t="n">
        <f aca="false">M86/01_Supuestos!$I$131*01_Supuestos!$I$129*01_Supuestos!$I$130*01_Supuestos!$I$128</f>
        <v>0.338836545254859</v>
      </c>
      <c r="N88" s="116" t="n">
        <f aca="false">N86/01_Supuestos!$I$131*01_Supuestos!$I$129*01_Supuestos!$I$130*01_Supuestos!$I$128</f>
        <v>0.374051660795721</v>
      </c>
      <c r="O88" s="116" t="n">
        <f aca="false">O86/01_Supuestos!$I$131*01_Supuestos!$I$129*01_Supuestos!$I$130*01_Supuestos!$I$128</f>
        <v>0.410076723994023</v>
      </c>
      <c r="P88" s="116" t="n">
        <f aca="false">P86/01_Supuestos!$I$131*01_Supuestos!$I$129*01_Supuestos!$I$130*01_Supuestos!$I$128</f>
        <v>0.446930363645885</v>
      </c>
      <c r="Q88" s="116" t="n">
        <f aca="false">Q86/01_Supuestos!$I$131*01_Supuestos!$I$129*01_Supuestos!$I$130*01_Supuestos!$I$128</f>
        <v>0.484631637009741</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0.55531807809168</v>
      </c>
      <c r="X88" s="116" t="n">
        <f aca="false">X86/01_Supuestos!$I$131*01_Supuestos!$I$129*01_Supuestos!$I$130*01_Supuestos!$I$128</f>
        <v>0.563158109092339</v>
      </c>
      <c r="Y88" s="116" t="n">
        <f aca="false">Y86/01_Supuestos!$I$131*01_Supuestos!$I$129*01_Supuestos!$I$130*01_Supuestos!$I$128</f>
        <v>0.570826902432146</v>
      </c>
      <c r="Z88" s="116" t="n">
        <f aca="false">Z86/01_Supuestos!$I$131*01_Supuestos!$I$129*01_Supuestos!$I$130*01_Supuestos!$I$128</f>
        <v>0.578323811511528</v>
      </c>
      <c r="AA88" s="116" t="n">
        <f aca="false">AA86/01_Supuestos!$I$131*01_Supuestos!$I$129*01_Supuestos!$I$130*01_Supuestos!$I$128</f>
        <v>0.585648259920255</v>
      </c>
      <c r="AB88" s="116" t="n">
        <f aca="false">AB86/01_Supuestos!$I$131*01_Supuestos!$I$129*01_Supuestos!$I$130*01_Supuestos!$I$128</f>
        <v>0.592799626897903</v>
      </c>
      <c r="AC88" s="116" t="n">
        <f aca="false">AC86/01_Supuestos!$I$131*01_Supuestos!$I$129*01_Supuestos!$I$130*01_Supuestos!$I$128</f>
        <v>0.599777303235475</v>
      </c>
      <c r="AD88" s="116" t="n">
        <f aca="false">AD86/01_Supuestos!$I$131*01_Supuestos!$I$129*01_Supuestos!$I$130*01_Supuestos!$I$128</f>
        <v>0.606580690410966</v>
      </c>
      <c r="AE88" s="116" t="n">
        <f aca="false">AE86/01_Supuestos!$I$131*01_Supuestos!$I$129*01_Supuestos!$I$130*01_Supuestos!$I$128</f>
        <v>0.613209256559281</v>
      </c>
      <c r="AF88" s="116" t="n">
        <f aca="false">AF86/01_Supuestos!$I$131*01_Supuestos!$I$129*01_Supuestos!$I$130*01_Supuestos!$I$128</f>
        <v>0.619662365268228</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0.251160037442151</v>
      </c>
      <c r="D90" s="116" t="n">
        <f aca="false">D83-C83-D73+D185-D228</f>
        <v>0.45477825559237</v>
      </c>
      <c r="E90" s="116" t="n">
        <f aca="false">E83-D83-E73+E185-E228</f>
        <v>0.32731062968254</v>
      </c>
      <c r="F90" s="116" t="n">
        <f aca="false">F83-E83-F73+F185-F228</f>
        <v>-0.755175677510511</v>
      </c>
      <c r="G90" s="116" t="n">
        <f aca="false">G83-F83-G73+G185-G228</f>
        <v>0.859546358768633</v>
      </c>
      <c r="H90" s="116" t="n">
        <f aca="false">H83-G83-H73+H185-H228</f>
        <v>0.619450341223995</v>
      </c>
      <c r="I90" s="116" t="n">
        <f aca="false">I83-H83-I73+I185-I228</f>
        <v>0.320996521642179</v>
      </c>
      <c r="J90" s="116" t="n">
        <f aca="false">J83-I83-J73+J185-J228</f>
        <v>0.329468221304495</v>
      </c>
      <c r="K90" s="116" t="n">
        <f aca="false">K83-J83-K73+K185-K228</f>
        <v>0.338137352523013</v>
      </c>
      <c r="L90" s="116" t="n">
        <f aca="false">L83-K83-L73+L185-L228</f>
        <v>0.34700832710039</v>
      </c>
      <c r="M90" s="116" t="n">
        <f aca="false">M83-L83-M73+M185-M228</f>
        <v>1.5012022646814</v>
      </c>
      <c r="N90" s="116" t="n">
        <f aca="false">N83-M83-N73+N185-N228</f>
        <v>0.689944970533354</v>
      </c>
      <c r="O90" s="116" t="n">
        <f aca="false">O83-N83-O73+O185-O228</f>
        <v>-0.218731465857914</v>
      </c>
      <c r="P90" s="116" t="n">
        <f aca="false">P83-O83-P73+P185-P228</f>
        <v>0.232314896325967</v>
      </c>
      <c r="Q90" s="116" t="n">
        <f aca="false">Q83-P83-Q73+Q185-Q228</f>
        <v>0.43058335519094</v>
      </c>
      <c r="R90" s="116" t="n">
        <f aca="false">R83-Q83-R73+R185-R228</f>
        <v>-0.502922192951232</v>
      </c>
      <c r="S90" s="116" t="n">
        <f aca="false">S83-R83-S73+S185-S228</f>
        <v>-0.222289846911238</v>
      </c>
      <c r="T90" s="116" t="n">
        <f aca="false">T83-S83-T73+T185-T228</f>
        <v>0.0865744819323453</v>
      </c>
      <c r="U90" s="116" t="n">
        <f aca="false">U83-T83-U73+U185-U228</f>
        <v>0.125546134400544</v>
      </c>
      <c r="V90" s="116" t="n">
        <f aca="false">V83-U83-V73+V185-V228</f>
        <v>0.128958804874571</v>
      </c>
      <c r="W90" s="116" t="n">
        <f aca="false">W83-V83-W73+W185-W228</f>
        <v>-0.0258829760477468</v>
      </c>
      <c r="X90" s="116" t="n">
        <f aca="false">X83-W83-X73+X185-X228</f>
        <v>0.0133460116699098</v>
      </c>
      <c r="Y90" s="116" t="n">
        <f aca="false">Y83-X83-Y73+Y185-Y228</f>
        <v>0.0579761261106029</v>
      </c>
      <c r="Z90" s="116" t="n">
        <f aca="false">Z83-Y83-Z73+Z185-Z228</f>
        <v>0.0614219903239075</v>
      </c>
      <c r="AA90" s="116" t="n">
        <f aca="false">AA83-Z83-AA73+AA185-AA228</f>
        <v>0.0598794806213334</v>
      </c>
      <c r="AB90" s="116" t="n">
        <f aca="false">AB83-AA83-AB73+AB185-AB228</f>
        <v>0.0583093552432246</v>
      </c>
      <c r="AC90" s="116" t="n">
        <f aca="false">AC83-AB83-AC73+AC185-AC228</f>
        <v>0.0567255601068837</v>
      </c>
      <c r="AD90" s="116" t="n">
        <f aca="false">AD83-AC83-AD73+AD185-AD228</f>
        <v>0.0551366764774315</v>
      </c>
      <c r="AE90" s="116" t="n">
        <f aca="false">AE83-AD83-AE73+AE185-AE228</f>
        <v>0.0535450014748875</v>
      </c>
      <c r="AF90" s="116" t="n">
        <f aca="false">AF83-AE83-AF73+AF185-AF228</f>
        <v>0.0519451380365723</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0.251160037442151</v>
      </c>
      <c r="D92" s="116" t="n">
        <f aca="false">IF(D90&gt;0,IF($C$20="BC",MIN(D90-D91,MAX(0,C276+D53-D75)),MIN(D90,MAX(0,C276+D53-D75))),0)</f>
        <v>0.45477825559237</v>
      </c>
      <c r="E92" s="116" t="n">
        <f aca="false">IF(E90&gt;0,IF($C$20="BC",MIN(E90-E91,MAX(0,D276+E53-E75)),MIN(E90,MAX(0,D276+E53-E75))),0)</f>
        <v>0.32731062968254</v>
      </c>
      <c r="F92" s="116" t="n">
        <f aca="false">IF(F90&gt;0,IF($C$20="BC",MIN(F90-F91,MAX(0,E276+F53-F75)),MIN(F90,MAX(0,E276+F53-F75))),0)</f>
        <v>0</v>
      </c>
      <c r="G92" s="116" t="n">
        <f aca="false">IF(G90&gt;0,IF($C$20="BC",MIN(G90-G91,MAX(0,F276+G53-G75)),MIN(G90,MAX(0,F276+G53-G75))),0)</f>
        <v>0.859546358768633</v>
      </c>
      <c r="H92" s="116" t="n">
        <f aca="false">IF(H90&gt;0,IF($C$20="BC",MIN(H90-H91,MAX(0,G276+H53-H75)),MIN(H90,MAX(0,G276+H53-H75))),0)</f>
        <v>0.619450341223995</v>
      </c>
      <c r="I92" s="116" t="n">
        <f aca="false">IF(I90&gt;0,IF($C$20="BC",MIN(I90-I91,MAX(0,H276+I53-I75)),MIN(I90,MAX(0,H276+I53-I75))),0)</f>
        <v>0.320996521642179</v>
      </c>
      <c r="J92" s="116" t="n">
        <f aca="false">IF(J90&gt;0,IF($C$20="BC",MIN(J90-J91,MAX(0,I276+J53-J75)),MIN(J90,MAX(0,I276+J53-J75))),0)</f>
        <v>0.329468221304495</v>
      </c>
      <c r="K92" s="116" t="n">
        <f aca="false">IF(K90&gt;0,IF($C$20="BC",MIN(K90-K91,MAX(0,J276+K53-K75)),MIN(K90,MAX(0,J276+K53-K75))),0)</f>
        <v>0.338137352523013</v>
      </c>
      <c r="L92" s="116" t="n">
        <f aca="false">IF(L90&gt;0,IF($C$20="BC",MIN(L90-L91,MAX(0,K276+L53-L75)),MIN(L90,MAX(0,K276+L53-L75))),0)</f>
        <v>0.34700832710039</v>
      </c>
      <c r="M92" s="116" t="n">
        <f aca="false">IF(M90&gt;0,IF($C$20="BC",MIN(M90-M91,MAX(0,L276+M53-M75)),MIN(M90,MAX(0,L276+M53-M75))),0)</f>
        <v>1.5012022646814</v>
      </c>
      <c r="N92" s="116" t="n">
        <f aca="false">IF(N90&gt;0,IF($C$20="BC",MIN(N90-N91,MAX(0,M276+N53-N75)),MIN(N90,MAX(0,M276+N53-N75))),0)</f>
        <v>0.689944970533354</v>
      </c>
      <c r="O92" s="116" t="n">
        <f aca="false">IF(O90&gt;0,IF($C$20="BC",MIN(O90-O91,MAX(0,N276+O53-O75)),MIN(O90,MAX(0,N276+O53-O75))),0)</f>
        <v>0</v>
      </c>
      <c r="P92" s="116" t="n">
        <f aca="false">IF(P90&gt;0,IF($C$20="BC",MIN(P90-P91,MAX(0,O276+P53-P75)),MIN(P90,MAX(0,O276+P53-P75))),0)</f>
        <v>0.232314896325967</v>
      </c>
      <c r="Q92" s="116" t="n">
        <f aca="false">IF(Q90&gt;0,IF($C$20="BC",MIN(Q90-Q91,MAX(0,P276+Q53-Q75)),MIN(Q90,MAX(0,P276+Q53-Q75))),0)</f>
        <v>0.43058335519094</v>
      </c>
      <c r="R92" s="116" t="n">
        <f aca="false">IF(R90&gt;0,IF($C$20="BC",MIN(R90-R91,MAX(0,Q276+R53-R75)),MIN(R90,MAX(0,Q276+R53-R75))),0)</f>
        <v>0</v>
      </c>
      <c r="S92" s="116" t="n">
        <f aca="false">IF(S90&gt;0,IF($C$20="BC",MIN(S90-S91,MAX(0,R276+S53-S75)),MIN(S90,MAX(0,R276+S53-S75))),0)</f>
        <v>0</v>
      </c>
      <c r="T92" s="116" t="n">
        <f aca="false">IF(T90&gt;0,IF($C$20="BC",MIN(T90-T91,MAX(0,S276+T53-T75)),MIN(T90,MAX(0,S276+T53-T75))),0)</f>
        <v>0.0865744819323453</v>
      </c>
      <c r="U92" s="116" t="n">
        <f aca="false">IF(U90&gt;0,IF($C$20="BC",MIN(U90-U91,MAX(0,T276+U53-U75)),MIN(U90,MAX(0,T276+U53-U75))),0)</f>
        <v>0.125546134400544</v>
      </c>
      <c r="V92" s="116" t="n">
        <f aca="false">IF(V90&gt;0,IF($C$20="BC",MIN(V90-V91,MAX(0,U276+V53-V75)),MIN(V90,MAX(0,U276+V53-V75))),0)</f>
        <v>0.128958804874571</v>
      </c>
      <c r="W92" s="116" t="n">
        <f aca="false">IF(W90&gt;0,IF($C$20="BC",MIN(W90-W91,MAX(0,V276+W53-W75)),MIN(W90,MAX(0,V276+W53-W75))),0)</f>
        <v>0</v>
      </c>
      <c r="X92" s="116" t="n">
        <f aca="false">IF(X90&gt;0,IF($C$20="BC",MIN(X90-X91,MAX(0,W276+X53-X75)),MIN(X90,MAX(0,W276+X53-X75))),0)</f>
        <v>0.0133460116699098</v>
      </c>
      <c r="Y92" s="116" t="n">
        <f aca="false">IF(Y90&gt;0,IF($C$20="BC",MIN(Y90-Y91,MAX(0,X276+Y53-Y75)),MIN(Y90,MAX(0,X276+Y53-Y75))),0)</f>
        <v>0.0579761261106029</v>
      </c>
      <c r="Z92" s="116" t="n">
        <f aca="false">IF(Z90&gt;0,IF($C$20="BC",MIN(Z90-Z91,MAX(0,Y276+Z53-Z75)),MIN(Z90,MAX(0,Y276+Z53-Z75))),0)</f>
        <v>0.0614219903239075</v>
      </c>
      <c r="AA92" s="116" t="n">
        <f aca="false">IF(AA90&gt;0,IF($C$20="BC",MIN(AA90-AA91,MAX(0,Z276+AA53-AA75)),MIN(AA90,MAX(0,Z276+AA53-AA75))),0)</f>
        <v>0.0598794806213334</v>
      </c>
      <c r="AB92" s="116" t="n">
        <f aca="false">IF(AB90&gt;0,IF($C$20="BC",MIN(AB90-AB91,MAX(0,AA276+AB53-AB75)),MIN(AB90,MAX(0,AA276+AB53-AB75))),0)</f>
        <v>0.0583093552432246</v>
      </c>
      <c r="AC92" s="116" t="n">
        <f aca="false">IF(AC90&gt;0,IF($C$20="BC",MIN(AC90-AC91,MAX(0,AB276+AC53-AC75)),MIN(AC90,MAX(0,AB276+AC53-AC75))),0)</f>
        <v>0.0567255601068837</v>
      </c>
      <c r="AD92" s="116" t="n">
        <f aca="false">IF(AD90&gt;0,IF($C$20="BC",MIN(AD90-AD91,MAX(0,AC276+AD53-AD75)),MIN(AD90,MAX(0,AC276+AD53-AD75))),0)</f>
        <v>0.0551366764774315</v>
      </c>
      <c r="AE92" s="116" t="n">
        <f aca="false">IF(AE90&gt;0,IF($C$20="BC",MIN(AE90-AE91,MAX(0,AD276+AE53-AE75)),MIN(AE90,MAX(0,AD276+AE53-AE75))),0)</f>
        <v>0.0535450014748875</v>
      </c>
      <c r="AF92" s="116" t="n">
        <f aca="false">IF(AF90&gt;0,IF($C$20="BC",MIN(AF90-AF91,MAX(0,AE276+AF53-AF75)),MIN(AF90,MAX(0,AE276+AF53-AF75))),0)</f>
        <v>0.0519451380365723</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0.755175677510511</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0.218731465857914</v>
      </c>
      <c r="P94" s="116" t="n">
        <f aca="false">IF(P90&lt;0,-P90-P93,0)</f>
        <v>0</v>
      </c>
      <c r="Q94" s="116" t="n">
        <f aca="false">IF(Q90&lt;0,-Q90-Q93,0)</f>
        <v>0</v>
      </c>
      <c r="R94" s="116" t="n">
        <f aca="false">IF(R90&lt;0,-R90-R93,0)</f>
        <v>0.502922192951232</v>
      </c>
      <c r="S94" s="116" t="n">
        <f aca="false">IF(S90&lt;0,-S90-S93,0)</f>
        <v>0.222289846911238</v>
      </c>
      <c r="T94" s="116" t="n">
        <f aca="false">IF(T90&lt;0,-T90-T93,0)</f>
        <v>0</v>
      </c>
      <c r="U94" s="116" t="n">
        <f aca="false">IF(U90&lt;0,-U90-U93,0)</f>
        <v>0</v>
      </c>
      <c r="V94" s="116" t="n">
        <f aca="false">IF(V90&lt;0,-V90-V93,0)</f>
        <v>0</v>
      </c>
      <c r="W94" s="116" t="n">
        <f aca="false">IF(W90&lt;0,-W90-W93,0)</f>
        <v>0.0258829760477468</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6.81841399594502</v>
      </c>
      <c r="G100" s="116" t="n">
        <f aca="false">$C$21*$C$22*G81</f>
        <v>7.13222720341538</v>
      </c>
      <c r="H100" s="116" t="n">
        <f aca="false">$C$21*$C$22*H81</f>
        <v>7.44635269626074</v>
      </c>
      <c r="I100" s="116" t="n">
        <f aca="false">$C$21*$C$22*I81</f>
        <v>7.76077486021236</v>
      </c>
      <c r="J100" s="116" t="n">
        <f aca="false">$C$21*$C$22*J81</f>
        <v>8.0754788617149</v>
      </c>
      <c r="K100" s="116" t="n">
        <f aca="false">$C$21*$C$22*K81</f>
        <v>8.39045060889084</v>
      </c>
      <c r="L100" s="116" t="n">
        <f aca="false">$C$21*$C$22*L81</f>
        <v>8.70567671445651</v>
      </c>
      <c r="M100" s="116" t="n">
        <f aca="false">$C$21*$C$22*M81</f>
        <v>8.97613093734246</v>
      </c>
      <c r="N100" s="116" t="n">
        <f aca="false">$C$21*$C$22*N81</f>
        <v>9.22069332682477</v>
      </c>
      <c r="O100" s="116" t="n">
        <f aca="false">$C$21*$C$22*O81</f>
        <v>9.44895024808742</v>
      </c>
      <c r="P100" s="116" t="n">
        <f aca="false">$C$21*$C$22*P81</f>
        <v>9.61716872882732</v>
      </c>
      <c r="Q100" s="116" t="n">
        <f aca="false">$C$21*$C$22*Q81</f>
        <v>9.79223709053806</v>
      </c>
      <c r="R100" s="116" t="n">
        <f aca="false">$C$21*$C$22*R81</f>
        <v>9.97183652724659</v>
      </c>
      <c r="S100" s="116" t="n">
        <f aca="false">$C$21*$C$22*S81</f>
        <v>10.1479003098821</v>
      </c>
      <c r="T100" s="116" t="n">
        <f aca="false">$C$21*$C$22*T81</f>
        <v>10.3216119946278</v>
      </c>
      <c r="U100" s="116" t="n">
        <f aca="false">$C$21*$C$22*U81</f>
        <v>10.4932396485426</v>
      </c>
      <c r="V100" s="116" t="n">
        <f aca="false">$C$21*$C$22*V81</f>
        <v>10.6628317463117</v>
      </c>
      <c r="W100" s="116" t="n">
        <f aca="false">$C$21*$C$22*W81</f>
        <v>10.8271249119899</v>
      </c>
      <c r="X100" s="116" t="n">
        <f aca="false">$C$21*$C$22*X81</f>
        <v>10.9861998737993</v>
      </c>
      <c r="Y100" s="116" t="n">
        <f aca="false">$C$21*$C$22*Y81</f>
        <v>11.1420845453722</v>
      </c>
      <c r="Z100" s="116" t="n">
        <f aca="false">$C$21*$C$22*Z81</f>
        <v>11.294682437593</v>
      </c>
      <c r="AA100" s="116" t="n">
        <f aca="false">$C$21*$C$22*AA81</f>
        <v>11.4438973344966</v>
      </c>
      <c r="AB100" s="116" t="n">
        <f aca="false">$C$21*$C$22*AB81</f>
        <v>11.5897181357365</v>
      </c>
      <c r="AC100" s="116" t="n">
        <f aca="false">$C$21*$C$22*AC81</f>
        <v>11.7321338662616</v>
      </c>
      <c r="AD100" s="116" t="n">
        <f aca="false">$C$21*$C$22*AD81</f>
        <v>11.8711336595696</v>
      </c>
      <c r="AE100" s="116" t="n">
        <f aca="false">$C$21*$C$22*AE81</f>
        <v>12.0067067416261</v>
      </c>
      <c r="AF100" s="116" t="n">
        <f aca="false">$C$21*$C$22*AF81</f>
        <v>12.1388424154097</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0.00681841399594502</v>
      </c>
      <c r="H102" s="116" t="n">
        <f aca="false">G104*$C$24</f>
        <v>0.00713222720341538</v>
      </c>
      <c r="I102" s="116" t="n">
        <f aca="false">H104*$C$24</f>
        <v>0.00744635269626074</v>
      </c>
      <c r="J102" s="116" t="n">
        <f aca="false">I104*$C$24</f>
        <v>0.00776077486021236</v>
      </c>
      <c r="K102" s="116" t="n">
        <f aca="false">J104*$C$24</f>
        <v>0.00807547886171491</v>
      </c>
      <c r="L102" s="116" t="n">
        <f aca="false">K104*$C$24</f>
        <v>0.00839045060889084</v>
      </c>
      <c r="M102" s="116" t="n">
        <f aca="false">L104*$C$24</f>
        <v>0.00870567671445651</v>
      </c>
      <c r="N102" s="116" t="n">
        <f aca="false">M104*$C$24</f>
        <v>0.00897613093734246</v>
      </c>
      <c r="O102" s="116" t="n">
        <f aca="false">N104*$C$24</f>
        <v>0.00922069332682477</v>
      </c>
      <c r="P102" s="116" t="n">
        <f aca="false">O104*$C$24</f>
        <v>0.00944895024808743</v>
      </c>
      <c r="Q102" s="116" t="n">
        <f aca="false">P104*$C$24</f>
        <v>0.00961716872882732</v>
      </c>
      <c r="R102" s="116" t="n">
        <f aca="false">Q104*$C$24</f>
        <v>0.00979223709053806</v>
      </c>
      <c r="S102" s="116" t="n">
        <f aca="false">R104*$C$24</f>
        <v>0.00997183652724659</v>
      </c>
      <c r="T102" s="116" t="n">
        <f aca="false">S104*$C$24</f>
        <v>0.0101479003098821</v>
      </c>
      <c r="U102" s="116" t="n">
        <f aca="false">T104*$C$24</f>
        <v>0.0103216119946278</v>
      </c>
      <c r="V102" s="116" t="n">
        <f aca="false">U104*$C$24</f>
        <v>0.0104932396485426</v>
      </c>
      <c r="W102" s="116" t="n">
        <f aca="false">V104*$C$24</f>
        <v>0.0106628317463118</v>
      </c>
      <c r="X102" s="116" t="n">
        <f aca="false">W104*$C$24</f>
        <v>0.0108271249119899</v>
      </c>
      <c r="Y102" s="116" t="n">
        <f aca="false">X104*$C$24</f>
        <v>0.0109861998737993</v>
      </c>
      <c r="Z102" s="116" t="n">
        <f aca="false">Y104*$C$24</f>
        <v>0.0111420845453722</v>
      </c>
      <c r="AA102" s="116" t="n">
        <f aca="false">Z104*$C$24</f>
        <v>0.011294682437593</v>
      </c>
      <c r="AB102" s="116" t="n">
        <f aca="false">AA104*$C$24</f>
        <v>0.0114438973344966</v>
      </c>
      <c r="AC102" s="116" t="n">
        <f aca="false">AB104*$C$24</f>
        <v>0.0115897181357365</v>
      </c>
      <c r="AD102" s="116" t="n">
        <f aca="false">AC104*$C$24</f>
        <v>0.0117321338662616</v>
      </c>
      <c r="AE102" s="116" t="n">
        <f aca="false">AD104*$C$24</f>
        <v>0.0118711336595696</v>
      </c>
      <c r="AF102" s="116" t="n">
        <f aca="false">AE104*$C$24</f>
        <v>0.0120067067416261</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3.54064310075416</v>
      </c>
      <c r="G103" s="116" t="n">
        <f aca="false">MIN(MAX(0,G100-F104-G101),MAX(0,F276))</f>
        <v>0.313813207470361</v>
      </c>
      <c r="H103" s="116" t="n">
        <f aca="false">MIN(MAX(0,H100-G104-H101),MAX(0,G276))</f>
        <v>0.314125492845364</v>
      </c>
      <c r="I103" s="116" t="n">
        <f aca="false">MIN(MAX(0,I100-H104-I101),MAX(0,H276))</f>
        <v>0.314422163951612</v>
      </c>
      <c r="J103" s="116" t="n">
        <f aca="false">MIN(MAX(0,J100-I104-J101),MAX(0,I276))</f>
        <v>0.314704001502549</v>
      </c>
      <c r="K103" s="116" t="n">
        <f aca="false">MIN(MAX(0,K100-J104-K101),MAX(0,J276))</f>
        <v>0.314971747175939</v>
      </c>
      <c r="L103" s="116" t="n">
        <f aca="false">MIN(MAX(0,L100-K104-L101),MAX(0,K276))</f>
        <v>0.315226105565662</v>
      </c>
      <c r="M103" s="116" t="n">
        <f aca="false">MIN(MAX(0,M100-L104-M101),MAX(0,L276))</f>
        <v>0.270454222885951</v>
      </c>
      <c r="N103" s="116" t="n">
        <f aca="false">MIN(MAX(0,N100-M104-N101),MAX(0,M276))</f>
        <v>0.244562389482311</v>
      </c>
      <c r="O103" s="116" t="n">
        <f aca="false">MIN(MAX(0,O100-N104-O101),MAX(0,N276))</f>
        <v>0.228256921262657</v>
      </c>
      <c r="P103" s="116" t="n">
        <f aca="false">MIN(MAX(0,P100-O104-P101),MAX(0,O276))</f>
        <v>0.168218480739894</v>
      </c>
      <c r="Q103" s="116" t="n">
        <f aca="false">MIN(MAX(0,Q100-P104-Q101),MAX(0,P276))</f>
        <v>0.175068361710744</v>
      </c>
      <c r="R103" s="116" t="n">
        <f aca="false">MIN(MAX(0,R100-Q104-R101),MAX(0,Q276))</f>
        <v>0.17959943670853</v>
      </c>
      <c r="S103" s="116" t="n">
        <f aca="false">MIN(MAX(0,S100-R104-S101),MAX(0,R276))</f>
        <v>0.176063782635511</v>
      </c>
      <c r="T103" s="116" t="n">
        <f aca="false">MIN(MAX(0,T100-S104-T101),MAX(0,S276))</f>
        <v>0.173711684745681</v>
      </c>
      <c r="U103" s="116" t="n">
        <f aca="false">MIN(MAX(0,U100-T104-U101),MAX(0,T276))</f>
        <v>0.171627653914834</v>
      </c>
      <c r="V103" s="116" t="n">
        <f aca="false">MIN(MAX(0,V100-U104-V101),MAX(0,U276))</f>
        <v>0.169592097769129</v>
      </c>
      <c r="W103" s="116" t="n">
        <f aca="false">MIN(MAX(0,W100-V104-W101),MAX(0,V276))</f>
        <v>0.164293165678156</v>
      </c>
      <c r="X103" s="116" t="n">
        <f aca="false">MIN(MAX(0,X100-W104-X101),MAX(0,W276))</f>
        <v>0.159074961809351</v>
      </c>
      <c r="Y103" s="116" t="n">
        <f aca="false">MIN(MAX(0,Y100-X104-Y101),MAX(0,X276))</f>
        <v>0.155884671572911</v>
      </c>
      <c r="Z103" s="116" t="n">
        <f aca="false">MIN(MAX(0,Z100-Y104-Z101),MAX(0,Y276))</f>
        <v>0.152597892220872</v>
      </c>
      <c r="AA103" s="116" t="n">
        <f aca="false">MIN(MAX(0,AA100-Z104-AA101),MAX(0,Z276))</f>
        <v>0.149214896903526</v>
      </c>
      <c r="AB103" s="116" t="n">
        <f aca="false">MIN(MAX(0,AB100-AA104-AB101),MAX(0,AA276))</f>
        <v>0.145820801239921</v>
      </c>
      <c r="AC103" s="116" t="n">
        <f aca="false">MIN(MAX(0,AC100-AB104-AC101),MAX(0,AB276))</f>
        <v>0.142415730525132</v>
      </c>
      <c r="AD103" s="116" t="n">
        <f aca="false">MIN(MAX(0,AD100-AC104-AD101),MAX(0,AC276))</f>
        <v>0.138999793307992</v>
      </c>
      <c r="AE103" s="116" t="n">
        <f aca="false">MIN(MAX(0,AE100-AD104-AE101),MAX(0,AD276))</f>
        <v>0.135573082056471</v>
      </c>
      <c r="AF103" s="116" t="n">
        <f aca="false">MIN(MAX(0,AF100-AE104-AF101),MAX(0,AE276))</f>
        <v>0.132135673783639</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6.81841399594502</v>
      </c>
      <c r="G104" s="136" t="n">
        <f aca="false">F104+G101+G103</f>
        <v>7.13222720341538</v>
      </c>
      <c r="H104" s="136" t="n">
        <f aca="false">G104+H101+H103</f>
        <v>7.44635269626074</v>
      </c>
      <c r="I104" s="136" t="n">
        <f aca="false">H104+I101+I103</f>
        <v>7.76077486021236</v>
      </c>
      <c r="J104" s="136" t="n">
        <f aca="false">I104+J101+J103</f>
        <v>8.0754788617149</v>
      </c>
      <c r="K104" s="136" t="n">
        <f aca="false">J104+K101+K103</f>
        <v>8.39045060889084</v>
      </c>
      <c r="L104" s="136" t="n">
        <f aca="false">K104+L101+L103</f>
        <v>8.70567671445651</v>
      </c>
      <c r="M104" s="136" t="n">
        <f aca="false">L104+M101+M103</f>
        <v>8.97613093734246</v>
      </c>
      <c r="N104" s="136" t="n">
        <f aca="false">M104+N101+N103</f>
        <v>9.22069332682477</v>
      </c>
      <c r="O104" s="136" t="n">
        <f aca="false">N104+O101+O103</f>
        <v>9.44895024808742</v>
      </c>
      <c r="P104" s="136" t="n">
        <f aca="false">O104+P101+P103</f>
        <v>9.61716872882732</v>
      </c>
      <c r="Q104" s="136" t="n">
        <f aca="false">P104+Q101+Q103</f>
        <v>9.79223709053806</v>
      </c>
      <c r="R104" s="136" t="n">
        <f aca="false">Q104+R101+R103</f>
        <v>9.97183652724659</v>
      </c>
      <c r="S104" s="136" t="n">
        <f aca="false">R104+S101+S103</f>
        <v>10.1479003098821</v>
      </c>
      <c r="T104" s="136" t="n">
        <f aca="false">S104+T101+T103</f>
        <v>10.3216119946278</v>
      </c>
      <c r="U104" s="136" t="n">
        <f aca="false">T104+U101+U103</f>
        <v>10.4932396485426</v>
      </c>
      <c r="V104" s="136" t="n">
        <f aca="false">U104+V101+V103</f>
        <v>10.6628317463117</v>
      </c>
      <c r="W104" s="136" t="n">
        <f aca="false">V104+W101+W103</f>
        <v>10.8271249119899</v>
      </c>
      <c r="X104" s="136" t="n">
        <f aca="false">W104+X101+X103</f>
        <v>10.9861998737993</v>
      </c>
      <c r="Y104" s="136" t="n">
        <f aca="false">X104+Y101+Y103</f>
        <v>11.1420845453722</v>
      </c>
      <c r="Z104" s="136" t="n">
        <f aca="false">Y104+Z101+Z103</f>
        <v>11.294682437593</v>
      </c>
      <c r="AA104" s="136" t="n">
        <f aca="false">Z104+AA101+AA103</f>
        <v>11.4438973344966</v>
      </c>
      <c r="AB104" s="136" t="n">
        <f aca="false">AA104+AB101+AB103</f>
        <v>11.5897181357365</v>
      </c>
      <c r="AC104" s="136" t="n">
        <f aca="false">AB104+AC101+AC103</f>
        <v>11.7321338662616</v>
      </c>
      <c r="AD104" s="136" t="n">
        <f aca="false">AC104+AD101+AD103</f>
        <v>11.8711336595696</v>
      </c>
      <c r="AE104" s="136" t="n">
        <f aca="false">AD104+AE101+AE103</f>
        <v>12.0067067416261</v>
      </c>
      <c r="AF104" s="136" t="n">
        <f aca="false">AE104+AF101+AF103</f>
        <v>12.1388424154097</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53.095619393634</v>
      </c>
      <c r="G105" s="139" t="n">
        <f aca="false">G104/($C$36*(1+$C$23)^(G$39-1))</f>
        <v>55.5393118174808</v>
      </c>
      <c r="H105" s="139" t="n">
        <f aca="false">H104/($C$36*(1+$C$23)^(H$39-1))</f>
        <v>57.9854360363789</v>
      </c>
      <c r="I105" s="139" t="n">
        <f aca="false">I104/($C$36*(1+$C$23)^(I$39-1))</f>
        <v>60.4338704605758</v>
      </c>
      <c r="J105" s="139" t="n">
        <f aca="false">J104/($C$36*(1+$C$23)^(J$39-1))</f>
        <v>62.8844995798065</v>
      </c>
      <c r="K105" s="139" t="n">
        <f aca="false">K104/($C$36*(1+$C$23)^(K$39-1))</f>
        <v>65.3372136593193</v>
      </c>
      <c r="L105" s="139" t="n">
        <f aca="false">L104/($C$36*(1+$C$23)^(L$39-1))</f>
        <v>67.7919084511001</v>
      </c>
      <c r="M105" s="139" t="n">
        <f aca="false">M104/($C$36*(1+$C$23)^(M$39-1))</f>
        <v>69.8979604582521</v>
      </c>
      <c r="N105" s="139" t="n">
        <f aca="false">N104/($C$36*(1+$C$23)^(N$39-1))</f>
        <v>71.8023903678576</v>
      </c>
      <c r="O105" s="139" t="n">
        <f aca="false">O104/($C$36*(1+$C$23)^(O$39-1))</f>
        <v>73.5798480908021</v>
      </c>
      <c r="P105" s="139" t="n">
        <f aca="false">P104/($C$36*(1+$C$23)^(P$39-1))</f>
        <v>74.8897809334914</v>
      </c>
      <c r="Q105" s="139" t="n">
        <f aca="false">Q104/($C$36*(1+$C$23)^(Q$39-1))</f>
        <v>76.2530544318135</v>
      </c>
      <c r="R105" s="139" t="n">
        <f aca="false">R104/($C$36*(1+$C$23)^(R$39-1))</f>
        <v>77.6516118295395</v>
      </c>
      <c r="S105" s="139" t="n">
        <f aca="false">S104/($C$36*(1+$C$23)^(S$39-1))</f>
        <v>79.0226367625192</v>
      </c>
      <c r="T105" s="139" t="n">
        <f aca="false">T104/($C$36*(1+$C$23)^(T$39-1))</f>
        <v>80.3753456920399</v>
      </c>
      <c r="U105" s="139" t="n">
        <f aca="false">U104/($C$36*(1+$C$23)^(U$39-1))</f>
        <v>81.7118260810429</v>
      </c>
      <c r="V105" s="139" t="n">
        <f aca="false">V104/($C$36*(1+$C$23)^(V$39-1))</f>
        <v>83.0324554063777</v>
      </c>
      <c r="W105" s="139" t="n">
        <f aca="false">W104/($C$36*(1+$C$23)^(W$39-1))</f>
        <v>84.3118214582206</v>
      </c>
      <c r="X105" s="139" t="n">
        <f aca="false">X104/($C$36*(1+$C$23)^(X$39-1))</f>
        <v>85.5505528746921</v>
      </c>
      <c r="Y105" s="139" t="n">
        <f aca="false">Y104/($C$36*(1+$C$23)^(Y$39-1))</f>
        <v>86.7644412065034</v>
      </c>
      <c r="Z105" s="139" t="n">
        <f aca="false">Z104/($C$36*(1+$C$23)^(Z$39-1))</f>
        <v>87.9527350840017</v>
      </c>
      <c r="AA105" s="139" t="n">
        <f aca="false">AA104/($C$36*(1+$C$23)^(AA$39-1))</f>
        <v>89.1146852645806</v>
      </c>
      <c r="AB105" s="139" t="n">
        <f aca="false">AB104/($C$36*(1+$C$23)^(AB$39-1))</f>
        <v>90.2502053088188</v>
      </c>
      <c r="AC105" s="139" t="n">
        <f aca="false">AC104/($C$36*(1+$C$23)^(AC$39-1))</f>
        <v>91.3592097529792</v>
      </c>
      <c r="AD105" s="139" t="n">
        <f aca="false">AD104/($C$36*(1+$C$23)^(AD$39-1))</f>
        <v>92.4416139786047</v>
      </c>
      <c r="AE105" s="139" t="n">
        <f aca="false">AE104/($C$36*(1+$C$23)^(AE$39-1))</f>
        <v>93.4973340872947</v>
      </c>
      <c r="AF105" s="139" t="n">
        <f aca="false">AF104/($C$36*(1+$C$23)^(AF$39-1))</f>
        <v>94.5262867803564</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0.378806681432986</v>
      </c>
      <c r="D107" s="116" t="n">
        <f aca="false">D87*(1-$C$340)*$C$175+D85*01_Supuestos!$I$126+D55*D88</f>
        <v>0.773237264985065</v>
      </c>
      <c r="E107" s="116" t="n">
        <f aca="false">E87*(1-$C$340)*$C$175+E85*01_Supuestos!$I$126+E55*E88</f>
        <v>1.17831212356324</v>
      </c>
      <c r="F107" s="116" t="n">
        <f aca="false">F87*(1-$C$340)*$C$175+F85*01_Supuestos!$I$126+F55*F88</f>
        <v>1.55971273699484</v>
      </c>
      <c r="G107" s="116" t="n">
        <f aca="false">G87*(1-$C$340)*$C$175+G85*01_Supuestos!$I$126+G55*G88</f>
        <v>1.99069631768461</v>
      </c>
      <c r="H107" s="116" t="n">
        <f aca="false">H87*(1-$C$340)*$C$175+H85*01_Supuestos!$I$126+H55*H88</f>
        <v>2.43167770597158</v>
      </c>
      <c r="I107" s="116" t="n">
        <f aca="false">I87*(1-$C$340)*$C$175+I85*01_Supuestos!$I$126+I55*I88</f>
        <v>2.88288713265223</v>
      </c>
      <c r="J107" s="116" t="n">
        <f aca="false">J87*(1-$C$340)*$C$175+J85*01_Supuestos!$I$126+J55*J88</f>
        <v>3.34456010977023</v>
      </c>
      <c r="K107" s="116" t="n">
        <f aca="false">K87*(1-$C$340)*$C$175+K85*01_Supuestos!$I$126+K55*K88</f>
        <v>3.81693755278826</v>
      </c>
      <c r="L107" s="116" t="n">
        <f aca="false">L87*(1-$C$340)*$C$175+L85*01_Supuestos!$I$126+L55*L88</f>
        <v>4.30026590553449</v>
      </c>
      <c r="M107" s="116" t="n">
        <f aca="false">M87*(1-$C$340)*$C$175+M85*01_Supuestos!$I$126+M55*M88</f>
        <v>4.82016752369453</v>
      </c>
      <c r="N107" s="116" t="n">
        <f aca="false">N87*(1-$C$340)*$C$175+N85*01_Supuestos!$I$126+N55*N88</f>
        <v>5.34487726144359</v>
      </c>
      <c r="O107" s="116" t="n">
        <f aca="false">O87*(1-$C$340)*$C$175+O85*01_Supuestos!$I$126+O55*O88</f>
        <v>5.8647314956415</v>
      </c>
      <c r="P107" s="116" t="n">
        <f aca="false">P87*(1-$C$340)*$C$175+P85*01_Supuestos!$I$126+P55*P88</f>
        <v>6.39704575040224</v>
      </c>
      <c r="Q107" s="116" t="n">
        <f aca="false">Q87*(1-$C$340)*$C$175+Q85*01_Supuestos!$I$126+Q55*Q88</f>
        <v>6.94158025062339</v>
      </c>
      <c r="R107" s="116" t="n">
        <f aca="false">R87*(1-$C$340)*$C$175+R85*01_Supuestos!$I$126+R55*R88</f>
        <v>7.15214864868741</v>
      </c>
      <c r="S107" s="116" t="n">
        <f aca="false">S87*(1-$C$340)*$C$175+S85*01_Supuestos!$I$126+S55*S88</f>
        <v>7.31705892161447</v>
      </c>
      <c r="T107" s="116" t="n">
        <f aca="false">T87*(1-$C$340)*$C$175+T85*01_Supuestos!$I$126+T55*T88</f>
        <v>7.48581148688417</v>
      </c>
      <c r="U107" s="116" t="n">
        <f aca="false">U87*(1-$C$340)*$C$175+U85*01_Supuestos!$I$126+U55*U88</f>
        <v>7.65849223332583</v>
      </c>
      <c r="V107" s="116" t="n">
        <f aca="false">V87*(1-$C$340)*$C$175+V85*01_Supuestos!$I$126+V55*V88</f>
        <v>7.8351907658054</v>
      </c>
      <c r="W107" s="116" t="n">
        <f aca="false">W87*(1-$C$340)*$C$175+W85*01_Supuestos!$I$126+W55*W88</f>
        <v>7.95708438323362</v>
      </c>
      <c r="X107" s="116" t="n">
        <f aca="false">X87*(1-$C$340)*$C$175+X85*01_Supuestos!$I$126+X55*X88</f>
        <v>8.06937529214281</v>
      </c>
      <c r="Y107" s="116" t="n">
        <f aca="false">Y87*(1-$C$340)*$C$175+Y85*01_Supuestos!$I$126+Y55*Y88</f>
        <v>8.17921141385071</v>
      </c>
      <c r="Z107" s="116" t="n">
        <f aca="false">Z87*(1-$C$340)*$C$175+Z85*01_Supuestos!$I$126+Z55*Z88</f>
        <v>8.28658413004388</v>
      </c>
      <c r="AA107" s="116" t="n">
        <f aca="false">AA87*(1-$C$340)*$C$175+AA85*01_Supuestos!$I$126+AA55*AA88</f>
        <v>8.39148583658838</v>
      </c>
      <c r="AB107" s="116" t="n">
        <f aca="false">AB87*(1-$C$340)*$C$175+AB85*01_Supuestos!$I$126+AB55*AB88</f>
        <v>8.49390763095359</v>
      </c>
      <c r="AC107" s="116" t="n">
        <f aca="false">AC87*(1-$C$340)*$C$175+AC85*01_Supuestos!$I$126+AC55*AC88</f>
        <v>8.5938407768982</v>
      </c>
      <c r="AD107" s="116" t="n">
        <f aca="false">AD87*(1-$C$340)*$C$175+AD85*01_Supuestos!$I$126+AD55*AD88</f>
        <v>8.69127669208318</v>
      </c>
      <c r="AE107" s="116" t="n">
        <f aca="false">AE87*(1-$C$340)*$C$175+AE85*01_Supuestos!$I$126+AE55*AE88</f>
        <v>8.7862077585952</v>
      </c>
      <c r="AF107" s="116" t="n">
        <f aca="false">AF87*(1-$C$340)*$C$175+AF85*01_Supuestos!$I$126+AF55*AF88</f>
        <v>8.87862484416892</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0.0140736227877068</v>
      </c>
      <c r="E108" s="116" t="n">
        <f aca="false">E330-E332</f>
        <v>0.0459510030629078</v>
      </c>
      <c r="F108" s="116" t="n">
        <f aca="false">F330-F332</f>
        <v>0.0825383784262954</v>
      </c>
      <c r="G108" s="116" t="n">
        <f aca="false">G330-G332</f>
        <v>0.0365270747809592</v>
      </c>
      <c r="H108" s="116" t="n">
        <f aca="false">H330-H332</f>
        <v>0.0926753693113361</v>
      </c>
      <c r="I108" s="116" t="n">
        <f aca="false">I330-I332</f>
        <v>0.150330523669892</v>
      </c>
      <c r="J108" s="116" t="n">
        <f aca="false">J330-J332</f>
        <v>0.209527906893846</v>
      </c>
      <c r="K108" s="116" t="n">
        <f aca="false">K330-K332</f>
        <v>0.270303665945214</v>
      </c>
      <c r="L108" s="116" t="n">
        <f aca="false">L330-L332</f>
        <v>0.332694745381231</v>
      </c>
      <c r="M108" s="116" t="n">
        <f aca="false">M330-M332</f>
        <v>0.39673890738829</v>
      </c>
      <c r="N108" s="116" t="n">
        <f aca="false">N330-N332</f>
        <v>0.526640768566724</v>
      </c>
      <c r="O108" s="116" t="n">
        <f aca="false">O330-O332</f>
        <v>0.641447682051745</v>
      </c>
      <c r="P108" s="116" t="n">
        <f aca="false">P330-P332</f>
        <v>0.716091699731394</v>
      </c>
      <c r="Q108" s="116" t="n">
        <f aca="false">Q330-Q332</f>
        <v>0.793725652637055</v>
      </c>
      <c r="R108" s="116" t="n">
        <f aca="false">R330-R332</f>
        <v>0.873087059769227</v>
      </c>
      <c r="S108" s="116" t="n">
        <f aca="false">S330-S332</f>
        <v>0.901724410753225</v>
      </c>
      <c r="T108" s="116" t="n">
        <f aca="false">T330-T332</f>
        <v>0.923503197121627</v>
      </c>
      <c r="U108" s="116" t="n">
        <f aca="false">U330-U332</f>
        <v>0.945907726091866</v>
      </c>
      <c r="V108" s="116" t="n">
        <f aca="false">V330-V332</f>
        <v>0.96894610752023</v>
      </c>
      <c r="W108" s="116" t="n">
        <f aca="false">W330-W332</f>
        <v>0.992631040069068</v>
      </c>
      <c r="X108" s="116" t="n">
        <f aca="false">X330-X332</f>
        <v>1.00810275567082</v>
      </c>
      <c r="Y108" s="116" t="n">
        <f aca="false">Y330-Y332</f>
        <v>1.02221401753476</v>
      </c>
      <c r="Z108" s="116" t="n">
        <f aca="false">Z330-Z332</f>
        <v>1.03601152826071</v>
      </c>
      <c r="AA108" s="116" t="n">
        <f aca="false">AA330-AA332</f>
        <v>1.04949574974114</v>
      </c>
      <c r="AB108" s="116" t="n">
        <f aca="false">AB330-AB332</f>
        <v>1.06266729264668</v>
      </c>
      <c r="AC108" s="116" t="n">
        <f aca="false">AC330-AC332</f>
        <v>1.07552501052009</v>
      </c>
      <c r="AD108" s="116" t="n">
        <f aca="false">AD330-AD332</f>
        <v>1.08806777982267</v>
      </c>
      <c r="AE108" s="116" t="n">
        <f aca="false">AE330-AE332</f>
        <v>1.10029449836291</v>
      </c>
      <c r="AF108" s="116" t="n">
        <f aca="false">AF330-AF332</f>
        <v>1.11220420849511</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1.25253051913761</v>
      </c>
      <c r="G109" s="116" t="n">
        <f aca="false">(G70+F121)*(0.3*$C$5+0.25*01_Supuestos!$I$134)/0.55-F227*$C$5</f>
        <v>1.41831411921912</v>
      </c>
      <c r="H109" s="116" t="n">
        <f aca="false">(H70+G121)*(0.3*$C$5+0.25*01_Supuestos!$I$134)/0.55-G227*$C$5</f>
        <v>1.58409771930063</v>
      </c>
      <c r="I109" s="116" t="n">
        <f aca="false">(I70+H121)*(0.3*$C$5+0.25*01_Supuestos!$I$134)/0.55-H227*$C$5</f>
        <v>1.74988131938214</v>
      </c>
      <c r="J109" s="116" t="n">
        <f aca="false">(J70+I121)*(0.3*$C$5+0.25*01_Supuestos!$I$134)/0.55-I227*$C$5</f>
        <v>1.91566491946365</v>
      </c>
      <c r="K109" s="116" t="n">
        <f aca="false">(K70+J121)*(0.3*$C$5+0.25*01_Supuestos!$I$134)/0.55-J227*$C$5</f>
        <v>2.08144851954516</v>
      </c>
      <c r="L109" s="116" t="n">
        <f aca="false">(L70+K121)*(0.3*$C$5+0.25*01_Supuestos!$I$134)/0.55-K227*$C$5</f>
        <v>2.24723211962667</v>
      </c>
      <c r="M109" s="116" t="n">
        <f aca="false">(M70+L121)*(0.3*$C$5+0.25*01_Supuestos!$I$134)/0.55-L227*$C$5</f>
        <v>2.3145666790839</v>
      </c>
      <c r="N109" s="116" t="n">
        <f aca="false">(N70+M121)*(0.3*$C$5+0.25*01_Supuestos!$I$134)/0.55-M227*$C$5</f>
        <v>2.38220470799877</v>
      </c>
      <c r="O109" s="116" t="n">
        <f aca="false">(O70+N121)*(0.3*$C$5+0.25*01_Supuestos!$I$134)/0.55-N227*$C$5</f>
        <v>2.45503827522936</v>
      </c>
      <c r="P109" s="116" t="n">
        <f aca="false">(P70+O121)*(0.3*$C$5+0.25*01_Supuestos!$I$134)/0.55-O227*$C$5</f>
        <v>2.5337888773448</v>
      </c>
      <c r="Q109" s="116" t="n">
        <f aca="false">(Q70+P121)*(0.3*$C$5+0.25*01_Supuestos!$I$134)/0.55-P227*$C$5</f>
        <v>2.61586483298426</v>
      </c>
      <c r="R109" s="116" t="n">
        <f aca="false">(R70+Q121)*(0.3*$C$5+0.25*01_Supuestos!$I$134)/0.55-Q227*$C$5</f>
        <v>2.70155136229844</v>
      </c>
      <c r="S109" s="116" t="n">
        <f aca="false">(S70+R121)*(0.3*$C$5+0.25*01_Supuestos!$I$134)/0.55-R227*$C$5</f>
        <v>2.78333651725149</v>
      </c>
      <c r="T109" s="116" t="n">
        <f aca="false">(T70+S121)*(0.3*$C$5+0.25*01_Supuestos!$I$134)/0.55-S227*$C$5</f>
        <v>2.86245422032617</v>
      </c>
      <c r="U109" s="116" t="n">
        <f aca="false">(U70+T121)*(0.3*$C$5+0.25*01_Supuestos!$I$134)/0.55-T227*$C$5</f>
        <v>2.9392697924776</v>
      </c>
      <c r="V109" s="116" t="n">
        <f aca="false">(V70+U121)*(0.3*$C$5+0.25*01_Supuestos!$I$134)/0.55-U227*$C$5</f>
        <v>3.01394749489831</v>
      </c>
      <c r="W109" s="116" t="n">
        <f aca="false">(W70+V121)*(0.3*$C$5+0.25*01_Supuestos!$I$134)/0.55-V227*$C$5</f>
        <v>3.08686477085297</v>
      </c>
      <c r="X109" s="116" t="n">
        <f aca="false">(X70+W121)*(0.3*$C$5+0.25*01_Supuestos!$I$134)/0.55-W227*$C$5</f>
        <v>3.15820344519373</v>
      </c>
      <c r="Y109" s="116" t="n">
        <f aca="false">(Y70+X121)*(0.3*$C$5+0.25*01_Supuestos!$I$134)/0.55-X227*$C$5</f>
        <v>3.22998618388751</v>
      </c>
      <c r="Z109" s="116" t="n">
        <f aca="false">(Z70+Y121)*(0.3*$C$5+0.25*01_Supuestos!$I$134)/0.55-Y227*$C$5</f>
        <v>3.30223034907799</v>
      </c>
      <c r="AA109" s="116" t="n">
        <f aca="false">(AA70+Z121)*(0.3*$C$5+0.25*01_Supuestos!$I$134)/0.55-Z227*$C$5</f>
        <v>3.37495035524848</v>
      </c>
      <c r="AB109" s="116" t="n">
        <f aca="false">(AB70+AA121)*(0.3*$C$5+0.25*01_Supuestos!$I$134)/0.55-AA227*$C$5</f>
        <v>3.4481639153056</v>
      </c>
      <c r="AC109" s="116" t="n">
        <f aca="false">(AC70+AB121)*(0.3*$C$5+0.25*01_Supuestos!$I$134)/0.55-AB227*$C$5</f>
        <v>3.52188892687753</v>
      </c>
      <c r="AD109" s="116" t="n">
        <f aca="false">(AD70+AC121)*(0.3*$C$5+0.25*01_Supuestos!$I$134)/0.55-AC227*$C$5</f>
        <v>3.59614347883475</v>
      </c>
      <c r="AE109" s="116" t="n">
        <f aca="false">(AE70+AD121)*(0.3*$C$5+0.25*01_Supuestos!$I$134)/0.55-AD227*$C$5</f>
        <v>3.67094273804087</v>
      </c>
      <c r="AF109" s="116" t="n">
        <f aca="false">(AF70+AE121)*(0.3*$C$5+0.25*01_Supuestos!$I$134)/0.55-AE227*$C$5</f>
        <v>3.74630831634175</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0.668055059017723</v>
      </c>
      <c r="E110" s="116" t="n">
        <f aca="false">D120*$C$10</f>
        <v>1.22853341700197</v>
      </c>
      <c r="F110" s="116" t="n">
        <f aca="false">E120*$C$10</f>
        <v>1.84085399517182</v>
      </c>
      <c r="G110" s="116" t="n">
        <f aca="false">F120*$C$10</f>
        <v>2.10062198792484</v>
      </c>
      <c r="H110" s="116" t="n">
        <f aca="false">G120*$C$10</f>
        <v>2.46202189698121</v>
      </c>
      <c r="I110" s="116" t="n">
        <f aca="false">H120*$C$10</f>
        <v>2.86646422300066</v>
      </c>
      <c r="J110" s="116" t="n">
        <f aca="false">I120*$C$10</f>
        <v>3.31712600330215</v>
      </c>
      <c r="K110" s="116" t="n">
        <f aca="false">J120*$C$10</f>
        <v>3.80456834706676</v>
      </c>
      <c r="L110" s="116" t="n">
        <f aca="false">K120*$C$10</f>
        <v>4.32978386170015</v>
      </c>
      <c r="M110" s="116" t="n">
        <f aca="false">L120*$C$10</f>
        <v>4.89384647624723</v>
      </c>
      <c r="N110" s="116" t="n">
        <f aca="false">M120*$C$10</f>
        <v>4.87855337630123</v>
      </c>
      <c r="O110" s="116" t="n">
        <f aca="false">N120*$C$10</f>
        <v>4.89498326403534</v>
      </c>
      <c r="P110" s="116" t="n">
        <f aca="false">O120*$C$10</f>
        <v>4.94501595956419</v>
      </c>
      <c r="Q110" s="116" t="n">
        <f aca="false">P120*$C$10</f>
        <v>4.98262252999661</v>
      </c>
      <c r="R110" s="116" t="n">
        <f aca="false">Q120*$C$10</f>
        <v>5.01434058950052</v>
      </c>
      <c r="S110" s="116" t="n">
        <f aca="false">R120*$C$10</f>
        <v>5.07989565230437</v>
      </c>
      <c r="T110" s="116" t="n">
        <f aca="false">S120*$C$10</f>
        <v>5.13710830004776</v>
      </c>
      <c r="U110" s="116" t="n">
        <f aca="false">T120*$C$10</f>
        <v>5.18498288809511</v>
      </c>
      <c r="V110" s="116" t="n">
        <f aca="false">U120*$C$10</f>
        <v>5.23299102448218</v>
      </c>
      <c r="W110" s="116" t="n">
        <f aca="false">V120*$C$10</f>
        <v>5.28241119234221</v>
      </c>
      <c r="X110" s="116" t="n">
        <f aca="false">W120*$C$10</f>
        <v>5.33723536004048</v>
      </c>
      <c r="Y110" s="116" t="n">
        <f aca="false">X120*$C$10</f>
        <v>5.38828775624155</v>
      </c>
      <c r="Z110" s="116" t="n">
        <f aca="false">Y120*$C$10</f>
        <v>5.4356388213398</v>
      </c>
      <c r="AA110" s="116" t="n">
        <f aca="false">Z120*$C$10</f>
        <v>5.48101590717535</v>
      </c>
      <c r="AB110" s="116" t="n">
        <f aca="false">AA120*$C$10</f>
        <v>5.52492784117434</v>
      </c>
      <c r="AC110" s="116" t="n">
        <f aca="false">AB120*$C$10</f>
        <v>5.56771341078198</v>
      </c>
      <c r="AD110" s="116" t="n">
        <f aca="false">AC120*$C$10</f>
        <v>5.60971249669226</v>
      </c>
      <c r="AE110" s="116" t="n">
        <f aca="false">AD120*$C$10</f>
        <v>5.651267156626</v>
      </c>
      <c r="AF110" s="116" t="n">
        <f aca="false">AE120*$C$10</f>
        <v>5.69272264708654</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12.0384856508805</v>
      </c>
      <c r="G111" s="136" t="n">
        <f aca="false">G69*01_Supuestos!$I$107-G218</f>
        <v>11.9686104803045</v>
      </c>
      <c r="H111" s="136" t="n">
        <f aca="false">H69*01_Supuestos!$I$107-H218</f>
        <v>11.9220198581063</v>
      </c>
      <c r="I111" s="136" t="n">
        <f aca="false">I69*01_Supuestos!$I$107-I218</f>
        <v>11.8972211454721</v>
      </c>
      <c r="J111" s="136" t="n">
        <f aca="false">J69*01_Supuestos!$I$107-J218</f>
        <v>11.8928175157697</v>
      </c>
      <c r="K111" s="136" t="n">
        <f aca="false">K69*01_Supuestos!$I$107-K218</f>
        <v>11.9075017979621</v>
      </c>
      <c r="L111" s="136" t="n">
        <f aca="false">L69*01_Supuestos!$I$107-L218</f>
        <v>11.9400507159457</v>
      </c>
      <c r="M111" s="136" t="n">
        <f aca="false">M69*01_Supuestos!$I$107-M218</f>
        <v>12.0815481177673</v>
      </c>
      <c r="N111" s="136" t="n">
        <f aca="false">N69*01_Supuestos!$I$107-N218</f>
        <v>12.2891228407001</v>
      </c>
      <c r="O111" s="136" t="n">
        <f aca="false">O69*01_Supuestos!$I$107-O218</f>
        <v>12.550086887955</v>
      </c>
      <c r="P111" s="136" t="n">
        <f aca="false">P69*01_Supuestos!$I$107-P218</f>
        <v>13.0189356222772</v>
      </c>
      <c r="Q111" s="136" t="n">
        <f aca="false">Q69*01_Supuestos!$I$107-Q218</f>
        <v>13.47639191512</v>
      </c>
      <c r="R111" s="136" t="n">
        <f aca="false">R69*01_Supuestos!$I$107-R218</f>
        <v>13.9181912001575</v>
      </c>
      <c r="S111" s="136" t="n">
        <f aca="false">S69*01_Supuestos!$I$107-S218</f>
        <v>14.3450258769335</v>
      </c>
      <c r="T111" s="136" t="n">
        <f aca="false">T69*01_Supuestos!$I$107-T218</f>
        <v>14.7575434190715</v>
      </c>
      <c r="U111" s="136" t="n">
        <f aca="false">U69*01_Supuestos!$I$107-U218</f>
        <v>15.1563492852328</v>
      </c>
      <c r="V111" s="136" t="n">
        <f aca="false">V69*01_Supuestos!$I$107-V218</f>
        <v>15.5420096416592</v>
      </c>
      <c r="W111" s="136" t="n">
        <f aca="false">W69*01_Supuestos!$I$107-W218</f>
        <v>15.9150539084887</v>
      </c>
      <c r="X111" s="136" t="n">
        <f aca="false">X69*01_Supuestos!$I$107-X218</f>
        <v>16.2759771412383</v>
      </c>
      <c r="Y111" s="136" t="n">
        <f aca="false">Y69*01_Supuestos!$I$107-Y218</f>
        <v>16.6252422581189</v>
      </c>
      <c r="Z111" s="136" t="n">
        <f aca="false">Z69*01_Supuestos!$I$107-Z218</f>
        <v>16.9632821231507</v>
      </c>
      <c r="AA111" s="136" t="n">
        <f aca="false">AA69*01_Supuestos!$I$107-AA218</f>
        <v>17.2905014944087</v>
      </c>
      <c r="AB111" s="136" t="n">
        <f aca="false">AB69*01_Supuestos!$I$107-AB218</f>
        <v>17.6072788461221</v>
      </c>
      <c r="AC111" s="136" t="n">
        <f aca="false">AC69*01_Supuestos!$I$107-AC218</f>
        <v>17.9139680727869</v>
      </c>
      <c r="AD111" s="136" t="n">
        <f aca="false">AD69*01_Supuestos!$I$107-AD218</f>
        <v>18.2109000829274</v>
      </c>
      <c r="AE111" s="136" t="n">
        <f aca="false">AE69*01_Supuestos!$I$107-AE218</f>
        <v>18.4983842896424</v>
      </c>
      <c r="AF111" s="136" t="n">
        <f aca="false">AF69*01_Supuestos!$I$107-AF218</f>
        <v>18.7767100046174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0.118288787723829</v>
      </c>
      <c r="D112" s="116" t="n">
        <f aca="false">D81*$C$7</f>
        <v>0.194477540223313</v>
      </c>
      <c r="E112" s="116" t="n">
        <f aca="false">E81*$C$7</f>
        <v>0.262221671615268</v>
      </c>
      <c r="F112" s="116" t="n">
        <f aca="false">F81*$C$7</f>
        <v>0.545473119675601</v>
      </c>
      <c r="G112" s="116" t="n">
        <f aca="false">G81*$C$7</f>
        <v>0.57057817627323</v>
      </c>
      <c r="H112" s="116" t="n">
        <f aca="false">H81*$C$7</f>
        <v>0.59570821570086</v>
      </c>
      <c r="I112" s="116" t="n">
        <f aca="false">I81*$C$7</f>
        <v>0.620861988816988</v>
      </c>
      <c r="J112" s="116" t="n">
        <f aca="false">J81*$C$7</f>
        <v>0.646038308937192</v>
      </c>
      <c r="K112" s="116" t="n">
        <f aca="false">K81*$C$7</f>
        <v>0.671236048711268</v>
      </c>
      <c r="L112" s="116" t="n">
        <f aca="false">L81*$C$7</f>
        <v>0.69645413715652</v>
      </c>
      <c r="M112" s="116" t="n">
        <f aca="false">M81*$C$7</f>
        <v>0.718090474987396</v>
      </c>
      <c r="N112" s="116" t="n">
        <f aca="false">N81*$C$7</f>
        <v>0.737655466145981</v>
      </c>
      <c r="O112" s="116" t="n">
        <f aca="false">O81*$C$7</f>
        <v>0.755916019846994</v>
      </c>
      <c r="P112" s="116" t="n">
        <f aca="false">P81*$C$7</f>
        <v>0.769373498306185</v>
      </c>
      <c r="Q112" s="116" t="n">
        <f aca="false">Q81*$C$7</f>
        <v>0.783378967243045</v>
      </c>
      <c r="R112" s="116" t="n">
        <f aca="false">R81*$C$7</f>
        <v>0.797746922179727</v>
      </c>
      <c r="S112" s="116" t="n">
        <f aca="false">S81*$C$7</f>
        <v>0.811832024790568</v>
      </c>
      <c r="T112" s="116" t="n">
        <f aca="false">T81*$C$7</f>
        <v>0.825728959570223</v>
      </c>
      <c r="U112" s="116" t="n">
        <f aca="false">U81*$C$7</f>
        <v>0.83945917188341</v>
      </c>
      <c r="V112" s="116" t="n">
        <f aca="false">V81*$C$7</f>
        <v>0.85302653970494</v>
      </c>
      <c r="W112" s="116" t="n">
        <f aca="false">W81*$C$7</f>
        <v>0.866169992959192</v>
      </c>
      <c r="X112" s="116" t="n">
        <f aca="false">X81*$C$7</f>
        <v>0.878895989903941</v>
      </c>
      <c r="Y112" s="116" t="n">
        <f aca="false">Y81*$C$7</f>
        <v>0.891366763629773</v>
      </c>
      <c r="Z112" s="116" t="n">
        <f aca="false">Z81*$C$7</f>
        <v>0.903574595007443</v>
      </c>
      <c r="AA112" s="116" t="n">
        <f aca="false">AA81*$C$7</f>
        <v>0.915511786759725</v>
      </c>
      <c r="AB112" s="116" t="n">
        <f aca="false">AB81*$C$7</f>
        <v>0.927177450858919</v>
      </c>
      <c r="AC112" s="116" t="n">
        <f aca="false">AC81*$C$7</f>
        <v>0.938570709300929</v>
      </c>
      <c r="AD112" s="116" t="n">
        <f aca="false">AD81*$C$7</f>
        <v>0.949690692765569</v>
      </c>
      <c r="AE112" s="116" t="n">
        <f aca="false">AE81*$C$7</f>
        <v>0.960536539330086</v>
      </c>
      <c r="AF112" s="116" t="n">
        <f aca="false">AF81*$C$7</f>
        <v>0.971107393232778</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-2.33155256205148</v>
      </c>
      <c r="D113" s="136" t="n">
        <f aca="false">D107+D109+D110-D111-D112-D108-D97-D98-D102+D184-D190-D229-D265-D268-D274</f>
        <v>-2.79733512063782</v>
      </c>
      <c r="E113" s="136" t="n">
        <f aca="false">E107+E109+E110-E111-E112-E108-E97-E98-E102+E184-E190-E229-E265-E268-E274</f>
        <v>-3.05518281592214</v>
      </c>
      <c r="F113" s="136" t="n">
        <f aca="false">F107+F109+F110-F111-F112-F108-F97-F98-F102+F184-F190-F229-F265-F268-F274</f>
        <v>-7.21835575351006</v>
      </c>
      <c r="G113" s="136" t="n">
        <f aca="false">G107+G109+G110-G111-G112-G108-G97-G98-G102+G184-G190-G229-G265-G268-G274</f>
        <v>-6.05136972074688</v>
      </c>
      <c r="H113" s="136" t="n">
        <f aca="false">H107+H109+H110-H111-H112-H108-H97-H98-H102+H184-H190-H229-H265-H268-H274</f>
        <v>-5.09928946974923</v>
      </c>
      <c r="I113" s="136" t="n">
        <f aca="false">I107+I109+I110-I111-I112-I108-I97-I98-I102+I184-I190-I229-I265-I268-I274</f>
        <v>-4.11698284114315</v>
      </c>
      <c r="J113" s="136" t="n">
        <f aca="false">J107+J109+J110-J111-J112-J108-J97-J98-J102+J184-J190-J229-J265-J268-J274</f>
        <v>-3.09951131972862</v>
      </c>
      <c r="K113" s="136" t="n">
        <f aca="false">K107+K109+K110-K111-K112-K108-K97-K98-K102+K184-K190-K229-K265-K268-K274</f>
        <v>-2.0547905463099</v>
      </c>
      <c r="L113" s="136" t="n">
        <f aca="false">L107+L109+L110-L111-L112-L108-L97-L98-L102+L184-L190-L229-L265-L268-L274</f>
        <v>-0.980383650933061</v>
      </c>
      <c r="M113" s="136" t="n">
        <f aca="false">M107+M109+M110-M111-M112-M108-M97-M98-M102+M184-M190-M229-M265-M268-M274</f>
        <v>-0.0349796874657779</v>
      </c>
      <c r="N113" s="136" t="n">
        <f aca="false">N107+N109+N110-N111-N112-N108-N97-N98-N102+N184-N190-N229-N265-N268-N274</f>
        <v>0.206435117232829</v>
      </c>
      <c r="O113" s="136" t="n">
        <f aca="false">O107+O109+O110-O111-O112-O108-O97-O98-O102+O184-O190-O229-O265-O268-O274</f>
        <v>0.442985084304987</v>
      </c>
      <c r="P113" s="136" t="n">
        <f aca="false">P107+P109+P110-P111-P112-P108-P97-P98-P102+P184-P190-P229-P265-P268-P274</f>
        <v>0.569339834819628</v>
      </c>
      <c r="Q113" s="136" t="n">
        <f aca="false">Q107+Q109+Q110-Q111-Q112-Q108-Q97-Q98-Q102+Q184-Q190-Q229-Q265-Q268-Q274</f>
        <v>0.70734109681296</v>
      </c>
      <c r="R113" s="136" t="n">
        <f aca="false">R107+R109+R110-R111-R112-R108-R97-R98-R102+R184-R190-R229-R265-R268-R274</f>
        <v>0.526971153507506</v>
      </c>
      <c r="S113" s="136" t="n">
        <f aca="false">S107+S109+S110-S111-S112-S108-S97-S98-S102+S184-S190-S229-S265-S268-S274</f>
        <v>0.398241884491285</v>
      </c>
      <c r="T113" s="136" t="n">
        <f aca="false">T107+T109+T110-T111-T112-T108-T97-T98-T102+T184-T190-T229-T265-T268-T274</f>
        <v>0.28453084242777</v>
      </c>
      <c r="U113" s="136" t="n">
        <f aca="false">U107+U109+U110-U111-U112-U108-U97-U98-U102+U184-U190-U229-U265-U268-U274</f>
        <v>0.177061522561026</v>
      </c>
      <c r="V113" s="136" t="n">
        <f aca="false">V107+V109+V110-V111-V112-V108-V97-V98-V102+V184-V190-V229-V265-V268-V274</f>
        <v>0.084978819825319</v>
      </c>
      <c r="W113" s="136" t="n">
        <f aca="false">W107+W109+W110-W111-W112-W108-W97-W98-W102+W184-W190-W229-W265-W268-W274</f>
        <v>-0.0485046101012094</v>
      </c>
      <c r="X113" s="136" t="n">
        <f aca="false">X107+X109+X110-X111-X112-X108-X97-X98-X102+X184-X190-X229-X265-X268-X274</f>
        <v>-0.166091715949927</v>
      </c>
      <c r="Y113" s="136" t="n">
        <f aca="false">Y107+Y109+Y110-Y111-Y112-Y108-Y97-Y98-Y102+Y184-Y190-Y229-Y265-Y268-Y274</f>
        <v>-0.27533302349161</v>
      </c>
      <c r="Z113" s="136" t="n">
        <f aca="false">Z107+Z109+Z110-Z111-Z112-Z108-Z97-Z98-Z102+Z184-Z190-Z229-Z265-Z268-Z274</f>
        <v>-0.377625381020993</v>
      </c>
      <c r="AA113" s="136" t="n">
        <f aca="false">AA107+AA109+AA110-AA111-AA112-AA108-AA97-AA98-AA102+AA184-AA190-AA229-AA265-AA268-AA274</f>
        <v>-0.471615702843121</v>
      </c>
      <c r="AB113" s="136" t="n">
        <f aca="false">AB107+AB109+AB110-AB111-AB112-AB108-AB97-AB98-AB102+AB184-AB190-AB229-AB265-AB268-AB274</f>
        <v>-0.55714518278905</v>
      </c>
      <c r="AC113" s="136" t="n">
        <f aca="false">AC107+AC109+AC110-AC111-AC112-AC108-AC97-AC98-AC102+AC184-AC190-AC229-AC265-AC268-AC274</f>
        <v>-0.634198016052138</v>
      </c>
      <c r="AD113" s="136" t="n">
        <f aca="false">AD107+AD109+AD110-AD111-AD112-AD108-AD97-AD98-AD102+AD184-AD190-AD229-AD265-AD268-AD274</f>
        <v>-0.702733551688139</v>
      </c>
      <c r="AE113" s="136" t="n">
        <f aca="false">AE107+AE109+AE110-AE111-AE112-AE108-AE97-AE98-AE102+AE184-AE190-AE229-AE265-AE268-AE274</f>
        <v>-0.762689001952084</v>
      </c>
      <c r="AF113" s="136" t="n">
        <f aca="false">AF107+AF109+AF110-AF111-AF112-AF108-AF97-AF98-AF102+AF184-AF190-AF229-AF265-AF268-AF274</f>
        <v>-0.81397301108569</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19.0872874005064</v>
      </c>
      <c r="D114" s="116" t="n">
        <f aca="false">C120+D53+D56-D57+(D58-D65)+D113-D92+D94-D95-D103+D60-D245</f>
        <v>35.1009547714848</v>
      </c>
      <c r="E114" s="116" t="n">
        <f aca="false">D120+E53+E56-E57+(E58-E65)+E113-E92+E94-E95-E103+E60-E245</f>
        <v>52.5958284334807</v>
      </c>
      <c r="F114" s="116" t="n">
        <f aca="false">E120+F53+F56-F57+(F58-F65)+F113-F92+F94-F95-F103+F60-F245</f>
        <v>60.017771083567</v>
      </c>
      <c r="G114" s="116" t="n">
        <f aca="false">F120+G53+G56-G57+(G58-G65)+G113-G92+G94-G95-G103+G60-G245</f>
        <v>70.3434827708917</v>
      </c>
      <c r="H114" s="116" t="n">
        <f aca="false">G120+H53+H56-H57+(H58-H65)+H113-H92+H94-H95-H103+H60-H245</f>
        <v>81.8989778000187</v>
      </c>
      <c r="I114" s="116" t="n">
        <f aca="false">H120+I53+I56-I57+(I58-I65)+I113-I92+I94-I95-I103+I60-I245</f>
        <v>94.7750286657756</v>
      </c>
      <c r="J114" s="116" t="n">
        <f aca="false">I120+J53+J56-J57+(J58-J65)+J113-J92+J94-J95-J103+J60-J245</f>
        <v>108.701952773336</v>
      </c>
      <c r="K114" s="116" t="n">
        <f aca="false">J120+K53+K56-K57+(K58-K65)+K113-K92+K94-K95-K103+K60-K245</f>
        <v>123.70811033429</v>
      </c>
      <c r="L114" s="116" t="n">
        <f aca="false">K120+L53+L56-L57+(L58-L65)+L113-L92+L94-L95-L103+L60-L245</f>
        <v>139.824185035635</v>
      </c>
      <c r="M114" s="116" t="n">
        <f aca="false">L120+M53+M56-M57+(M58-M65)+M113-M92+M94-M95-M103+M60-M245</f>
        <v>139.387239322892</v>
      </c>
      <c r="N114" s="116" t="n">
        <f aca="false">M120+N53+N56-N57+(N58-N65)+N113-N92+N94-N95-N103+N60-N245</f>
        <v>140.063099803957</v>
      </c>
      <c r="O114" s="116" t="n">
        <f aca="false">N120+O53+O56-O57+(O58-O65)+O113-O92+O94-O95-O103+O60-O245</f>
        <v>141.729155357568</v>
      </c>
      <c r="P114" s="116" t="n">
        <f aca="false">O120+P53+P56-P57+(P58-P65)+P113-P92+P94-P95-P103+P60-P245</f>
        <v>142.929983549009</v>
      </c>
      <c r="Q114" s="116" t="n">
        <f aca="false">P120+Q53+Q56-Q57+(Q58-Q65)+Q113-Q92+Q94-Q95-Q103+Q60-Q245</f>
        <v>143.974215082542</v>
      </c>
      <c r="R114" s="116" t="n">
        <f aca="false">Q120+R53+R56-R57+(R58-R65)+R113-R92+R94-R95-R103+R60-R245</f>
        <v>145.666846933632</v>
      </c>
      <c r="S114" s="116" t="n">
        <f aca="false">R120+S53+S56-S57+(S58-S65)+S113-S92+S94-S95-S103+S60-S245</f>
        <v>147.172764742999</v>
      </c>
      <c r="T114" s="116" t="n">
        <f aca="false">S120+T53+T56-T57+(T58-T65)+T113-T92+T94-T95-T103+T60-T245</f>
        <v>148.426899073717</v>
      </c>
      <c r="U114" s="116" t="n">
        <f aca="false">T120+U53+U56-U57+(U58-U65)+U113-U92+U94-U95-U103+U60-U245</f>
        <v>149.69109079348</v>
      </c>
      <c r="V114" s="116" t="n">
        <f aca="false">U120+V53+V56-V57+(V58-V65)+V113-V92+V94-V95-V103+V60-V245</f>
        <v>151.011012886746</v>
      </c>
      <c r="W114" s="116" t="n">
        <f aca="false">V120+W53+W56-W57+(W58-W65)+W113-W92+W94-W95-W103+W60-W245</f>
        <v>152.492438858299</v>
      </c>
      <c r="X114" s="116" t="n">
        <f aca="false">W120+X53+X56-X57+(X58-X65)+X113-X92+X94-X95-X103+X60-X245</f>
        <v>153.951078749759</v>
      </c>
      <c r="Y114" s="116" t="n">
        <f aca="false">X120+Y53+Y56-Y57+(Y58-Y65)+Y113-Y92+Y94-Y95-Y103+Y60-Y245</f>
        <v>155.303966323994</v>
      </c>
      <c r="Z114" s="116" t="n">
        <f aca="false">Y120+Z53+Z56-Z57+(Z58-Z65)+Z113-Z92+Z94-Z95-Z103+Z60-Z245</f>
        <v>156.600454490724</v>
      </c>
      <c r="AA114" s="116" t="n">
        <f aca="false">Z120+AA53+AA56-AA57+(AA58-AA65)+AA113-AA92+AA94-AA95-AA103+AA60-AA245</f>
        <v>157.85508117641</v>
      </c>
      <c r="AB114" s="116" t="n">
        <f aca="false">AA120+AB53+AB56-AB57+(AB58-AB65)+AB113-AB92+AB94-AB95-AB103+AB60-AB245</f>
        <v>159.077526022342</v>
      </c>
      <c r="AC114" s="116" t="n">
        <f aca="false">AB120+AC53+AC56-AC57+(AC58-AC65)+AC113-AC92+AC94-AC95-AC103+AC60-AC245</f>
        <v>160.277499905493</v>
      </c>
      <c r="AD114" s="116" t="n">
        <f aca="false">AC120+AD53+AD56-AD57+(AD58-AD65)+AD113-AD92+AD94-AD95-AD103+AD60-AD245</f>
        <v>161.4647759036</v>
      </c>
      <c r="AE114" s="116" t="n">
        <f aca="false">AD120+AE53+AE56-AE57+(AE58-AE65)+AE113-AE92+AE94-AE95-AE103+AE60-AE245</f>
        <v>162.649218488187</v>
      </c>
      <c r="AF114" s="116" t="n">
        <f aca="false">AE120+AF53+AF56-AF57+(AF58-AF65)+AF113-AF92+AF94-AF95-AF103+AF60-AF245</f>
        <v>163.840820577103</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v>
      </c>
      <c r="N115" s="116" t="n">
        <f aca="false">IF(N113&gt;0,MIN(N113,01_Supuestos!$I$106*N81),0)</f>
        <v>0.206435117232829</v>
      </c>
      <c r="O115" s="116" t="n">
        <f aca="false">IF(O113&gt;0,MIN(O113,01_Supuestos!$I$106*O81),0)</f>
        <v>0.442985084304987</v>
      </c>
      <c r="P115" s="116" t="n">
        <f aca="false">IF(P113&gt;0,MIN(P113,01_Supuestos!$I$106*P81),0)</f>
        <v>0.569339834819628</v>
      </c>
      <c r="Q115" s="116" t="n">
        <f aca="false">IF(Q113&gt;0,MIN(Q113,01_Supuestos!$I$106*Q81),0)</f>
        <v>0.70734109681296</v>
      </c>
      <c r="R115" s="116" t="n">
        <f aca="false">IF(R113&gt;0,MIN(R113,01_Supuestos!$I$106*R81),0)</f>
        <v>0.526971153507506</v>
      </c>
      <c r="S115" s="116" t="n">
        <f aca="false">IF(S113&gt;0,MIN(S113,01_Supuestos!$I$106*S81),0)</f>
        <v>0.398241884491285</v>
      </c>
      <c r="T115" s="116" t="n">
        <f aca="false">IF(T113&gt;0,MIN(T113,01_Supuestos!$I$106*T81),0)</f>
        <v>0.28453084242777</v>
      </c>
      <c r="U115" s="116" t="n">
        <f aca="false">IF(U113&gt;0,MIN(U113,01_Supuestos!$I$106*U81),0)</f>
        <v>0.177061522561026</v>
      </c>
      <c r="V115" s="116" t="n">
        <f aca="false">IF(V113&gt;0,MIN(V113,01_Supuestos!$I$106*V81),0)</f>
        <v>0.084978819825319</v>
      </c>
      <c r="W115" s="116" t="n">
        <f aca="false">IF(W113&gt;0,MIN(W113,01_Supuestos!$I$106*W81),0)</f>
        <v>0</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19.0872874005064</v>
      </c>
      <c r="D120" s="136" t="n">
        <f aca="false">D114-D115+D118+D119</f>
        <v>35.1009547714848</v>
      </c>
      <c r="E120" s="136" t="n">
        <f aca="false">E114-E115+E118+E119</f>
        <v>52.5958284334807</v>
      </c>
      <c r="F120" s="136" t="n">
        <f aca="false">F114-F115+F118+F119</f>
        <v>60.017771083567</v>
      </c>
      <c r="G120" s="136" t="n">
        <f aca="false">G114-G115+G118+G119</f>
        <v>70.3434827708917</v>
      </c>
      <c r="H120" s="136" t="n">
        <f aca="false">H114-H115+H118+H119</f>
        <v>81.8989778000187</v>
      </c>
      <c r="I120" s="136" t="n">
        <f aca="false">I114-I115+I118+I119</f>
        <v>94.7750286657756</v>
      </c>
      <c r="J120" s="136" t="n">
        <f aca="false">J114-J115+J118+J119</f>
        <v>108.701952773336</v>
      </c>
      <c r="K120" s="136" t="n">
        <f aca="false">K114-K115+K118+K119</f>
        <v>123.70811033429</v>
      </c>
      <c r="L120" s="136" t="n">
        <f aca="false">L114-L115+L118+L119</f>
        <v>139.824185035635</v>
      </c>
      <c r="M120" s="136" t="n">
        <f aca="false">M114-M115+M118+M119</f>
        <v>139.387239322892</v>
      </c>
      <c r="N120" s="136" t="n">
        <f aca="false">N114-N115+N118+N119</f>
        <v>139.856664686724</v>
      </c>
      <c r="O120" s="136" t="n">
        <f aca="false">O114-O115+O118+O119</f>
        <v>141.286170273263</v>
      </c>
      <c r="P120" s="136" t="n">
        <f aca="false">P114-P115+P118+P119</f>
        <v>142.360643714189</v>
      </c>
      <c r="Q120" s="136" t="n">
        <f aca="false">Q114-Q115+Q118+Q119</f>
        <v>143.266873985729</v>
      </c>
      <c r="R120" s="136" t="n">
        <f aca="false">R114-R115+R118+R119</f>
        <v>145.139875780125</v>
      </c>
      <c r="S120" s="136" t="n">
        <f aca="false">S114-S115+S118+S119</f>
        <v>146.774522858507</v>
      </c>
      <c r="T120" s="136" t="n">
        <f aca="false">T114-T115+T118+T119</f>
        <v>148.142368231289</v>
      </c>
      <c r="U120" s="136" t="n">
        <f aca="false">U114-U115+U118+U119</f>
        <v>149.514029270919</v>
      </c>
      <c r="V120" s="136" t="n">
        <f aca="false">V114-V115+V118+V119</f>
        <v>150.92603406692</v>
      </c>
      <c r="W120" s="136" t="n">
        <f aca="false">W114-W115+W118+W119</f>
        <v>152.492438858299</v>
      </c>
      <c r="X120" s="136" t="n">
        <f aca="false">X114-X115+X118+X119</f>
        <v>153.951078749759</v>
      </c>
      <c r="Y120" s="136" t="n">
        <f aca="false">Y114-Y115+Y118+Y119</f>
        <v>155.303966323994</v>
      </c>
      <c r="Z120" s="136" t="n">
        <f aca="false">Z114-Z115+Z118+Z119</f>
        <v>156.600454490724</v>
      </c>
      <c r="AA120" s="136" t="n">
        <f aca="false">AA114-AA115+AA118+AA119</f>
        <v>157.85508117641</v>
      </c>
      <c r="AB120" s="136" t="n">
        <f aca="false">AB114-AB115+AB118+AB119</f>
        <v>159.077526022342</v>
      </c>
      <c r="AC120" s="136" t="n">
        <f aca="false">AC114-AC115+AC118+AC119</f>
        <v>160.277499905493</v>
      </c>
      <c r="AD120" s="136" t="n">
        <f aca="false">AD114-AD115+AD118+AD119</f>
        <v>161.4647759036</v>
      </c>
      <c r="AE120" s="136" t="n">
        <f aca="false">AE114-AE115+AE118+AE119</f>
        <v>162.649218488187</v>
      </c>
      <c r="AF120" s="136" t="n">
        <f aca="false">AF114-AF115+AF118+AF119</f>
        <v>163.840820577103</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v>
      </c>
      <c r="M121" s="116" t="n">
        <f aca="false">L121+M115</f>
        <v>0</v>
      </c>
      <c r="N121" s="116" t="n">
        <f aca="false">M121+N115</f>
        <v>0.206435117232829</v>
      </c>
      <c r="O121" s="116" t="n">
        <f aca="false">N121+O115</f>
        <v>0.649420201537816</v>
      </c>
      <c r="P121" s="116" t="n">
        <f aca="false">O121+P115</f>
        <v>1.21876003635744</v>
      </c>
      <c r="Q121" s="116" t="n">
        <f aca="false">P121+Q115</f>
        <v>1.9261011331704</v>
      </c>
      <c r="R121" s="116" t="n">
        <f aca="false">Q121+R115</f>
        <v>2.45307228667791</v>
      </c>
      <c r="S121" s="116" t="n">
        <f aca="false">R121+S115</f>
        <v>2.85131417116919</v>
      </c>
      <c r="T121" s="116" t="n">
        <f aca="false">S121+T115</f>
        <v>3.13584501359696</v>
      </c>
      <c r="U121" s="116" t="n">
        <f aca="false">T121+U115</f>
        <v>3.31290653615799</v>
      </c>
      <c r="V121" s="116" t="n">
        <f aca="false">U121+V115</f>
        <v>3.39788535598331</v>
      </c>
      <c r="W121" s="116" t="n">
        <f aca="false">V121+W115</f>
        <v>3.39788535598331</v>
      </c>
      <c r="X121" s="116" t="n">
        <f aca="false">W121+X115</f>
        <v>3.39788535598331</v>
      </c>
      <c r="Y121" s="116" t="n">
        <f aca="false">X121+Y115</f>
        <v>3.39788535598331</v>
      </c>
      <c r="Z121" s="116" t="n">
        <f aca="false">Y121+Z115</f>
        <v>3.39788535598331</v>
      </c>
      <c r="AA121" s="116" t="n">
        <f aca="false">Z121+AA115</f>
        <v>3.39788535598331</v>
      </c>
      <c r="AB121" s="116" t="n">
        <f aca="false">AA121+AB115</f>
        <v>3.39788535598331</v>
      </c>
      <c r="AC121" s="116" t="n">
        <f aca="false">AB121+AC115</f>
        <v>3.39788535598331</v>
      </c>
      <c r="AD121" s="116" t="n">
        <f aca="false">AC121+AD115</f>
        <v>3.39788535598331</v>
      </c>
      <c r="AE121" s="116" t="n">
        <f aca="false">AD121+AE115</f>
        <v>3.39788535598331</v>
      </c>
      <c r="AF121" s="116" t="n">
        <f aca="false">AE121+AF115</f>
        <v>3.39788535598331</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0.308714112133284</v>
      </c>
      <c r="D122" s="87" t="n">
        <f aca="false">D276/(D81+D115)</f>
        <v>0.343752909018133</v>
      </c>
      <c r="E122" s="87" t="n">
        <f aca="false">E276/(E81+E115)</f>
        <v>0.381659100748013</v>
      </c>
      <c r="F122" s="87" t="n">
        <f aca="false">F276/(F81+F115)</f>
        <v>0.220057667073531</v>
      </c>
      <c r="G122" s="87" t="n">
        <f aca="false">G276/(G81+G115)</f>
        <v>0.246569131789599</v>
      </c>
      <c r="H122" s="87" t="n">
        <f aca="false">H276/(H81+H115)</f>
        <v>0.27496339866209</v>
      </c>
      <c r="I122" s="87" t="n">
        <f aca="false">I276/(I81+I115)</f>
        <v>0.305301436946923</v>
      </c>
      <c r="J122" s="87" t="n">
        <f aca="false">J276/(J81+J115)</f>
        <v>0.336518597332605</v>
      </c>
      <c r="K122" s="87" t="n">
        <f aca="false">K276/(K81+K115)</f>
        <v>0.368597933832076</v>
      </c>
      <c r="L122" s="87" t="n">
        <f aca="false">L276/(L81+L115)</f>
        <v>0.401531637406904</v>
      </c>
      <c r="M122" s="87" t="n">
        <f aca="false">M276/(M81+M115)</f>
        <v>0.388216371552174</v>
      </c>
      <c r="N122" s="87" t="n">
        <f aca="false">N276/(N81+N115)</f>
        <v>0.378980259125038</v>
      </c>
      <c r="O122" s="87" t="n">
        <f aca="false">O276/(O81+O115)</f>
        <v>0.373376846618359</v>
      </c>
      <c r="P122" s="87" t="n">
        <f aca="false">P276/(P81+P115)</f>
        <v>0.369522112131122</v>
      </c>
      <c r="Q122" s="87" t="n">
        <f aca="false">Q276/(Q81+Q115)</f>
        <v>0.365107118510877</v>
      </c>
      <c r="R122" s="87" t="n">
        <f aca="false">R276/(R81+R115)</f>
        <v>0.363394388345792</v>
      </c>
      <c r="S122" s="87" t="n">
        <f aca="false">S276/(S81+S115)</f>
        <v>0.361233998838355</v>
      </c>
      <c r="T122" s="87" t="n">
        <f aca="false">T276/(T81+T115)</f>
        <v>0.358568856322015</v>
      </c>
      <c r="U122" s="87" t="n">
        <f aca="false">U276/(U81+U115)</f>
        <v>0.356064925796735</v>
      </c>
      <c r="V122" s="87" t="n">
        <f aca="false">V276/(V81+V115)</f>
        <v>0.353789624164301</v>
      </c>
      <c r="W122" s="87" t="n">
        <f aca="false">W276/(W81+W115)</f>
        <v>0.352107415629402</v>
      </c>
      <c r="X122" s="87" t="n">
        <f aca="false">X276/(X81+X115)</f>
        <v>0.350328322163775</v>
      </c>
      <c r="Y122" s="87" t="n">
        <f aca="false">Y276/(Y81+Y115)</f>
        <v>0.34846254686808</v>
      </c>
      <c r="Z122" s="87" t="n">
        <f aca="false">Z276/(Z81+Z115)</f>
        <v>0.34662429722127</v>
      </c>
      <c r="AA122" s="87" t="n">
        <f aca="false">AA276/(AA81+AA115)</f>
        <v>0.344845546413131</v>
      </c>
      <c r="AB122" s="87" t="n">
        <f aca="false">AB276/(AB81+AB115)</f>
        <v>0.34314364715185</v>
      </c>
      <c r="AC122" s="87" t="n">
        <f aca="false">AC276/(AC81+AC115)</f>
        <v>0.341535269143167</v>
      </c>
      <c r="AD122" s="87" t="n">
        <f aca="false">AD276/(AD81+AD115)</f>
        <v>0.340036555340777</v>
      </c>
      <c r="AE122" s="87" t="n">
        <f aca="false">AE276/(AE81+AE115)</f>
        <v>0.338663261267759</v>
      </c>
      <c r="AF122" s="87" t="n">
        <f aca="false">AF276/(AF81+AF115)</f>
        <v>0.33743089944292</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2.33155256205148</v>
      </c>
      <c r="D127" s="116" t="n">
        <f aca="false">MAX(0,-D113)</f>
        <v>2.79733512063782</v>
      </c>
      <c r="E127" s="116" t="n">
        <f aca="false">MAX(0,-E113)</f>
        <v>3.05518281592214</v>
      </c>
      <c r="F127" s="116" t="n">
        <f aca="false">MAX(0,-F113)</f>
        <v>7.21835575351006</v>
      </c>
      <c r="G127" s="116" t="n">
        <f aca="false">MAX(0,-G113)</f>
        <v>6.05136972074688</v>
      </c>
      <c r="H127" s="116" t="n">
        <f aca="false">MAX(0,-H113)</f>
        <v>5.09928946974923</v>
      </c>
      <c r="I127" s="116" t="n">
        <f aca="false">MAX(0,-I113)</f>
        <v>4.11698284114315</v>
      </c>
      <c r="J127" s="116" t="n">
        <f aca="false">MAX(0,-J113)</f>
        <v>3.09951131972862</v>
      </c>
      <c r="K127" s="116" t="n">
        <f aca="false">MAX(0,-K113)</f>
        <v>2.0547905463099</v>
      </c>
      <c r="L127" s="116" t="n">
        <f aca="false">MAX(0,-L113)</f>
        <v>0.980383650933061</v>
      </c>
      <c r="M127" s="116" t="n">
        <f aca="false">MAX(0,-M113)</f>
        <v>0.0349796874657779</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0.0485046101012094</v>
      </c>
      <c r="X127" s="116" t="n">
        <f aca="false">MAX(0,-X113)</f>
        <v>0.166091715949927</v>
      </c>
      <c r="Y127" s="116" t="n">
        <f aca="false">MAX(0,-Y113)</f>
        <v>0.27533302349161</v>
      </c>
      <c r="Z127" s="116" t="n">
        <f aca="false">MAX(0,-Z113)</f>
        <v>0.377625381020993</v>
      </c>
      <c r="AA127" s="116" t="n">
        <f aca="false">MAX(0,-AA113)</f>
        <v>0.471615702843121</v>
      </c>
      <c r="AB127" s="116" t="n">
        <f aca="false">MAX(0,-AB113)</f>
        <v>0.55714518278905</v>
      </c>
      <c r="AC127" s="116" t="n">
        <f aca="false">MAX(0,-AC113)</f>
        <v>0.634198016052138</v>
      </c>
      <c r="AD127" s="116" t="n">
        <f aca="false">MAX(0,-AD113)</f>
        <v>0.702733551688139</v>
      </c>
      <c r="AE127" s="116" t="n">
        <f aca="false">MAX(0,-AE113)</f>
        <v>0.762689001952084</v>
      </c>
      <c r="AF127" s="116" t="n">
        <f aca="false">MAX(0,-AF113)</f>
        <v>0.81397301108569</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3.94014852293284</v>
      </c>
      <c r="D128" s="116" t="n">
        <f aca="false">IF(AVERAGE(E127:I127)&gt;0,D120/AVERAGE(E127:I127),99)</f>
        <v>6.87144328207215</v>
      </c>
      <c r="E128" s="116" t="n">
        <f aca="false">IF(AVERAGE(F127:J127)&gt;0,E120/AVERAGE(F127:J127),99)</f>
        <v>10.2784408584336</v>
      </c>
      <c r="F128" s="116" t="n">
        <f aca="false">IF(AVERAGE(G127:K127)&gt;0,F120/AVERAGE(G127:K127),99)</f>
        <v>14.6944314861211</v>
      </c>
      <c r="G128" s="116" t="n">
        <f aca="false">IF(AVERAGE(H127:L127)&gt;0,G120/AVERAGE(H127:L127),99)</f>
        <v>22.9117568948073</v>
      </c>
      <c r="H128" s="116" t="n">
        <f aca="false">IF(AVERAGE(I127:M127)&gt;0,H120/AVERAGE(I127:M127),99)</f>
        <v>39.8083892037141</v>
      </c>
      <c r="I128" s="116" t="n">
        <f aca="false">IF(AVERAGE(J127:N127)&gt;0,I120/AVERAGE(J127:N127),99)</f>
        <v>76.8072703504327</v>
      </c>
      <c r="J128" s="116" t="n">
        <f aca="false">IF(AVERAGE(K127:O127)&gt;0,J120/AVERAGE(K127:O127),99)</f>
        <v>177.030137340572</v>
      </c>
      <c r="K128" s="116" t="n">
        <f aca="false">IF(AVERAGE(L127:P127)&gt;0,K120/AVERAGE(L127:P127),99)</f>
        <v>609.181490289818</v>
      </c>
      <c r="L128" s="116" t="n">
        <f aca="false">IF(AVERAGE(M127:Q127)&gt;0,L120/AVERAGE(M127:Q127),99)</f>
        <v>19986.4828941698</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14961.4516514283</v>
      </c>
      <c r="S128" s="116" t="n">
        <f aca="false">IF(AVERAGE(T127:X127)&gt;0,S120/AVERAGE(T127:X127),99)</f>
        <v>3419.78181918017</v>
      </c>
      <c r="T128" s="116" t="n">
        <f aca="false">IF(AVERAGE(U127:Y127)&gt;0,T120/AVERAGE(U127:Y127),99)</f>
        <v>1511.87480776106</v>
      </c>
      <c r="U128" s="116" t="n">
        <f aca="false">IF(AVERAGE(V127:Z127)&gt;0,U120/AVERAGE(V127:Z127),99)</f>
        <v>861.697965578291</v>
      </c>
      <c r="V128" s="116" t="n">
        <f aca="false">IF(AVERAGE(W127:AA127)&gt;0,V120/AVERAGE(W127:AA127),99)</f>
        <v>563.50569838584</v>
      </c>
      <c r="W128" s="116" t="n">
        <f aca="false">IF(AVERAGE(X127:AB127)&gt;0,W120/AVERAGE(X127:AB127),99)</f>
        <v>412.62996690497</v>
      </c>
      <c r="X128" s="116" t="n">
        <f aca="false">IF(AVERAGE(Y127:AC127)&gt;0,X120/AVERAGE(Y127:AC127),99)</f>
        <v>332.376027282618</v>
      </c>
      <c r="Y128" s="116" t="n">
        <f aca="false">IF(AVERAGE(Z127:AD127)&gt;0,Y120/AVERAGE(Z127:AD127),99)</f>
        <v>283.058645952215</v>
      </c>
      <c r="Z128" s="116" t="n">
        <f aca="false">IF(AVERAGE(AA127:AE127)&gt;0,Z120/AVERAGE(AA127:AE127),99)</f>
        <v>250.289897071518</v>
      </c>
      <c r="AA128" s="116" t="n">
        <f aca="false">IF(AVERAGE(AB127:AF127)&gt;0,AA120/AVERAGE(AB127:AF127),99)</f>
        <v>227.408474001904</v>
      </c>
      <c r="AB128" s="116" t="n">
        <f aca="false">IF(AVERAGE(AC127:AF127)&gt;0,AB120/AVERAGE(AC127:AF127),99)</f>
        <v>218.393570155879</v>
      </c>
      <c r="AC128" s="116" t="n">
        <f aca="false">IF(AVERAGE(AD127:AF127)&gt;0,AC120/AVERAGE(AD127:AF127),99)</f>
        <v>210.947370064878</v>
      </c>
      <c r="AD128" s="116" t="n">
        <f aca="false">IF(AVERAGE(AE127:AF127)&gt;0,AD120/AVERAGE(AE127:AF127),99)</f>
        <v>204.818502086575</v>
      </c>
      <c r="AE128" s="116" t="n">
        <f aca="false">IF(AVERAGE(AF127:AF127)&gt;0,AE120/AVERAGE(AF127:AF127),99)</f>
        <v>199.821389988401</v>
      </c>
      <c r="AF128" s="116" t="n">
        <f aca="false">IF(AF127&gt;0,AF120/AF127,99)</f>
        <v>201.285323156562</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0.03</v>
      </c>
      <c r="D129" s="87" t="n">
        <f aca="false">D83/D41</f>
        <v>0.0593255131964809</v>
      </c>
      <c r="E129" s="87" t="n">
        <f aca="false">E83/E41</f>
        <v>0.0879917040043802</v>
      </c>
      <c r="F129" s="87" t="n">
        <f aca="false">F83/F41</f>
        <v>0.11601339589871</v>
      </c>
      <c r="G129" s="87" t="n">
        <f aca="false">G83/G41</f>
        <v>0.143405079079873</v>
      </c>
      <c r="H129" s="87" t="n">
        <f aca="false">H83/H41</f>
        <v>0.17018091796664</v>
      </c>
      <c r="I129" s="87" t="n">
        <f aca="false">I83/I41</f>
        <v>0.196354758520665</v>
      </c>
      <c r="J129" s="87" t="n">
        <f aca="false">J83/J41</f>
        <v>0.22194013540632</v>
      </c>
      <c r="K129" s="87" t="n">
        <f aca="false">K83/K41</f>
        <v>0.24695027898956</v>
      </c>
      <c r="L129" s="87" t="n">
        <f aca="false">L83/L41</f>
        <v>0.271398122179433</v>
      </c>
      <c r="M129" s="87" t="n">
        <f aca="false">M83/M41</f>
        <v>0.29529630711577</v>
      </c>
      <c r="N129" s="87" t="n">
        <f aca="false">N83/N41</f>
        <v>0.31865719170652</v>
      </c>
      <c r="O129" s="87" t="n">
        <f aca="false">O83/O41</f>
        <v>0.341492856018104</v>
      </c>
      <c r="P129" s="87" t="n">
        <f aca="false">P83/P41</f>
        <v>0.363815108522096</v>
      </c>
      <c r="Q129" s="87" t="n">
        <f aca="false">Q83/Q41</f>
        <v>0.385635492201462</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0.385525621176334</v>
      </c>
      <c r="X129" s="87" t="n">
        <f aca="false">X83/X41</f>
        <v>0.382178403585536</v>
      </c>
      <c r="Y129" s="87" t="n">
        <f aca="false">Y83/Y41</f>
        <v>0.378673225522701</v>
      </c>
      <c r="Z129" s="87" t="n">
        <f aca="false">Z83/Z41</f>
        <v>0.375021016408389</v>
      </c>
      <c r="AA129" s="87" t="n">
        <f aca="false">AA83/AA41</f>
        <v>0.371232299984766</v>
      </c>
      <c r="AB129" s="87" t="n">
        <f aca="false">AB83/AB41</f>
        <v>0.367317133714591</v>
      </c>
      <c r="AC129" s="87" t="n">
        <f aca="false">AC83/AC41</f>
        <v>0.36328516085409</v>
      </c>
      <c r="AD129" s="87" t="n">
        <f aca="false">AD83/AD41</f>
        <v>0.359145623669584</v>
      </c>
      <c r="AE129" s="87" t="n">
        <f aca="false">AE83/AE41</f>
        <v>0.354907409220044</v>
      </c>
      <c r="AF129" s="87" t="n">
        <f aca="false">AF83/AF41</f>
        <v>0.350578961853566</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0.674411493088053</v>
      </c>
      <c r="G136" s="116" t="n">
        <f aca="false">01_Supuestos!$C$152*MAX(0,G111-01_Supuestos!$C$153-01_Supuestos!$C$154-G59-0.05*SUM($C$51:G51))</f>
        <v>0.653967104030453</v>
      </c>
      <c r="H136" s="116" t="n">
        <f aca="false">01_Supuestos!$C$152*MAX(0,H111-01_Supuestos!$C$153-01_Supuestos!$C$154-H59-0.05*SUM($C$51:H51))</f>
        <v>0.635825429810634</v>
      </c>
      <c r="I136" s="116" t="n">
        <f aca="false">01_Supuestos!$C$152*MAX(0,I111-01_Supuestos!$C$153-01_Supuestos!$C$154-I59-0.05*SUM($C$51:I51))</f>
        <v>0.619830606547212</v>
      </c>
      <c r="J136" s="116" t="n">
        <f aca="false">01_Supuestos!$C$152*MAX(0,J111-01_Supuestos!$C$153-01_Supuestos!$C$154-J59-0.05*SUM($C$51:J51))</f>
        <v>0.605837011576975</v>
      </c>
      <c r="K136" s="116" t="n">
        <f aca="false">01_Supuestos!$C$152*MAX(0,K111-01_Supuestos!$C$153-01_Supuestos!$C$154-K59-0.05*SUM($C$51:K51))</f>
        <v>0.59371194779621</v>
      </c>
      <c r="L136" s="116" t="n">
        <f aca="false">01_Supuestos!$C$152*MAX(0,L111-01_Supuestos!$C$153-01_Supuestos!$C$154-L59-0.05*SUM($C$51:L51))</f>
        <v>0.583331767594574</v>
      </c>
      <c r="M136" s="116" t="n">
        <f aca="false">01_Supuestos!$C$152*MAX(0,M111-01_Supuestos!$C$153-01_Supuestos!$C$154-M59-0.05*SUM($C$51:M51))</f>
        <v>0.583803535776727</v>
      </c>
      <c r="N136" s="116" t="n">
        <f aca="false">01_Supuestos!$C$152*MAX(0,N111-01_Supuestos!$C$153-01_Supuestos!$C$154-N59-0.05*SUM($C$51:N51))</f>
        <v>0.590838816070009</v>
      </c>
      <c r="O136" s="116" t="n">
        <f aca="false">01_Supuestos!$C$152*MAX(0,O111-01_Supuestos!$C$153-01_Supuestos!$C$154-O59-0.05*SUM($C$51:O51))</f>
        <v>0.603166828795498</v>
      </c>
      <c r="P136" s="116" t="n">
        <f aca="false">01_Supuestos!$C$152*MAX(0,P111-01_Supuestos!$C$153-01_Supuestos!$C$154-P59-0.05*SUM($C$51:P51))</f>
        <v>0.636235790227719</v>
      </c>
      <c r="Q136" s="116" t="n">
        <f aca="false">01_Supuestos!$C$152*MAX(0,Q111-01_Supuestos!$C$153-01_Supuestos!$C$154-Q59-0.05*SUM($C$51:Q51))</f>
        <v>0.668116007511997</v>
      </c>
      <c r="R136" s="116" t="n">
        <f aca="false">01_Supuestos!$C$152*MAX(0,R111-01_Supuestos!$C$153-01_Supuestos!$C$154-R59-0.05*SUM($C$51:R51))</f>
        <v>0.698379704015754</v>
      </c>
      <c r="S136" s="116" t="n">
        <f aca="false">01_Supuestos!$C$152*MAX(0,S111-01_Supuestos!$C$153-01_Supuestos!$C$154-S59-0.05*SUM($C$51:S51))</f>
        <v>0.727094139693349</v>
      </c>
      <c r="T136" s="116" t="n">
        <f aca="false">01_Supuestos!$C$152*MAX(0,T111-01_Supuestos!$C$153-01_Supuestos!$C$154-T59-0.05*SUM($C$51:T51))</f>
        <v>0.754322081907151</v>
      </c>
      <c r="U136" s="116" t="n">
        <f aca="false">01_Supuestos!$C$152*MAX(0,U111-01_Supuestos!$C$153-01_Supuestos!$C$154-U59-0.05*SUM($C$51:U51))</f>
        <v>0.780122756523276</v>
      </c>
      <c r="V136" s="116" t="n">
        <f aca="false">01_Supuestos!$C$152*MAX(0,V111-01_Supuestos!$C$153-01_Supuestos!$C$154-V59-0.05*SUM($C$51:V51))</f>
        <v>0.804550140165925</v>
      </c>
      <c r="W136" s="116" t="n">
        <f aca="false">01_Supuestos!$C$152*MAX(0,W111-01_Supuestos!$C$153-01_Supuestos!$C$154-W59-0.05*SUM($C$51:W51))</f>
        <v>0.827655194848867</v>
      </c>
      <c r="X136" s="116" t="n">
        <f aca="false">01_Supuestos!$C$152*MAX(0,X111-01_Supuestos!$C$153-01_Supuestos!$C$154-X59-0.05*SUM($C$51:X51))</f>
        <v>0.84948544612383</v>
      </c>
      <c r="Y136" s="116" t="n">
        <f aca="false">01_Supuestos!$C$152*MAX(0,Y111-01_Supuestos!$C$153-01_Supuestos!$C$154-Y59-0.05*SUM($C$51:Y51))</f>
        <v>0.870085205811888</v>
      </c>
      <c r="Z136" s="116" t="n">
        <f aca="false">01_Supuestos!$C$152*MAX(0,Z111-01_Supuestos!$C$153-01_Supuestos!$C$154-Z59-0.05*SUM($C$51:Z51))</f>
        <v>0.889495120315067</v>
      </c>
      <c r="AA136" s="116" t="n">
        <f aca="false">01_Supuestos!$C$152*MAX(0,AA111-01_Supuestos!$C$153-01_Supuestos!$C$154-AA59-0.05*SUM($C$51:AA51))</f>
        <v>0.907753685440873</v>
      </c>
      <c r="AB136" s="116" t="n">
        <f aca="false">01_Supuestos!$C$152*MAX(0,AB111-01_Supuestos!$C$153-01_Supuestos!$C$154-AB59-0.05*SUM($C$51:AB51))</f>
        <v>0.924896108612206</v>
      </c>
      <c r="AC136" s="116" t="n">
        <f aca="false">01_Supuestos!$C$152*MAX(0,AC111-01_Supuestos!$C$153-01_Supuestos!$C$154-AC59-0.05*SUM($C$51:AC51))</f>
        <v>0.940955139278694</v>
      </c>
      <c r="AD136" s="116" t="n">
        <f aca="false">01_Supuestos!$C$152*MAX(0,AD111-01_Supuestos!$C$153-01_Supuestos!$C$154-AD59-0.05*SUM($C$51:AD51))</f>
        <v>0.95596122829274</v>
      </c>
      <c r="AE136" s="116" t="n">
        <f aca="false">01_Supuestos!$C$152*MAX(0,AE111-01_Supuestos!$C$153-01_Supuestos!$C$154-AE59-0.05*SUM($C$51:AE51))</f>
        <v>0.969943336964243</v>
      </c>
      <c r="AF136" s="116" t="n">
        <f aca="false">01_Supuestos!$C$152*MAX(0,AF111-01_Supuestos!$C$153-01_Supuestos!$C$154-AF59-0.05*SUM($C$51:AF51))</f>
        <v>0.982927096461743</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0.0246796875</v>
      </c>
      <c r="D139" s="116" t="n">
        <f aca="false">(1-D55)*D88</f>
        <v>0.0499270078125</v>
      </c>
      <c r="E139" s="116" t="n">
        <f aca="false">(1-E55)*E88</f>
        <v>0.0757550164921875</v>
      </c>
      <c r="F139" s="116" t="n">
        <f aca="false">(1-F55)*F88</f>
        <v>0.102177069371508</v>
      </c>
      <c r="G139" s="116" t="n">
        <f aca="false">(1-G55)*G88</f>
        <v>0.129206829467052</v>
      </c>
      <c r="H139" s="116" t="n">
        <f aca="false">(1-H55)*H88</f>
        <v>0.156858274044795</v>
      </c>
      <c r="I139" s="116" t="n">
        <f aca="false">(1-I55)*I88</f>
        <v>0.185145701847825</v>
      </c>
      <c r="J139" s="116" t="n">
        <f aca="false">(1-J55)*J88</f>
        <v>0.214083740490325</v>
      </c>
      <c r="K139" s="116" t="n">
        <f aca="false">(1-K55)*K88</f>
        <v>0.243687354021602</v>
      </c>
      <c r="L139" s="116" t="n">
        <f aca="false">(1-L55)*L88</f>
        <v>0.273971850664099</v>
      </c>
      <c r="M139" s="116" t="n">
        <f aca="false">(1-M55)*M88</f>
        <v>0.304952890729374</v>
      </c>
      <c r="N139" s="116" t="n">
        <f aca="false">(1-N55)*N88</f>
        <v>0.336646494716149</v>
      </c>
      <c r="O139" s="116" t="n">
        <f aca="false">(1-O55)*O88</f>
        <v>0.36906905159462</v>
      </c>
      <c r="P139" s="116" t="n">
        <f aca="false">(1-P55)*P88</f>
        <v>0.402237327281297</v>
      </c>
      <c r="Q139" s="116" t="n">
        <f aca="false">(1-Q55)*Q88</f>
        <v>0.436168473308766</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0.499786270282512</v>
      </c>
      <c r="X139" s="116" t="n">
        <f aca="false">(1-X55)*X88</f>
        <v>0.506842298183105</v>
      </c>
      <c r="Y139" s="116" t="n">
        <f aca="false">(1-Y55)*Y88</f>
        <v>0.513744212188932</v>
      </c>
      <c r="Z139" s="116" t="n">
        <f aca="false">(1-Z55)*Z88</f>
        <v>0.520491430360376</v>
      </c>
      <c r="AA139" s="116" t="n">
        <f aca="false">(1-AA55)*AA88</f>
        <v>0.527083433928229</v>
      </c>
      <c r="AB139" s="116" t="n">
        <f aca="false">(1-AB55)*AB88</f>
        <v>0.533519664208113</v>
      </c>
      <c r="AC139" s="116" t="n">
        <f aca="false">(1-AC55)*AC88</f>
        <v>0.539799572911927</v>
      </c>
      <c r="AD139" s="116" t="n">
        <f aca="false">(1-AD55)*AD88</f>
        <v>0.545922621369869</v>
      </c>
      <c r="AE139" s="116" t="n">
        <f aca="false">(1-AE55)*AE88</f>
        <v>0.551888330903353</v>
      </c>
      <c r="AF139" s="116" t="n">
        <f aca="false">(1-AF55)*AF88</f>
        <v>0.557696128741406</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-18.8066203125</v>
      </c>
      <c r="D140" s="116" t="n">
        <f aca="false">SUM(D133:D139)</f>
        <v>-18.7400860990875</v>
      </c>
      <c r="E140" s="116" t="n">
        <f aca="false">SUM(E133:E139)</f>
        <v>-18.6918256300898</v>
      </c>
      <c r="F140" s="116" t="n">
        <f aca="false">SUM(F133:F139)</f>
        <v>-17.9315623705651</v>
      </c>
      <c r="G140" s="116" t="n">
        <f aca="false">SUM(G133:G139)</f>
        <v>-17.9510689898176</v>
      </c>
      <c r="H140" s="116" t="n">
        <f aca="false">SUM(H133:H139)</f>
        <v>-17.9684528253735</v>
      </c>
      <c r="I140" s="116" t="n">
        <f aca="false">SUM(I133:I139)</f>
        <v>-17.9838710032857</v>
      </c>
      <c r="J140" s="116" t="n">
        <f aca="false">SUM(J133:J139)</f>
        <v>-17.9974706029248</v>
      </c>
      <c r="K140" s="116" t="n">
        <f aca="false">SUM(K133:K139)</f>
        <v>-18.0093859741279</v>
      </c>
      <c r="L140" s="116" t="n">
        <f aca="false">SUM(L133:L139)</f>
        <v>-18.0197426149271</v>
      </c>
      <c r="M140" s="116" t="n">
        <f aca="false">SUM(M133:M139)</f>
        <v>2.58056448953446</v>
      </c>
      <c r="N140" s="116" t="n">
        <f aca="false">SUM(N133:N139)</f>
        <v>2.58724465149771</v>
      </c>
      <c r="O140" s="116" t="n">
        <f aca="false">SUM(O133:O139)</f>
        <v>2.59902463606872</v>
      </c>
      <c r="P140" s="116" t="n">
        <f aca="false">SUM(P133:P139)</f>
        <v>2.63134999821036</v>
      </c>
      <c r="Q140" s="116" t="n">
        <f aca="false">SUM(Q133:Q139)</f>
        <v>2.6622881751115</v>
      </c>
      <c r="R140" s="116" t="n">
        <f aca="false">SUM(R133:R139)</f>
        <v>2.66987135543025</v>
      </c>
      <c r="S140" s="116" t="n">
        <f aca="false">SUM(S133:S139)</f>
        <v>2.67206237282979</v>
      </c>
      <c r="T140" s="116" t="n">
        <f aca="false">SUM(T133:T139)</f>
        <v>2.67197953985376</v>
      </c>
      <c r="U140" s="116" t="n">
        <f aca="false">SUM(U133:U139)</f>
        <v>2.66966503109069</v>
      </c>
      <c r="V140" s="116" t="n">
        <f aca="false">SUM(V133:V139)</f>
        <v>2.66515524142944</v>
      </c>
      <c r="W140" s="116" t="n">
        <f aca="false">SUM(W133:W139)</f>
        <v>2.6548194153808</v>
      </c>
      <c r="X140" s="116" t="n">
        <f aca="false">SUM(X133:X139)</f>
        <v>2.64149027353778</v>
      </c>
      <c r="Y140" s="116" t="n">
        <f aca="false">SUM(Y133:Y139)</f>
        <v>2.62563217440587</v>
      </c>
      <c r="Z140" s="116" t="n">
        <f aca="false">SUM(Z133:Z139)</f>
        <v>2.60725924264075</v>
      </c>
      <c r="AA140" s="116" t="n">
        <f aca="false">SUM(AA133:AA139)</f>
        <v>2.58638278690918</v>
      </c>
      <c r="AB140" s="116" t="n">
        <f aca="false">SUM(AB133:AB139)</f>
        <v>2.56301004320126</v>
      </c>
      <c r="AC140" s="116" t="n">
        <f aca="false">SUM(AC133:AC139)</f>
        <v>2.53714503927387</v>
      </c>
      <c r="AD140" s="116" t="n">
        <f aca="false">SUM(AD133:AD139)</f>
        <v>2.50878873649245</v>
      </c>
      <c r="AE140" s="116" t="n">
        <f aca="false">SUM(AE133:AE139)</f>
        <v>2.4779398720156</v>
      </c>
      <c r="AF140" s="116" t="n">
        <f aca="false">SUM(AF133:AF139)</f>
        <v>2.44459294637285</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-1.30913548722144</v>
      </c>
      <c r="G141" s="116" t="n">
        <f aca="false">-G85*01_Supuestos!$I$126</f>
        <v>-1.36938762305575</v>
      </c>
      <c r="H141" s="116" t="n">
        <f aca="false">-H85*01_Supuestos!$I$126</f>
        <v>-1.42969971768206</v>
      </c>
      <c r="I141" s="116" t="n">
        <f aca="false">-I85*01_Supuestos!$I$126</f>
        <v>-1.49006877316077</v>
      </c>
      <c r="J141" s="116" t="n">
        <f aca="false">-J85*01_Supuestos!$I$126</f>
        <v>-1.55049194144926</v>
      </c>
      <c r="K141" s="116" t="n">
        <f aca="false">-K85*01_Supuestos!$I$126</f>
        <v>-1.61096651690704</v>
      </c>
      <c r="L141" s="116" t="n">
        <f aca="false">-L85*01_Supuestos!$I$126</f>
        <v>-1.67148992917565</v>
      </c>
      <c r="M141" s="116" t="n">
        <f aca="false">-M85*01_Supuestos!$I$126</f>
        <v>-1.33719194334052</v>
      </c>
      <c r="N141" s="116" t="n">
        <f aca="false">-N85*01_Supuestos!$I$126</f>
        <v>-1.10648319921897</v>
      </c>
      <c r="O141" s="116" t="n">
        <f aca="false">-O85*01_Supuestos!$I$126</f>
        <v>-1.13387402977049</v>
      </c>
      <c r="P141" s="116" t="n">
        <f aca="false">-P85*01_Supuestos!$I$126</f>
        <v>-1.15406024745928</v>
      </c>
      <c r="Q141" s="116" t="n">
        <f aca="false">-Q85*01_Supuestos!$I$126</f>
        <v>-1.17506845086457</v>
      </c>
      <c r="R141" s="116" t="n">
        <f aca="false">-R85*01_Supuestos!$I$126</f>
        <v>-1.19662038326959</v>
      </c>
      <c r="S141" s="116" t="n">
        <f aca="false">-S85*01_Supuestos!$I$126</f>
        <v>-1.21774803718585</v>
      </c>
      <c r="T141" s="116" t="n">
        <f aca="false">-T85*01_Supuestos!$I$126</f>
        <v>-1.23859343935533</v>
      </c>
      <c r="U141" s="116" t="n">
        <f aca="false">-U85*01_Supuestos!$I$126</f>
        <v>-1.25918875782511</v>
      </c>
      <c r="V141" s="116" t="n">
        <f aca="false">-V85*01_Supuestos!$I$126</f>
        <v>-1.27953980955741</v>
      </c>
      <c r="W141" s="116" t="n">
        <f aca="false">-W85*01_Supuestos!$I$126</f>
        <v>-1.29925498943879</v>
      </c>
      <c r="X141" s="116" t="n">
        <f aca="false">-X85*01_Supuestos!$I$126</f>
        <v>-1.31834398485591</v>
      </c>
      <c r="Y141" s="116" t="n">
        <f aca="false">-Y85*01_Supuestos!$I$126</f>
        <v>-1.33705014544466</v>
      </c>
      <c r="Z141" s="116" t="n">
        <f aca="false">-Z85*01_Supuestos!$I$126</f>
        <v>-1.35536189251116</v>
      </c>
      <c r="AA141" s="116" t="n">
        <f aca="false">-AA85*01_Supuestos!$I$126</f>
        <v>-1.37326768013959</v>
      </c>
      <c r="AB141" s="116" t="n">
        <f aca="false">-AB85*01_Supuestos!$I$126</f>
        <v>-1.39076617628838</v>
      </c>
      <c r="AC141" s="116" t="n">
        <f aca="false">-AC85*01_Supuestos!$I$126</f>
        <v>-1.40785606395139</v>
      </c>
      <c r="AD141" s="116" t="n">
        <f aca="false">-AD85*01_Supuestos!$I$126</f>
        <v>-1.42453603914835</v>
      </c>
      <c r="AE141" s="116" t="n">
        <f aca="false">-AE85*01_Supuestos!$I$126</f>
        <v>-1.44080480899513</v>
      </c>
      <c r="AF141" s="116" t="n">
        <f aca="false">-AF85*01_Supuestos!$I$126</f>
        <v>-1.45666108984917</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0.883666453874474</v>
      </c>
      <c r="G142" s="116" t="n">
        <f aca="false">G85*01_Supuestos!$I$101</f>
        <v>0.924336645562633</v>
      </c>
      <c r="H142" s="116" t="n">
        <f aca="false">H85*01_Supuestos!$I$101</f>
        <v>0.965047309435392</v>
      </c>
      <c r="I142" s="116" t="n">
        <f aca="false">I85*01_Supuestos!$I$101</f>
        <v>1.00579642188352</v>
      </c>
      <c r="J142" s="116" t="n">
        <f aca="false">J85*01_Supuestos!$I$101</f>
        <v>1.04658206047825</v>
      </c>
      <c r="K142" s="116" t="n">
        <f aca="false">K85*01_Supuestos!$I$101</f>
        <v>1.08740239891225</v>
      </c>
      <c r="L142" s="116" t="n">
        <f aca="false">L85*01_Supuestos!$I$101</f>
        <v>1.12825570219356</v>
      </c>
      <c r="M142" s="116" t="n">
        <f aca="false">M85*01_Supuestos!$I$101</f>
        <v>0.90260456175485</v>
      </c>
      <c r="N142" s="116" t="n">
        <f aca="false">N85*01_Supuestos!$I$101</f>
        <v>0.746876159472806</v>
      </c>
      <c r="O142" s="116" t="n">
        <f aca="false">O85*01_Supuestos!$I$101</f>
        <v>0.765364970095081</v>
      </c>
      <c r="P142" s="116" t="n">
        <f aca="false">P85*01_Supuestos!$I$101</f>
        <v>0.778990667035013</v>
      </c>
      <c r="Q142" s="116" t="n">
        <f aca="false">Q85*01_Supuestos!$I$101</f>
        <v>0.793171204333583</v>
      </c>
      <c r="R142" s="116" t="n">
        <f aca="false">R85*01_Supuestos!$I$101</f>
        <v>0.807718758706974</v>
      </c>
      <c r="S142" s="116" t="n">
        <f aca="false">S85*01_Supuestos!$I$101</f>
        <v>0.82197992510045</v>
      </c>
      <c r="T142" s="116" t="n">
        <f aca="false">T85*01_Supuestos!$I$101</f>
        <v>0.83605057156485</v>
      </c>
      <c r="U142" s="116" t="n">
        <f aca="false">U85*01_Supuestos!$I$101</f>
        <v>0.849952411531952</v>
      </c>
      <c r="V142" s="116" t="n">
        <f aca="false">V85*01_Supuestos!$I$101</f>
        <v>0.863689371451252</v>
      </c>
      <c r="W142" s="116" t="n">
        <f aca="false">W85*01_Supuestos!$I$101</f>
        <v>0.876997117871182</v>
      </c>
      <c r="X142" s="116" t="n">
        <f aca="false">X85*01_Supuestos!$I$101</f>
        <v>0.88988218977774</v>
      </c>
      <c r="Y142" s="116" t="n">
        <f aca="false">Y85*01_Supuestos!$I$101</f>
        <v>0.902508848175145</v>
      </c>
      <c r="Z142" s="116" t="n">
        <f aca="false">Z85*01_Supuestos!$I$101</f>
        <v>0.914869277445036</v>
      </c>
      <c r="AA142" s="116" t="n">
        <f aca="false">AA85*01_Supuestos!$I$101</f>
        <v>0.926955684094222</v>
      </c>
      <c r="AB142" s="116" t="n">
        <f aca="false">AB85*01_Supuestos!$I$101</f>
        <v>0.938767168994655</v>
      </c>
      <c r="AC142" s="116" t="n">
        <f aca="false">AC85*01_Supuestos!$I$101</f>
        <v>0.950302843167191</v>
      </c>
      <c r="AD142" s="116" t="n">
        <f aca="false">AD85*01_Supuestos!$I$101</f>
        <v>0.961561826425138</v>
      </c>
      <c r="AE142" s="116" t="n">
        <f aca="false">AE85*01_Supuestos!$I$101</f>
        <v>0.972543246071713</v>
      </c>
      <c r="AF142" s="116" t="n">
        <f aca="false">AF85*01_Supuestos!$I$101</f>
        <v>0.983246235648187</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-18.8988855669246</v>
      </c>
      <c r="D148" s="136" t="n">
        <f aca="false">D140+D141+D142+D144+D145+D146+D147</f>
        <v>-18.8917785804617</v>
      </c>
      <c r="E148" s="136" t="n">
        <f aca="false">E140+E141+E142+E144+E145+E146+E147</f>
        <v>-18.8963585339497</v>
      </c>
      <c r="F148" s="136" t="n">
        <f aca="false">F140+F141+F142+F144+F145+F146+F147</f>
        <v>-18.357031403912</v>
      </c>
      <c r="G148" s="136" t="n">
        <f aca="false">G140+G141+G142+G144+G145+G146+G147</f>
        <v>-18.3961199673107</v>
      </c>
      <c r="H148" s="136" t="n">
        <f aca="false">H140+H141+H142+H144+H145+H146+H147</f>
        <v>-18.4331052336202</v>
      </c>
      <c r="I148" s="136" t="n">
        <f aca="false">I140+I141+I142+I144+I145+I146+I147</f>
        <v>-18.4681433545629</v>
      </c>
      <c r="J148" s="136" t="n">
        <f aca="false">J140+J141+J142+J144+J145+J146+J147</f>
        <v>-18.5013804838958</v>
      </c>
      <c r="K148" s="136" t="n">
        <f aca="false">K140+K141+K142+K144+K145+K146+K147</f>
        <v>-18.5329500921227</v>
      </c>
      <c r="L148" s="136" t="n">
        <f aca="false">L140+L141+L142+L144+L145+L146+L147</f>
        <v>-18.5629768419092</v>
      </c>
      <c r="M148" s="136" t="n">
        <f aca="false">M140+M141+M142+M144+M145+M146+M147</f>
        <v>2.14597710794879</v>
      </c>
      <c r="N148" s="136" t="n">
        <f aca="false">N140+N141+N142+N144+N145+N146+N147</f>
        <v>2.22763761175154</v>
      </c>
      <c r="O148" s="136" t="n">
        <f aca="false">O140+O141+O142+O144+O145+O146+O147</f>
        <v>2.23051557639331</v>
      </c>
      <c r="P148" s="136" t="n">
        <f aca="false">P140+P141+P142+P144+P145+P146+P147</f>
        <v>2.2562804177861</v>
      </c>
      <c r="Q148" s="136" t="n">
        <f aca="false">Q140+Q141+Q142+Q144+Q145+Q146+Q147</f>
        <v>2.28039092858052</v>
      </c>
      <c r="R148" s="136" t="n">
        <f aca="false">R140+R141+R142+R144+R145+R146+R147</f>
        <v>2.28096973086763</v>
      </c>
      <c r="S148" s="136" t="n">
        <f aca="false">S140+S141+S142+S144+S145+S146+S147</f>
        <v>2.27629426074439</v>
      </c>
      <c r="T148" s="136" t="n">
        <f aca="false">T140+T141+T142+T144+T145+T146+T147</f>
        <v>2.26943667206327</v>
      </c>
      <c r="U148" s="136" t="n">
        <f aca="false">U140+U141+U142+U144+U145+U146+U147</f>
        <v>2.26042868479753</v>
      </c>
      <c r="V148" s="136" t="n">
        <f aca="false">V140+V141+V142+V144+V145+V146+V147</f>
        <v>2.24930480332329</v>
      </c>
      <c r="W148" s="136" t="n">
        <f aca="false">W140+W141+W142+W144+W145+W146+W147</f>
        <v>2.23256154381319</v>
      </c>
      <c r="X148" s="136" t="n">
        <f aca="false">X140+X141+X142+X144+X145+X146+X147</f>
        <v>2.21302847845961</v>
      </c>
      <c r="Y148" s="136" t="n">
        <f aca="false">Y140+Y141+Y142+Y144+Y145+Y146+Y147</f>
        <v>2.19109087713636</v>
      </c>
      <c r="Z148" s="136" t="n">
        <f aca="false">Z140+Z141+Z142+Z144+Z145+Z146+Z147</f>
        <v>2.16676662757463</v>
      </c>
      <c r="AA148" s="136" t="n">
        <f aca="false">AA140+AA141+AA142+AA144+AA145+AA146+AA147</f>
        <v>2.14007079086381</v>
      </c>
      <c r="AB148" s="136" t="n">
        <f aca="false">AB140+AB141+AB142+AB144+AB145+AB146+AB147</f>
        <v>2.11101103590753</v>
      </c>
      <c r="AC148" s="136" t="n">
        <f aca="false">AC140+AC141+AC142+AC144+AC145+AC146+AC147</f>
        <v>2.07959181848967</v>
      </c>
      <c r="AD148" s="136" t="n">
        <f aca="false">AD140+AD141+AD142+AD144+AD145+AD146+AD147</f>
        <v>2.04581452376923</v>
      </c>
      <c r="AE148" s="136" t="n">
        <f aca="false">AE140+AE141+AE142+AE144+AE145+AE146+AE147</f>
        <v>2.00967830909218</v>
      </c>
      <c r="AF148" s="136" t="n">
        <f aca="false">AF140+AF141+AF142+AF144+AF145+AF146+AF147</f>
        <v>1.97117809217187</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-18.8988855669246</v>
      </c>
      <c r="D149" s="138" t="n">
        <f aca="false">C149+D148</f>
        <v>-37.7906641473863</v>
      </c>
      <c r="E149" s="138" t="n">
        <f aca="false">D149+E148</f>
        <v>-56.6870226813359</v>
      </c>
      <c r="F149" s="138" t="n">
        <f aca="false">E149+F148</f>
        <v>-75.044054085248</v>
      </c>
      <c r="G149" s="138" t="n">
        <f aca="false">F149+G148</f>
        <v>-93.4401740525587</v>
      </c>
      <c r="H149" s="138" t="n">
        <f aca="false">G149+H148</f>
        <v>-111.873279286179</v>
      </c>
      <c r="I149" s="138" t="n">
        <f aca="false">H149+I148</f>
        <v>-130.341422640742</v>
      </c>
      <c r="J149" s="138" t="n">
        <f aca="false">I149+J148</f>
        <v>-148.842803124638</v>
      </c>
      <c r="K149" s="138" t="n">
        <f aca="false">J149+K148</f>
        <v>-167.37575321676</v>
      </c>
      <c r="L149" s="138" t="n">
        <f aca="false">K149+L148</f>
        <v>-185.93873005867</v>
      </c>
      <c r="M149" s="138" t="n">
        <f aca="false">L149+M148</f>
        <v>-183.792752950721</v>
      </c>
      <c r="N149" s="138" t="n">
        <f aca="false">M149+N148</f>
        <v>-181.565115338969</v>
      </c>
      <c r="O149" s="138" t="n">
        <f aca="false">N149+O148</f>
        <v>-179.334599762576</v>
      </c>
      <c r="P149" s="138" t="n">
        <f aca="false">O149+P148</f>
        <v>-177.07831934479</v>
      </c>
      <c r="Q149" s="138" t="n">
        <f aca="false">P149+Q148</f>
        <v>-174.797928416209</v>
      </c>
      <c r="R149" s="138" t="n">
        <f aca="false">Q149+R148</f>
        <v>-172.516958685342</v>
      </c>
      <c r="S149" s="138" t="n">
        <f aca="false">R149+S148</f>
        <v>-170.240664424597</v>
      </c>
      <c r="T149" s="138" t="n">
        <f aca="false">S149+T148</f>
        <v>-167.971227752534</v>
      </c>
      <c r="U149" s="138" t="n">
        <f aca="false">T149+U148</f>
        <v>-165.710799067736</v>
      </c>
      <c r="V149" s="138" t="n">
        <f aca="false">U149+V148</f>
        <v>-163.461494264413</v>
      </c>
      <c r="W149" s="138" t="n">
        <f aca="false">V149+W148</f>
        <v>-161.2289327206</v>
      </c>
      <c r="X149" s="138" t="n">
        <f aca="false">W149+X148</f>
        <v>-159.01590424214</v>
      </c>
      <c r="Y149" s="138" t="n">
        <f aca="false">X149+Y148</f>
        <v>-156.824813365004</v>
      </c>
      <c r="Z149" s="138" t="n">
        <f aca="false">Y149+Z148</f>
        <v>-154.658046737429</v>
      </c>
      <c r="AA149" s="138" t="n">
        <f aca="false">Z149+AA148</f>
        <v>-152.517975946566</v>
      </c>
      <c r="AB149" s="138" t="n">
        <f aca="false">AA149+AB148</f>
        <v>-150.406964910658</v>
      </c>
      <c r="AC149" s="138" t="n">
        <f aca="false">AB149+AC148</f>
        <v>-148.327373092168</v>
      </c>
      <c r="AD149" s="138" t="n">
        <f aca="false">AC149+AD148</f>
        <v>-146.281558568399</v>
      </c>
      <c r="AE149" s="138" t="n">
        <f aca="false">AD149+AE148</f>
        <v>-144.271880259307</v>
      </c>
      <c r="AF149" s="138" t="n">
        <f aca="false">AE149+AF148</f>
        <v>-142.300702167135</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9.75</v>
      </c>
      <c r="D152" s="116" t="n">
        <f aca="false">D83</f>
        <v>19.72425</v>
      </c>
      <c r="E152" s="116" t="n">
        <f aca="false">E83</f>
        <v>29.92790775</v>
      </c>
      <c r="F152" s="116" t="n">
        <f aca="false">F83</f>
        <v>40.36624962825</v>
      </c>
      <c r="G152" s="116" t="n">
        <f aca="false">G83</f>
        <v>51.0446733696997</v>
      </c>
      <c r="H152" s="116" t="n">
        <f aca="false">H83</f>
        <v>61.9687008572028</v>
      </c>
      <c r="I152" s="116" t="n">
        <f aca="false">I83</f>
        <v>73.1439809769185</v>
      </c>
      <c r="J152" s="116" t="n">
        <f aca="false">J83</f>
        <v>84.5762925393876</v>
      </c>
      <c r="K152" s="116" t="n">
        <f aca="false">K83</f>
        <v>96.2715472677935</v>
      </c>
      <c r="L152" s="116" t="n">
        <f aca="false">L83</f>
        <v>108.235792854953</v>
      </c>
      <c r="M152" s="116" t="n">
        <f aca="false">M83</f>
        <v>120.475216090617</v>
      </c>
      <c r="N152" s="116" t="n">
        <f aca="false">N83</f>
        <v>132.996146060701</v>
      </c>
      <c r="O152" s="116" t="n">
        <f aca="false">O83</f>
        <v>145.805057420097</v>
      </c>
      <c r="P152" s="116" t="n">
        <f aca="false">P83</f>
        <v>158.908573740759</v>
      </c>
      <c r="Q152" s="116" t="n">
        <f aca="false">Q83</f>
        <v>172.313470936797</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197.446427765931</v>
      </c>
      <c r="X152" s="116" t="n">
        <f aca="false">X83</f>
        <v>200.233994343943</v>
      </c>
      <c r="Y152" s="116" t="n">
        <f aca="false">Y83</f>
        <v>202.960676420319</v>
      </c>
      <c r="Z152" s="116" t="n">
        <f aca="false">Z83</f>
        <v>205.626244092988</v>
      </c>
      <c r="AA152" s="116" t="n">
        <f aca="false">AA83</f>
        <v>208.230492416091</v>
      </c>
      <c r="AB152" s="116" t="n">
        <f aca="false">AB83</f>
        <v>210.77320067481</v>
      </c>
      <c r="AC152" s="116" t="n">
        <f aca="false">AC83</f>
        <v>213.254152261502</v>
      </c>
      <c r="AD152" s="116" t="n">
        <f aca="false">AD83</f>
        <v>215.673134368343</v>
      </c>
      <c r="AE152" s="116" t="n">
        <f aca="false">AE83</f>
        <v>218.029957887744</v>
      </c>
      <c r="AF152" s="116" t="n">
        <f aca="false">AF83</f>
        <v>220.324396539815</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19.0872874005064</v>
      </c>
      <c r="D153" s="116" t="n">
        <f aca="false">D120</f>
        <v>35.1009547714848</v>
      </c>
      <c r="E153" s="116" t="n">
        <f aca="false">E120</f>
        <v>52.5958284334807</v>
      </c>
      <c r="F153" s="116" t="n">
        <f aca="false">F120</f>
        <v>60.017771083567</v>
      </c>
      <c r="G153" s="116" t="n">
        <f aca="false">G120</f>
        <v>70.3434827708917</v>
      </c>
      <c r="H153" s="116" t="n">
        <f aca="false">H120</f>
        <v>81.8989778000187</v>
      </c>
      <c r="I153" s="116" t="n">
        <f aca="false">I120</f>
        <v>94.7750286657756</v>
      </c>
      <c r="J153" s="116" t="n">
        <f aca="false">J120</f>
        <v>108.701952773336</v>
      </c>
      <c r="K153" s="116" t="n">
        <f aca="false">K120</f>
        <v>123.70811033429</v>
      </c>
      <c r="L153" s="116" t="n">
        <f aca="false">L120</f>
        <v>139.824185035635</v>
      </c>
      <c r="M153" s="116" t="n">
        <f aca="false">M120</f>
        <v>139.387239322892</v>
      </c>
      <c r="N153" s="116" t="n">
        <f aca="false">N120</f>
        <v>139.856664686724</v>
      </c>
      <c r="O153" s="116" t="n">
        <f aca="false">O120</f>
        <v>141.286170273263</v>
      </c>
      <c r="P153" s="116" t="n">
        <f aca="false">P120</f>
        <v>142.360643714189</v>
      </c>
      <c r="Q153" s="116" t="n">
        <f aca="false">Q120</f>
        <v>143.266873985729</v>
      </c>
      <c r="R153" s="116" t="n">
        <f aca="false">R120</f>
        <v>145.139875780125</v>
      </c>
      <c r="S153" s="116" t="n">
        <f aca="false">S120</f>
        <v>146.774522858507</v>
      </c>
      <c r="T153" s="116" t="n">
        <f aca="false">T120</f>
        <v>148.142368231289</v>
      </c>
      <c r="U153" s="116" t="n">
        <f aca="false">U120</f>
        <v>149.514029270919</v>
      </c>
      <c r="V153" s="116" t="n">
        <f aca="false">V120</f>
        <v>150.92603406692</v>
      </c>
      <c r="W153" s="116" t="n">
        <f aca="false">W120</f>
        <v>152.492438858299</v>
      </c>
      <c r="X153" s="116" t="n">
        <f aca="false">X120</f>
        <v>153.951078749759</v>
      </c>
      <c r="Y153" s="116" t="n">
        <f aca="false">Y120</f>
        <v>155.303966323994</v>
      </c>
      <c r="Z153" s="116" t="n">
        <f aca="false">Z120</f>
        <v>156.600454490724</v>
      </c>
      <c r="AA153" s="116" t="n">
        <f aca="false">AA120</f>
        <v>157.85508117641</v>
      </c>
      <c r="AB153" s="116" t="n">
        <f aca="false">AB120</f>
        <v>159.077526022342</v>
      </c>
      <c r="AC153" s="116" t="n">
        <f aca="false">AC120</f>
        <v>160.277499905493</v>
      </c>
      <c r="AD153" s="116" t="n">
        <f aca="false">AD120</f>
        <v>161.4647759036</v>
      </c>
      <c r="AE153" s="116" t="n">
        <f aca="false">AE120</f>
        <v>162.649218488187</v>
      </c>
      <c r="AF153" s="116" t="n">
        <f aca="false">AF120</f>
        <v>163.840820577103</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6.81841399594502</v>
      </c>
      <c r="G154" s="116" t="n">
        <f aca="false">G104</f>
        <v>7.13222720341538</v>
      </c>
      <c r="H154" s="116" t="n">
        <f aca="false">H104</f>
        <v>7.44635269626074</v>
      </c>
      <c r="I154" s="116" t="n">
        <f aca="false">I104</f>
        <v>7.76077486021236</v>
      </c>
      <c r="J154" s="116" t="n">
        <f aca="false">J104</f>
        <v>8.0754788617149</v>
      </c>
      <c r="K154" s="116" t="n">
        <f aca="false">K104</f>
        <v>8.39045060889084</v>
      </c>
      <c r="L154" s="116" t="n">
        <f aca="false">L104</f>
        <v>8.70567671445651</v>
      </c>
      <c r="M154" s="116" t="n">
        <f aca="false">M104</f>
        <v>8.97613093734246</v>
      </c>
      <c r="N154" s="116" t="n">
        <f aca="false">N104</f>
        <v>9.22069332682477</v>
      </c>
      <c r="O154" s="116" t="n">
        <f aca="false">O104</f>
        <v>9.44895024808742</v>
      </c>
      <c r="P154" s="116" t="n">
        <f aca="false">P104</f>
        <v>9.61716872882732</v>
      </c>
      <c r="Q154" s="116" t="n">
        <f aca="false">Q104</f>
        <v>9.79223709053806</v>
      </c>
      <c r="R154" s="116" t="n">
        <f aca="false">R104</f>
        <v>9.97183652724659</v>
      </c>
      <c r="S154" s="116" t="n">
        <f aca="false">S104</f>
        <v>10.1479003098821</v>
      </c>
      <c r="T154" s="116" t="n">
        <f aca="false">T104</f>
        <v>10.3216119946278</v>
      </c>
      <c r="U154" s="116" t="n">
        <f aca="false">U104</f>
        <v>10.4932396485426</v>
      </c>
      <c r="V154" s="116" t="n">
        <f aca="false">V104</f>
        <v>10.6628317463117</v>
      </c>
      <c r="W154" s="116" t="n">
        <f aca="false">W104</f>
        <v>10.8271249119899</v>
      </c>
      <c r="X154" s="116" t="n">
        <f aca="false">X104</f>
        <v>10.9861998737993</v>
      </c>
      <c r="Y154" s="116" t="n">
        <f aca="false">Y104</f>
        <v>11.1420845453722</v>
      </c>
      <c r="Z154" s="116" t="n">
        <f aca="false">Z104</f>
        <v>11.294682437593</v>
      </c>
      <c r="AA154" s="116" t="n">
        <f aca="false">AA104</f>
        <v>11.4438973344966</v>
      </c>
      <c r="AB154" s="116" t="n">
        <f aca="false">AB104</f>
        <v>11.5897181357365</v>
      </c>
      <c r="AC154" s="116" t="n">
        <f aca="false">AC104</f>
        <v>11.7321338662616</v>
      </c>
      <c r="AD154" s="116" t="n">
        <f aca="false">AD104</f>
        <v>11.8711336595696</v>
      </c>
      <c r="AE154" s="116" t="n">
        <f aca="false">AE104</f>
        <v>12.0067067416261</v>
      </c>
      <c r="AF154" s="116" t="n">
        <f aca="false">AF104</f>
        <v>12.1388424154097</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52.9916758096682</v>
      </c>
      <c r="G155" s="116" t="n">
        <f aca="false">G70+G121-G227</f>
        <v>60.0055973515782</v>
      </c>
      <c r="H155" s="116" t="n">
        <f aca="false">H70+H121-H227</f>
        <v>67.0195188934882</v>
      </c>
      <c r="I155" s="116" t="n">
        <f aca="false">I70+I121-I227</f>
        <v>74.0334404353982</v>
      </c>
      <c r="J155" s="116" t="n">
        <f aca="false">J70+J121-J227</f>
        <v>81.0473619773082</v>
      </c>
      <c r="K155" s="116" t="n">
        <f aca="false">K70+K121-K227</f>
        <v>88.0612835192182</v>
      </c>
      <c r="L155" s="116" t="n">
        <f aca="false">L70+L121-L227</f>
        <v>95.0752050611282</v>
      </c>
      <c r="M155" s="116" t="n">
        <f aca="false">M70+M121-M227</f>
        <v>97.9239748843187</v>
      </c>
      <c r="N155" s="116" t="n">
        <f aca="false">N70+N121-N227</f>
        <v>100.992018917181</v>
      </c>
      <c r="O155" s="116" t="n">
        <f aca="false">O70+O121-O227</f>
        <v>104.309989036317</v>
      </c>
      <c r="P155" s="116" t="n">
        <f aca="false">P70+P121-P227</f>
        <v>107.768100030177</v>
      </c>
      <c r="Q155" s="116" t="n">
        <f aca="false">Q70+Q121-Q227</f>
        <v>111.378545569224</v>
      </c>
      <c r="R155" s="116" t="n">
        <f aca="false">R70+R121-R227</f>
        <v>114.823374943057</v>
      </c>
      <c r="S155" s="116" t="n">
        <f aca="false">S70+S121-S227</f>
        <v>118.154786845131</v>
      </c>
      <c r="T155" s="116" t="n">
        <f aca="false">T70+T121-T227</f>
        <v>121.388363240843</v>
      </c>
      <c r="U155" s="116" t="n">
        <f aca="false">U70+U121-U227</f>
        <v>124.530783511998</v>
      </c>
      <c r="V155" s="116" t="n">
        <f aca="false">V70+V121-V227</f>
        <v>127.598142065523</v>
      </c>
      <c r="W155" s="116" t="n">
        <f aca="false">W70+W121-W227</f>
        <v>130.598124920703</v>
      </c>
      <c r="X155" s="116" t="n">
        <f aca="false">X70+X121-X227</f>
        <v>133.61629960435</v>
      </c>
      <c r="Y155" s="116" t="n">
        <f aca="false">Y70+Y121-Y227</f>
        <v>136.65326162601</v>
      </c>
      <c r="Z155" s="116" t="n">
        <f aca="false">Z70+Z121-Z227</f>
        <v>139.709745537915</v>
      </c>
      <c r="AA155" s="116" t="n">
        <f aca="false">AA70+AA121-AA227</f>
        <v>142.78636118359</v>
      </c>
      <c r="AB155" s="116" t="n">
        <f aca="false">AB70+AB121-AB227</f>
        <v>145.883857955237</v>
      </c>
      <c r="AC155" s="116" t="n">
        <f aca="false">AC70+AC121-AC227</f>
        <v>149.002993060203</v>
      </c>
      <c r="AD155" s="116" t="n">
        <f aca="false">AD70+AD121-AD227</f>
        <v>152.144531796855</v>
      </c>
      <c r="AE155" s="116" t="n">
        <f aca="false">AE70+AE121-AE227</f>
        <v>155.30911584019</v>
      </c>
      <c r="AF155" s="116" t="n">
        <f aca="false">AF70+AF121-AF227</f>
        <v>158.497659537536</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36.7172874005064</v>
      </c>
      <c r="D156" s="136" t="n">
        <f aca="false">SUM(D152:D155)+D187</f>
        <v>73.3777980242762</v>
      </c>
      <c r="E156" s="136" t="n">
        <f aca="false">SUM(E152:E155)+E187</f>
        <v>110.538857365872</v>
      </c>
      <c r="F156" s="136" t="n">
        <f aca="false">SUM(F152:F155)+F187</f>
        <v>193.59680452783</v>
      </c>
      <c r="G156" s="136" t="n">
        <f aca="false">SUM(G152:G155)+G187</f>
        <v>231.239675661384</v>
      </c>
      <c r="H156" s="136" t="n">
        <f aca="false">SUM(H152:H155)+H187</f>
        <v>262.029660196983</v>
      </c>
      <c r="I156" s="136" t="n">
        <f aca="false">SUM(I152:I155)+I187</f>
        <v>294.414345417167</v>
      </c>
      <c r="J156" s="136" t="n">
        <f aca="false">SUM(J152:J155)+J187</f>
        <v>328.130332401623</v>
      </c>
      <c r="K156" s="136" t="n">
        <f aca="false">SUM(K152:K155)+K187</f>
        <v>363.212410643816</v>
      </c>
      <c r="L156" s="136" t="n">
        <f aca="false">SUM(L152:L155)+L187</f>
        <v>399.69784201481</v>
      </c>
      <c r="M156" s="136" t="n">
        <f aca="false">SUM(M152:M155)+M187</f>
        <v>415.720254177826</v>
      </c>
      <c r="N156" s="136" t="n">
        <f aca="false">SUM(N152:N155)+N187</f>
        <v>433.149242871767</v>
      </c>
      <c r="O156" s="136" t="n">
        <f aca="false">SUM(O152:O155)+O187</f>
        <v>452.085812415348</v>
      </c>
      <c r="P156" s="136" t="n">
        <f aca="false">SUM(P152:P155)+P187</f>
        <v>471.068551496601</v>
      </c>
      <c r="Q156" s="136" t="n">
        <f aca="false">SUM(Q152:Q155)+Q187</f>
        <v>490.370716366438</v>
      </c>
      <c r="R156" s="136" t="n">
        <f aca="false">SUM(R152:R155)+R187</f>
        <v>502.306181319048</v>
      </c>
      <c r="S156" s="136" t="n">
        <f aca="false">SUM(S152:S155)+S187</f>
        <v>512.792839245719</v>
      </c>
      <c r="T156" s="136" t="n">
        <f aca="false">SUM(T152:T155)+T187</f>
        <v>523.035432171298</v>
      </c>
      <c r="U156" s="136" t="n">
        <f aca="false">SUM(U152:U155)+U187</f>
        <v>533.314352176203</v>
      </c>
      <c r="V156" s="136" t="n">
        <f aca="false">SUM(V152:V155)+V187</f>
        <v>543.685162517627</v>
      </c>
      <c r="W156" s="136" t="n">
        <f aca="false">SUM(W152:W155)+W187</f>
        <v>552.821954874034</v>
      </c>
      <c r="X156" s="136" t="n">
        <f aca="false">SUM(X152:X155)+X187</f>
        <v>561.658941272556</v>
      </c>
      <c r="Y156" s="136" t="n">
        <f aca="false">SUM(Y152:Y155)+Y187</f>
        <v>570.377399096517</v>
      </c>
      <c r="Z156" s="136" t="n">
        <f aca="false">SUM(Z152:Z155)+Z187</f>
        <v>579.0278371742</v>
      </c>
      <c r="AA156" s="136" t="n">
        <f aca="false">SUM(AA152:AA155)+AA187</f>
        <v>587.625867069711</v>
      </c>
      <c r="AB156" s="136" t="n">
        <f aca="false">SUM(AB152:AB155)+AB187</f>
        <v>596.18246855131</v>
      </c>
      <c r="AC156" s="136" t="n">
        <f aca="false">SUM(AC152:AC155)+AC187</f>
        <v>604.708682669198</v>
      </c>
      <c r="AD156" s="136" t="n">
        <f aca="false">SUM(AD152:AD155)+AD187</f>
        <v>613.215643086348</v>
      </c>
      <c r="AE156" s="136" t="n">
        <f aca="false">SUM(AE152:AE155)+AE187</f>
        <v>621.714493864961</v>
      </c>
      <c r="AF156" s="136" t="n">
        <f aca="false">SUM(AF152:AF155)+AF187</f>
        <v>630.216762359942</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272.736559837801</v>
      </c>
      <c r="G157" s="116" t="n">
        <f aca="false">G69+G80+G121</f>
        <v>285.289088136615</v>
      </c>
      <c r="H157" s="116" t="n">
        <f aca="false">H69+H80+H121</f>
        <v>297.85410785043</v>
      </c>
      <c r="I157" s="116" t="n">
        <f aca="false">I69+I80+I121</f>
        <v>310.430994408494</v>
      </c>
      <c r="J157" s="116" t="n">
        <f aca="false">J69+J80+J121</f>
        <v>323.019154468596</v>
      </c>
      <c r="K157" s="116" t="n">
        <f aca="false">K69+K80+K121</f>
        <v>335.618024355634</v>
      </c>
      <c r="L157" s="116" t="n">
        <f aca="false">L69+L80+L121</f>
        <v>348.22706857826</v>
      </c>
      <c r="M157" s="116" t="n">
        <f aca="false">M69+M80+M121</f>
        <v>359.045237493698</v>
      </c>
      <c r="N157" s="116" t="n">
        <f aca="false">N69+N80+N121</f>
        <v>369.034168190224</v>
      </c>
      <c r="O157" s="116" t="n">
        <f aca="false">O69+O80+O121</f>
        <v>378.400995007802</v>
      </c>
      <c r="P157" s="116" t="n">
        <f aca="false">P69+P80+P121</f>
        <v>385.256088987912</v>
      </c>
      <c r="Q157" s="116" t="n">
        <f aca="false">Q69+Q80+Q121</f>
        <v>392.396824718335</v>
      </c>
      <c r="R157" s="116" t="n">
        <f aca="false">R69+R80+R121</f>
        <v>399.400432243371</v>
      </c>
      <c r="S157" s="116" t="n">
        <f aca="false">S69+S80+S121</f>
        <v>406.314254279775</v>
      </c>
      <c r="T157" s="116" t="n">
        <f aca="false">T69+T80+T121</f>
        <v>413.149010627539</v>
      </c>
      <c r="U157" s="116" t="n">
        <f aca="false">U69+U80+U121</f>
        <v>419.906647464266</v>
      </c>
      <c r="V157" s="116" t="n">
        <f aca="false">V69+V80+V121</f>
        <v>426.598248672295</v>
      </c>
      <c r="W157" s="116" t="n">
        <f aca="false">W69+W80+W121</f>
        <v>433.084996479596</v>
      </c>
      <c r="X157" s="116" t="n">
        <f aca="false">X69+X80+X121</f>
        <v>439.44799495197</v>
      </c>
      <c r="Y157" s="116" t="n">
        <f aca="false">Y69+Y80+Y121</f>
        <v>445.683381814887</v>
      </c>
      <c r="Z157" s="116" t="n">
        <f aca="false">Z69+Z80+Z121</f>
        <v>451.787297503722</v>
      </c>
      <c r="AA157" s="116" t="n">
        <f aca="false">AA69+AA80+AA121</f>
        <v>457.755893379863</v>
      </c>
      <c r="AB157" s="116" t="n">
        <f aca="false">AB69+AB80+AB121</f>
        <v>463.588725429459</v>
      </c>
      <c r="AC157" s="116" t="n">
        <f aca="false">AC69+AC80+AC121</f>
        <v>469.285354650465</v>
      </c>
      <c r="AD157" s="116" t="n">
        <f aca="false">AD69+AD80+AD121</f>
        <v>474.845346382784</v>
      </c>
      <c r="AE157" s="116" t="n">
        <f aca="false">AE69+AE80+AE121</f>
        <v>480.268269665043</v>
      </c>
      <c r="AF157" s="116" t="n">
        <f aca="false">AF69+AF80+AF121</f>
        <v>485.553696616389</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17.2988399625579</v>
      </c>
      <c r="D159" s="116" t="n">
        <f aca="false">D72</f>
        <v>34.9771117069655</v>
      </c>
      <c r="E159" s="116" t="n">
        <f aca="false">E72</f>
        <v>53.3834374272829</v>
      </c>
      <c r="F159" s="116" t="n">
        <f aca="false">F72</f>
        <v>73.4908703934434</v>
      </c>
      <c r="G159" s="116" t="n">
        <f aca="false">G72</f>
        <v>92.6207487315235</v>
      </c>
      <c r="H159" s="116" t="n">
        <f aca="false">H72</f>
        <v>103.907740862016</v>
      </c>
      <c r="I159" s="116" t="n">
        <f aca="false">I72</f>
        <v>115.76703498894</v>
      </c>
      <c r="J159" s="116" t="n">
        <f aca="false">J72</f>
        <v>127.898004101118</v>
      </c>
      <c r="K159" s="116" t="n">
        <f aca="false">K72</f>
        <v>140.306894140748</v>
      </c>
      <c r="L159" s="116" t="n">
        <f aca="false">L72</f>
        <v>153.00009483582</v>
      </c>
      <c r="M159" s="116" t="n">
        <f aca="false">M72</f>
        <v>164.839026400822</v>
      </c>
      <c r="N159" s="116" t="n">
        <f aca="false">N72</f>
        <v>177.796038338054</v>
      </c>
      <c r="O159" s="116" t="n">
        <f aca="false">O72</f>
        <v>191.975606720555</v>
      </c>
      <c r="P159" s="116" t="n">
        <f aca="false">P72</f>
        <v>206.025227989956</v>
      </c>
      <c r="Q159" s="116" t="n">
        <f aca="false">Q72</f>
        <v>220.205065332303</v>
      </c>
      <c r="R159" s="116" t="n">
        <f aca="false">R72</f>
        <v>227.146021872928</v>
      </c>
      <c r="S159" s="116" t="n">
        <f aca="false">S72</f>
        <v>232.712846883418</v>
      </c>
      <c r="T159" s="116" t="n">
        <f aca="false">T72</f>
        <v>238.093731873826</v>
      </c>
      <c r="U159" s="116" t="n">
        <f aca="false">U72</f>
        <v>243.56139677963</v>
      </c>
      <c r="V159" s="116" t="n">
        <f aca="false">V72</f>
        <v>249.154292868884</v>
      </c>
      <c r="W159" s="116" t="n">
        <f aca="false">W72</f>
        <v>253.586287389102</v>
      </c>
      <c r="X159" s="116" t="n">
        <f aca="false">X72</f>
        <v>257.774038239038</v>
      </c>
      <c r="Y159" s="116" t="n">
        <f aca="false">Y72</f>
        <v>261.888785669419</v>
      </c>
      <c r="Z159" s="116" t="n">
        <f aca="false">Z72</f>
        <v>265.972231785923</v>
      </c>
      <c r="AA159" s="116" t="n">
        <f aca="false">AA72</f>
        <v>270.029924972549</v>
      </c>
      <c r="AB159" s="116" t="n">
        <f aca="false">AB72</f>
        <v>274.062454680085</v>
      </c>
      <c r="AC159" s="116" t="n">
        <f aca="false">AC72</f>
        <v>278.070418519224</v>
      </c>
      <c r="AD159" s="116" t="n">
        <f aca="false">AD72</f>
        <v>282.05442773183</v>
      </c>
      <c r="AE159" s="116" t="n">
        <f aca="false">AE72</f>
        <v>286.015133798989</v>
      </c>
      <c r="AF159" s="116" t="n">
        <f aca="false">AF72</f>
        <v>289.953175695889</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76.4432338244722</v>
      </c>
      <c r="D160" s="136" t="n">
        <f aca="false">SUM(D157:D159)</f>
        <v>132.215881818622</v>
      </c>
      <c r="E160" s="136" t="n">
        <f aca="false">SUM(E157:E159)</f>
        <v>184.494273234917</v>
      </c>
      <c r="F160" s="136" t="n">
        <f aca="false">SUM(F157:F159)</f>
        <v>346.227430231244</v>
      </c>
      <c r="G160" s="136" t="n">
        <f aca="false">SUM(G157:G159)</f>
        <v>377.909836868139</v>
      </c>
      <c r="H160" s="136" t="n">
        <f aca="false">SUM(H157:H159)</f>
        <v>401.761848712446</v>
      </c>
      <c r="I160" s="136" t="n">
        <f aca="false">SUM(I157:I159)</f>
        <v>426.198029397434</v>
      </c>
      <c r="J160" s="136" t="n">
        <f aca="false">SUM(J157:J159)</f>
        <v>450.917158569714</v>
      </c>
      <c r="K160" s="136" t="n">
        <f aca="false">SUM(K157:K159)</f>
        <v>475.924918496382</v>
      </c>
      <c r="L160" s="136" t="n">
        <f aca="false">SUM(L157:L159)</f>
        <v>501.227163414081</v>
      </c>
      <c r="M160" s="136" t="n">
        <f aca="false">SUM(M157:M159)</f>
        <v>523.88426389452</v>
      </c>
      <c r="N160" s="136" t="n">
        <f aca="false">SUM(N157:N159)</f>
        <v>546.830206528277</v>
      </c>
      <c r="O160" s="136" t="n">
        <f aca="false">SUM(O157:O159)</f>
        <v>570.376601728357</v>
      </c>
      <c r="P160" s="136" t="n">
        <f aca="false">SUM(P157:P159)</f>
        <v>591.281316977868</v>
      </c>
      <c r="Q160" s="136" t="n">
        <f aca="false">SUM(Q157:Q159)</f>
        <v>612.601890050639</v>
      </c>
      <c r="R160" s="136" t="n">
        <f aca="false">SUM(R157:R159)</f>
        <v>626.546454116299</v>
      </c>
      <c r="S160" s="136" t="n">
        <f aca="false">SUM(S157:S159)</f>
        <v>639.027101163193</v>
      </c>
      <c r="T160" s="136" t="n">
        <f aca="false">SUM(T157:T159)</f>
        <v>651.242742501365</v>
      </c>
      <c r="U160" s="136" t="n">
        <f aca="false">SUM(U157:U159)</f>
        <v>663.468044243895</v>
      </c>
      <c r="V160" s="136" t="n">
        <f aca="false">SUM(V157:V159)</f>
        <v>675.752541541179</v>
      </c>
      <c r="W160" s="136" t="n">
        <f aca="false">SUM(W157:W159)</f>
        <v>686.671283868698</v>
      </c>
      <c r="X160" s="136" t="n">
        <f aca="false">SUM(X157:X159)</f>
        <v>697.222033191008</v>
      </c>
      <c r="Y160" s="136" t="n">
        <f aca="false">SUM(Y157:Y159)</f>
        <v>707.572167484306</v>
      </c>
      <c r="Z160" s="136" t="n">
        <f aca="false">SUM(Z157:Z159)</f>
        <v>717.759529289645</v>
      </c>
      <c r="AA160" s="136" t="n">
        <f aca="false">SUM(AA157:AA159)</f>
        <v>727.785818352412</v>
      </c>
      <c r="AB160" s="136" t="n">
        <f aca="false">SUM(AB157:AB159)</f>
        <v>737.651180109545</v>
      </c>
      <c r="AC160" s="136" t="n">
        <f aca="false">SUM(AC157:AC159)</f>
        <v>747.355773169689</v>
      </c>
      <c r="AD160" s="136" t="n">
        <f aca="false">SUM(AD157:AD159)</f>
        <v>756.899774114614</v>
      </c>
      <c r="AE160" s="136" t="n">
        <f aca="false">SUM(AE157:AE159)</f>
        <v>766.283403464032</v>
      </c>
      <c r="AF160" s="136" t="n">
        <f aca="false">SUM(AF157:AF159)</f>
        <v>775.506872312277</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-39.7259464239658</v>
      </c>
      <c r="D161" s="138" t="n">
        <f aca="false">D156-D160</f>
        <v>-58.8380837943459</v>
      </c>
      <c r="E161" s="138" t="n">
        <f aca="false">E156-E160</f>
        <v>-73.9554158690456</v>
      </c>
      <c r="F161" s="138" t="n">
        <f aca="false">F156-F160</f>
        <v>-152.630625703414</v>
      </c>
      <c r="G161" s="138" t="n">
        <f aca="false">G156-G160</f>
        <v>-146.670161206755</v>
      </c>
      <c r="H161" s="138" t="n">
        <f aca="false">H156-H160</f>
        <v>-139.732188515463</v>
      </c>
      <c r="I161" s="138" t="n">
        <f aca="false">I156-I160</f>
        <v>-131.783683980267</v>
      </c>
      <c r="J161" s="138" t="n">
        <f aca="false">J156-J160</f>
        <v>-122.786826168091</v>
      </c>
      <c r="K161" s="138" t="n">
        <f aca="false">K156-K160</f>
        <v>-112.712507852566</v>
      </c>
      <c r="L161" s="138" t="n">
        <f aca="false">L156-L160</f>
        <v>-101.529321399271</v>
      </c>
      <c r="M161" s="138" t="n">
        <f aca="false">M156-M160</f>
        <v>-108.164009716694</v>
      </c>
      <c r="N161" s="138" t="n">
        <f aca="false">N156-N160</f>
        <v>-113.68096365651</v>
      </c>
      <c r="O161" s="138" t="n">
        <f aca="false">O156-O160</f>
        <v>-118.290789313009</v>
      </c>
      <c r="P161" s="138" t="n">
        <f aca="false">P156-P160</f>
        <v>-120.212765481267</v>
      </c>
      <c r="Q161" s="138" t="n">
        <f aca="false">Q156-Q160</f>
        <v>-122.231173684201</v>
      </c>
      <c r="R161" s="138" t="n">
        <f aca="false">R156-R160</f>
        <v>-124.240272797251</v>
      </c>
      <c r="S161" s="138" t="n">
        <f aca="false">S156-S160</f>
        <v>-126.234261917474</v>
      </c>
      <c r="T161" s="138" t="n">
        <f aca="false">T156-T160</f>
        <v>-128.207310330067</v>
      </c>
      <c r="U161" s="138" t="n">
        <f aca="false">U156-U160</f>
        <v>-130.153692067692</v>
      </c>
      <c r="V161" s="138" t="n">
        <f aca="false">V156-V160</f>
        <v>-132.067379023552</v>
      </c>
      <c r="W161" s="138" t="n">
        <f aca="false">W156-W160</f>
        <v>-133.849328994664</v>
      </c>
      <c r="X161" s="138" t="n">
        <f aca="false">X156-X160</f>
        <v>-135.563091918452</v>
      </c>
      <c r="Y161" s="138" t="n">
        <f aca="false">Y156-Y160</f>
        <v>-137.19476838779</v>
      </c>
      <c r="Z161" s="138" t="n">
        <f aca="false">Z156-Z160</f>
        <v>-138.731692115445</v>
      </c>
      <c r="AA161" s="138" t="n">
        <f aca="false">AA156-AA160</f>
        <v>-140.159951282701</v>
      </c>
      <c r="AB161" s="138" t="n">
        <f aca="false">AB156-AB160</f>
        <v>-141.468711558235</v>
      </c>
      <c r="AC161" s="138" t="n">
        <f aca="false">AC156-AC160</f>
        <v>-142.647090500491</v>
      </c>
      <c r="AD161" s="138" t="n">
        <f aca="false">AD156-AD160</f>
        <v>-143.684131028266</v>
      </c>
      <c r="AE161" s="138" t="n">
        <f aca="false">AE156-AE160</f>
        <v>-144.568909599071</v>
      </c>
      <c r="AF161" s="138" t="n">
        <f aca="false">AF156-AF160</f>
        <v>-145.290109952335</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93.2979016301665</v>
      </c>
      <c r="G162" s="116" t="n">
        <f aca="false">G48+G50+(G80-F80)-G63</f>
        <v>9.86115389881451</v>
      </c>
      <c r="H162" s="116" t="n">
        <f aca="false">H48+H50+(H80-G80)-H63</f>
        <v>9.86849731381451</v>
      </c>
      <c r="I162" s="116" t="n">
        <f aca="false">I48+I50+(I80-H80)-I63</f>
        <v>9.87389615806452</v>
      </c>
      <c r="J162" s="116" t="n">
        <f aca="false">J48+J50+(J80-I80)-J63</f>
        <v>9.87751366010201</v>
      </c>
      <c r="K162" s="116" t="n">
        <f aca="false">K48+K50+(K80-J80)-K63</f>
        <v>9.88017148703763</v>
      </c>
      <c r="L162" s="116" t="n">
        <f aca="false">L48+L50+(L80-K80)-L63</f>
        <v>9.88202982262648</v>
      </c>
      <c r="M162" s="116" t="n">
        <f aca="false">M48+M50+(M80-L80)-M63</f>
        <v>8.08257451543803</v>
      </c>
      <c r="N162" s="116" t="n">
        <f aca="false">N48+N50+(N80-M80)-N63</f>
        <v>7.0380571792925</v>
      </c>
      <c r="O162" s="116" t="n">
        <f aca="false">O48+O50+(O80-N80)-O63</f>
        <v>6.17016333327347</v>
      </c>
      <c r="P162" s="116" t="n">
        <f aca="false">P48+P50+(P80-O80)-P63</f>
        <v>3.52257174529077</v>
      </c>
      <c r="Q162" s="116" t="n">
        <f aca="false">Q48+Q50+(Q80-P80)-Q63</f>
        <v>3.6603122336101</v>
      </c>
      <c r="R162" s="116" t="n">
        <f aca="false">R48+R50+(R80-Q80)-R63</f>
        <v>3.69338997152828</v>
      </c>
      <c r="S162" s="116" t="n">
        <f aca="false">S48+S50+(S80-R80)-S63</f>
        <v>3.72177375191292</v>
      </c>
      <c r="T162" s="116" t="n">
        <f aca="false">T48+T50+(T80-S80)-T63</f>
        <v>3.74546310533593</v>
      </c>
      <c r="U162" s="116" t="n">
        <f aca="false">U48+U50+(U80-T80)-U63</f>
        <v>3.76459291416562</v>
      </c>
      <c r="V162" s="116" t="n">
        <f aca="false">V48+V50+(V80-U80)-V63</f>
        <v>3.77889198820416</v>
      </c>
      <c r="W162" s="116" t="n">
        <f aca="false">W48+W50+(W80-V80)-W63</f>
        <v>3.64687340730091</v>
      </c>
      <c r="X162" s="116" t="n">
        <f aca="false">X48+X50+(X80-W80)-X63</f>
        <v>3.51058407237403</v>
      </c>
      <c r="Y162" s="116" t="n">
        <f aca="false">Y48+Y50+(Y80-X80)-Y63</f>
        <v>3.37003646291644</v>
      </c>
      <c r="Z162" s="116" t="n">
        <f aca="false">Z48+Z50+(Z80-Y80)-Z63</f>
        <v>3.22510128883474</v>
      </c>
      <c r="AA162" s="116" t="n">
        <f aca="false">AA48+AA50+(AA80-Z80)-AA63</f>
        <v>3.07592147614112</v>
      </c>
      <c r="AB162" s="116" t="n">
        <f aca="false">AB48+AB50+(AB80-AA80)-AB63</f>
        <v>2.92576964959695</v>
      </c>
      <c r="AC162" s="116" t="n">
        <f aca="false">AC48+AC50+(AC80-AB80)-AC63</f>
        <v>2.77465082100527</v>
      </c>
      <c r="AD162" s="116" t="n">
        <f aca="false">AD48+AD50+(AD80-AC80)-AD63</f>
        <v>2.62256933231977</v>
      </c>
      <c r="AE162" s="116" t="n">
        <f aca="false">AE48+AE50+(AE80-AD80)-AE63</f>
        <v>2.46966088225875</v>
      </c>
      <c r="AF162" s="116" t="n">
        <f aca="false">AF48+AF50+(AF80-AE80)-AF63</f>
        <v>2.31566455134558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-39.7259464239658</v>
      </c>
      <c r="D163" s="116" t="n">
        <f aca="false">C163+D53+D56+D58+D118+D119+D60+D113+D101-D115-D162</f>
        <v>-58.8380837943459</v>
      </c>
      <c r="E163" s="116" t="n">
        <f aca="false">D163+E53+E56+E58+E118+E119+E60+E113+E101-E115-E162</f>
        <v>-73.9554158690456</v>
      </c>
      <c r="F163" s="116" t="n">
        <f aca="false">E163+F53+F56+F58+F118+F119+F60+F113+F101-F115-F162</f>
        <v>-152.630625703414</v>
      </c>
      <c r="G163" s="116" t="n">
        <f aca="false">F163+G53+G56+G58+G118+G119+G60+G113+G101-G115-G162</f>
        <v>-146.670161206755</v>
      </c>
      <c r="H163" s="116" t="n">
        <f aca="false">G163+H53+H56+H58+H118+H119+H60+H113+H101-H115-H162</f>
        <v>-139.732188515463</v>
      </c>
      <c r="I163" s="116" t="n">
        <f aca="false">H163+I53+I56+I58+I118+I119+I60+I113+I101-I115-I162</f>
        <v>-131.783683980267</v>
      </c>
      <c r="J163" s="116" t="n">
        <f aca="false">I163+J53+J56+J58+J118+J119+J60+J113+J101-J115-J162</f>
        <v>-122.786826168091</v>
      </c>
      <c r="K163" s="116" t="n">
        <f aca="false">J163+K53+K56+K58+K118+K119+K60+K113+K101-K115-K162</f>
        <v>-112.712507852566</v>
      </c>
      <c r="L163" s="116" t="n">
        <f aca="false">K163+L53+L56+L58+L118+L119+L60+L113+L101-L115-L162</f>
        <v>-101.529321399271</v>
      </c>
      <c r="M163" s="116" t="n">
        <f aca="false">L163+M53+M56+M58+M118+M119+M60+M113+M101-M115-M162</f>
        <v>-108.164009716694</v>
      </c>
      <c r="N163" s="116" t="n">
        <f aca="false">M163+N53+N56+N58+N118+N119+N60+N113+N101-N115-N162</f>
        <v>-113.68096365651</v>
      </c>
      <c r="O163" s="116" t="n">
        <f aca="false">N163+O53+O56+O58+O118+O119+O60+O113+O101-O115-O162</f>
        <v>-118.290789313009</v>
      </c>
      <c r="P163" s="116" t="n">
        <f aca="false">O163+P53+P56+P58+P118+P119+P60+P113+P101-P115-P162</f>
        <v>-120.212765481268</v>
      </c>
      <c r="Q163" s="116" t="n">
        <f aca="false">P163+Q53+Q56+Q58+Q118+Q119+Q60+Q113+Q101-Q115-Q162</f>
        <v>-122.231173684201</v>
      </c>
      <c r="R163" s="116" t="n">
        <f aca="false">Q163+R53+R56+R58+R118+R119+R60+R113+R101-R115-R162</f>
        <v>-124.240272797251</v>
      </c>
      <c r="S163" s="116" t="n">
        <f aca="false">R163+S53+S56+S58+S118+S119+S60+S113+S101-S115-S162</f>
        <v>-126.234261917474</v>
      </c>
      <c r="T163" s="116" t="n">
        <f aca="false">S163+T53+T56+T58+T118+T119+T60+T113+T101-T115-T162</f>
        <v>-128.207310330067</v>
      </c>
      <c r="U163" s="116" t="n">
        <f aca="false">T163+U53+U56+U58+U118+U119+U60+U113+U101-U115-U162</f>
        <v>-130.153692067693</v>
      </c>
      <c r="V163" s="116" t="n">
        <f aca="false">U163+V53+V56+V58+V118+V119+V60+V113+V101-V115-V162</f>
        <v>-132.067379023552</v>
      </c>
      <c r="W163" s="116" t="n">
        <f aca="false">V163+W53+W56+W58+W118+W119+W60+W113+W101-W115-W162</f>
        <v>-133.849328994664</v>
      </c>
      <c r="X163" s="116" t="n">
        <f aca="false">W163+X53+X56+X58+X118+X119+X60+X113+X101-X115-X162</f>
        <v>-135.563091918452</v>
      </c>
      <c r="Y163" s="116" t="n">
        <f aca="false">X163+Y53+Y56+Y58+Y118+Y119+Y60+Y113+Y101-Y115-Y162</f>
        <v>-137.19476838779</v>
      </c>
      <c r="Z163" s="116" t="n">
        <f aca="false">Y163+Z53+Z56+Z58+Z118+Z119+Z60+Z113+Z101-Z115-Z162</f>
        <v>-138.731692115445</v>
      </c>
      <c r="AA163" s="116" t="n">
        <f aca="false">Z163+AA53+AA56+AA58+AA118+AA119+AA60+AA113+AA101-AA115-AA162</f>
        <v>-140.159951282701</v>
      </c>
      <c r="AB163" s="116" t="n">
        <f aca="false">AA163+AB53+AB56+AB58+AB118+AB119+AB60+AB113+AB101-AB115-AB162</f>
        <v>-141.468711558235</v>
      </c>
      <c r="AC163" s="116" t="n">
        <f aca="false">AB163+AC53+AC56+AC58+AC118+AC119+AC60+AC113+AC101-AC115-AC162</f>
        <v>-142.647090500491</v>
      </c>
      <c r="AD163" s="116" t="n">
        <f aca="false">AC163+AD53+AD56+AD58+AD118+AD119+AD60+AD113+AD101-AD115-AD162</f>
        <v>-143.684131028266</v>
      </c>
      <c r="AE163" s="116" t="n">
        <f aca="false">AD163+AE53+AE56+AE58+AE118+AE119+AE60+AE113+AE101-AE115-AE162</f>
        <v>-144.568909599072</v>
      </c>
      <c r="AF163" s="116" t="n">
        <f aca="false">AE163+AF53+AF56+AF58+AF118+AF119+AF60+AF113+AF101-AF115-AF162</f>
        <v>-145.290109952336</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398</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0.03</v>
      </c>
      <c r="D174" s="83" t="s">
        <v>1345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41.5143938619143</v>
      </c>
      <c r="D186" s="142" t="n">
        <f aca="false">D84-D181</f>
        <v>61.3928961116566</v>
      </c>
      <c r="E186" s="142" t="n">
        <f aca="false">E84-E181</f>
        <v>76.4455777704342</v>
      </c>
      <c r="F186" s="142" t="n">
        <f aca="false">F84-F181</f>
        <v>145.975940389483</v>
      </c>
      <c r="G186" s="142" t="n">
        <f aca="false">G84-G181</f>
        <v>131.525122449538</v>
      </c>
      <c r="H186" s="142" t="n">
        <f aca="false">H84-H181</f>
        <v>125.169778149726</v>
      </c>
      <c r="I186" s="142" t="n">
        <f aca="false">I84-I181</f>
        <v>118.552452517315</v>
      </c>
      <c r="J186" s="142" t="n">
        <f aca="false">J84-J181</f>
        <v>111.666253702024</v>
      </c>
      <c r="K186" s="142" t="n">
        <f aca="false">K84-K181</f>
        <v>104.504174654999</v>
      </c>
      <c r="L186" s="142" t="n">
        <f aca="false">L84-L181</f>
        <v>97.0590883135424</v>
      </c>
      <c r="M186" s="142" t="n">
        <f aca="false">M84-M181</f>
        <v>91.6883535761074</v>
      </c>
      <c r="N186" s="142" t="n">
        <f aca="false">N84-N181</f>
        <v>84.9622833320054</v>
      </c>
      <c r="O186" s="142" t="n">
        <f aca="false">O84-O181</f>
        <v>77.0503031138042</v>
      </c>
      <c r="P186" s="142" t="n">
        <f aca="false">P84-P181</f>
        <v>66.1653499343279</v>
      </c>
      <c r="Q186" s="142" t="n">
        <f aca="false">Q84-Q181</f>
        <v>55.0852194281651</v>
      </c>
      <c r="R186" s="142" t="n">
        <f aca="false">R84-R181</f>
        <v>52.2059632316946</v>
      </c>
      <c r="S186" s="142" t="n">
        <f aca="false">S84-S181</f>
        <v>50.4438382024464</v>
      </c>
      <c r="T186" s="142" t="n">
        <f aca="false">T84-T181</f>
        <v>48.5775586821582</v>
      </c>
      <c r="U186" s="142" t="n">
        <f aca="false">U84-U181</f>
        <v>46.5995642075249</v>
      </c>
      <c r="V186" s="142" t="n">
        <f aca="false">V84-V181</f>
        <v>44.5019519679001</v>
      </c>
      <c r="W186" s="142" t="n">
        <f aca="false">W84-W181</f>
        <v>43.5826053758513</v>
      </c>
      <c r="X186" s="142" t="n">
        <f aca="false">X84-X181</f>
        <v>42.7263323029724</v>
      </c>
      <c r="Y186" s="142" t="n">
        <f aca="false">Y84-Y181</f>
        <v>41.7520335877367</v>
      </c>
      <c r="Z186" s="142" t="n">
        <f aca="false">Z84-Z181</f>
        <v>40.6545972578388</v>
      </c>
      <c r="AA186" s="142" t="n">
        <f aca="false">AA84-AA181</f>
        <v>39.4290048210578</v>
      </c>
      <c r="AB186" s="142" t="n">
        <f aca="false">AB84-AB181</f>
        <v>38.0735010362283</v>
      </c>
      <c r="AC186" s="142" t="n">
        <f aca="false">AC84-AC181</f>
        <v>36.5863057530218</v>
      </c>
      <c r="AD186" s="142" t="n">
        <f aca="false">AD84-AD181</f>
        <v>34.9656128596066</v>
      </c>
      <c r="AE186" s="142" t="n">
        <f aca="false">AE84-AE181</f>
        <v>33.2097010298954</v>
      </c>
      <c r="AF186" s="142" t="n">
        <f aca="false">AF84-AF181</f>
        <v>31.3165972489597</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1.41615158436461</v>
      </c>
      <c r="N189" s="142" t="n">
        <f aca="false">N68-M68</f>
        <v>1.41178629293549</v>
      </c>
      <c r="O189" s="142" t="n">
        <f aca="false">O68-N68</f>
        <v>1.4072384124069</v>
      </c>
      <c r="P189" s="142" t="n">
        <f aca="false">P68-O68</f>
        <v>1.40255113017567</v>
      </c>
      <c r="Q189" s="142" t="n">
        <f aca="false">Q68-P68</f>
        <v>1.39767781388966</v>
      </c>
      <c r="R189" s="142" t="n">
        <f aca="false">R68-Q68</f>
        <v>1.35862750086308</v>
      </c>
      <c r="S189" s="142" t="n">
        <f aca="false">S68-R68</f>
        <v>1.31938746131985</v>
      </c>
      <c r="T189" s="142" t="n">
        <f aca="false">T68-S68</f>
        <v>1.27995575070594</v>
      </c>
      <c r="U189" s="142" t="n">
        <f aca="false">U68-T68</f>
        <v>1.24037523582456</v>
      </c>
      <c r="V189" s="142" t="n">
        <f aca="false">V68-U68</f>
        <v>1.20055407241304</v>
      </c>
      <c r="W189" s="142" t="n">
        <f aca="false">W68-V68</f>
        <v>1.1605349826343</v>
      </c>
      <c r="X189" s="142" t="n">
        <f aca="false">X68-W68</f>
        <v>1.12031573247955</v>
      </c>
      <c r="Y189" s="142" t="n">
        <f aca="false">Y68-X68</f>
        <v>1.07989400907954</v>
      </c>
      <c r="Z189" s="142" t="n">
        <f aca="false">Z68-Y68</f>
        <v>1.03922253792069</v>
      </c>
      <c r="AA189" s="142" t="n">
        <f aca="false">AA68-Z68</f>
        <v>0.998343719963131</v>
      </c>
      <c r="AB189" s="142" t="n">
        <f aca="false">AB68-AA68</f>
        <v>0.957210108656867</v>
      </c>
      <c r="AC189" s="142" t="n">
        <f aca="false">AC68-AB68</f>
        <v>0.915819046852676</v>
      </c>
      <c r="AD189" s="142" t="n">
        <f aca="false">AD68-AC68</f>
        <v>0.874167783603994</v>
      </c>
      <c r="AE189" s="142" t="n">
        <f aca="false">AE68-AD68</f>
        <v>0.832298350855808</v>
      </c>
      <c r="AF189" s="142" t="n">
        <f aca="false">AF68-AE68</f>
        <v>0.790118040016822</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-18.8988855669246</v>
      </c>
      <c r="D192" s="142" t="n">
        <f aca="false">D149-SUM($C$191:D191)</f>
        <v>-38.3468641473863</v>
      </c>
      <c r="E192" s="142" t="n">
        <f aca="false">E149-SUM($C$191:E191)</f>
        <v>-58.3556226813359</v>
      </c>
      <c r="F192" s="142" t="n">
        <f aca="false">F149-SUM($C$191:F191)</f>
        <v>-78.381254085248</v>
      </c>
      <c r="G192" s="142" t="n">
        <f aca="false">G149-SUM($C$191:G191)</f>
        <v>-99.0021740525587</v>
      </c>
      <c r="H192" s="142" t="n">
        <f aca="false">H149-SUM($C$191:H191)</f>
        <v>-120.216279286179</v>
      </c>
      <c r="I192" s="142" t="n">
        <f aca="false">I149-SUM($C$191:I191)</f>
        <v>-142.021622640742</v>
      </c>
      <c r="J192" s="142" t="n">
        <f aca="false">J149-SUM($C$191:J191)</f>
        <v>-164.416403124638</v>
      </c>
      <c r="K192" s="142" t="n">
        <f aca="false">K149-SUM($C$191:K191)</f>
        <v>-187.39895321676</v>
      </c>
      <c r="L192" s="142" t="n">
        <f aca="false">L149-SUM($C$191:L191)</f>
        <v>-210.96773005867</v>
      </c>
      <c r="M192" s="142" t="n">
        <f aca="false">M149-SUM($C$191:M191)</f>
        <v>-214.383752950721</v>
      </c>
      <c r="N192" s="142" t="n">
        <f aca="false">N149-SUM($C$191:N191)</f>
        <v>-217.718115338969</v>
      </c>
      <c r="O192" s="142" t="n">
        <f aca="false">O149-SUM($C$191:O191)</f>
        <v>-221.049599762576</v>
      </c>
      <c r="P192" s="142" t="n">
        <f aca="false">P149-SUM($C$191:P191)</f>
        <v>-224.35531934479</v>
      </c>
      <c r="Q192" s="142" t="n">
        <f aca="false">Q149-SUM($C$191:Q191)</f>
        <v>-227.636928416209</v>
      </c>
      <c r="R192" s="142" t="n">
        <f aca="false">R149-SUM($C$191:R191)</f>
        <v>-230.917958685342</v>
      </c>
      <c r="S192" s="142" t="n">
        <f aca="false">S149-SUM($C$191:S191)</f>
        <v>-234.203664424597</v>
      </c>
      <c r="T192" s="142" t="n">
        <f aca="false">T149-SUM($C$191:T191)</f>
        <v>-237.496227752534</v>
      </c>
      <c r="U192" s="142" t="n">
        <f aca="false">U149-SUM($C$191:U191)</f>
        <v>-240.797799067736</v>
      </c>
      <c r="V192" s="142" t="n">
        <f aca="false">V149-SUM($C$191:V191)</f>
        <v>-244.110494264413</v>
      </c>
      <c r="W192" s="142" t="n">
        <f aca="false">W149-SUM($C$191:W191)</f>
        <v>-247.4399327206</v>
      </c>
      <c r="X192" s="142" t="n">
        <f aca="false">X149-SUM($C$191:X191)</f>
        <v>-250.78890424214</v>
      </c>
      <c r="Y192" s="142" t="n">
        <f aca="false">Y149-SUM($C$191:Y191)</f>
        <v>-254.159813365004</v>
      </c>
      <c r="Z192" s="142" t="n">
        <f aca="false">Z149-SUM($C$191:Z191)</f>
        <v>-257.555046737429</v>
      </c>
      <c r="AA192" s="142" t="n">
        <f aca="false">AA149-SUM($C$191:AA191)</f>
        <v>-260.976975946566</v>
      </c>
      <c r="AB192" s="142" t="n">
        <f aca="false">AB149-SUM($C$191:AB191)</f>
        <v>-264.427964910658</v>
      </c>
      <c r="AC192" s="142" t="n">
        <f aca="false">AC149-SUM($C$191:AC191)</f>
        <v>-267.910373092168</v>
      </c>
      <c r="AD192" s="142" t="n">
        <f aca="false">AD149-SUM($C$191:AD191)</f>
        <v>-271.426558568399</v>
      </c>
      <c r="AE192" s="142" t="n">
        <f aca="false">AE149-SUM($C$191:AE191)</f>
        <v>-274.978880259307</v>
      </c>
      <c r="AF192" s="142" t="n">
        <f aca="false">AF149-SUM($C$191:AF191)</f>
        <v>-278.569702167135</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0.00501600000000003</v>
      </c>
      <c r="G194" s="142" t="n">
        <f aca="false">IF($C$165="Sí",MAX(0,MIN(IF($C$6="Sí",23_v67_Intermedio!G24,22_v67_Prudente!G24),(IF(G$39&lt;4,0,01_Supuestos!$I$21*01_Supuestos!$I$64/1000000000000*G42))*(G193-1))),0)</f>
        <v>0.00897599999999989</v>
      </c>
      <c r="H194" s="142" t="n">
        <f aca="false">IF($C$165="Sí",MAX(0,MIN(IF($C$6="Sí",23_v67_Intermedio!H24,22_v67_Prudente!H24),(IF(H$39&lt;4,0,01_Supuestos!$I$21*01_Supuestos!$I$64/1000000000000*H42))*(H193-1))),0)</f>
        <v>0.0141239999999999</v>
      </c>
      <c r="I194" s="142" t="n">
        <f aca="false">IF($C$165="Sí",MAX(0,MIN(IF($C$6="Sí",23_v67_Intermedio!I24,22_v67_Prudente!I24),(IF(I$39&lt;4,0,01_Supuestos!$I$21*01_Supuestos!$I$64/1000000000000*I42))*(I193-1))),0)</f>
        <v>0.0205920000000001</v>
      </c>
      <c r="J194" s="142" t="n">
        <f aca="false">IF($C$165="Sí",MAX(0,MIN(IF($C$6="Sí",23_v67_Intermedio!J24,22_v67_Prudente!J24),(IF(J$39&lt;4,0,01_Supuestos!$I$21*01_Supuestos!$I$64/1000000000000*J42))*(J193-1))),0)</f>
        <v>0.0282480000000001</v>
      </c>
      <c r="K194" s="142" t="n">
        <f aca="false">IF($C$165="Sí",MAX(0,MIN(IF($C$6="Sí",23_v67_Intermedio!K24,22_v67_Prudente!K24),(IF(K$39&lt;4,0,01_Supuestos!$I$21*01_Supuestos!$I$64/1000000000000*K42))*(K193-1))),0)</f>
        <v>0.0363000000000001</v>
      </c>
      <c r="L194" s="142" t="n">
        <f aca="false">IF($C$165="Sí",MAX(0,MIN(IF($C$6="Sí",23_v67_Intermedio!L24,22_v67_Prudente!L24),(IF(L$39&lt;4,0,01_Supuestos!$I$21*01_Supuestos!$I$64/1000000000000*L42))*(L193-1))),0)</f>
        <v>0.0446160000000001</v>
      </c>
      <c r="M194" s="142" t="n">
        <f aca="false">IF($C$165="Sí",MAX(0,MIN(IF($C$6="Sí",23_v67_Intermedio!M24,22_v67_Prudente!M24),(IF(M$39&lt;4,0,01_Supuestos!$I$21*01_Supuestos!$I$64/1000000000000*M42))*(M193-1))),0)</f>
        <v>0.053196</v>
      </c>
      <c r="N194" s="142" t="n">
        <f aca="false">IF($C$165="Sí",MAX(0,MIN(IF($C$6="Sí",23_v67_Intermedio!N24,22_v67_Prudente!N24),(IF(N$39&lt;4,0,01_Supuestos!$I$21*01_Supuestos!$I$64/1000000000000*N42))*(N193-1))),0)</f>
        <v>0.0620399999999999</v>
      </c>
      <c r="O194" s="142" t="n">
        <f aca="false">IF($C$165="Sí",MAX(0,MIN(IF($C$6="Sí",23_v67_Intermedio!O24,22_v67_Prudente!O24),(IF(O$39&lt;4,0,01_Supuestos!$I$21*01_Supuestos!$I$64/1000000000000*O42))*(O193-1))),0)</f>
        <v>0.0712800000000001</v>
      </c>
      <c r="P194" s="142" t="n">
        <f aca="false">IF($C$165="Sí",MAX(0,MIN(IF($C$6="Sí",23_v67_Intermedio!P24,22_v67_Prudente!P24),(IF(P$39&lt;4,0,01_Supuestos!$I$21*01_Supuestos!$I$64/1000000000000*P42))*(P193-1))),0)</f>
        <v>0.0807839999999999</v>
      </c>
      <c r="Q194" s="142" t="n">
        <f aca="false">IF($C$165="Sí",MAX(0,MIN(IF($C$6="Sí",23_v67_Intermedio!Q24,22_v67_Prudente!Q24),(IF(Q$39&lt;4,0,01_Supuestos!$I$21*01_Supuestos!$I$64/1000000000000*Q42))*(Q193-1))),0)</f>
        <v>0.090684</v>
      </c>
      <c r="R194" s="142" t="n">
        <f aca="false">IF($C$165="Sí",MAX(0,MIN(IF($C$6="Sí",23_v67_Intermedio!R24,22_v67_Prudente!R24),(IF(R$39&lt;4,0,01_Supuestos!$I$21*01_Supuestos!$I$64/1000000000000*R42))*(R193-1))),0)</f>
        <v>0.100848</v>
      </c>
      <c r="S194" s="142" t="n">
        <f aca="false">IF($C$165="Sí",MAX(0,MIN(IF($C$6="Sí",23_v67_Intermedio!S24,22_v67_Prudente!S24),(IF(S$39&lt;4,0,01_Supuestos!$I$21*01_Supuestos!$I$64/1000000000000*S42))*(S193-1))),0)</f>
        <v>0.111408</v>
      </c>
      <c r="T194" s="142" t="n">
        <f aca="false">IF($C$165="Sí",MAX(0,MIN(IF($C$6="Sí",23_v67_Intermedio!T24,22_v67_Prudente!T24),(IF(T$39&lt;4,0,01_Supuestos!$I$21*01_Supuestos!$I$64/1000000000000*T42))*(T193-1))),0)</f>
        <v>0.122364</v>
      </c>
      <c r="U194" s="142" t="n">
        <f aca="false">IF($C$165="Sí",MAX(0,MIN(IF($C$6="Sí",23_v67_Intermedio!U24,22_v67_Prudente!U24),(IF(U$39&lt;4,0,01_Supuestos!$I$21*01_Supuestos!$I$64/1000000000000*U42))*(U193-1))),0)</f>
        <v>0.133584</v>
      </c>
      <c r="V194" s="142" t="n">
        <f aca="false">IF($C$165="Sí",MAX(0,MIN(IF($C$6="Sí",23_v67_Intermedio!V24,22_v67_Prudente!V24),(IF(V$39&lt;4,0,01_Supuestos!$I$21*01_Supuestos!$I$64/1000000000000*V42))*(V193-1))),0)</f>
        <v>0.145332</v>
      </c>
      <c r="W194" s="142" t="n">
        <f aca="false">IF($C$165="Sí",MAX(0,MIN(IF($C$6="Sí",23_v67_Intermedio!W24,22_v67_Prudente!W24),(IF(W$39&lt;4,0,01_Supuestos!$I$21*01_Supuestos!$I$64/1000000000000*W42))*(W193-1))),0)</f>
        <v>0.157476</v>
      </c>
      <c r="X194" s="142" t="n">
        <f aca="false">IF($C$165="Sí",MAX(0,MIN(IF($C$6="Sí",23_v67_Intermedio!X24,22_v67_Prudente!X24),(IF(X$39&lt;4,0,01_Supuestos!$I$21*01_Supuestos!$I$64/1000000000000*X42))*(X193-1))),0)</f>
        <v>0.170016</v>
      </c>
      <c r="Y194" s="142" t="n">
        <f aca="false">IF($C$165="Sí",MAX(0,MIN(IF($C$6="Sí",23_v67_Intermedio!Y24,22_v67_Prudente!Y24),(IF(Y$39&lt;4,0,01_Supuestos!$I$21*01_Supuestos!$I$64/1000000000000*Y42))*(Y193-1))),0)</f>
        <v>0.182952</v>
      </c>
      <c r="Z194" s="142" t="n">
        <f aca="false">IF($C$165="Sí",MAX(0,MIN(IF($C$6="Sí",23_v67_Intermedio!Z24,22_v67_Prudente!Z24),(IF(Z$39&lt;4,0,01_Supuestos!$I$21*01_Supuestos!$I$64/1000000000000*Z42))*(Z193-1))),0)</f>
        <v>0.196416</v>
      </c>
      <c r="AA194" s="142" t="n">
        <f aca="false">IF($C$165="Sí",MAX(0,MIN(IF($C$6="Sí",23_v67_Intermedio!AA24,22_v67_Prudente!AA24),(IF(AA$39&lt;4,0,01_Supuestos!$I$21*01_Supuestos!$I$64/1000000000000*AA42))*(AA193-1))),0)</f>
        <v>0.210276</v>
      </c>
      <c r="AB194" s="142" t="n">
        <f aca="false">IF($C$165="Sí",MAX(0,MIN(IF($C$6="Sí",23_v67_Intermedio!AB24,22_v67_Prudente!AB24),(IF(AB$39&lt;4,0,01_Supuestos!$I$21*01_Supuestos!$I$64/1000000000000*AB42))*(AB193-1))),0)</f>
        <v>0.224664</v>
      </c>
      <c r="AC194" s="142" t="n">
        <f aca="false">IF($C$165="Sí",MAX(0,MIN(IF($C$6="Sí",23_v67_Intermedio!AC24,22_v67_Prudente!AC24),(IF(AC$39&lt;4,0,01_Supuestos!$I$21*01_Supuestos!$I$64/1000000000000*AC42))*(AC193-1))),0)</f>
        <v>0.23958</v>
      </c>
      <c r="AD194" s="142" t="n">
        <f aca="false">IF($C$165="Sí",MAX(0,MIN(IF($C$6="Sí",23_v67_Intermedio!AD24,22_v67_Prudente!AD24),(IF(AD$39&lt;4,0,01_Supuestos!$I$21*01_Supuestos!$I$64/1000000000000*AD42))*(AD193-1))),0)</f>
        <v>0.255024</v>
      </c>
      <c r="AE194" s="142" t="n">
        <f aca="false">IF($C$165="Sí",MAX(0,MIN(IF($C$6="Sí",23_v67_Intermedio!AE24,22_v67_Prudente!AE24),(IF(AE$39&lt;4,0,01_Supuestos!$I$21*01_Supuestos!$I$64/1000000000000*AE42))*(AE193-1))),0)</f>
        <v>0.270864</v>
      </c>
      <c r="AF194" s="142" t="n">
        <f aca="false">IF($C$165="Sí",MAX(0,MIN(IF($C$6="Sí",23_v67_Intermedio!AF24,22_v67_Prudente!AF24),(IF(AF$39&lt;4,0,01_Supuestos!$I$21*01_Supuestos!$I$64/1000000000000*AF42))*(AF193-1))),0)</f>
        <v>0.287364</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1346</v>
      </c>
      <c r="C221" s="116" t="n">
        <f aca="false">C112</f>
        <v>0.118288787723829</v>
      </c>
      <c r="D221" s="116" t="n">
        <f aca="false">D112</f>
        <v>0.194477540223313</v>
      </c>
      <c r="E221" s="116" t="n">
        <f aca="false">E112</f>
        <v>0.262221671615268</v>
      </c>
      <c r="F221" s="116" t="n">
        <f aca="false">F112</f>
        <v>0.545473119675601</v>
      </c>
      <c r="G221" s="116" t="n">
        <f aca="false">G112</f>
        <v>0.57057817627323</v>
      </c>
      <c r="H221" s="116" t="n">
        <f aca="false">H112</f>
        <v>0.59570821570086</v>
      </c>
      <c r="I221" s="116" t="n">
        <f aca="false">I112</f>
        <v>0.620861988816988</v>
      </c>
      <c r="J221" s="116" t="n">
        <f aca="false">J112</f>
        <v>0.646038308937192</v>
      </c>
      <c r="K221" s="116" t="n">
        <f aca="false">K112</f>
        <v>0.671236048711268</v>
      </c>
      <c r="L221" s="116" t="n">
        <f aca="false">L112</f>
        <v>0.69645413715652</v>
      </c>
      <c r="M221" s="116" t="n">
        <f aca="false">M112</f>
        <v>0.718090474987396</v>
      </c>
      <c r="N221" s="116" t="n">
        <f aca="false">N112</f>
        <v>0.737655466145981</v>
      </c>
      <c r="O221" s="116" t="n">
        <f aca="false">O112</f>
        <v>0.755916019846994</v>
      </c>
      <c r="P221" s="116" t="n">
        <f aca="false">P112</f>
        <v>0.769373498306185</v>
      </c>
      <c r="Q221" s="116" t="n">
        <f aca="false">Q112</f>
        <v>0.783378967243045</v>
      </c>
      <c r="R221" s="116" t="n">
        <f aca="false">R112</f>
        <v>0.797746922179727</v>
      </c>
      <c r="S221" s="116" t="n">
        <f aca="false">S112</f>
        <v>0.811832024790568</v>
      </c>
      <c r="T221" s="116" t="n">
        <f aca="false">T112</f>
        <v>0.825728959570223</v>
      </c>
      <c r="U221" s="116" t="n">
        <f aca="false">U112</f>
        <v>0.83945917188341</v>
      </c>
      <c r="V221" s="116" t="n">
        <f aca="false">V112</f>
        <v>0.85302653970494</v>
      </c>
      <c r="W221" s="116" t="n">
        <f aca="false">W112</f>
        <v>0.866169992959192</v>
      </c>
      <c r="X221" s="116" t="n">
        <f aca="false">X112</f>
        <v>0.878895989903941</v>
      </c>
      <c r="Y221" s="116" t="n">
        <f aca="false">Y112</f>
        <v>0.891366763629773</v>
      </c>
      <c r="Z221" s="116" t="n">
        <f aca="false">Z112</f>
        <v>0.903574595007443</v>
      </c>
      <c r="AA221" s="116" t="n">
        <f aca="false">AA112</f>
        <v>0.915511786759725</v>
      </c>
      <c r="AB221" s="116" t="n">
        <f aca="false">AB112</f>
        <v>0.927177450858919</v>
      </c>
      <c r="AC221" s="116" t="n">
        <f aca="false">AC112</f>
        <v>0.938570709300929</v>
      </c>
      <c r="AD221" s="116" t="n">
        <f aca="false">AD112</f>
        <v>0.949690692765569</v>
      </c>
      <c r="AE221" s="116" t="n">
        <f aca="false">AE112</f>
        <v>0.960536539330086</v>
      </c>
      <c r="AF221" s="116" t="n">
        <f aca="false">AF112</f>
        <v>0.971107393232778</v>
      </c>
    </row>
    <row r="222" customFormat="false" ht="14.25" hidden="false" customHeight="true" outlineLevel="0" collapsed="false">
      <c r="B222" s="1" t="s">
        <v>1218</v>
      </c>
      <c r="C222" s="87" t="n">
        <f aca="false">IF(C221&gt;0,C220/C221,0)</f>
        <v>0.779690291911077</v>
      </c>
      <c r="D222" s="87" t="n">
        <f aca="false">IF(D221&gt;0,D220/D221,0)</f>
        <v>1.20777960047155</v>
      </c>
      <c r="E222" s="87" t="n">
        <f aca="false">IF(E221&gt;0,E220/E221,0)</f>
        <v>1.58753747659019</v>
      </c>
      <c r="F222" s="87" t="n">
        <f aca="false">IF(F221&gt;0,F220/F221,0)</f>
        <v>1.45170196512618</v>
      </c>
      <c r="G222" s="87" t="n">
        <f aca="false">IF(G221&gt;0,G220/G221,0)</f>
        <v>2.00361664705631</v>
      </c>
      <c r="H222" s="87" t="n">
        <f aca="false">IF(H221&gt;0,H220/H221,0)</f>
        <v>2.47086652269859</v>
      </c>
      <c r="I222" s="87" t="n">
        <f aca="false">IF(I221&gt;0,I220/I221,0)</f>
        <v>2.8660354591115</v>
      </c>
      <c r="J222" s="87" t="n">
        <f aca="false">IF(J221&gt;0,J220/J221,0)</f>
        <v>3.19962148750406</v>
      </c>
      <c r="K222" s="87" t="n">
        <f aca="false">IF(K221&gt;0,K220/K221,0)</f>
        <v>3.48043168841404</v>
      </c>
      <c r="L222" s="87" t="n">
        <f aca="false">IF(L221&gt;0,L220/L221,0)</f>
        <v>3.715892140736</v>
      </c>
      <c r="M222" s="87" t="n">
        <f aca="false">IF(M221&gt;0,M220/M221,0)</f>
        <v>3.80347684196195</v>
      </c>
      <c r="N222" s="87" t="n">
        <f aca="false">IF(N221&gt;0,N220/N221,0)</f>
        <v>3.8078946800339</v>
      </c>
      <c r="O222" s="87" t="n">
        <f aca="false">IF(O221&gt;0,O220/O221,0)</f>
        <v>3.74861085193389</v>
      </c>
      <c r="P222" s="87" t="n">
        <f aca="false">IF(P221&gt;0,P220/P221,0)</f>
        <v>3.44551162319484</v>
      </c>
      <c r="Q222" s="87" t="n">
        <f aca="false">IF(Q221&gt;0,Q220/Q221,0)</f>
        <v>3.16567312547147</v>
      </c>
      <c r="R222" s="87" t="n">
        <f aca="false">IF(R221&gt;0,R220/R221,0)</f>
        <v>2.90817056014148</v>
      </c>
      <c r="S222" s="87" t="n">
        <f aca="false">IF(S221&gt;0,S220/S221,0)</f>
        <v>2.67341183531948</v>
      </c>
      <c r="T222" s="87" t="n">
        <f aca="false">IF(T221&gt;0,T220/T221,0)</f>
        <v>2.45890394569512</v>
      </c>
      <c r="U222" s="87" t="n">
        <f aca="false">IF(U221&gt;0,U220/U221,0)</f>
        <v>2.2626977034928</v>
      </c>
      <c r="V222" s="87" t="n">
        <f aca="false">IF(V221&gt;0,V220/V221,0)</f>
        <v>2.08310233550344</v>
      </c>
      <c r="W222" s="87" t="n">
        <f aca="false">IF(W221&gt;0,W220/W221,0)</f>
        <v>1.91918592295759</v>
      </c>
      <c r="X222" s="87" t="n">
        <f aca="false">IF(X221&gt;0,X220/X221,0)</f>
        <v>1.76941512493537</v>
      </c>
      <c r="Y222" s="87" t="n">
        <f aca="false">IF(Y221&gt;0,Y220/Y221,0)</f>
        <v>1.6321415324878</v>
      </c>
      <c r="Z222" s="87" t="n">
        <f aca="false">IF(Z221&gt;0,Z220/Z221,0)</f>
        <v>1.50625074791139</v>
      </c>
      <c r="AA222" s="87" t="n">
        <f aca="false">IF(AA221&gt;0,AA220/AA221,0)</f>
        <v>1.39073499158654</v>
      </c>
      <c r="AB222" s="87" t="n">
        <f aca="false">IF(AB221&gt;0,AB220/AB221,0)</f>
        <v>1.28467270064081</v>
      </c>
      <c r="AC222" s="87" t="n">
        <f aca="false">IF(AC221&gt;0,AC220/AC221,0)</f>
        <v>1.18723145430448</v>
      </c>
      <c r="AD222" s="87" t="n">
        <f aca="false">IF(AD221&gt;0,AD220/AD221,0)</f>
        <v>1.09765849706671</v>
      </c>
      <c r="AE222" s="87" t="n">
        <f aca="false">IF(AE221&gt;0,AE220/AE221,0)</f>
        <v>1.01527237564025</v>
      </c>
      <c r="AF222" s="87" t="n">
        <f aca="false">IF(AF221&gt;0,AF220/AF221,0)</f>
        <v>0.939455544839206</v>
      </c>
    </row>
    <row r="223" customFormat="false" ht="14.25" hidden="false" customHeight="true" outlineLevel="0" collapsed="false">
      <c r="B223" s="1" t="s">
        <v>1219</v>
      </c>
      <c r="C223" s="88" t="n">
        <f aca="false">C220-C221</f>
        <v>-0.0260601682936292</v>
      </c>
      <c r="D223" s="88" t="n">
        <f aca="false">D220-D221</f>
        <v>0.0404084656082906</v>
      </c>
      <c r="E223" s="88" t="n">
        <f aca="false">E220-E221</f>
        <v>0.154065059248095</v>
      </c>
      <c r="F223" s="88" t="n">
        <f aca="false">F220-F221</f>
        <v>0.246391280080977</v>
      </c>
      <c r="G223" s="88" t="n">
        <f aca="false">G220-G221</f>
        <v>0.572641756154843</v>
      </c>
      <c r="H223" s="88" t="n">
        <f aca="false">H220-H221</f>
        <v>0.876207271770902</v>
      </c>
      <c r="I223" s="88" t="n">
        <f aca="false">I220-I221</f>
        <v>1.15855048634699</v>
      </c>
      <c r="J223" s="88" t="n">
        <f aca="false">J220-J221</f>
        <v>1.42103974608903</v>
      </c>
      <c r="K223" s="88" t="n">
        <f aca="false">K220-K221</f>
        <v>1.66495516562926</v>
      </c>
      <c r="L223" s="88" t="n">
        <f aca="false">L220-L221</f>
        <v>1.89149431748647</v>
      </c>
      <c r="M223" s="88" t="n">
        <f aca="false">M220-M221</f>
        <v>2.01315001706062</v>
      </c>
      <c r="N223" s="88" t="n">
        <f aca="false">N220-N221</f>
        <v>2.07125885908923</v>
      </c>
      <c r="O223" s="88" t="n">
        <f aca="false">O220-O221</f>
        <v>2.07771897530212</v>
      </c>
      <c r="P223" s="88" t="n">
        <f aca="false">P220-P221</f>
        <v>1.88151183268585</v>
      </c>
      <c r="Q223" s="88" t="n">
        <f aca="false">Q220-Q221</f>
        <v>1.69654277641785</v>
      </c>
      <c r="R223" s="88" t="n">
        <f aca="false">R220-R221</f>
        <v>1.52223719134683</v>
      </c>
      <c r="S223" s="88" t="n">
        <f aca="false">S220-S221</f>
        <v>1.35852931857591</v>
      </c>
      <c r="T223" s="88" t="n">
        <f aca="false">T220-T221</f>
        <v>1.20465923719173</v>
      </c>
      <c r="U223" s="88" t="n">
        <f aca="false">U220-U221</f>
        <v>1.05998316851315</v>
      </c>
      <c r="V223" s="88" t="n">
        <f aca="false">V220-V221</f>
        <v>0.92391503740084</v>
      </c>
      <c r="W223" s="88" t="n">
        <f aca="false">W220-W221</f>
        <v>0.796171264416364</v>
      </c>
      <c r="X223" s="88" t="n">
        <f aca="false">X220-X221</f>
        <v>0.676235867877135</v>
      </c>
      <c r="Y223" s="88" t="n">
        <f aca="false">Y220-Y221</f>
        <v>0.563469951969619</v>
      </c>
      <c r="Z223" s="88" t="n">
        <f aca="false">Z220-Z221</f>
        <v>0.457435314516246</v>
      </c>
      <c r="AA223" s="88" t="n">
        <f aca="false">AA220-AA221</f>
        <v>0.357722490296936</v>
      </c>
      <c r="AB223" s="88" t="n">
        <f aca="false">AB220-AB221</f>
        <v>0.26394210890927</v>
      </c>
      <c r="AC223" s="88" t="n">
        <f aca="false">AC220-AC221</f>
        <v>0.175729958869996</v>
      </c>
      <c r="AD223" s="88" t="n">
        <f aca="false">AD220-AD221</f>
        <v>0.0927453657337312</v>
      </c>
      <c r="AE223" s="88" t="n">
        <f aca="false">AE220-AE221</f>
        <v>0.0146696748448367</v>
      </c>
      <c r="AF223" s="88" t="n">
        <f aca="false">AF220-AF221</f>
        <v>-0.0587951680258971</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0.00973376431700337</v>
      </c>
      <c r="D233" s="1" t="n">
        <f aca="false">IF(C81&gt;0,(D107+D109+D110+D184-D108-D229)/C81,0)</f>
        <v>0.0309418551614619</v>
      </c>
      <c r="E233" s="1" t="n">
        <f aca="false">IF(D81&gt;0,(E107+E109+E110+E184-E108-E229)/D81,0)</f>
        <v>0.0306358187158267</v>
      </c>
      <c r="F233" s="1" t="n">
        <f aca="false">IF(E81&gt;0,(F107+F109+F110+F184-F108-F229)/E81,0)</f>
        <v>0.0412294391217909</v>
      </c>
      <c r="G233" s="1" t="n">
        <f aca="false">IF(F81&gt;0,(G107+G109+G110+G184-G108-G229)/F81,0)</f>
        <v>0.0239826583135116</v>
      </c>
      <c r="H233" s="1" t="n">
        <f aca="false">IF(G81&gt;0,(H107+H109+H110+H184-H108-H229)/G81,0)</f>
        <v>0.0262103424653651</v>
      </c>
      <c r="I233" s="1" t="n">
        <f aca="false">IF(H81&gt;0,(I107+I109+I110+I184-I108-I229)/H81,0)</f>
        <v>0.0284247554094107</v>
      </c>
      <c r="J233" s="1" t="n">
        <f aca="false">IF(I81&gt;0,(J107+J109+J110+J184-J108-J229)/I81,0)</f>
        <v>0.0306382238024002</v>
      </c>
      <c r="K233" s="1" t="n">
        <f aca="false">IF(J81&gt;0,(K107+K109+K110+K184-K108-K229)/J81,0)</f>
        <v>0.0328221285940066</v>
      </c>
      <c r="L233" s="1" t="n">
        <f aca="false">IF(K81&gt;0,(L107+L109+L110+L184-L108-L229)/K81,0)</f>
        <v>0.0349832572989428</v>
      </c>
      <c r="M233" s="1" t="n">
        <f aca="false">IF(L81&gt;0,(M107+M109+M110+M184-M108-M229)/L81,0)</f>
        <v>0.0369178195930928</v>
      </c>
      <c r="N233" s="1" t="n">
        <f aca="false">IF(M81&gt;0,(N107+N109+N110+N184-N108-N229)/M81,0)</f>
        <v>0.0371292700252548</v>
      </c>
      <c r="O233" s="1" t="n">
        <f aca="false">IF(N81&gt;0,(O107+O109+O110+O184-O108-O229)/N81,0)</f>
        <v>0.037562784049247</v>
      </c>
      <c r="P233" s="1" t="n">
        <f aca="false">IF(O81&gt;0,(P107+P109+P110+P184-P108-P229)/O81,0)</f>
        <v>0.0382849685407513</v>
      </c>
      <c r="Q233" s="1" t="n">
        <f aca="false">IF(P81&gt;0,(Q107+Q109+Q110+Q184-Q108-Q229)/P81,0)</f>
        <v>0.0392184854658638</v>
      </c>
      <c r="R233" s="1" t="n">
        <f aca="false">IF(Q81&gt;0,(R107+R109+R110+R184-R108-R229)/Q81,0)</f>
        <v>0.039230755908473</v>
      </c>
      <c r="S233" s="1" t="n">
        <f aca="false">IF(R81&gt;0,(S107+S109+S110+S184-S108-S229)/R81,0)</f>
        <v>0.0393142928169176</v>
      </c>
      <c r="T233" s="1" t="n">
        <f aca="false">IF(S81&gt;0,(T107+T109+T110+T184-T108-T229)/S81,0)</f>
        <v>0.0394096253875748</v>
      </c>
      <c r="U233" s="1" t="n">
        <f aca="false">IF(T81&gt;0,(U107+U109+U110+U184-U108-U229)/T81,0)</f>
        <v>0.0394923106452463</v>
      </c>
      <c r="V233" s="1" t="n">
        <f aca="false">IF(U81&gt;0,(V107+V109+V110+V184-V108-V229)/U81,0)</f>
        <v>0.0395852137751855</v>
      </c>
      <c r="W233" s="1" t="n">
        <f aca="false">IF(V81&gt;0,(W107+W109+W110+W184-W108-W229)/V81,0)</f>
        <v>0.0395536937751618</v>
      </c>
      <c r="X233" s="1" t="n">
        <f aca="false">IF(W81&gt;0,(X107+X109+X110+X184-X108-X229)/W81,0)</f>
        <v>0.0395499629367345</v>
      </c>
      <c r="Y233" s="1" t="n">
        <f aca="false">IF(X81&gt;0,(Y107+Y109+Y110+Y184-Y108-Y229)/X81,0)</f>
        <v>0.0395569141073575</v>
      </c>
      <c r="Z233" s="1" t="n">
        <f aca="false">IF(Y81&gt;0,(Z107+Z109+Z110+Z184-Z108-Z229)/Y81,0)</f>
        <v>0.0395647678532906</v>
      </c>
      <c r="AA233" s="1" t="n">
        <f aca="false">IF(Z81&gt;0,(AA107+AA109+AA110+AA184-AA108-AA229)/Z81,0)</f>
        <v>0.0395777112859219</v>
      </c>
      <c r="AB233" s="1" t="n">
        <f aca="false">IF(AA81&gt;0,(AB107+AB109+AB110+AB184-AB108-AB229)/AA81,0)</f>
        <v>0.0395970570799949</v>
      </c>
      <c r="AC233" s="1" t="n">
        <f aca="false">IF(AB81&gt;0,(AC107+AC109+AC110+AC184-AC108-AC229)/AB81,0)</f>
        <v>0.0396234090387216</v>
      </c>
      <c r="AD233" s="1" t="n">
        <f aca="false">IF(AC81&gt;0,(AD107+AD109+AD110+AD184-AD108-AD229)/AC81,0)</f>
        <v>0.0396573564193126</v>
      </c>
      <c r="AE233" s="1" t="n">
        <f aca="false">IF(AD81&gt;0,(AE107+AE109+AE110+AE184-AE108-AE229)/AD81,0)</f>
        <v>0.0396994740944205</v>
      </c>
      <c r="AF233" s="1" t="n">
        <f aca="false">IF(AE81&gt;0,(AF107+AF109+AF110+AF184-AF108-AF229)/AE81,0)</f>
        <v>0.0397503413970461</v>
      </c>
    </row>
    <row r="234" customFormat="false" ht="14.25" hidden="false" customHeight="true" outlineLevel="0" collapsed="false">
      <c r="B234" s="1" t="s">
        <v>1230</v>
      </c>
      <c r="C234" s="1" t="n">
        <f aca="false">(C232+0)/2*C233</f>
        <v>0.00897731644816159</v>
      </c>
      <c r="D234" s="1" t="n">
        <f aca="false">(D232+C232)/2*D233</f>
        <v>0.101215333560466</v>
      </c>
      <c r="E234" s="1" t="n">
        <f aca="false">(E232+D232)/2*E233</f>
        <v>0.199492099140758</v>
      </c>
      <c r="F234" s="1" t="n">
        <f aca="false">(F232+E232)/2*F233</f>
        <v>0.498113934898178</v>
      </c>
      <c r="G234" s="1" t="n">
        <f aca="false">(G232+F232)/2*G233</f>
        <v>0.464084663466143</v>
      </c>
      <c r="H234" s="1" t="n">
        <f aca="false">(H232+G232)/2*H233</f>
        <v>0.685435949488809</v>
      </c>
      <c r="I234" s="1" t="n">
        <f aca="false">(I232+H232)/2*I233</f>
        <v>0.924182020936984</v>
      </c>
      <c r="J234" s="1" t="n">
        <f aca="false">(J232+I232)/2*J233</f>
        <v>1.1784963771778</v>
      </c>
      <c r="K234" s="1" t="n">
        <f aca="false">(K232+J232)/2*K233</f>
        <v>1.44524670193193</v>
      </c>
      <c r="L234" s="1" t="n">
        <f aca="false">(L232+K232)/2*L233</f>
        <v>1.72262445015981</v>
      </c>
      <c r="M234" s="1" t="n">
        <f aca="false">(M232+L232)/2*M233</f>
        <v>1.96372857915512</v>
      </c>
      <c r="N234" s="1" t="n">
        <f aca="false">(N232+M232)/2*N233</f>
        <v>2.05701904192625</v>
      </c>
      <c r="O234" s="1" t="n">
        <f aca="false">(O232+N232)/2*O233</f>
        <v>2.11949861608822</v>
      </c>
      <c r="P234" s="1" t="n">
        <f aca="false">(P232+O232)/2*P233</f>
        <v>2.09974688147425</v>
      </c>
      <c r="Q234" s="1" t="n">
        <f aca="false">(Q232+P232)/2*Q233</f>
        <v>2.01222482685427</v>
      </c>
      <c r="R234" s="1" t="n">
        <f aca="false">(R232+Q232)/2*R233</f>
        <v>1.88303935066971</v>
      </c>
      <c r="S234" s="1" t="n">
        <f aca="false">(S232+R232)/2*S233</f>
        <v>1.76534756141409</v>
      </c>
      <c r="T234" s="1" t="n">
        <f aca="false">(T232+S232)/2*T233</f>
        <v>1.65549965723488</v>
      </c>
      <c r="U234" s="1" t="n">
        <f aca="false">(U232+T232)/2*U233</f>
        <v>1.55198088356639</v>
      </c>
      <c r="V234" s="1" t="n">
        <f aca="false">(V232+U232)/2*V233</f>
        <v>1.45530443293984</v>
      </c>
      <c r="W234" s="1" t="n">
        <f aca="false">(W232+V232)/2*W233</f>
        <v>1.36036340041245</v>
      </c>
      <c r="X234" s="1" t="n">
        <f aca="false">(X232+W232)/2*X233</f>
        <v>1.27250942454384</v>
      </c>
      <c r="Y234" s="1" t="n">
        <f aca="false">(Y232+X232)/2*Y233</f>
        <v>1.19065068323057</v>
      </c>
      <c r="Z234" s="1" t="n">
        <f aca="false">(Z232+Y232)/2*Z233</f>
        <v>1.11408318033466</v>
      </c>
      <c r="AA234" s="1" t="n">
        <f aca="false">(AA232+Z232)/2*AA233</f>
        <v>1.04257355873095</v>
      </c>
      <c r="AB234" s="1" t="n">
        <f aca="false">(AB232+AA232)/2*AB233</f>
        <v>0.975811595420579</v>
      </c>
      <c r="AC234" s="1" t="n">
        <f aca="false">(AC232+AB232)/2*AC233</f>
        <v>0.913486086977743</v>
      </c>
      <c r="AD234" s="1" t="n">
        <f aca="false">(AD232+AC232)/2*AD233</f>
        <v>0.855304770721828</v>
      </c>
      <c r="AE234" s="1" t="n">
        <f aca="false">(AE232+AD232)/2*AE233</f>
        <v>0.800993371358381</v>
      </c>
      <c r="AF234" s="1" t="n">
        <f aca="false">(AF232+AE232)/2*AF233</f>
        <v>0.750295023586464</v>
      </c>
    </row>
    <row r="235" customFormat="false" ht="14.25" hidden="false" customHeight="true" outlineLevel="0" collapsed="false">
      <c r="B235" s="1" t="s">
        <v>1231</v>
      </c>
      <c r="C235" s="1" t="n">
        <f aca="false">MAX(0,MIN(C234,$C$231*C232))</f>
        <v>0.00897731644816159</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v>
      </c>
      <c r="D236" s="1" t="n">
        <f aca="false">MAX(0,D234-D235)</f>
        <v>0.0777267329773056</v>
      </c>
      <c r="E236" s="1" t="n">
        <f aca="false">MAX(0,E234-E235)</f>
        <v>0.157863426054421</v>
      </c>
      <c r="F236" s="1" t="n">
        <f aca="false">MAX(0,F234-F235)</f>
        <v>0.41892749492252</v>
      </c>
      <c r="G236" s="1" t="n">
        <f aca="false">MAX(0,G234-G235)</f>
        <v>0.349762670223335</v>
      </c>
      <c r="H236" s="1" t="n">
        <f aca="false">MAX(0,H234-H235)</f>
        <v>0.538244400741633</v>
      </c>
      <c r="I236" s="1" t="n">
        <f aca="false">MAX(0,I234-I235)</f>
        <v>0.746240773420587</v>
      </c>
      <c r="J236" s="1" t="n">
        <f aca="false">MAX(0,J234-J235)</f>
        <v>0.971788571675181</v>
      </c>
      <c r="K236" s="1" t="n">
        <f aca="false">MAX(0,K234-K235)</f>
        <v>1.21162758049788</v>
      </c>
      <c r="L236" s="1" t="n">
        <f aca="false">MAX(0,L234-L235)</f>
        <v>1.46382960469552</v>
      </c>
      <c r="M236" s="1" t="n">
        <f aca="false">MAX(0,M234-M235)</f>
        <v>1.69060452995032</v>
      </c>
      <c r="N236" s="1" t="n">
        <f aca="false">MAX(0,N234-N235)</f>
        <v>1.77612760940273</v>
      </c>
      <c r="O236" s="1" t="n">
        <f aca="false">MAX(0,O234-O235)</f>
        <v>1.83613511657331</v>
      </c>
      <c r="P236" s="1" t="n">
        <f aca="false">MAX(0,P234-P235)</f>
        <v>1.83465834837505</v>
      </c>
      <c r="Q236" s="1" t="n">
        <f aca="false">MAX(0,Q234-Q235)</f>
        <v>1.76423265248818</v>
      </c>
      <c r="R236" s="1" t="n">
        <f aca="false">MAX(0,R234-R235)</f>
        <v>1.65104093931705</v>
      </c>
      <c r="S236" s="1" t="n">
        <f aca="false">MAX(0,S234-S235)</f>
        <v>1.54831142707744</v>
      </c>
      <c r="T236" s="1" t="n">
        <f aca="false">MAX(0,T234-T235)</f>
        <v>1.45246083755869</v>
      </c>
      <c r="U236" s="1" t="n">
        <f aca="false">MAX(0,U234-U235)</f>
        <v>1.36203664952673</v>
      </c>
      <c r="V236" s="1" t="n">
        <f aca="false">MAX(0,V234-V235)</f>
        <v>1.27761027522926</v>
      </c>
      <c r="W236" s="1" t="n">
        <f aca="false">MAX(0,W234-W235)</f>
        <v>1.1941292746749</v>
      </c>
      <c r="X236" s="1" t="n">
        <f aca="false">MAX(0,X234-X235)</f>
        <v>1.11699623876574</v>
      </c>
      <c r="Y236" s="1" t="n">
        <f aca="false">MAX(0,Y234-Y235)</f>
        <v>1.04516701167063</v>
      </c>
      <c r="Z236" s="1" t="n">
        <f aca="false">MAX(0,Z234-Z235)</f>
        <v>0.977982189382295</v>
      </c>
      <c r="AA236" s="1" t="n">
        <f aca="false">MAX(0,AA234-AA235)</f>
        <v>0.915250131025287</v>
      </c>
      <c r="AB236" s="1" t="n">
        <f aca="false">MAX(0,AB234-AB235)</f>
        <v>0.856699639443761</v>
      </c>
      <c r="AC236" s="1" t="n">
        <f aca="false">MAX(0,AC234-AC235)</f>
        <v>0.802056020160651</v>
      </c>
      <c r="AD236" s="1" t="n">
        <f aca="false">MAX(0,AD234-AD235)</f>
        <v>0.751061164871898</v>
      </c>
      <c r="AE236" s="1" t="n">
        <f aca="false">MAX(0,AE234-AE235)</f>
        <v>0.703472749940888</v>
      </c>
      <c r="AF236" s="1" t="n">
        <f aca="false">MAX(0,AF234-AF235)</f>
        <v>0.659063801065776</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0.0758932154171799</v>
      </c>
      <c r="D238" s="1" t="n">
        <f aca="false">IF(D112&gt;0,D235/D112,0)</f>
        <v>0.120777960047155</v>
      </c>
      <c r="E238" s="1" t="n">
        <f aca="false">IF(E112&gt;0,E235/E112,0)</f>
        <v>0.158753747659019</v>
      </c>
      <c r="F238" s="1" t="n">
        <f aca="false">IF(F112&gt;0,F235/F112,0)</f>
        <v>0.145170196512618</v>
      </c>
      <c r="G238" s="1" t="n">
        <f aca="false">IF(G112&gt;0,G235/G112,0)</f>
        <v>0.200361664705631</v>
      </c>
      <c r="H238" s="1" t="n">
        <f aca="false">IF(H112&gt;0,H235/H112,0)</f>
        <v>0.247086652269859</v>
      </c>
      <c r="I238" s="1" t="n">
        <f aca="false">IF(I112&gt;0,I235/I112,0)</f>
        <v>0.28660354591115</v>
      </c>
      <c r="J238" s="1" t="n">
        <f aca="false">IF(J112&gt;0,J235/J112,0)</f>
        <v>0.319962148750406</v>
      </c>
      <c r="K238" s="1" t="n">
        <f aca="false">IF(K112&gt;0,K235/K112,0)</f>
        <v>0.348043168841404</v>
      </c>
      <c r="L238" s="1" t="n">
        <f aca="false">IF(L112&gt;0,L235/L112,0)</f>
        <v>0.3715892140736</v>
      </c>
      <c r="M238" s="1" t="n">
        <f aca="false">IF(M112&gt;0,M235/M112,0)</f>
        <v>0.380347684196195</v>
      </c>
      <c r="N238" s="1" t="n">
        <f aca="false">IF(N112&gt;0,N235/N112,0)</f>
        <v>0.38078946800339</v>
      </c>
      <c r="O238" s="1" t="n">
        <f aca="false">IF(O112&gt;0,O235/O112,0)</f>
        <v>0.374861085193389</v>
      </c>
      <c r="P238" s="1" t="n">
        <f aca="false">IF(P112&gt;0,P235/P112,0)</f>
        <v>0.344551162319483</v>
      </c>
      <c r="Q238" s="1" t="n">
        <f aca="false">IF(Q112&gt;0,Q235/Q112,0)</f>
        <v>0.316567312547147</v>
      </c>
      <c r="R238" s="1" t="n">
        <f aca="false">IF(R112&gt;0,R235/R112,0)</f>
        <v>0.290817056014148</v>
      </c>
      <c r="S238" s="1" t="n">
        <f aca="false">IF(S112&gt;0,S235/S112,0)</f>
        <v>0.267341183531948</v>
      </c>
      <c r="T238" s="1" t="n">
        <f aca="false">IF(T112&gt;0,T235/T112,0)</f>
        <v>0.245890394569512</v>
      </c>
      <c r="U238" s="1" t="n">
        <f aca="false">IF(U112&gt;0,U235/U112,0)</f>
        <v>0.226269770349279</v>
      </c>
      <c r="V238" s="1" t="n">
        <f aca="false">IF(V112&gt;0,V235/V112,0)</f>
        <v>0.208310233550344</v>
      </c>
      <c r="W238" s="1" t="n">
        <f aca="false">IF(W112&gt;0,W235/W112,0)</f>
        <v>0.191918592295759</v>
      </c>
      <c r="X238" s="1" t="n">
        <f aca="false">IF(X112&gt;0,X235/X112,0)</f>
        <v>0.176941512493537</v>
      </c>
      <c r="Y238" s="1" t="n">
        <f aca="false">IF(Y112&gt;0,Y235/Y112,0)</f>
        <v>0.16321415324878</v>
      </c>
      <c r="Z238" s="1" t="n">
        <f aca="false">IF(Z112&gt;0,Z235/Z112,0)</f>
        <v>0.150625074791139</v>
      </c>
      <c r="AA238" s="1" t="n">
        <f aca="false">IF(AA112&gt;0,AA235/AA112,0)</f>
        <v>0.139073499158654</v>
      </c>
      <c r="AB238" s="1" t="n">
        <f aca="false">IF(AB112&gt;0,AB235/AB112,0)</f>
        <v>0.128467270064081</v>
      </c>
      <c r="AC238" s="1" t="n">
        <f aca="false">IF(AC112&gt;0,AC235/AC112,0)</f>
        <v>0.118723145430448</v>
      </c>
      <c r="AD238" s="1" t="n">
        <f aca="false">IF(AD112&gt;0,AD235/AD112,0)</f>
        <v>0.109765849706671</v>
      </c>
      <c r="AE238" s="1" t="n">
        <f aca="false">IF(AE112&gt;0,AE235/AE112,0)</f>
        <v>0.101527237564025</v>
      </c>
      <c r="AF238" s="1" t="n">
        <f aca="false">IF(AF112&gt;0,AF235/AF112,0)</f>
        <v>0.0939455544839206</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v>
      </c>
      <c r="D243" s="1" t="n">
        <f aca="false">D236</f>
        <v>0.0777267329773056</v>
      </c>
      <c r="E243" s="1" t="n">
        <f aca="false">E236</f>
        <v>0.157863426054421</v>
      </c>
      <c r="F243" s="1" t="n">
        <f aca="false">F236</f>
        <v>0.41892749492252</v>
      </c>
      <c r="G243" s="1" t="n">
        <f aca="false">G236</f>
        <v>0.349762670223335</v>
      </c>
      <c r="H243" s="1" t="n">
        <f aca="false">H236</f>
        <v>0.538244400741633</v>
      </c>
      <c r="I243" s="1" t="n">
        <f aca="false">I236</f>
        <v>0.746240773420587</v>
      </c>
      <c r="J243" s="1" t="n">
        <f aca="false">J236</f>
        <v>0.971788571675181</v>
      </c>
      <c r="K243" s="1" t="n">
        <f aca="false">K236</f>
        <v>1.21162758049788</v>
      </c>
      <c r="L243" s="1" t="n">
        <f aca="false">L236</f>
        <v>1.46382960469552</v>
      </c>
      <c r="M243" s="1" t="n">
        <f aca="false">M236</f>
        <v>1.69060452995032</v>
      </c>
      <c r="N243" s="1" t="n">
        <f aca="false">N236</f>
        <v>1.77612760940273</v>
      </c>
      <c r="O243" s="1" t="n">
        <f aca="false">O236</f>
        <v>1.83613511657331</v>
      </c>
      <c r="P243" s="1" t="n">
        <f aca="false">P236</f>
        <v>1.83465834837505</v>
      </c>
      <c r="Q243" s="1" t="n">
        <f aca="false">Q236</f>
        <v>1.76423265248818</v>
      </c>
      <c r="R243" s="1" t="n">
        <f aca="false">R236</f>
        <v>1.65104093931705</v>
      </c>
      <c r="S243" s="1" t="n">
        <f aca="false">S236</f>
        <v>1.54831142707744</v>
      </c>
      <c r="T243" s="1" t="n">
        <f aca="false">T236</f>
        <v>1.45246083755869</v>
      </c>
      <c r="U243" s="1" t="n">
        <f aca="false">U236</f>
        <v>1.36203664952673</v>
      </c>
      <c r="V243" s="1" t="n">
        <f aca="false">V236</f>
        <v>1.27761027522926</v>
      </c>
      <c r="W243" s="1" t="n">
        <f aca="false">W236</f>
        <v>1.1941292746749</v>
      </c>
      <c r="X243" s="1" t="n">
        <f aca="false">X236</f>
        <v>1.11699623876574</v>
      </c>
      <c r="Y243" s="1" t="n">
        <f aca="false">Y236</f>
        <v>1.04516701167063</v>
      </c>
      <c r="Z243" s="1" t="n">
        <f aca="false">Z236</f>
        <v>0.977982189382295</v>
      </c>
      <c r="AA243" s="1" t="n">
        <f aca="false">AA236</f>
        <v>0.915250131025287</v>
      </c>
      <c r="AB243" s="1" t="n">
        <f aca="false">AB236</f>
        <v>0.856699639443761</v>
      </c>
      <c r="AC243" s="1" t="n">
        <f aca="false">AC236</f>
        <v>0.802056020160651</v>
      </c>
      <c r="AD243" s="1" t="n">
        <f aca="false">AD236</f>
        <v>0.751061164871898</v>
      </c>
      <c r="AE243" s="1" t="n">
        <f aca="false">AE236</f>
        <v>0.703472749940888</v>
      </c>
      <c r="AF243" s="1" t="n">
        <f aca="false">AF236</f>
        <v>0.659063801065776</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v>
      </c>
      <c r="D247" s="1" t="n">
        <f aca="false">MAX(0,C248+D243-D244-D245-D246)</f>
        <v>0.0777267329773056</v>
      </c>
      <c r="E247" s="1" t="n">
        <f aca="false">MAX(0,D248+E243-E244-E245-E246)</f>
        <v>0.235590159031727</v>
      </c>
      <c r="F247" s="1" t="n">
        <f aca="false">MAX(0,E248+F243-F244-F245-F246)</f>
        <v>0.654517653954247</v>
      </c>
      <c r="G247" s="1" t="n">
        <f aca="false">MAX(0,F248+G243-G244-G245-G246)</f>
        <v>1.00428032417758</v>
      </c>
      <c r="H247" s="1" t="n">
        <f aca="false">MAX(0,G248+H243-H244-H245-H246)</f>
        <v>1.54252472491921</v>
      </c>
      <c r="I247" s="1" t="n">
        <f aca="false">MAX(0,H248+I243-I244-I245-I246)</f>
        <v>2.2887654983398</v>
      </c>
      <c r="J247" s="1" t="n">
        <f aca="false">MAX(0,I248+J243-J244-J245-J246)</f>
        <v>3.26055407001498</v>
      </c>
      <c r="K247" s="1" t="n">
        <f aca="false">MAX(0,J248+K243-K244-K245-K246)</f>
        <v>4.47218165051286</v>
      </c>
      <c r="L247" s="1" t="n">
        <f aca="false">MAX(0,K248+L243-L244-L245-L246)</f>
        <v>5.93601125520838</v>
      </c>
      <c r="M247" s="1" t="n">
        <f aca="false">MAX(0,L248+M243-M244-M245-M246)</f>
        <v>7.62661578515869</v>
      </c>
      <c r="N247" s="1" t="n">
        <f aca="false">MAX(0,M248+N243-N244-N245-N246)</f>
        <v>9.40274339456143</v>
      </c>
      <c r="O247" s="1" t="n">
        <f aca="false">MAX(0,N248+O243-O244-O245-O246)</f>
        <v>11.2388785111347</v>
      </c>
      <c r="P247" s="1" t="n">
        <f aca="false">MAX(0,O248+P243-P244-P245-P246)</f>
        <v>13.0735368595098</v>
      </c>
      <c r="Q247" s="1" t="n">
        <f aca="false">MAX(0,P248+Q243-Q244-Q245-Q246)</f>
        <v>14.837769511998</v>
      </c>
      <c r="R247" s="1" t="n">
        <f aca="false">MAX(0,Q248+R243-R244-R245-R246)</f>
        <v>16.488810451315</v>
      </c>
      <c r="S247" s="1" t="n">
        <f aca="false">MAX(0,R248+S243-S244-S245-S246)</f>
        <v>18.0371218783925</v>
      </c>
      <c r="T247" s="1" t="n">
        <f aca="false">MAX(0,S248+T243-T244-T245-T246)</f>
        <v>19.4895827159511</v>
      </c>
      <c r="U247" s="1" t="n">
        <f aca="false">MAX(0,T248+U243-U244-U245-U246)</f>
        <v>20.8516193654779</v>
      </c>
      <c r="V247" s="1" t="n">
        <f aca="false">MAX(0,U248+V243-V244-V245-V246)</f>
        <v>22.1292296407071</v>
      </c>
      <c r="W247" s="1" t="n">
        <f aca="false">MAX(0,V248+W243-W244-W245-W246)</f>
        <v>23.323358915382</v>
      </c>
      <c r="X247" s="1" t="n">
        <f aca="false">MAX(0,W248+X243-X244-X245-X246)</f>
        <v>24.4403551541478</v>
      </c>
      <c r="Y247" s="1" t="n">
        <f aca="false">MAX(0,X248+Y243-Y244-Y245-Y246)</f>
        <v>25.4855221658184</v>
      </c>
      <c r="Z247" s="1" t="n">
        <f aca="false">MAX(0,Y248+Z243-Z244-Z245-Z246)</f>
        <v>26.4635043552007</v>
      </c>
      <c r="AA247" s="1" t="n">
        <f aca="false">MAX(0,Z248+AA243-AA244-AA245-AA246)</f>
        <v>27.378754486226</v>
      </c>
      <c r="AB247" s="1" t="n">
        <f aca="false">MAX(0,AA248+AB243-AB244-AB245-AB246)</f>
        <v>28.2354541256697</v>
      </c>
      <c r="AC247" s="1" t="n">
        <f aca="false">MAX(0,AB248+AC243-AC244-AC245-AC246)</f>
        <v>29.0375101458304</v>
      </c>
      <c r="AD247" s="1" t="n">
        <f aca="false">MAX(0,AC248+AD243-AD244-AD245-AD246)</f>
        <v>29.7885713107023</v>
      </c>
      <c r="AE247" s="1" t="n">
        <f aca="false">MAX(0,AD248+AE243-AE244-AE245-AE246)</f>
        <v>30.4920440606432</v>
      </c>
      <c r="AF247" s="1" t="n">
        <f aca="false">MAX(0,AE248+AF243-AF244-AF245-AF246)</f>
        <v>31.151107861709</v>
      </c>
    </row>
    <row r="248" customFormat="false" ht="14.25" hidden="false" customHeight="true" outlineLevel="0" collapsed="false">
      <c r="B248" s="1" t="s">
        <v>1244</v>
      </c>
      <c r="C248" s="1" t="n">
        <f aca="false">MIN(C247,MAX(0,C276))</f>
        <v>0</v>
      </c>
      <c r="D248" s="1" t="n">
        <f aca="false">MIN(D247,MAX(0,D276))</f>
        <v>0.0777267329773056</v>
      </c>
      <c r="E248" s="1" t="n">
        <f aca="false">MIN(E247,MAX(0,E276))</f>
        <v>0.235590159031727</v>
      </c>
      <c r="F248" s="1" t="n">
        <f aca="false">MIN(F247,MAX(0,F276))</f>
        <v>0.654517653954247</v>
      </c>
      <c r="G248" s="1" t="n">
        <f aca="false">MIN(G247,MAX(0,G276))</f>
        <v>1.00428032417758</v>
      </c>
      <c r="H248" s="1" t="n">
        <f aca="false">MIN(H247,MAX(0,H276))</f>
        <v>1.54252472491921</v>
      </c>
      <c r="I248" s="1" t="n">
        <f aca="false">MIN(I247,MAX(0,I276))</f>
        <v>2.2887654983398</v>
      </c>
      <c r="J248" s="1" t="n">
        <f aca="false">MIN(J247,MAX(0,J276))</f>
        <v>3.26055407001498</v>
      </c>
      <c r="K248" s="1" t="n">
        <f aca="false">MIN(K247,MAX(0,K276))</f>
        <v>4.47218165051286</v>
      </c>
      <c r="L248" s="1" t="n">
        <f aca="false">MIN(L247,MAX(0,L276))</f>
        <v>5.93601125520838</v>
      </c>
      <c r="M248" s="1" t="n">
        <f aca="false">MIN(M247,MAX(0,M276))</f>
        <v>7.62661578515869</v>
      </c>
      <c r="N248" s="1" t="n">
        <f aca="false">MIN(N247,MAX(0,N276))</f>
        <v>9.40274339456143</v>
      </c>
      <c r="O248" s="1" t="n">
        <f aca="false">MIN(O247,MAX(0,O276))</f>
        <v>11.2388785111347</v>
      </c>
      <c r="P248" s="1" t="n">
        <f aca="false">MIN(P247,MAX(0,P276))</f>
        <v>13.0735368595098</v>
      </c>
      <c r="Q248" s="1" t="n">
        <f aca="false">MIN(Q247,MAX(0,Q276))</f>
        <v>14.837769511998</v>
      </c>
      <c r="R248" s="1" t="n">
        <f aca="false">MIN(R247,MAX(0,R276))</f>
        <v>16.488810451315</v>
      </c>
      <c r="S248" s="1" t="n">
        <f aca="false">MIN(S247,MAX(0,S276))</f>
        <v>18.0371218783925</v>
      </c>
      <c r="T248" s="1" t="n">
        <f aca="false">MIN(T247,MAX(0,T276))</f>
        <v>19.4895827159511</v>
      </c>
      <c r="U248" s="1" t="n">
        <f aca="false">MIN(U247,MAX(0,U276))</f>
        <v>20.8516193654779</v>
      </c>
      <c r="V248" s="1" t="n">
        <f aca="false">MIN(V247,MAX(0,V276))</f>
        <v>22.1292296407071</v>
      </c>
      <c r="W248" s="1" t="n">
        <f aca="false">MIN(W247,MAX(0,W276))</f>
        <v>23.323358915382</v>
      </c>
      <c r="X248" s="1" t="n">
        <f aca="false">MIN(X247,MAX(0,X276))</f>
        <v>24.4403551541478</v>
      </c>
      <c r="Y248" s="1" t="n">
        <f aca="false">MIN(Y247,MAX(0,Y276))</f>
        <v>25.4855221658184</v>
      </c>
      <c r="Z248" s="1" t="n">
        <f aca="false">MIN(Z247,MAX(0,Z276))</f>
        <v>26.4635043552007</v>
      </c>
      <c r="AA248" s="1" t="n">
        <f aca="false">MIN(AA247,MAX(0,AA276))</f>
        <v>27.378754486226</v>
      </c>
      <c r="AB248" s="1" t="n">
        <f aca="false">MIN(AB247,MAX(0,AB276))</f>
        <v>28.2354541256697</v>
      </c>
      <c r="AC248" s="1" t="n">
        <f aca="false">MIN(AC247,MAX(0,AC276))</f>
        <v>29.0375101458304</v>
      </c>
      <c r="AD248" s="1" t="n">
        <f aca="false">MIN(AD247,MAX(0,AD276))</f>
        <v>29.7885713107023</v>
      </c>
      <c r="AE248" s="1" t="n">
        <f aca="false">MIN(AE247,MAX(0,AE276))</f>
        <v>30.4920440606432</v>
      </c>
      <c r="AF248" s="1" t="n">
        <f aca="false">MIN(AF247,MAX(0,AF276))</f>
        <v>31.151107861709</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19.0872874005064</v>
      </c>
      <c r="D250" s="1" t="n">
        <f aca="false">D120-D248</f>
        <v>35.0232280385075</v>
      </c>
      <c r="E250" s="1" t="n">
        <f aca="false">E120-E248</f>
        <v>52.3602382744489</v>
      </c>
      <c r="F250" s="1" t="n">
        <f aca="false">F120-F248</f>
        <v>59.3632534296127</v>
      </c>
      <c r="G250" s="1" t="n">
        <f aca="false">G120-G248</f>
        <v>69.3392024467141</v>
      </c>
      <c r="H250" s="1" t="n">
        <f aca="false">H120-H248</f>
        <v>80.3564530750995</v>
      </c>
      <c r="I250" s="1" t="n">
        <f aca="false">I120-I248</f>
        <v>92.4862631674358</v>
      </c>
      <c r="J250" s="1" t="n">
        <f aca="false">J120-J248</f>
        <v>105.441398703321</v>
      </c>
      <c r="K250" s="1" t="n">
        <f aca="false">K120-K248</f>
        <v>119.235928683777</v>
      </c>
      <c r="L250" s="1" t="n">
        <f aca="false">L120-L248</f>
        <v>133.888173780427</v>
      </c>
      <c r="M250" s="1" t="n">
        <f aca="false">M120-M248</f>
        <v>131.760623537733</v>
      </c>
      <c r="N250" s="1" t="n">
        <f aca="false">N120-N248</f>
        <v>130.453921292162</v>
      </c>
      <c r="O250" s="1" t="n">
        <f aca="false">O120-O248</f>
        <v>130.047291762128</v>
      </c>
      <c r="P250" s="1" t="n">
        <f aca="false">P120-P248</f>
        <v>129.287106854679</v>
      </c>
      <c r="Q250" s="1" t="n">
        <f aca="false">Q120-Q248</f>
        <v>128.429104473731</v>
      </c>
      <c r="R250" s="1" t="n">
        <f aca="false">R120-R248</f>
        <v>128.65106532881</v>
      </c>
      <c r="S250" s="1" t="n">
        <f aca="false">S120-S248</f>
        <v>128.737400980115</v>
      </c>
      <c r="T250" s="1" t="n">
        <f aca="false">T120-T248</f>
        <v>128.652785515338</v>
      </c>
      <c r="U250" s="1" t="n">
        <f aca="false">U120-U248</f>
        <v>128.662409905441</v>
      </c>
      <c r="V250" s="1" t="n">
        <f aca="false">V120-V248</f>
        <v>128.796804426213</v>
      </c>
      <c r="W250" s="1" t="n">
        <f aca="false">W120-W248</f>
        <v>129.169079942917</v>
      </c>
      <c r="X250" s="1" t="n">
        <f aca="false">X120-X248</f>
        <v>129.510723595611</v>
      </c>
      <c r="Y250" s="1" t="n">
        <f aca="false">Y120-Y248</f>
        <v>129.818444158176</v>
      </c>
      <c r="Z250" s="1" t="n">
        <f aca="false">Z120-Z248</f>
        <v>130.136950135524</v>
      </c>
      <c r="AA250" s="1" t="n">
        <f aca="false">AA120-AA248</f>
        <v>130.476326690184</v>
      </c>
      <c r="AB250" s="1" t="n">
        <f aca="false">AB120-AB248</f>
        <v>130.842071896673</v>
      </c>
      <c r="AC250" s="1" t="n">
        <f aca="false">AC120-AC248</f>
        <v>131.239989759663</v>
      </c>
      <c r="AD250" s="1" t="n">
        <f aca="false">AD120-AD248</f>
        <v>131.676204592898</v>
      </c>
      <c r="AE250" s="1" t="n">
        <f aca="false">AE120-AE248</f>
        <v>132.157174427544</v>
      </c>
      <c r="AF250" s="1" t="n">
        <f aca="false">AF120-AF248</f>
        <v>132.689712715394</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v>
      </c>
      <c r="D252" s="1" t="n">
        <f aca="false">IF(D120&gt;0,D248/D120,0)</f>
        <v>0.00221437660266863</v>
      </c>
      <c r="E252" s="1" t="n">
        <f aca="false">IF(E120&gt;0,E248/E120,0)</f>
        <v>0.00447925559970377</v>
      </c>
      <c r="F252" s="1" t="n">
        <f aca="false">IF(F120&gt;0,F248/F120,0)</f>
        <v>0.0109053975537165</v>
      </c>
      <c r="G252" s="1" t="n">
        <f aca="false">IF(G120&gt;0,G248/G120,0)</f>
        <v>0.0142768069566376</v>
      </c>
      <c r="H252" s="1" t="n">
        <f aca="false">IF(H120&gt;0,H248/H120,0)</f>
        <v>0.0188344808000627</v>
      </c>
      <c r="I252" s="1" t="n">
        <f aca="false">IF(I120&gt;0,I248/I120,0)</f>
        <v>0.0241494571994395</v>
      </c>
      <c r="J252" s="1" t="n">
        <f aca="false">IF(J120&gt;0,J248/J120,0)</f>
        <v>0.0299953587477297</v>
      </c>
      <c r="K252" s="1" t="n">
        <f aca="false">IF(K120&gt;0,K248/K120,0)</f>
        <v>0.0361510788454203</v>
      </c>
      <c r="L252" s="1" t="n">
        <f aca="false">IF(L120&gt;0,L248/L120,0)</f>
        <v>0.0424533942657741</v>
      </c>
      <c r="M252" s="1" t="n">
        <f aca="false">IF(M120&gt;0,M248/M120,0)</f>
        <v>0.0547153083898272</v>
      </c>
      <c r="N252" s="1" t="n">
        <f aca="false">IF(N120&gt;0,N248/N120,0)</f>
        <v>0.0672312857998107</v>
      </c>
      <c r="O252" s="1" t="n">
        <f aca="false">IF(O120&gt;0,O248/O120,0)</f>
        <v>0.0795469116998326</v>
      </c>
      <c r="P252" s="1" t="n">
        <f aca="false">IF(P120&gt;0,P248/P120,0)</f>
        <v>0.0918339262764008</v>
      </c>
      <c r="Q252" s="1" t="n">
        <f aca="false">IF(Q120&gt;0,Q248/Q120,0)</f>
        <v>0.103567343232993</v>
      </c>
      <c r="R252" s="1" t="n">
        <f aca="false">IF(R120&gt;0,R248/R120,0)</f>
        <v>0.11360634258978</v>
      </c>
      <c r="S252" s="1" t="n">
        <f aca="false">IF(S120&gt;0,S248/S120,0)</f>
        <v>0.122890005207378</v>
      </c>
      <c r="T252" s="1" t="n">
        <f aca="false">IF(T120&gt;0,T248/T120,0)</f>
        <v>0.131559816065063</v>
      </c>
      <c r="U252" s="1" t="n">
        <f aca="false">IF(U120&gt;0,U248/U120,0)</f>
        <v>0.139462627468187</v>
      </c>
      <c r="V252" s="1" t="n">
        <f aca="false">IF(V120&gt;0,V248/V120,0)</f>
        <v>0.146623011579931</v>
      </c>
      <c r="W252" s="1" t="n">
        <f aca="false">IF(W120&gt;0,W248/W120,0)</f>
        <v>0.152947641797865</v>
      </c>
      <c r="X252" s="1" t="n">
        <f aca="false">IF(X120&gt;0,X248/X120,0)</f>
        <v>0.158754036364205</v>
      </c>
      <c r="Y252" s="1" t="n">
        <f aca="false">IF(Y120&gt;0,Y248/Y120,0)</f>
        <v>0.164100909777479</v>
      </c>
      <c r="Z252" s="1" t="n">
        <f aca="false">IF(Z120&gt;0,Z248/Z120,0)</f>
        <v>0.16898740454657</v>
      </c>
      <c r="AA252" s="1" t="n">
        <f aca="false">IF(AA120&gt;0,AA248/AA120,0)</f>
        <v>0.173442338898354</v>
      </c>
      <c r="AB252" s="1" t="n">
        <f aca="false">IF(AB120&gt;0,AB248/AB120,0)</f>
        <v>0.177494928615524</v>
      </c>
      <c r="AC252" s="1" t="n">
        <f aca="false">IF(AC120&gt;0,AC248/AC120,0)</f>
        <v>0.181170221415684</v>
      </c>
      <c r="AD252" s="1" t="n">
        <f aca="false">IF(AD120&gt;0,AD248/AD120,0)</f>
        <v>0.184489596223061</v>
      </c>
      <c r="AE252" s="1" t="n">
        <f aca="false">IF(AE120&gt;0,AE248/AE120,0)</f>
        <v>0.187471199333539</v>
      </c>
      <c r="AF252" s="1" t="n">
        <f aca="false">IF(AF120&gt;0,AF248/AF120,0)</f>
        <v>0.190130321320317</v>
      </c>
    </row>
    <row r="253" customFormat="false" ht="14.25" hidden="false" customHeight="true" outlineLevel="0" collapsed="false">
      <c r="B253" s="1" t="s">
        <v>1249</v>
      </c>
    </row>
    <row r="254" customFormat="false" ht="14.25" hidden="false" customHeight="true" outlineLevel="0" collapsed="false">
      <c r="B254" s="1" t="s">
        <v>1250</v>
      </c>
      <c r="C254" s="116" t="n">
        <f aca="false">C112</f>
        <v>0.118288787723829</v>
      </c>
      <c r="D254" s="116" t="n">
        <f aca="false">D112</f>
        <v>0.194477540223313</v>
      </c>
      <c r="E254" s="116" t="n">
        <f aca="false">E112</f>
        <v>0.262221671615268</v>
      </c>
      <c r="F254" s="116" t="n">
        <f aca="false">F112</f>
        <v>0.545473119675601</v>
      </c>
      <c r="G254" s="116" t="n">
        <f aca="false">G112</f>
        <v>0.57057817627323</v>
      </c>
      <c r="H254" s="116" t="n">
        <f aca="false">H112</f>
        <v>0.59570821570086</v>
      </c>
      <c r="I254" s="116" t="n">
        <f aca="false">I112</f>
        <v>0.620861988816988</v>
      </c>
      <c r="J254" s="116" t="n">
        <f aca="false">J112</f>
        <v>0.646038308937192</v>
      </c>
      <c r="K254" s="116" t="n">
        <f aca="false">K112</f>
        <v>0.671236048711268</v>
      </c>
      <c r="L254" s="116" t="n">
        <f aca="false">L112</f>
        <v>0.69645413715652</v>
      </c>
      <c r="M254" s="116" t="n">
        <f aca="false">M112</f>
        <v>0.718090474987396</v>
      </c>
      <c r="N254" s="116" t="n">
        <f aca="false">N112</f>
        <v>0.737655466145981</v>
      </c>
      <c r="O254" s="116" t="n">
        <f aca="false">O112</f>
        <v>0.755916019846994</v>
      </c>
      <c r="P254" s="116" t="n">
        <f aca="false">P112</f>
        <v>0.769373498306185</v>
      </c>
      <c r="Q254" s="116" t="n">
        <f aca="false">Q112</f>
        <v>0.783378967243045</v>
      </c>
      <c r="R254" s="116" t="n">
        <f aca="false">R112</f>
        <v>0.797746922179727</v>
      </c>
      <c r="S254" s="116" t="n">
        <f aca="false">S112</f>
        <v>0.811832024790568</v>
      </c>
      <c r="T254" s="116" t="n">
        <f aca="false">T112</f>
        <v>0.825728959570223</v>
      </c>
      <c r="U254" s="116" t="n">
        <f aca="false">U112</f>
        <v>0.83945917188341</v>
      </c>
      <c r="V254" s="116" t="n">
        <f aca="false">V112</f>
        <v>0.85302653970494</v>
      </c>
      <c r="W254" s="116" t="n">
        <f aca="false">W112</f>
        <v>0.866169992959192</v>
      </c>
      <c r="X254" s="116" t="n">
        <f aca="false">X112</f>
        <v>0.878895989903941</v>
      </c>
      <c r="Y254" s="116" t="n">
        <f aca="false">Y112</f>
        <v>0.891366763629773</v>
      </c>
      <c r="Z254" s="116" t="n">
        <f aca="false">Z112</f>
        <v>0.903574595007443</v>
      </c>
      <c r="AA254" s="116" t="n">
        <f aca="false">AA112</f>
        <v>0.915511786759725</v>
      </c>
      <c r="AB254" s="116" t="n">
        <f aca="false">AB112</f>
        <v>0.927177450858919</v>
      </c>
      <c r="AC254" s="116" t="n">
        <f aca="false">AC112</f>
        <v>0.938570709300929</v>
      </c>
      <c r="AD254" s="116" t="n">
        <f aca="false">AD112</f>
        <v>0.949690692765569</v>
      </c>
      <c r="AE254" s="116" t="n">
        <f aca="false">AE112</f>
        <v>0.960536539330086</v>
      </c>
      <c r="AF254" s="116" t="n">
        <f aca="false">AF112</f>
        <v>0.971107393232778</v>
      </c>
    </row>
    <row r="255" customFormat="false" ht="14.25" hidden="false" customHeight="true" outlineLevel="0" collapsed="false">
      <c r="B255" s="1" t="s">
        <v>1251</v>
      </c>
      <c r="C255" s="1" t="n">
        <f aca="false">MIN(C235,C254)</f>
        <v>0.00897731644816159</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0.109311471275667</v>
      </c>
      <c r="D256" s="1" t="n">
        <f aca="false">MIN(D254-D255,MAX(0,D107-D108+D109+D110+D184-D229-D235))</f>
        <v>0.170988939640153</v>
      </c>
      <c r="E256" s="1" t="n">
        <f aca="false">MIN(E254-E255,MAX(0,E107-E108+E109+E110+E184-E229-E235))</f>
        <v>0.220592998528932</v>
      </c>
      <c r="F256" s="1" t="n">
        <f aca="false">MIN(F254-F255,MAX(0,F107-F108+F109+F110+F184-F229-F235))</f>
        <v>0.466286679699944</v>
      </c>
      <c r="G256" s="1" t="n">
        <f aca="false">MIN(G254-G255,MAX(0,G107-G108+G109+G110+G184-G229-G235))</f>
        <v>0.456256183030423</v>
      </c>
      <c r="H256" s="1" t="n">
        <f aca="false">MIN(H254-H255,MAX(0,H107-H108+H109+H110+H184-H229-H235))</f>
        <v>0.448516666953683</v>
      </c>
      <c r="I256" s="1" t="n">
        <f aca="false">MIN(I254-I255,MAX(0,I107-I108+I109+I110+I184-I229-I235))</f>
        <v>0.442920741300591</v>
      </c>
      <c r="J256" s="1" t="n">
        <f aca="false">MIN(J254-J255,MAX(0,J107-J108+J109+J110+J184-J229-J235))</f>
        <v>0.43933050343457</v>
      </c>
      <c r="K256" s="1" t="n">
        <f aca="false">MIN(K254-K255,MAX(0,K107-K108+K109+K110+K184-K229-K235))</f>
        <v>0.437616927277215</v>
      </c>
      <c r="L256" s="1" t="n">
        <f aca="false">MIN(L254-L255,MAX(0,L107-L108+L109+L110+L184-L229-L235))</f>
        <v>0.437659291692222</v>
      </c>
      <c r="M256" s="1" t="n">
        <f aca="false">MIN(M254-M255,MAX(0,M107-M108+M109+M110+M184-M229-M235))</f>
        <v>0.444966425782594</v>
      </c>
      <c r="N256" s="1" t="n">
        <f aca="false">MIN(N254-N255,MAX(0,N107-N108+N109+N110+N184-N229-N235))</f>
        <v>0.45676403362246</v>
      </c>
      <c r="O256" s="1" t="n">
        <f aca="false">MIN(O254-O255,MAX(0,O107-O108+O109+O110+O184-O229-O235))</f>
        <v>0.472552520332082</v>
      </c>
      <c r="P256" s="1" t="n">
        <f aca="false">MIN(P254-P255,MAX(0,P107-P108+P109+P110+P184-P229-P235))</f>
        <v>0.504284965206982</v>
      </c>
      <c r="Q256" s="1" t="n">
        <f aca="false">MIN(Q254-Q255,MAX(0,Q107-Q108+Q109+Q110+Q184-Q229-Q235))</f>
        <v>0.535386792876955</v>
      </c>
      <c r="R256" s="1" t="n">
        <f aca="false">MIN(R254-R255,MAX(0,R107-R108+R109+R110+R184-R229-R235))</f>
        <v>0.565748510827071</v>
      </c>
      <c r="S256" s="1" t="n">
        <f aca="false">MIN(S254-S255,MAX(0,S107-S108+S109+S110+S184-S229-S235))</f>
        <v>0.59479589045392</v>
      </c>
      <c r="T256" s="1" t="n">
        <f aca="false">MIN(T254-T255,MAX(0,T107-T108+T109+T110+T184-T229-T235))</f>
        <v>0.622690139894028</v>
      </c>
      <c r="U256" s="1" t="n">
        <f aca="false">MIN(U254-U255,MAX(0,U107-U108+U109+U110+U184-U229-U235))</f>
        <v>0.649514937843754</v>
      </c>
      <c r="V256" s="1" t="n">
        <f aca="false">MIN(V254-V255,MAX(0,V107-V108+V109+V110+V184-V229-V235))</f>
        <v>0.675332381994362</v>
      </c>
      <c r="W256" s="1" t="n">
        <f aca="false">MIN(W254-W255,MAX(0,W107-W108+W109+W110+W184-W229-W235))</f>
        <v>0.699935867221637</v>
      </c>
      <c r="X256" s="1" t="n">
        <f aca="false">MIN(X254-X255,MAX(0,X107-X108+X109+X110+X184-X229-X235))</f>
        <v>0.723382804125833</v>
      </c>
      <c r="Y256" s="1" t="n">
        <f aca="false">MIN(Y254-Y255,MAX(0,Y107-Y108+Y109+Y110+Y184-Y229-Y235))</f>
        <v>0.745883092069834</v>
      </c>
      <c r="Z256" s="1" t="n">
        <f aca="false">MIN(Z254-Z255,MAX(0,Z107-Z108+Z109+Z110+Z184-Z229-Z235))</f>
        <v>0.767473604055074</v>
      </c>
      <c r="AA256" s="1" t="n">
        <f aca="false">MIN(AA254-AA255,MAX(0,AA107-AA108+AA109+AA110+AA184-AA229-AA235))</f>
        <v>0.788188359054059</v>
      </c>
      <c r="AB256" s="1" t="n">
        <f aca="false">MIN(AB254-AB255,MAX(0,AB107-AB108+AB109+AB110+AB184-AB229-AB235))</f>
        <v>0.8080654948821</v>
      </c>
      <c r="AC256" s="1" t="n">
        <f aca="false">MIN(AC254-AC255,MAX(0,AC107-AC108+AC109+AC110+AC184-AC229-AC235))</f>
        <v>0.827140642483837</v>
      </c>
      <c r="AD256" s="1" t="n">
        <f aca="false">MIN(AD254-AD255,MAX(0,AD107-AD108+AD109+AD110+AD184-AD229-AD235))</f>
        <v>0.845447086915639</v>
      </c>
      <c r="AE256" s="1" t="n">
        <f aca="false">MIN(AE254-AE255,MAX(0,AE107-AE108+AE109+AE110+AE184-AE229-AE235))</f>
        <v>0.863015917912594</v>
      </c>
      <c r="AF256" s="1" t="n">
        <f aca="false">MIN(AF254-AF255,MAX(0,AF107-AF108+AF109+AF110+AF184-AF229-AF235))</f>
        <v>0.87987617071209</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17.2988399625579</v>
      </c>
      <c r="D261" s="1" t="n">
        <f aca="false">(D83-D326)+D181</f>
        <v>34.9771117069655</v>
      </c>
      <c r="E261" s="1" t="n">
        <f aca="false">(E83-E326)+E181</f>
        <v>53.3834374272829</v>
      </c>
      <c r="F261" s="1" t="n">
        <f aca="false">(F83-F326)+F181</f>
        <v>73.4908703934434</v>
      </c>
      <c r="G261" s="1" t="n">
        <f aca="false">(G83-G326)+G181</f>
        <v>92.6207487315235</v>
      </c>
      <c r="H261" s="1" t="n">
        <f aca="false">(H83-H326)+H181</f>
        <v>103.907740862016</v>
      </c>
      <c r="I261" s="1" t="n">
        <f aca="false">(I83-I326)+I181</f>
        <v>115.76703498894</v>
      </c>
      <c r="J261" s="1" t="n">
        <f aca="false">(J83-J326)+J181</f>
        <v>127.898004101118</v>
      </c>
      <c r="K261" s="1" t="n">
        <f aca="false">(K83-K326)+K181</f>
        <v>140.306894140748</v>
      </c>
      <c r="L261" s="1" t="n">
        <f aca="false">(L83-L326)+L181</f>
        <v>153.00009483582</v>
      </c>
      <c r="M261" s="1" t="n">
        <f aca="false">(M83-M326)+M181</f>
        <v>164.839026400822</v>
      </c>
      <c r="N261" s="1" t="n">
        <f aca="false">(N83-N326)+N181</f>
        <v>177.796038338054</v>
      </c>
      <c r="O261" s="1" t="n">
        <f aca="false">(O83-O326)+O181</f>
        <v>191.975606720555</v>
      </c>
      <c r="P261" s="1" t="n">
        <f aca="false">(P83-P326)+P181</f>
        <v>206.025227989956</v>
      </c>
      <c r="Q261" s="1" t="n">
        <f aca="false">(Q83-Q326)+Q181</f>
        <v>220.205065332303</v>
      </c>
      <c r="R261" s="1" t="n">
        <f aca="false">(R83-R326)+R181</f>
        <v>227.146021872928</v>
      </c>
      <c r="S261" s="1" t="n">
        <f aca="false">(S83-S326)+S181</f>
        <v>232.712846883418</v>
      </c>
      <c r="T261" s="1" t="n">
        <f aca="false">(T83-T326)+T181</f>
        <v>238.093731873826</v>
      </c>
      <c r="U261" s="1" t="n">
        <f aca="false">(U83-U326)+U181</f>
        <v>243.56139677963</v>
      </c>
      <c r="V261" s="1" t="n">
        <f aca="false">(V83-V326)+V181</f>
        <v>249.154292868884</v>
      </c>
      <c r="W261" s="1" t="n">
        <f aca="false">(W83-W326)+W181</f>
        <v>253.586287389102</v>
      </c>
      <c r="X261" s="1" t="n">
        <f aca="false">(X83-X326)+X181</f>
        <v>257.774038239038</v>
      </c>
      <c r="Y261" s="1" t="n">
        <f aca="false">(Y83-Y326)+Y181</f>
        <v>261.888785669419</v>
      </c>
      <c r="Z261" s="1" t="n">
        <f aca="false">(Z83-Z326)+Z181</f>
        <v>265.972231785923</v>
      </c>
      <c r="AA261" s="1" t="n">
        <f aca="false">(AA83-AA326)+AA181</f>
        <v>270.029924972549</v>
      </c>
      <c r="AB261" s="1" t="n">
        <f aca="false">(AB83-AB326)+AB181</f>
        <v>274.062454680085</v>
      </c>
      <c r="AC261" s="1" t="n">
        <f aca="false">(AC83-AC326)+AC181</f>
        <v>278.070418519224</v>
      </c>
      <c r="AD261" s="1" t="n">
        <f aca="false">(AD83-AD326)+AD181</f>
        <v>282.05442773183</v>
      </c>
      <c r="AE261" s="1" t="n">
        <f aca="false">(AE83-AE326)+AE181</f>
        <v>286.015133798989</v>
      </c>
      <c r="AF261" s="1" t="n">
        <f aca="false">(AF83-AF326)+AF181</f>
        <v>289.953175695889</v>
      </c>
    </row>
    <row r="262" customFormat="false" ht="14.25" hidden="false" customHeight="true" outlineLevel="0" collapsed="false">
      <c r="B262" s="1" t="s">
        <v>1257</v>
      </c>
      <c r="C262" s="1" t="n">
        <f aca="false">$C$260*C261</f>
        <v>0.864941998127893</v>
      </c>
      <c r="D262" s="1" t="n">
        <f aca="false">$C$260*D261</f>
        <v>1.74885558534827</v>
      </c>
      <c r="E262" s="1" t="n">
        <f aca="false">$C$260*E261</f>
        <v>2.66917187136415</v>
      </c>
      <c r="F262" s="1" t="n">
        <f aca="false">$C$260*F261</f>
        <v>3.67454351967217</v>
      </c>
      <c r="G262" s="1" t="n">
        <f aca="false">$C$260*G261</f>
        <v>4.63103743657618</v>
      </c>
      <c r="H262" s="1" t="n">
        <f aca="false">$C$260*H261</f>
        <v>5.1953870431008</v>
      </c>
      <c r="I262" s="1" t="n">
        <f aca="false">$C$260*I261</f>
        <v>5.78835174944699</v>
      </c>
      <c r="J262" s="1" t="n">
        <f aca="false">$C$260*J261</f>
        <v>6.39490020505591</v>
      </c>
      <c r="K262" s="1" t="n">
        <f aca="false">$C$260*K261</f>
        <v>7.01534470703741</v>
      </c>
      <c r="L262" s="1" t="n">
        <f aca="false">$C$260*L261</f>
        <v>7.65000474179102</v>
      </c>
      <c r="M262" s="1" t="n">
        <f aca="false">$C$260*M261</f>
        <v>8.24195132004108</v>
      </c>
      <c r="N262" s="1" t="n">
        <f aca="false">$C$260*N261</f>
        <v>8.88980191690268</v>
      </c>
      <c r="O262" s="1" t="n">
        <f aca="false">$C$260*O261</f>
        <v>9.59878033602776</v>
      </c>
      <c r="P262" s="1" t="n">
        <f aca="false">$C$260*P261</f>
        <v>10.3012613994978</v>
      </c>
      <c r="Q262" s="1" t="n">
        <f aca="false">$C$260*Q261</f>
        <v>11.0102532666152</v>
      </c>
      <c r="R262" s="1" t="n">
        <f aca="false">$C$260*R261</f>
        <v>11.3573010936464</v>
      </c>
      <c r="S262" s="1" t="n">
        <f aca="false">$C$260*S261</f>
        <v>11.6356423441709</v>
      </c>
      <c r="T262" s="1" t="n">
        <f aca="false">$C$260*T261</f>
        <v>11.9046865936913</v>
      </c>
      <c r="U262" s="1" t="n">
        <f aca="false">$C$260*U261</f>
        <v>12.1780698389815</v>
      </c>
      <c r="V262" s="1" t="n">
        <f aca="false">$C$260*V261</f>
        <v>12.4577146434442</v>
      </c>
      <c r="W262" s="1" t="n">
        <f aca="false">$C$260*W261</f>
        <v>12.6793143694551</v>
      </c>
      <c r="X262" s="1" t="n">
        <f aca="false">$C$260*X261</f>
        <v>12.8887019119519</v>
      </c>
      <c r="Y262" s="1" t="n">
        <f aca="false">$C$260*Y261</f>
        <v>13.094439283471</v>
      </c>
      <c r="Z262" s="1" t="n">
        <f aca="false">$C$260*Z261</f>
        <v>13.2986115892962</v>
      </c>
      <c r="AA262" s="1" t="n">
        <f aca="false">$C$260*AA261</f>
        <v>13.5014962486275</v>
      </c>
      <c r="AB262" s="1" t="n">
        <f aca="false">$C$260*AB261</f>
        <v>13.7031227340043</v>
      </c>
      <c r="AC262" s="1" t="n">
        <f aca="false">$C$260*AC261</f>
        <v>13.9035209259612</v>
      </c>
      <c r="AD262" s="1" t="n">
        <f aca="false">$C$260*AD261</f>
        <v>14.1027213865915</v>
      </c>
      <c r="AE262" s="1" t="n">
        <f aca="false">$C$260*AE261</f>
        <v>14.3007566899495</v>
      </c>
      <c r="AF262" s="1" t="n">
        <f aca="false">$C$260*AF261</f>
        <v>14.4976587847944</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24.087125368031</v>
      </c>
      <c r="G263" s="1" t="n">
        <f aca="false">MAX(0,(G70+F121-F227)*0.25/0.55)</f>
        <v>27.2752715234446</v>
      </c>
      <c r="H263" s="1" t="n">
        <f aca="false">MAX(0,(H70+G121-G227)*0.25/0.55)</f>
        <v>30.4634176788583</v>
      </c>
      <c r="I263" s="1" t="n">
        <f aca="false">MAX(0,(I70+H121-H227)*0.25/0.55)</f>
        <v>33.6515638342719</v>
      </c>
      <c r="J263" s="1" t="n">
        <f aca="false">MAX(0,(J70+I121-I227)*0.25/0.55)</f>
        <v>36.8397099896855</v>
      </c>
      <c r="K263" s="1" t="n">
        <f aca="false">MAX(0,(K70+J121-J227)*0.25/0.55)</f>
        <v>40.0278561450992</v>
      </c>
      <c r="L263" s="1" t="n">
        <f aca="false">MAX(0,(L70+K121-K227)*0.25/0.55)</f>
        <v>43.2160023005128</v>
      </c>
      <c r="M263" s="1" t="n">
        <f aca="false">MAX(0,(M70+L121-L227)*0.25/0.55)</f>
        <v>44.5108976746903</v>
      </c>
      <c r="N263" s="1" t="n">
        <f aca="false">MAX(0,(N70+M121-M227)*0.25/0.55)</f>
        <v>45.8116289999763</v>
      </c>
      <c r="O263" s="1" t="n">
        <f aca="false">MAX(0,(O70+N121-N227)*0.25/0.55)</f>
        <v>47.2122745236416</v>
      </c>
      <c r="P263" s="1" t="n">
        <f aca="false">MAX(0,(P70+O121-O227)*0.25/0.55)</f>
        <v>48.7267091797077</v>
      </c>
      <c r="Q263" s="1" t="n">
        <f aca="false">MAX(0,(Q70+P121-P227)*0.25/0.55)</f>
        <v>50.3050929420051</v>
      </c>
      <c r="R263" s="1" t="n">
        <f aca="false">MAX(0,(R70+Q121-Q227)*0.25/0.55)</f>
        <v>51.9529108134316</v>
      </c>
      <c r="S263" s="1" t="n">
        <f aca="false">MAX(0,(S70+R121-R227)*0.25/0.55)</f>
        <v>53.5257022548363</v>
      </c>
      <c r="T263" s="1" t="n">
        <f aca="false">MAX(0,(T70+S121-S227)*0.25/0.55)</f>
        <v>55.047196544734</v>
      </c>
      <c r="U263" s="1" t="n">
        <f aca="false">MAX(0,(U70+T121-T227)*0.25/0.55)</f>
        <v>56.5244190861077</v>
      </c>
      <c r="V263" s="1" t="n">
        <f aca="false">MAX(0,(V70+U121-U227)*0.25/0.55)</f>
        <v>57.9605287480445</v>
      </c>
      <c r="W263" s="1" t="n">
        <f aca="false">MAX(0,(W70+V121-V227)*0.25/0.55)</f>
        <v>59.3627840548649</v>
      </c>
      <c r="X263" s="1" t="n">
        <f aca="false">MAX(0,(X70+W121-W227)*0.25/0.55)</f>
        <v>60.7346816383409</v>
      </c>
      <c r="Y263" s="1" t="n">
        <f aca="false">MAX(0,(Y70+X121-X227)*0.25/0.55)</f>
        <v>62.1151189209137</v>
      </c>
      <c r="Z263" s="1" t="n">
        <f aca="false">MAX(0,(Z70+Y121-Y227)*0.25/0.55)</f>
        <v>63.5044297899613</v>
      </c>
      <c r="AA263" s="1" t="n">
        <f aca="false">MAX(0,(AA70+Z121-Z227)*0.25/0.55)</f>
        <v>64.9028914470862</v>
      </c>
      <c r="AB263" s="1" t="n">
        <f aca="false">MAX(0,(AB70+AA121-AA227)*0.25/0.55)</f>
        <v>66.3108445251077</v>
      </c>
      <c r="AC263" s="1" t="n">
        <f aca="false">MAX(0,(AC70+AB121-AB227)*0.25/0.55)</f>
        <v>67.7286332091833</v>
      </c>
      <c r="AD263" s="1" t="n">
        <f aca="false">MAX(0,(AD70+AC121-AC227)*0.25/0.55)</f>
        <v>69.1566053622068</v>
      </c>
      <c r="AE263" s="1" t="n">
        <f aca="false">MAX(0,(AE70+AD121-AD227)*0.25/0.55)</f>
        <v>70.595052654632</v>
      </c>
      <c r="AF263" s="1" t="n">
        <f aca="false">MAX(0,(AF70+AE121-AE227)*0.25/0.55)</f>
        <v>72.0443906988798</v>
      </c>
    </row>
    <row r="264" customFormat="false" ht="14.25" hidden="false" customHeight="true" outlineLevel="0" collapsed="false">
      <c r="B264" s="1" t="s">
        <v>1259</v>
      </c>
      <c r="C264" s="1" t="n">
        <f aca="false">MAX(0,C262-C263)</f>
        <v>0.828578361764256</v>
      </c>
      <c r="D264" s="1" t="n">
        <f aca="false">MAX(0,D262-D263)</f>
        <v>1.67484467625736</v>
      </c>
      <c r="E264" s="1" t="n">
        <f aca="false">MAX(0,E262-E263)</f>
        <v>2.55618474081869</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0.0207144590441064</v>
      </c>
      <c r="D265" s="1" t="n">
        <f aca="false">D264*MAX(0,$C$10-01_Supuestos!$I$134)</f>
        <v>0.0418711169064341</v>
      </c>
      <c r="E265" s="1" t="n">
        <f aca="false">E264*MAX(0,$C$10-01_Supuestos!$I$134)</f>
        <v>0.0639046185204673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23.785904948517</v>
      </c>
      <c r="D266" s="1" t="n">
        <f aca="false">IF(D263&gt;0,D262/D263,0)</f>
        <v>23.6297000919164</v>
      </c>
      <c r="E266" s="1" t="n">
        <f aca="false">IF(E263&gt;0,E262/E263,0)</f>
        <v>23.6236804889062</v>
      </c>
      <c r="F266" s="1" t="n">
        <f aca="false">IF(F263&gt;0,F262/F263,0)</f>
        <v>0.152552181446654</v>
      </c>
      <c r="G266" s="1" t="n">
        <f aca="false">IF(G263&gt;0,G262/G263,0)</f>
        <v>0.169788866541458</v>
      </c>
      <c r="H266" s="1" t="n">
        <f aca="false">IF(H263&gt;0,H262/H263,0)</f>
        <v>0.170545114073213</v>
      </c>
      <c r="I266" s="1" t="n">
        <f aca="false">IF(I263&gt;0,I262/I263,0)</f>
        <v>0.172008402877014</v>
      </c>
      <c r="J266" s="1" t="n">
        <f aca="false">IF(J263&gt;0,J262/J263,0)</f>
        <v>0.173587148401721</v>
      </c>
      <c r="K266" s="1" t="n">
        <f aca="false">IF(K263&gt;0,K262/K263,0)</f>
        <v>0.175261564886391</v>
      </c>
      <c r="L266" s="1" t="n">
        <f aca="false">IF(L263&gt;0,L262/L263,0)</f>
        <v>0.177017871495723</v>
      </c>
      <c r="M266" s="1" t="n">
        <f aca="false">IF(M263&gt;0,M262/M263,0)</f>
        <v>0.185167043367171</v>
      </c>
      <c r="N266" s="1" t="n">
        <f aca="false">IF(N263&gt;0,N262/N263,0)</f>
        <v>0.194051207323522</v>
      </c>
      <c r="O266" s="1" t="n">
        <f aca="false">IF(O263&gt;0,O262/O263,0)</f>
        <v>0.203311118408861</v>
      </c>
      <c r="P266" s="1" t="n">
        <f aca="false">IF(P263&gt;0,P262/P263,0)</f>
        <v>0.211408928961445</v>
      </c>
      <c r="Q266" s="1" t="n">
        <f aca="false">IF(Q263&gt;0,Q262/Q263,0)</f>
        <v>0.21886955420813</v>
      </c>
      <c r="R266" s="1" t="n">
        <f aca="false">IF(R263&gt;0,R262/R263,0)</f>
        <v>0.218607598993475</v>
      </c>
      <c r="S266" s="1" t="n">
        <f aca="false">IF(S263&gt;0,S262/S263,0)</f>
        <v>0.217384207100609</v>
      </c>
      <c r="T266" s="1" t="n">
        <f aca="false">IF(T263&gt;0,T262/T263,0)</f>
        <v>0.216263267540191</v>
      </c>
      <c r="U266" s="1" t="n">
        <f aca="false">IF(U263&gt;0,U262/U263,0)</f>
        <v>0.21544794331154</v>
      </c>
      <c r="V266" s="1" t="n">
        <f aca="false">IF(V263&gt;0,V262/V263,0)</f>
        <v>0.214934454749337</v>
      </c>
      <c r="W266" s="1" t="n">
        <f aca="false">IF(W263&gt;0,W262/W263,0)</f>
        <v>0.213590291818802</v>
      </c>
      <c r="X266" s="1" t="n">
        <f aca="false">IF(X263&gt;0,X262/X263,0)</f>
        <v>0.212213212686299</v>
      </c>
      <c r="Y266" s="1" t="n">
        <f aca="false">IF(Y263&gt;0,Y262/Y263,0)</f>
        <v>0.210809212168508</v>
      </c>
      <c r="Z266" s="1" t="n">
        <f aca="false">IF(Z263&gt;0,Z262/Z263,0)</f>
        <v>0.209412345458118</v>
      </c>
      <c r="AA266" s="1" t="n">
        <f aca="false">IF(AA263&gt;0,AA262/AA263,0)</f>
        <v>0.20802611328395</v>
      </c>
      <c r="AB266" s="1" t="n">
        <f aca="false">IF(AB263&gt;0,AB262/AB263,0)</f>
        <v>0.206649799623888</v>
      </c>
      <c r="AC266" s="1" t="n">
        <f aca="false">IF(AC263&gt;0,AC262/AC263,0)</f>
        <v>0.205282762506361</v>
      </c>
      <c r="AD266" s="1" t="n">
        <f aca="false">IF(AD263&gt;0,AD262/AD263,0)</f>
        <v>0.203924430829545</v>
      </c>
      <c r="AE266" s="1" t="n">
        <f aca="false">IF(AE263&gt;0,AE262/AE263,0)</f>
        <v>0.202574488610586</v>
      </c>
      <c r="AF266" s="1" t="n">
        <f aca="false">IF(AF263&gt;0,AF262/AF263,0)</f>
        <v>0.201232304752074</v>
      </c>
    </row>
    <row r="267" customFormat="false" ht="14.25" hidden="false" customHeight="true" outlineLevel="0" collapsed="false">
      <c r="B267" s="1" t="s">
        <v>1262</v>
      </c>
      <c r="C267" s="1" t="n">
        <f aca="false">C120-C264</f>
        <v>18.2587090387421</v>
      </c>
      <c r="D267" s="1" t="n">
        <f aca="false">D120-D264</f>
        <v>33.4261100952274</v>
      </c>
      <c r="E267" s="1" t="n">
        <f aca="false">E120-E264</f>
        <v>50.039643692662</v>
      </c>
      <c r="F267" s="1" t="n">
        <f aca="false">F120-F264</f>
        <v>60.017771083567</v>
      </c>
      <c r="G267" s="1" t="n">
        <f aca="false">G120-G264</f>
        <v>70.3434827708917</v>
      </c>
      <c r="H267" s="1" t="n">
        <f aca="false">H120-H264</f>
        <v>81.8989778000187</v>
      </c>
      <c r="I267" s="1" t="n">
        <f aca="false">I120-I264</f>
        <v>94.7750286657756</v>
      </c>
      <c r="J267" s="1" t="n">
        <f aca="false">J120-J264</f>
        <v>108.701952773336</v>
      </c>
      <c r="K267" s="1" t="n">
        <f aca="false">K120-K264</f>
        <v>123.70811033429</v>
      </c>
      <c r="L267" s="1" t="n">
        <f aca="false">L120-L264</f>
        <v>139.824185035635</v>
      </c>
      <c r="M267" s="1" t="n">
        <f aca="false">M120-M264</f>
        <v>139.387239322892</v>
      </c>
      <c r="N267" s="1" t="n">
        <f aca="false">N120-N264</f>
        <v>139.856664686724</v>
      </c>
      <c r="O267" s="1" t="n">
        <f aca="false">O120-O264</f>
        <v>141.286170273263</v>
      </c>
      <c r="P267" s="1" t="n">
        <f aca="false">P120-P264</f>
        <v>142.360643714189</v>
      </c>
      <c r="Q267" s="1" t="n">
        <f aca="false">Q120-Q264</f>
        <v>143.266873985729</v>
      </c>
      <c r="R267" s="1" t="n">
        <f aca="false">R120-R264</f>
        <v>145.139875780125</v>
      </c>
      <c r="S267" s="1" t="n">
        <f aca="false">S120-S264</f>
        <v>146.774522858507</v>
      </c>
      <c r="T267" s="1" t="n">
        <f aca="false">T120-T264</f>
        <v>148.142368231289</v>
      </c>
      <c r="U267" s="1" t="n">
        <f aca="false">U120-U264</f>
        <v>149.514029270919</v>
      </c>
      <c r="V267" s="1" t="n">
        <f aca="false">V120-V264</f>
        <v>150.92603406692</v>
      </c>
      <c r="W267" s="1" t="n">
        <f aca="false">W120-W264</f>
        <v>152.492438858299</v>
      </c>
      <c r="X267" s="1" t="n">
        <f aca="false">X120-X264</f>
        <v>153.951078749759</v>
      </c>
      <c r="Y267" s="1" t="n">
        <f aca="false">Y120-Y264</f>
        <v>155.303966323994</v>
      </c>
      <c r="Z267" s="1" t="n">
        <f aca="false">Z120-Z264</f>
        <v>156.600454490724</v>
      </c>
      <c r="AA267" s="1" t="n">
        <f aca="false">AA120-AA264</f>
        <v>157.85508117641</v>
      </c>
      <c r="AB267" s="1" t="n">
        <f aca="false">AB120-AB264</f>
        <v>159.077526022342</v>
      </c>
      <c r="AC267" s="1" t="n">
        <f aca="false">AC120-AC264</f>
        <v>160.277499905493</v>
      </c>
      <c r="AD267" s="1" t="n">
        <f aca="false">AD120-AD264</f>
        <v>161.4647759036</v>
      </c>
      <c r="AE267" s="1" t="n">
        <f aca="false">AE120-AE264</f>
        <v>162.649218488187</v>
      </c>
      <c r="AF267" s="1" t="n">
        <f aca="false">AF120-AF264</f>
        <v>163.840820577103</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0.864941998127893</v>
      </c>
      <c r="D270" s="1" t="n">
        <f aca="false">01_Supuestos!$C$173*D261</f>
        <v>1.74885558534827</v>
      </c>
      <c r="E270" s="1" t="n">
        <f aca="false">01_Supuestos!$C$173*E261</f>
        <v>2.66917187136415</v>
      </c>
      <c r="F270" s="1" t="n">
        <f aca="false">01_Supuestos!$C$173*F261</f>
        <v>3.67454351967217</v>
      </c>
      <c r="G270" s="1" t="n">
        <f aca="false">01_Supuestos!$C$173*G261</f>
        <v>4.63103743657618</v>
      </c>
      <c r="H270" s="1" t="n">
        <f aca="false">01_Supuestos!$C$173*H261</f>
        <v>5.1953870431008</v>
      </c>
      <c r="I270" s="1" t="n">
        <f aca="false">01_Supuestos!$C$173*I261</f>
        <v>5.78835174944699</v>
      </c>
      <c r="J270" s="1" t="n">
        <f aca="false">01_Supuestos!$C$173*J261</f>
        <v>6.39490020505591</v>
      </c>
      <c r="K270" s="1" t="n">
        <f aca="false">01_Supuestos!$C$173*K261</f>
        <v>7.01534470703741</v>
      </c>
      <c r="L270" s="1" t="n">
        <f aca="false">01_Supuestos!$C$173*L261</f>
        <v>7.65000474179102</v>
      </c>
      <c r="M270" s="1" t="n">
        <f aca="false">01_Supuestos!$C$173*M261</f>
        <v>8.24195132004108</v>
      </c>
      <c r="N270" s="1" t="n">
        <f aca="false">01_Supuestos!$C$173*N261</f>
        <v>8.88980191690268</v>
      </c>
      <c r="O270" s="1" t="n">
        <f aca="false">01_Supuestos!$C$173*O261</f>
        <v>9.59878033602776</v>
      </c>
      <c r="P270" s="1" t="n">
        <f aca="false">01_Supuestos!$C$173*P261</f>
        <v>10.3012613994978</v>
      </c>
      <c r="Q270" s="1" t="n">
        <f aca="false">01_Supuestos!$C$173*Q261</f>
        <v>11.0102532666152</v>
      </c>
      <c r="R270" s="1" t="n">
        <f aca="false">01_Supuestos!$C$173*R261</f>
        <v>11.3573010936464</v>
      </c>
      <c r="S270" s="1" t="n">
        <f aca="false">01_Supuestos!$C$173*S261</f>
        <v>11.6356423441709</v>
      </c>
      <c r="T270" s="1" t="n">
        <f aca="false">01_Supuestos!$C$173*T261</f>
        <v>11.9046865936913</v>
      </c>
      <c r="U270" s="1" t="n">
        <f aca="false">01_Supuestos!$C$173*U261</f>
        <v>12.1780698389815</v>
      </c>
      <c r="V270" s="1" t="n">
        <f aca="false">01_Supuestos!$C$173*V261</f>
        <v>12.4577146434442</v>
      </c>
      <c r="W270" s="1" t="n">
        <f aca="false">01_Supuestos!$C$173*W261</f>
        <v>12.6793143694551</v>
      </c>
      <c r="X270" s="1" t="n">
        <f aca="false">01_Supuestos!$C$173*X261</f>
        <v>12.8887019119519</v>
      </c>
      <c r="Y270" s="1" t="n">
        <f aca="false">01_Supuestos!$C$173*Y261</f>
        <v>13.094439283471</v>
      </c>
      <c r="Z270" s="1" t="n">
        <f aca="false">01_Supuestos!$C$173*Z261</f>
        <v>13.2986115892962</v>
      </c>
      <c r="AA270" s="1" t="n">
        <f aca="false">01_Supuestos!$C$173*AA261</f>
        <v>13.5014962486275</v>
      </c>
      <c r="AB270" s="1" t="n">
        <f aca="false">01_Supuestos!$C$173*AB261</f>
        <v>13.7031227340043</v>
      </c>
      <c r="AC270" s="1" t="n">
        <f aca="false">01_Supuestos!$C$173*AC261</f>
        <v>13.9035209259612</v>
      </c>
      <c r="AD270" s="1" t="n">
        <f aca="false">01_Supuestos!$C$173*AD261</f>
        <v>14.1027213865915</v>
      </c>
      <c r="AE270" s="1" t="n">
        <f aca="false">01_Supuestos!$C$173*AE261</f>
        <v>14.3007566899495</v>
      </c>
      <c r="AF270" s="1" t="n">
        <f aca="false">01_Supuestos!$C$173*AF261</f>
        <v>14.4976587847944</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3.67454351967217</v>
      </c>
      <c r="G271" s="1" t="n">
        <f aca="false">MIN(G270,G263)</f>
        <v>4.63103743657618</v>
      </c>
      <c r="H271" s="1" t="n">
        <f aca="false">MIN(H270,H263)</f>
        <v>5.1953870431008</v>
      </c>
      <c r="I271" s="1" t="n">
        <f aca="false">MIN(I270,I263)</f>
        <v>5.78835174944699</v>
      </c>
      <c r="J271" s="1" t="n">
        <f aca="false">MIN(J270,J263)</f>
        <v>6.39490020505591</v>
      </c>
      <c r="K271" s="1" t="n">
        <f aca="false">MIN(K270,K263)</f>
        <v>7.01534470703741</v>
      </c>
      <c r="L271" s="1" t="n">
        <f aca="false">MIN(L270,L263)</f>
        <v>7.65000474179102</v>
      </c>
      <c r="M271" s="1" t="n">
        <f aca="false">MIN(M270,M263)</f>
        <v>8.24195132004108</v>
      </c>
      <c r="N271" s="1" t="n">
        <f aca="false">MIN(N270,N263)</f>
        <v>8.88980191690268</v>
      </c>
      <c r="O271" s="1" t="n">
        <f aca="false">MIN(O270,O263)</f>
        <v>9.59878033602776</v>
      </c>
      <c r="P271" s="1" t="n">
        <f aca="false">MIN(P270,P263)</f>
        <v>10.3012613994978</v>
      </c>
      <c r="Q271" s="1" t="n">
        <f aca="false">MIN(Q270,Q263)</f>
        <v>11.0102532666152</v>
      </c>
      <c r="R271" s="1" t="n">
        <f aca="false">MIN(R270,R263)</f>
        <v>11.3573010936464</v>
      </c>
      <c r="S271" s="1" t="n">
        <f aca="false">MIN(S270,S263)</f>
        <v>11.6356423441709</v>
      </c>
      <c r="T271" s="1" t="n">
        <f aca="false">MIN(T270,T263)</f>
        <v>11.9046865936913</v>
      </c>
      <c r="U271" s="1" t="n">
        <f aca="false">MIN(U270,U263)</f>
        <v>12.1780698389815</v>
      </c>
      <c r="V271" s="1" t="n">
        <f aca="false">MIN(V270,V263)</f>
        <v>12.4577146434442</v>
      </c>
      <c r="W271" s="1" t="n">
        <f aca="false">MIN(W270,W263)</f>
        <v>12.6793143694551</v>
      </c>
      <c r="X271" s="1" t="n">
        <f aca="false">MIN(X270,X263)</f>
        <v>12.8887019119519</v>
      </c>
      <c r="Y271" s="1" t="n">
        <f aca="false">MIN(Y270,Y263)</f>
        <v>13.094439283471</v>
      </c>
      <c r="Z271" s="1" t="n">
        <f aca="false">MIN(Z270,Z263)</f>
        <v>13.2986115892962</v>
      </c>
      <c r="AA271" s="1" t="n">
        <f aca="false">MIN(AA270,AA263)</f>
        <v>13.5014962486275</v>
      </c>
      <c r="AB271" s="1" t="n">
        <f aca="false">MIN(AB270,AB263)</f>
        <v>13.7031227340043</v>
      </c>
      <c r="AC271" s="1" t="n">
        <f aca="false">MIN(AC270,AC263)</f>
        <v>13.9035209259612</v>
      </c>
      <c r="AD271" s="1" t="n">
        <f aca="false">MIN(AD270,AD263)</f>
        <v>14.1027213865915</v>
      </c>
      <c r="AE271" s="1" t="n">
        <f aca="false">MIN(AE270,AE263)</f>
        <v>14.3007566899495</v>
      </c>
      <c r="AF271" s="1" t="n">
        <f aca="false">MIN(AF270,AF263)</f>
        <v>14.4976587847944</v>
      </c>
    </row>
    <row r="272" customFormat="false" ht="14.25" hidden="false" customHeight="true" outlineLevel="0" collapsed="false">
      <c r="B272" s="1" t="s">
        <v>1267</v>
      </c>
      <c r="C272" s="1" t="n">
        <f aca="false">MIN(C270-C271,MAX(0,C120))</f>
        <v>0.828578361764256</v>
      </c>
      <c r="D272" s="1" t="n">
        <f aca="false">MIN(D270-D271,MAX(0,D120))</f>
        <v>1.67484467625736</v>
      </c>
      <c r="E272" s="1" t="n">
        <f aca="false">MIN(E270-E271,MAX(0,E120))</f>
        <v>2.55618474081869</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0.0174885558534827</v>
      </c>
      <c r="E274" s="1" t="n">
        <f aca="false">IF(01_Supuestos!$C$174="Sí",01_Supuestos!$C$172*E271,01_Supuestos!$I$134*(E271+MIN(MIN(E270-E271,MAX(0,D120)),E264))+$C$10*MAX(0,MIN(E270-E271,MAX(0,D120))-E264))</f>
        <v>0.0266917187136415</v>
      </c>
      <c r="F274" s="1" t="n">
        <f aca="false">IF(01_Supuestos!$C$174="Sí",01_Supuestos!$C$172*F271,01_Supuestos!$I$134*(F271+MIN(MIN(F270-F271,MAX(0,E120)),F264))+$C$10*MAX(0,MIN(F270-F271,MAX(0,E120))-F264))</f>
        <v>0.0367454351967217</v>
      </c>
      <c r="G274" s="1" t="n">
        <f aca="false">IF(01_Supuestos!$C$174="Sí",01_Supuestos!$C$172*G271,01_Supuestos!$I$134*(G271+MIN(MIN(G270-G271,MAX(0,F120)),G264))+$C$10*MAX(0,MIN(G270-G271,MAX(0,F120))-G264))</f>
        <v>0.0463103743657618</v>
      </c>
      <c r="H274" s="1" t="n">
        <f aca="false">IF(01_Supuestos!$C$174="Sí",01_Supuestos!$C$172*H271,01_Supuestos!$I$134*(H271+MIN(MIN(H270-H271,MAX(0,G120)),H264))+$C$10*MAX(0,MIN(H270-H271,MAX(0,G120))-H264))</f>
        <v>0.051953870431008</v>
      </c>
      <c r="I274" s="1" t="n">
        <f aca="false">IF(01_Supuestos!$C$174="Sí",01_Supuestos!$C$172*I271,01_Supuestos!$I$134*(I271+MIN(MIN(I270-I271,MAX(0,H120)),I264))+$C$10*MAX(0,MIN(I270-I271,MAX(0,H120))-I264))</f>
        <v>0.0578835174944699</v>
      </c>
      <c r="J274" s="1" t="n">
        <f aca="false">IF(01_Supuestos!$C$174="Sí",01_Supuestos!$C$172*J271,01_Supuestos!$I$134*(J271+MIN(MIN(J270-J271,MAX(0,I120)),J264))+$C$10*MAX(0,MIN(J270-J271,MAX(0,I120))-J264))</f>
        <v>0.0639490020505591</v>
      </c>
      <c r="K274" s="1" t="n">
        <f aca="false">IF(01_Supuestos!$C$174="Sí",01_Supuestos!$C$172*K271,01_Supuestos!$I$134*(K271+MIN(MIN(K270-K271,MAX(0,J120)),K264))+$C$10*MAX(0,MIN(K270-K271,MAX(0,J120))-K264))</f>
        <v>0.0701534470703741</v>
      </c>
      <c r="L274" s="1" t="n">
        <f aca="false">IF(01_Supuestos!$C$174="Sí",01_Supuestos!$C$172*L271,01_Supuestos!$I$134*(L271+MIN(MIN(L270-L271,MAX(0,K120)),L264))+$C$10*MAX(0,MIN(L270-L271,MAX(0,K120))-L264))</f>
        <v>0.0765000474179103</v>
      </c>
      <c r="M274" s="1" t="n">
        <f aca="false">IF(01_Supuestos!$C$174="Sí",01_Supuestos!$C$172*M271,01_Supuestos!$I$134*(M271+MIN(MIN(M270-M271,MAX(0,L120)),M264))+$C$10*MAX(0,MIN(M270-M271,MAX(0,L120))-M264))</f>
        <v>0.0824195132004108</v>
      </c>
      <c r="N274" s="1" t="n">
        <f aca="false">IF(01_Supuestos!$C$174="Sí",01_Supuestos!$C$172*N271,01_Supuestos!$I$134*(N271+MIN(MIN(N270-N271,MAX(0,M120)),N264))+$C$10*MAX(0,MIN(N270-N271,MAX(0,M120))-N264))</f>
        <v>0.0888980191690268</v>
      </c>
      <c r="O274" s="1" t="n">
        <f aca="false">IF(01_Supuestos!$C$174="Sí",01_Supuestos!$C$172*O271,01_Supuestos!$I$134*(O271+MIN(MIN(O270-O271,MAX(0,N120)),O264))+$C$10*MAX(0,MIN(O270-O271,MAX(0,N120))-O264))</f>
        <v>0.0959878033602776</v>
      </c>
      <c r="P274" s="1" t="n">
        <f aca="false">IF(01_Supuestos!$C$174="Sí",01_Supuestos!$C$172*P271,01_Supuestos!$I$134*(P271+MIN(MIN(P270-P271,MAX(0,O120)),P264))+$C$10*MAX(0,MIN(P270-P271,MAX(0,O120))-P264))</f>
        <v>0.103012613994978</v>
      </c>
      <c r="Q274" s="1" t="n">
        <f aca="false">IF(01_Supuestos!$C$174="Sí",01_Supuestos!$C$172*Q271,01_Supuestos!$I$134*(Q271+MIN(MIN(Q270-Q271,MAX(0,P120)),Q264))+$C$10*MAX(0,MIN(Q270-Q271,MAX(0,P120))-Q264))</f>
        <v>0.110102532666152</v>
      </c>
      <c r="R274" s="1" t="n">
        <f aca="false">IF(01_Supuestos!$C$174="Sí",01_Supuestos!$C$172*R271,01_Supuestos!$I$134*(R271+MIN(MIN(R270-R271,MAX(0,Q120)),R264))+$C$10*MAX(0,MIN(R270-R271,MAX(0,Q120))-R264))</f>
        <v>0.113573010936464</v>
      </c>
      <c r="S274" s="1" t="n">
        <f aca="false">IF(01_Supuestos!$C$174="Sí",01_Supuestos!$C$172*S271,01_Supuestos!$I$134*(S271+MIN(MIN(S270-S271,MAX(0,R120)),S264))+$C$10*MAX(0,MIN(S270-S271,MAX(0,R120))-S264))</f>
        <v>0.116356423441709</v>
      </c>
      <c r="T274" s="1" t="n">
        <f aca="false">IF(01_Supuestos!$C$174="Sí",01_Supuestos!$C$172*T271,01_Supuestos!$I$134*(T271+MIN(MIN(T270-T271,MAX(0,S120)),T264))+$C$10*MAX(0,MIN(T270-T271,MAX(0,S120))-T264))</f>
        <v>0.119046865936913</v>
      </c>
      <c r="U274" s="1" t="n">
        <f aca="false">IF(01_Supuestos!$C$174="Sí",01_Supuestos!$C$172*U271,01_Supuestos!$I$134*(U271+MIN(MIN(U270-U271,MAX(0,T120)),U264))+$C$10*MAX(0,MIN(U270-U271,MAX(0,T120))-U264))</f>
        <v>0.121780698389815</v>
      </c>
      <c r="V274" s="1" t="n">
        <f aca="false">IF(01_Supuestos!$C$174="Sí",01_Supuestos!$C$172*V271,01_Supuestos!$I$134*(V271+MIN(MIN(V270-V271,MAX(0,U120)),V264))+$C$10*MAX(0,MIN(V270-V271,MAX(0,U120))-V264))</f>
        <v>0.124577146434442</v>
      </c>
      <c r="W274" s="1" t="n">
        <f aca="false">IF(01_Supuestos!$C$174="Sí",01_Supuestos!$C$172*W271,01_Supuestos!$I$134*(W271+MIN(MIN(W270-W271,MAX(0,V120)),W264))+$C$10*MAX(0,MIN(W270-W271,MAX(0,V120))-W264))</f>
        <v>0.126793143694551</v>
      </c>
      <c r="X274" s="1" t="n">
        <f aca="false">IF(01_Supuestos!$C$174="Sí",01_Supuestos!$C$172*X271,01_Supuestos!$I$134*(X271+MIN(MIN(X270-X271,MAX(0,W120)),X264))+$C$10*MAX(0,MIN(X270-X271,MAX(0,W120))-X264))</f>
        <v>0.128887019119519</v>
      </c>
      <c r="Y274" s="1" t="n">
        <f aca="false">IF(01_Supuestos!$C$174="Sí",01_Supuestos!$C$172*Y271,01_Supuestos!$I$134*(Y271+MIN(MIN(Y270-Y271,MAX(0,X120)),Y264))+$C$10*MAX(0,MIN(Y270-Y271,MAX(0,X120))-Y264))</f>
        <v>0.13094439283471</v>
      </c>
      <c r="Z274" s="1" t="n">
        <f aca="false">IF(01_Supuestos!$C$174="Sí",01_Supuestos!$C$172*Z271,01_Supuestos!$I$134*(Z271+MIN(MIN(Z270-Z271,MAX(0,Y120)),Z264))+$C$10*MAX(0,MIN(Z270-Z271,MAX(0,Y120))-Z264))</f>
        <v>0.132986115892962</v>
      </c>
      <c r="AA274" s="1" t="n">
        <f aca="false">IF(01_Supuestos!$C$174="Sí",01_Supuestos!$C$172*AA271,01_Supuestos!$I$134*(AA271+MIN(MIN(AA270-AA271,MAX(0,Z120)),AA264))+$C$10*MAX(0,MIN(AA270-AA271,MAX(0,Z120))-AA264))</f>
        <v>0.135014962486275</v>
      </c>
      <c r="AB274" s="1" t="n">
        <f aca="false">IF(01_Supuestos!$C$174="Sí",01_Supuestos!$C$172*AB271,01_Supuestos!$I$134*(AB271+MIN(MIN(AB270-AB271,MAX(0,AA120)),AB264))+$C$10*MAX(0,MIN(AB270-AB271,MAX(0,AA120))-AB264))</f>
        <v>0.137031227340043</v>
      </c>
      <c r="AC274" s="1" t="n">
        <f aca="false">IF(01_Supuestos!$C$174="Sí",01_Supuestos!$C$172*AC271,01_Supuestos!$I$134*(AC271+MIN(MIN(AC270-AC271,MAX(0,AB120)),AC264))+$C$10*MAX(0,MIN(AC270-AC271,MAX(0,AB120))-AC264))</f>
        <v>0.139035209259612</v>
      </c>
      <c r="AD274" s="1" t="n">
        <f aca="false">IF(01_Supuestos!$C$174="Sí",01_Supuestos!$C$172*AD271,01_Supuestos!$I$134*(AD271+MIN(MIN(AD270-AD271,MAX(0,AC120)),AD264))+$C$10*MAX(0,MIN(AD270-AD271,MAX(0,AC120))-AD264))</f>
        <v>0.141027213865915</v>
      </c>
      <c r="AE274" s="1" t="n">
        <f aca="false">IF(01_Supuestos!$C$174="Sí",01_Supuestos!$C$172*AE271,01_Supuestos!$I$134*(AE271+MIN(MIN(AE270-AE271,MAX(0,AD120)),AE264))+$C$10*MAX(0,MIN(AE270-AE271,MAX(0,AD120))-AE264))</f>
        <v>0.143007566899495</v>
      </c>
      <c r="AF274" s="1" t="n">
        <f aca="false">IF(01_Supuestos!$C$174="Sí",01_Supuestos!$C$172*AF271,01_Supuestos!$I$134*(AF271+MIN(MIN(AF270-AF271,MAX(0,AE120)),AF264))+$C$10*MAX(0,MIN(AF270-AF271,MAX(0,AE120))-AF264))</f>
        <v>0.144976587847944</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18.2587090387421</v>
      </c>
      <c r="D276" s="1" t="n">
        <f aca="false">D120-MAX(D264,D272)</f>
        <v>33.4261100952274</v>
      </c>
      <c r="E276" s="1" t="n">
        <f aca="false">E120-MAX(E264,E272)</f>
        <v>50.039643692662</v>
      </c>
      <c r="F276" s="1" t="n">
        <f aca="false">F120-MAX(F264,F272)</f>
        <v>60.017771083567</v>
      </c>
      <c r="G276" s="1" t="n">
        <f aca="false">G120-MAX(G264,G272)</f>
        <v>70.3434827708917</v>
      </c>
      <c r="H276" s="1" t="n">
        <f aca="false">H120-MAX(H264,H272)</f>
        <v>81.8989778000187</v>
      </c>
      <c r="I276" s="1" t="n">
        <f aca="false">I120-MAX(I264,I272)</f>
        <v>94.7750286657756</v>
      </c>
      <c r="J276" s="1" t="n">
        <f aca="false">J120-MAX(J264,J272)</f>
        <v>108.701952773336</v>
      </c>
      <c r="K276" s="1" t="n">
        <f aca="false">K120-MAX(K264,K272)</f>
        <v>123.70811033429</v>
      </c>
      <c r="L276" s="1" t="n">
        <f aca="false">L120-MAX(L264,L272)</f>
        <v>139.824185035635</v>
      </c>
      <c r="M276" s="1" t="n">
        <f aca="false">M120-MAX(M264,M272)</f>
        <v>139.387239322892</v>
      </c>
      <c r="N276" s="1" t="n">
        <f aca="false">N120-MAX(N264,N272)</f>
        <v>139.856664686724</v>
      </c>
      <c r="O276" s="1" t="n">
        <f aca="false">O120-MAX(O264,O272)</f>
        <v>141.286170273263</v>
      </c>
      <c r="P276" s="1" t="n">
        <f aca="false">P120-MAX(P264,P272)</f>
        <v>142.360643714189</v>
      </c>
      <c r="Q276" s="1" t="n">
        <f aca="false">Q120-MAX(Q264,Q272)</f>
        <v>143.266873985729</v>
      </c>
      <c r="R276" s="1" t="n">
        <f aca="false">R120-MAX(R264,R272)</f>
        <v>145.139875780125</v>
      </c>
      <c r="S276" s="1" t="n">
        <f aca="false">S120-MAX(S264,S272)</f>
        <v>146.774522858507</v>
      </c>
      <c r="T276" s="1" t="n">
        <f aca="false">T120-MAX(T264,T272)</f>
        <v>148.142368231289</v>
      </c>
      <c r="U276" s="1" t="n">
        <f aca="false">U120-MAX(U264,U272)</f>
        <v>149.514029270919</v>
      </c>
      <c r="V276" s="1" t="n">
        <f aca="false">V120-MAX(V264,V272)</f>
        <v>150.92603406692</v>
      </c>
      <c r="W276" s="1" t="n">
        <f aca="false">W120-MAX(W264,W272)</f>
        <v>152.492438858299</v>
      </c>
      <c r="X276" s="1" t="n">
        <f aca="false">X120-MAX(X264,X272)</f>
        <v>153.951078749759</v>
      </c>
      <c r="Y276" s="1" t="n">
        <f aca="false">Y120-MAX(Y264,Y272)</f>
        <v>155.303966323994</v>
      </c>
      <c r="Z276" s="1" t="n">
        <f aca="false">Z120-MAX(Z264,Z272)</f>
        <v>156.600454490724</v>
      </c>
      <c r="AA276" s="1" t="n">
        <f aca="false">AA120-MAX(AA264,AA272)</f>
        <v>157.85508117641</v>
      </c>
      <c r="AB276" s="1" t="n">
        <f aca="false">AB120-MAX(AB264,AB272)</f>
        <v>159.077526022342</v>
      </c>
      <c r="AC276" s="1" t="n">
        <f aca="false">AC120-MAX(AC264,AC272)</f>
        <v>160.277499905493</v>
      </c>
      <c r="AD276" s="1" t="n">
        <f aca="false">AD120-MAX(AD264,AD272)</f>
        <v>161.4647759036</v>
      </c>
      <c r="AE276" s="1" t="n">
        <f aca="false">AE120-MAX(AE264,AE272)</f>
        <v>162.649218488187</v>
      </c>
      <c r="AF276" s="1" t="n">
        <f aca="false">AF120-MAX(AF264,AF272)</f>
        <v>163.840820577103</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0.909372549359519</v>
      </c>
      <c r="D284" s="1" t="n">
        <f aca="false">$C$279*D87</f>
        <v>2.96914173637251</v>
      </c>
      <c r="E284" s="1" t="n">
        <f aca="false">$C$279*E87</f>
        <v>5.33324906754524</v>
      </c>
      <c r="F284" s="1" t="n">
        <f aca="false">$C$279*F87</f>
        <v>2.36021098584659</v>
      </c>
      <c r="G284" s="1" t="n">
        <f aca="false">$C$279*G87</f>
        <v>5.98825463242479</v>
      </c>
      <c r="H284" s="1" t="n">
        <f aca="false">$C$279*H87</f>
        <v>9.71366460636227</v>
      </c>
      <c r="I284" s="1" t="n">
        <f aca="false">$C$279*I87</f>
        <v>13.5387262916024</v>
      </c>
      <c r="J284" s="1" t="n">
        <f aca="false">$C$279*J87</f>
        <v>17.4657753379984</v>
      </c>
      <c r="K284" s="1" t="n">
        <f aca="false">$C$279*K87</f>
        <v>21.4971989323257</v>
      </c>
      <c r="L284" s="1" t="n">
        <f aca="false">$C$279*L87</f>
        <v>25.6354370927818</v>
      </c>
      <c r="M284" s="1" t="n">
        <f aca="false">$C$279*M87</f>
        <v>34.0290958150806</v>
      </c>
      <c r="N284" s="1" t="n">
        <f aca="false">$C$279*N87</f>
        <v>41.4473886864204</v>
      </c>
      <c r="O284" s="1" t="n">
        <f aca="false">$C$279*O87</f>
        <v>46.2705405980285</v>
      </c>
      <c r="P284" s="1" t="n">
        <f aca="false">$C$279*P87</f>
        <v>51.2868883242405</v>
      </c>
      <c r="Q284" s="1" t="n">
        <f aca="false">$C$279*Q87</f>
        <v>56.4148561697039</v>
      </c>
      <c r="R284" s="1" t="n">
        <f aca="false">$C$279*R87</f>
        <v>58.2652696179007</v>
      </c>
      <c r="S284" s="1" t="n">
        <f aca="false">$C$279*S87</f>
        <v>59.6725142755513</v>
      </c>
      <c r="T284" s="1" t="n">
        <f aca="false">$C$279*T87</f>
        <v>61.1201915320898</v>
      </c>
      <c r="U284" s="1" t="n">
        <f aca="false">$C$279*U87</f>
        <v>62.6088254089995</v>
      </c>
      <c r="V284" s="1" t="n">
        <f aca="false">$C$279*V87</f>
        <v>64.1392364352321</v>
      </c>
      <c r="W284" s="1" t="n">
        <f aca="false">$C$279*W87</f>
        <v>65.1389472894991</v>
      </c>
      <c r="X284" s="1" t="n">
        <f aca="false">$C$279*X87</f>
        <v>66.0507519022461</v>
      </c>
      <c r="Y284" s="1" t="n">
        <f aca="false">$C$279*Y87</f>
        <v>66.9422833645382</v>
      </c>
      <c r="Z284" s="1" t="n">
        <f aca="false">$C$279*Z87</f>
        <v>67.8135715217349</v>
      </c>
      <c r="AA284" s="1" t="n">
        <f aca="false">$C$279*AA87</f>
        <v>68.6646558325544</v>
      </c>
      <c r="AB284" s="1" t="n">
        <f aca="false">$C$279*AB87</f>
        <v>69.4954622182212</v>
      </c>
      <c r="AC284" s="1" t="n">
        <f aca="false">$C$279*AC87</f>
        <v>70.3059180808497</v>
      </c>
      <c r="AD284" s="1" t="n">
        <f aca="false">$C$279*AD87</f>
        <v>71.0959522019113</v>
      </c>
      <c r="AE284" s="1" t="n">
        <f aca="false">$C$279*AE87</f>
        <v>71.8655027027611</v>
      </c>
      <c r="AF284" s="1" t="n">
        <f aca="false">$C$279*AF87</f>
        <v>72.6144927759697</v>
      </c>
    </row>
    <row r="285" customFormat="false" ht="14.25" hidden="false" customHeight="true" outlineLevel="0" collapsed="false">
      <c r="B285" s="84" t="s">
        <v>1280</v>
      </c>
      <c r="C285" s="1" t="n">
        <f aca="false">MAX(0/$C$280,0-C284)</f>
        <v>0</v>
      </c>
      <c r="D285" s="1" t="n">
        <f aca="false">MAX(C284*(1-$C$340)/$C$280,C284-D341-D284)</f>
        <v>0.0450139411932962</v>
      </c>
      <c r="E285" s="1" t="n">
        <f aca="false">MAX(D284*(1-$C$340)/$C$280,D284-E341-E284)</f>
        <v>0.146972515950439</v>
      </c>
      <c r="F285" s="1" t="n">
        <f aca="false">MAX(E284*(1-$C$340)/$C$280,E284-F341-F284)</f>
        <v>2.91970559102319</v>
      </c>
      <c r="G285" s="1" t="n">
        <f aca="false">MAX(F284*(1-$C$340)/$C$280,F284-G341-G284)</f>
        <v>0.116830443799406</v>
      </c>
      <c r="H285" s="1" t="n">
        <f aca="false">MAX(G284*(1-$C$340)/$C$280,G284-H341-H284)</f>
        <v>0.296418604305027</v>
      </c>
      <c r="I285" s="1" t="n">
        <f aca="false">MAX(H284*(1-$C$340)/$C$280,H284-I341-I284)</f>
        <v>0.480826398014932</v>
      </c>
      <c r="J285" s="1" t="n">
        <f aca="false">MAX(I284*(1-$C$340)/$C$280,I284-J341-J284)</f>
        <v>0.670166951434317</v>
      </c>
      <c r="K285" s="1" t="n">
        <f aca="false">MAX(J284*(1-$C$340)/$C$280,J284-K341-K284)</f>
        <v>0.864555879230921</v>
      </c>
      <c r="L285" s="1" t="n">
        <f aca="false">MAX(K284*(1-$C$340)/$C$280,K284-L341-L284)</f>
        <v>1.06411134715012</v>
      </c>
      <c r="M285" s="1" t="n">
        <f aca="false">MAX(L284*(1-$C$340)/$C$280,L284-M341-M284)</f>
        <v>1.2689541360927</v>
      </c>
      <c r="N285" s="1" t="n">
        <f aca="false">MAX(M284*(1-$C$340)/$C$280,M284-N341-N284)</f>
        <v>1.68444024284649</v>
      </c>
      <c r="O285" s="1" t="n">
        <f aca="false">MAX(N284*(1-$C$340)/$C$280,N284-O341-O284)</f>
        <v>2.05164573997781</v>
      </c>
      <c r="P285" s="1" t="n">
        <f aca="false">MAX(O284*(1-$C$340)/$C$280,O284-P341-P284)</f>
        <v>2.29039175960241</v>
      </c>
      <c r="Q285" s="1" t="n">
        <f aca="false">MAX(P284*(1-$C$340)/$C$280,P284-Q341-Q284)</f>
        <v>2.5387009720499</v>
      </c>
      <c r="R285" s="1" t="n">
        <f aca="false">MAX(Q284*(1-$C$340)/$C$280,Q284-R341-R284)</f>
        <v>2.79253538040034</v>
      </c>
      <c r="S285" s="1" t="n">
        <f aca="false">MAX(R284*(1-$C$340)/$C$280,R284-S341-S284)</f>
        <v>2.88413084608608</v>
      </c>
      <c r="T285" s="1" t="n">
        <f aca="false">MAX(S284*(1-$C$340)/$C$280,S284-T341-T284)</f>
        <v>2.95378945663979</v>
      </c>
      <c r="U285" s="1" t="n">
        <f aca="false">MAX(T284*(1-$C$340)/$C$280,T284-U341-U284)</f>
        <v>3.02544948083844</v>
      </c>
      <c r="V285" s="1" t="n">
        <f aca="false">MAX(U284*(1-$C$340)/$C$280,U284-V341-V284)</f>
        <v>3.09913685774547</v>
      </c>
      <c r="W285" s="1" t="n">
        <f aca="false">MAX(V284*(1-$C$340)/$C$280,V284-W341-W284)</f>
        <v>3.17489220354399</v>
      </c>
      <c r="X285" s="1" t="n">
        <f aca="false">MAX(W284*(1-$C$340)/$C$280,W284-X341-X284)</f>
        <v>3.2243778908302</v>
      </c>
      <c r="Y285" s="1" t="n">
        <f aca="false">MAX(X284*(1-$C$340)/$C$280,X284-Y341-Y284)</f>
        <v>3.26951221916118</v>
      </c>
      <c r="Z285" s="1" t="n">
        <f aca="false">MAX(Y284*(1-$C$340)/$C$280,Y284-Z341-Z284)</f>
        <v>3.31364302654464</v>
      </c>
      <c r="AA285" s="1" t="n">
        <f aca="false">MAX(Z284*(1-$C$340)/$C$280,Z284-AA341-AA284)</f>
        <v>3.35677179032588</v>
      </c>
      <c r="AB285" s="1" t="n">
        <f aca="false">MAX(AA284*(1-$C$340)/$C$280,AA284-AB341-AB284)</f>
        <v>3.39890046371144</v>
      </c>
      <c r="AC285" s="1" t="n">
        <f aca="false">MAX(AB284*(1-$C$340)/$C$280,AB284-AC341-AC284)</f>
        <v>3.44002537980195</v>
      </c>
      <c r="AD285" s="1" t="n">
        <f aca="false">MAX(AC284*(1-$C$340)/$C$280,AC284-AD341-AD284)</f>
        <v>3.48014294500206</v>
      </c>
      <c r="AE285" s="1" t="n">
        <f aca="false">MAX(AD284*(1-$C$340)/$C$280,AD284-AE341-AE284)</f>
        <v>3.51924963399461</v>
      </c>
      <c r="AF285" s="1" t="n">
        <f aca="false">MAX(AE284*(1-$C$340)/$C$280,AE284-AF341-AF284)</f>
        <v>3.55734238378667</v>
      </c>
    </row>
    <row r="286" customFormat="false" ht="14.25" hidden="false" customHeight="true" outlineLevel="0" collapsed="false">
      <c r="B286" s="84" t="s">
        <v>1281</v>
      </c>
      <c r="C286" s="1" t="n">
        <f aca="false">C284-0+C285</f>
        <v>0.909372549359519</v>
      </c>
      <c r="D286" s="1" t="n">
        <f aca="false">D284-C284+D285+D341</f>
        <v>2.11387685369988</v>
      </c>
      <c r="E286" s="1" t="n">
        <f aca="false">E284-D284+E285+E341</f>
        <v>2.5407712644869</v>
      </c>
      <c r="F286" s="1" t="n">
        <f aca="false">F284-E284+F285+F341</f>
        <v>0</v>
      </c>
      <c r="G286" s="1" t="n">
        <f aca="false">G284-F284+G285+G341</f>
        <v>3.76847620023607</v>
      </c>
      <c r="H286" s="1" t="n">
        <f aca="false">H284-G284+H285+H341</f>
        <v>4.08171112456676</v>
      </c>
      <c r="I286" s="1" t="n">
        <f aca="false">I284-H284+I285+I341</f>
        <v>4.40302472931865</v>
      </c>
      <c r="J286" s="1" t="n">
        <f aca="false">J284-I284+J285+J341</f>
        <v>4.73260326074639</v>
      </c>
      <c r="K286" s="1" t="n">
        <f aca="false">K284-J284+K285+K341</f>
        <v>5.07063722693817</v>
      </c>
      <c r="L286" s="1" t="n">
        <f aca="false">L284-K284+L285+L341</f>
        <v>5.41732149692954</v>
      </c>
      <c r="M286" s="1" t="n">
        <f aca="false">M284-L284+M285+M341</f>
        <v>9.91896722931928</v>
      </c>
      <c r="N286" s="1" t="n">
        <f aca="false">N284-M284+N285+N341</f>
        <v>9.44302407233713</v>
      </c>
      <c r="O286" s="1" t="n">
        <f aca="false">O284-N284+O285+O341</f>
        <v>7.28927153845011</v>
      </c>
      <c r="P286" s="1" t="n">
        <f aca="false">P284-O284+P285+P341</f>
        <v>7.76944489179466</v>
      </c>
      <c r="Q286" s="1" t="n">
        <f aca="false">Q284-P284+Q285+Q341</f>
        <v>8.1795377007557</v>
      </c>
      <c r="R286" s="1" t="n">
        <f aca="false">R284-Q284+R285+R341</f>
        <v>5.20709739029419</v>
      </c>
      <c r="S286" s="1" t="n">
        <f aca="false">S284-R284+S285+S341</f>
        <v>4.87402819991568</v>
      </c>
      <c r="T286" s="1" t="n">
        <f aca="false">T284-S284+T285+T341</f>
        <v>4.99819185593379</v>
      </c>
      <c r="U286" s="1" t="n">
        <f aca="false">U284-T284+U285+U341</f>
        <v>5.12528527306902</v>
      </c>
      <c r="V286" s="1" t="n">
        <f aca="false">V284-U284+V285+V341</f>
        <v>5.25563613806811</v>
      </c>
      <c r="W286" s="1" t="n">
        <f aca="false">W284-V284+W285+W341</f>
        <v>4.8159954221633</v>
      </c>
      <c r="X286" s="1" t="n">
        <f aca="false">X284-W284+X285+X341</f>
        <v>4.78757197647224</v>
      </c>
      <c r="Y286" s="1" t="n">
        <f aca="false">Y284-X284+Y285+Y341</f>
        <v>4.82155120047575</v>
      </c>
      <c r="Z286" s="1" t="n">
        <f aca="false">Z284-Y284+Z285+Z341</f>
        <v>4.85435401738669</v>
      </c>
      <c r="AA286" s="1" t="n">
        <f aca="false">AA284-Z284+AA285+AA341</f>
        <v>4.88599181636276</v>
      </c>
      <c r="AB286" s="1" t="n">
        <f aca="false">AB284-AA284+AB285+AB341</f>
        <v>4.91635340770371</v>
      </c>
      <c r="AC286" s="1" t="n">
        <f aca="false">AC284-AB284+AC285+AC341</f>
        <v>4.94543586461267</v>
      </c>
      <c r="AD286" s="1" t="n">
        <f aca="false">AD284-AC284+AD285+AD341</f>
        <v>4.97323624687221</v>
      </c>
      <c r="AE286" s="1" t="n">
        <f aca="false">AE284-AD284+AE285+AE341</f>
        <v>4.99975965686351</v>
      </c>
      <c r="AF286" s="1" t="n">
        <f aca="false">AF284-AE284+AF285+AF341</f>
        <v>5.02498748402292</v>
      </c>
    </row>
    <row r="287" customFormat="false" ht="14.25" hidden="false" customHeight="true" outlineLevel="0" collapsed="false">
      <c r="B287" s="84" t="s">
        <v>1282</v>
      </c>
      <c r="C287" s="1" t="n">
        <f aca="false">C284*(1-$C$340)*$C$175</f>
        <v>0.0387119894262347</v>
      </c>
      <c r="D287" s="1" t="n">
        <f aca="false">D284*(1-$C$340)*$C$175</f>
        <v>0.126396363717378</v>
      </c>
      <c r="E287" s="1" t="n">
        <f aca="false">E284*(1-$C$340)*$C$175</f>
        <v>0.227036412805401</v>
      </c>
      <c r="F287" s="1" t="n">
        <f aca="false">F284*(1-$C$340)*$C$175</f>
        <v>0.100474181667489</v>
      </c>
      <c r="G287" s="1" t="n">
        <f aca="false">G284*(1-$C$340)*$C$175</f>
        <v>0.254919999702323</v>
      </c>
      <c r="H287" s="1" t="n">
        <f aca="false">H284*(1-$C$340)*$C$175</f>
        <v>0.413510702292842</v>
      </c>
      <c r="I287" s="1" t="n">
        <f aca="false">I284*(1-$C$340)*$C$175</f>
        <v>0.576343578233513</v>
      </c>
      <c r="J287" s="1" t="n">
        <f aca="false">J284*(1-$C$340)*$C$175</f>
        <v>0.743518056138592</v>
      </c>
      <c r="K287" s="1" t="n">
        <f aca="false">K284*(1-$C$340)*$C$175</f>
        <v>0.915135758549104</v>
      </c>
      <c r="L287" s="1" t="n">
        <f aca="false">L284*(1-$C$340)*$C$175</f>
        <v>1.09130055703972</v>
      </c>
      <c r="M287" s="1" t="n">
        <f aca="false">M284*(1-$C$340)*$C$175</f>
        <v>1.44861860884798</v>
      </c>
      <c r="N287" s="1" t="n">
        <f aca="false">N284*(1-$C$340)*$C$175</f>
        <v>1.76441533638092</v>
      </c>
      <c r="O287" s="1" t="n">
        <f aca="false">O284*(1-$C$340)*$C$175</f>
        <v>1.96973691325807</v>
      </c>
      <c r="P287" s="1" t="n">
        <f aca="false">P284*(1-$C$340)*$C$175</f>
        <v>2.18328283596292</v>
      </c>
      <c r="Q287" s="1" t="n">
        <f aca="false">Q284*(1-$C$340)*$C$175</f>
        <v>2.40158042714429</v>
      </c>
      <c r="R287" s="1" t="n">
        <f aca="false">R284*(1-$C$340)*$C$175</f>
        <v>2.48035252763403</v>
      </c>
      <c r="S287" s="1" t="n">
        <f aca="false">S284*(1-$C$340)*$C$175</f>
        <v>2.54025893271022</v>
      </c>
      <c r="T287" s="1" t="n">
        <f aca="false">T284*(1-$C$340)*$C$175</f>
        <v>2.60188655352106</v>
      </c>
      <c r="U287" s="1" t="n">
        <f aca="false">U284*(1-$C$340)*$C$175</f>
        <v>2.66525769766111</v>
      </c>
      <c r="V287" s="1" t="n">
        <f aca="false">V284*(1-$C$340)*$C$175</f>
        <v>2.73040729504783</v>
      </c>
      <c r="W287" s="1" t="n">
        <f aca="false">W284*(1-$C$340)*$C$175</f>
        <v>2.77296498611398</v>
      </c>
      <c r="X287" s="1" t="n">
        <f aca="false">X284*(1-$C$340)*$C$175</f>
        <v>2.81178050847862</v>
      </c>
      <c r="Y287" s="1" t="n">
        <f aca="false">Y284*(1-$C$340)*$C$175</f>
        <v>2.84973300282839</v>
      </c>
      <c r="Z287" s="1" t="n">
        <f aca="false">Z284*(1-$C$340)*$C$175</f>
        <v>2.88682373968025</v>
      </c>
      <c r="AA287" s="1" t="n">
        <f aca="false">AA284*(1-$C$340)*$C$175</f>
        <v>2.92305439879184</v>
      </c>
      <c r="AB287" s="1" t="n">
        <f aca="false">AB284*(1-$C$340)*$C$175</f>
        <v>2.95842182662967</v>
      </c>
      <c r="AC287" s="1" t="n">
        <f aca="false">AC284*(1-$C$340)*$C$175</f>
        <v>2.99292293270177</v>
      </c>
      <c r="AD287" s="1" t="n">
        <f aca="false">AD284*(1-$C$340)*$C$175</f>
        <v>3.02655468523537</v>
      </c>
      <c r="AE287" s="1" t="n">
        <f aca="false">AE284*(1-$C$340)*$C$175</f>
        <v>3.05931445005654</v>
      </c>
      <c r="AF287" s="1" t="n">
        <f aca="false">AF284*(1-$C$340)*$C$175</f>
        <v>3.09119895747303</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1.25580018721076</v>
      </c>
      <c r="D289" s="1" t="n">
        <f aca="false">(1-$C$279)*D87</f>
        <v>4.1002433502287</v>
      </c>
      <c r="E289" s="1" t="n">
        <f aca="false">(1-$C$279)*E87</f>
        <v>7.36496299803866</v>
      </c>
      <c r="F289" s="1" t="n">
        <f aca="false">(1-$C$279)*F87</f>
        <v>3.25933898045482</v>
      </c>
      <c r="G289" s="1" t="n">
        <f aca="false">(1-$C$279)*G87</f>
        <v>8.26949449239614</v>
      </c>
      <c r="H289" s="1" t="n">
        <f aca="false">(1-$C$279)*H87</f>
        <v>13.4141082659289</v>
      </c>
      <c r="I289" s="1" t="n">
        <f aca="false">(1-$C$279)*I87</f>
        <v>18.6963363074509</v>
      </c>
      <c r="J289" s="1" t="n">
        <f aca="false">(1-$C$279)*J87</f>
        <v>24.1194040381883</v>
      </c>
      <c r="K289" s="1" t="n">
        <f aca="false">(1-$C$279)*K87</f>
        <v>29.6866080494021</v>
      </c>
      <c r="L289" s="1" t="n">
        <f aca="false">(1-$C$279)*L87</f>
        <v>35.4013178900321</v>
      </c>
      <c r="M289" s="1" t="n">
        <f aca="false">(1-$C$279)*M87</f>
        <v>46.9925608874923</v>
      </c>
      <c r="N289" s="1" t="n">
        <f aca="false">(1-$C$279)*N87</f>
        <v>57.2368700907711</v>
      </c>
      <c r="O289" s="1" t="n">
        <f aca="false">(1-$C$279)*O87</f>
        <v>63.8974132068013</v>
      </c>
      <c r="P289" s="1" t="n">
        <f aca="false">(1-$C$279)*P87</f>
        <v>70.8247505429988</v>
      </c>
      <c r="Q289" s="1" t="n">
        <f aca="false">(1-$C$279)*Q87</f>
        <v>77.9062299486387</v>
      </c>
      <c r="R289" s="1" t="n">
        <f aca="false">(1-$C$279)*R87</f>
        <v>80.4615628056724</v>
      </c>
      <c r="S289" s="1" t="n">
        <f aca="false">(1-$C$279)*S87</f>
        <v>82.4049006662375</v>
      </c>
      <c r="T289" s="1" t="n">
        <f aca="false">(1-$C$279)*T87</f>
        <v>84.4040740205049</v>
      </c>
      <c r="U289" s="1" t="n">
        <f aca="false">(1-$C$279)*U87</f>
        <v>86.4598065171897</v>
      </c>
      <c r="V289" s="1" t="n">
        <f aca="false">(1-$C$279)*V87</f>
        <v>88.5732312677015</v>
      </c>
      <c r="W289" s="1" t="n">
        <f aca="false">(1-$C$279)*W87</f>
        <v>89.9537843521654</v>
      </c>
      <c r="X289" s="1" t="n">
        <f aca="false">(1-$C$279)*X87</f>
        <v>91.2129431031018</v>
      </c>
      <c r="Y289" s="1" t="n">
        <f aca="false">(1-$C$279)*Y87</f>
        <v>92.4441055986481</v>
      </c>
      <c r="Z289" s="1" t="n">
        <f aca="false">(1-$C$279)*Z87</f>
        <v>93.6473130538244</v>
      </c>
      <c r="AA289" s="1" t="n">
        <f aca="false">(1-$C$279)*AA87</f>
        <v>94.8226199592419</v>
      </c>
      <c r="AB289" s="1" t="n">
        <f aca="false">(1-$C$279)*AB87</f>
        <v>95.9699240156387</v>
      </c>
      <c r="AC289" s="1" t="n">
        <f aca="false">(1-$C$279)*AC87</f>
        <v>97.0891249687924</v>
      </c>
      <c r="AD289" s="1" t="n">
        <f aca="false">(1-$C$279)*AD87</f>
        <v>98.1801244693061</v>
      </c>
      <c r="AE289" s="1" t="n">
        <f aca="false">(1-$C$279)*AE87</f>
        <v>99.2428370657177</v>
      </c>
      <c r="AF289" s="1" t="n">
        <f aca="false">(1-$C$279)*AF87</f>
        <v>100.277156690625</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0.248648437067731</v>
      </c>
      <c r="E290" s="1" t="n">
        <f aca="false">MAX(D289*(1-$C$340)/$C$281+IF(AND(01_Supuestos!$C$189&gt;0,E$39=01_Supuestos!$C$189),01_Supuestos!$C$190*D289*(1-$C$340)*(1-1/$C$281),0),D289-E342-E289)</f>
        <v>0.811848183345282</v>
      </c>
      <c r="F290" s="1" t="n">
        <f aca="false">MAX(E289*(1-$C$340)/$C$281+IF(AND(01_Supuestos!$C$189&gt;0,F$39=01_Supuestos!$C$189),01_Supuestos!$C$190*E289*(1-$C$340)*(1-1/$C$281),0),E289-F342-F289)</f>
        <v>4.03197438760346</v>
      </c>
      <c r="G290" s="1" t="n">
        <f aca="false">MAX(F289*(1-$C$340)/$C$281+IF(AND(01_Supuestos!$C$189&gt;0,G$39=01_Supuestos!$C$189),01_Supuestos!$C$190*F289*(1-$C$340)*(1-1/$C$281),0),F289-G342-G289)</f>
        <v>0.645349118130054</v>
      </c>
      <c r="H290" s="1" t="n">
        <f aca="false">MAX(G289*(1-$C$340)/$C$281+IF(AND(01_Supuestos!$C$189&gt;0,H$39=01_Supuestos!$C$189),01_Supuestos!$C$190*G289*(1-$C$340)*(1-1/$C$281),0),G289-H342-H289)</f>
        <v>1.63735990949444</v>
      </c>
      <c r="I290" s="1" t="n">
        <f aca="false">MAX(H289*(1-$C$340)/$C$281+IF(AND(01_Supuestos!$C$189&gt;0,I$39=01_Supuestos!$C$189),01_Supuestos!$C$190*H289*(1-$C$340)*(1-1/$C$281),0),H289-I342-I289)</f>
        <v>2.65599343665391</v>
      </c>
      <c r="J290" s="1" t="n">
        <f aca="false">MAX(I289*(1-$C$340)/$C$281+IF(AND(01_Supuestos!$C$189&gt;0,J$39=01_Supuestos!$C$189),01_Supuestos!$C$190*I289*(1-$C$340)*(1-1/$C$281),0),I289-J342-J289)</f>
        <v>3.70187458887528</v>
      </c>
      <c r="K290" s="1" t="n">
        <f aca="false">MAX(J289*(1-$C$340)/$C$281+IF(AND(01_Supuestos!$C$189&gt;0,K$39=01_Supuestos!$C$189),01_Supuestos!$C$190*J289*(1-$C$340)*(1-1/$C$281),0),J289-K342-K289)</f>
        <v>4.77564199956128</v>
      </c>
      <c r="L290" s="1" t="n">
        <f aca="false">MAX(K289*(1-$C$340)/$C$281+IF(AND(01_Supuestos!$C$189&gt;0,L$39=01_Supuestos!$C$189),01_Supuestos!$C$190*K289*(1-$C$340)*(1-1/$C$281),0),K289-L342-L289)</f>
        <v>5.87794839378162</v>
      </c>
      <c r="M290" s="1" t="n">
        <f aca="false">MAX(L289*(1-$C$340)/$C$281+IF(AND(01_Supuestos!$C$189&gt;0,M$39=01_Supuestos!$C$189),01_Supuestos!$C$190*L289*(1-$C$340)*(1-1/$C$281),0),L289-M342-M289)</f>
        <v>7.00946094222635</v>
      </c>
      <c r="N290" s="1" t="n">
        <f aca="false">MAX(M289*(1-$C$340)/$C$281+IF(AND(01_Supuestos!$C$189&gt;0,N$39=01_Supuestos!$C$189),01_Supuestos!$C$190*M289*(1-$C$340)*(1-1/$C$281),0),M289-N342-N289)</f>
        <v>9.30452705572347</v>
      </c>
      <c r="O290" s="1" t="n">
        <f aca="false">MAX(N289*(1-$C$340)/$C$281+IF(AND(01_Supuestos!$C$189&gt;0,O$39=01_Supuestos!$C$189),01_Supuestos!$C$190*N289*(1-$C$340)*(1-1/$C$281),0),N289-O342-O289)</f>
        <v>11.3329002779727</v>
      </c>
      <c r="P290" s="1" t="n">
        <f aca="false">MAX(O289*(1-$C$340)/$C$281+IF(AND(01_Supuestos!$C$189&gt;0,P$39=01_Supuestos!$C$189),01_Supuestos!$C$190*O289*(1-$C$340)*(1-1/$C$281),0),O289-P342-P289)</f>
        <v>12.6516878149467</v>
      </c>
      <c r="Q290" s="1" t="n">
        <f aca="false">MAX(P289*(1-$C$340)/$C$281+IF(AND(01_Supuestos!$C$189&gt;0,Q$39=01_Supuestos!$C$189),01_Supuestos!$C$190*P289*(1-$C$340)*(1-1/$C$281),0),P289-Q342-Q289)</f>
        <v>14.0233006075138</v>
      </c>
      <c r="R290" s="1" t="n">
        <f aca="false">MAX(Q289*(1-$C$340)/$C$281+IF(AND(01_Supuestos!$C$189&gt;0,R$39=01_Supuestos!$C$189),01_Supuestos!$C$190*Q289*(1-$C$340)*(1-1/$C$281),0),Q289-R342-R289)</f>
        <v>15.4254335298305</v>
      </c>
      <c r="S290" s="1" t="n">
        <f aca="false">MAX(R289*(1-$C$340)/$C$281+IF(AND(01_Supuestos!$C$189&gt;0,S$39=01_Supuestos!$C$189),01_Supuestos!$C$190*R289*(1-$C$340)*(1-1/$C$281),0),R289-S342-S289)</f>
        <v>15.9313894355231</v>
      </c>
      <c r="T290" s="1" t="n">
        <f aca="false">MAX(S289*(1-$C$340)/$C$281+IF(AND(01_Supuestos!$C$189&gt;0,T$39=01_Supuestos!$C$189),01_Supuestos!$C$190*S289*(1-$C$340)*(1-1/$C$281),0),S289-T342-T289)</f>
        <v>16.316170331915</v>
      </c>
      <c r="U290" s="1" t="n">
        <f aca="false">MAX(T289*(1-$C$340)/$C$281+IF(AND(01_Supuestos!$C$189&gt;0,U$39=01_Supuestos!$C$189),01_Supuestos!$C$190*T289*(1-$C$340)*(1-1/$C$281),0),T289-U342-U289)</f>
        <v>16.71200665606</v>
      </c>
      <c r="V290" s="1" t="n">
        <f aca="false">MAX(U289*(1-$C$340)/$C$281+IF(AND(01_Supuestos!$C$189&gt;0,V$39=01_Supuestos!$C$189),01_Supuestos!$C$190*U289*(1-$C$340)*(1-1/$C$281),0),U289-V342-V289)</f>
        <v>17.1190416904036</v>
      </c>
      <c r="W290" s="1" t="n">
        <f aca="false">MAX(V289*(1-$C$340)/$C$281+IF(AND(01_Supuestos!$C$189&gt;0,W$39=01_Supuestos!$C$189),01_Supuestos!$C$190*V289*(1-$C$340)*(1-1/$C$281),0),V289-W342-W289)</f>
        <v>17.5374997910049</v>
      </c>
      <c r="X290" s="1" t="n">
        <f aca="false">MAX(W289*(1-$C$340)/$C$281+IF(AND(01_Supuestos!$C$189&gt;0,X$39=01_Supuestos!$C$189),01_Supuestos!$C$190*W289*(1-$C$340)*(1-1/$C$281),0),W289-X342-X289)</f>
        <v>17.8108493017288</v>
      </c>
      <c r="Y290" s="1" t="n">
        <f aca="false">MAX(X289*(1-$C$340)/$C$281+IF(AND(01_Supuestos!$C$189&gt;0,Y$39=01_Supuestos!$C$189),01_Supuestos!$C$190*X289*(1-$C$340)*(1-1/$C$281),0),X289-Y342-Y289)</f>
        <v>18.0601627344142</v>
      </c>
      <c r="Z290" s="1" t="n">
        <f aca="false">MAX(Y289*(1-$C$340)/$C$281+IF(AND(01_Supuestos!$C$189&gt;0,Z$39=01_Supuestos!$C$189),01_Supuestos!$C$190*Y289*(1-$C$340)*(1-1/$C$281),0),Y289-Z342-Z289)</f>
        <v>18.3039329085323</v>
      </c>
      <c r="AA290" s="1" t="n">
        <f aca="false">MAX(Z289*(1-$C$340)/$C$281+IF(AND(01_Supuestos!$C$189&gt;0,AA$39=01_Supuestos!$C$189),01_Supuestos!$C$190*Z289*(1-$C$340)*(1-1/$C$281),0),Z289-AA342-AA289)</f>
        <v>18.5421679846572</v>
      </c>
      <c r="AB290" s="1" t="n">
        <f aca="false">MAX(AA289*(1-$C$340)/$C$281+IF(AND(01_Supuestos!$C$189&gt;0,AB$39=01_Supuestos!$C$189),01_Supuestos!$C$190*AA289*(1-$C$340)*(1-1/$C$281),0),AA289-AB342-AB289)</f>
        <v>18.7748787519299</v>
      </c>
      <c r="AC290" s="1" t="n">
        <f aca="false">MAX(AB289*(1-$C$340)/$C$281+IF(AND(01_Supuestos!$C$189&gt;0,AC$39=01_Supuestos!$C$189),01_Supuestos!$C$190*AB289*(1-$C$340)*(1-1/$C$281),0),AB289-AC342-AC289)</f>
        <v>19.0020449550965</v>
      </c>
      <c r="AD290" s="1" t="n">
        <f aca="false">MAX(AC289*(1-$C$340)/$C$281+IF(AND(01_Supuestos!$C$189&gt;0,AD$39=01_Supuestos!$C$189),01_Supuestos!$C$190*AC289*(1-$C$340)*(1-1/$C$281),0),AC289-AD342-AD289)</f>
        <v>19.2236467438209</v>
      </c>
      <c r="AE290" s="1" t="n">
        <f aca="false">MAX(AD289*(1-$C$340)/$C$281+IF(AND(01_Supuestos!$C$189&gt;0,AE$39=01_Supuestos!$C$189),01_Supuestos!$C$190*AD289*(1-$C$340)*(1-1/$C$281),0),AD289-AE342-AE289)</f>
        <v>19.4396646449226</v>
      </c>
      <c r="AF290" s="1" t="n">
        <f aca="false">MAX(AE289*(1-$C$340)/$C$281+IF(AND(01_Supuestos!$C$189&gt;0,AF$39=01_Supuestos!$C$189),01_Supuestos!$C$190*AE289*(1-$C$340)*(1-1/$C$281),0),AE289-AF342-AF289)</f>
        <v>19.6500817390121</v>
      </c>
    </row>
    <row r="291" customFormat="false" ht="14.25" hidden="false" customHeight="true" outlineLevel="0" collapsed="false">
      <c r="B291" s="84" t="s">
        <v>1281</v>
      </c>
      <c r="C291" s="1" t="n">
        <f aca="false">C289-0+C290</f>
        <v>1.25580018721076</v>
      </c>
      <c r="D291" s="1" t="n">
        <f aca="false">D289-C289+D290+D342</f>
        <v>3.10564960195777</v>
      </c>
      <c r="E291" s="1" t="n">
        <f aca="false">E289-D289+E290+E342</f>
        <v>4.11757026465754</v>
      </c>
      <c r="F291" s="1" t="n">
        <f aca="false">F289-E289+F290+F342</f>
        <v>-8.60422844084496E-016</v>
      </c>
      <c r="G291" s="1" t="n">
        <f aca="false">G289-F289+G290+G342</f>
        <v>5.68809801987593</v>
      </c>
      <c r="H291" s="1" t="n">
        <f aca="false">H289-G289+H290+H342</f>
        <v>6.86466862795111</v>
      </c>
      <c r="I291" s="1" t="n">
        <f aca="false">I289-H289+I290+I342</f>
        <v>8.07236256083524</v>
      </c>
      <c r="J291" s="1" t="n">
        <f aca="false">J289-I289+J290+J342</f>
        <v>9.31190568268718</v>
      </c>
      <c r="K291" s="1" t="n">
        <f aca="false">K289-J289+K290+K342</f>
        <v>10.584040051157</v>
      </c>
      <c r="L291" s="1" t="n">
        <f aca="false">L289-K289+L290+L342</f>
        <v>11.8895243149056</v>
      </c>
      <c r="M291" s="1" t="n">
        <f aca="false">M289-L289+M290+M342</f>
        <v>18.9547171185869</v>
      </c>
      <c r="N291" s="1" t="n">
        <f aca="false">N289-M289+N290+N342</f>
        <v>20.0187618678772</v>
      </c>
      <c r="O291" s="1" t="n">
        <f aca="false">O289-N289+O290+O342</f>
        <v>18.5658120949106</v>
      </c>
      <c r="P291" s="1" t="n">
        <f aca="false">P289-O289+P290+P342</f>
        <v>20.2179992832121</v>
      </c>
      <c r="Q291" s="1" t="n">
        <f aca="false">Q289-P289+Q290+Q342</f>
        <v>21.8130275185837</v>
      </c>
      <c r="R291" s="1" t="n">
        <f aca="false">R289-Q289+R290+R342</f>
        <v>18.7598286863505</v>
      </c>
      <c r="S291" s="1" t="n">
        <f aca="false">S289-R289+S290+S342</f>
        <v>18.679342924145</v>
      </c>
      <c r="T291" s="1" t="n">
        <f aca="false">T289-S289+T290+T342</f>
        <v>19.1393926928448</v>
      </c>
      <c r="U291" s="1" t="n">
        <f aca="false">U289-T289+U290+U342</f>
        <v>19.6117798929498</v>
      </c>
      <c r="V291" s="1" t="n">
        <f aca="false">V289-U289+V290+V342</f>
        <v>20.0970645060872</v>
      </c>
      <c r="W291" s="1" t="n">
        <f aca="false">W289-V289+W290+W342</f>
        <v>19.8037851881458</v>
      </c>
      <c r="X291" s="1" t="n">
        <f aca="false">X289-W289+X290+X342</f>
        <v>19.9695458961868</v>
      </c>
      <c r="Y291" s="1" t="n">
        <f aca="false">Y289-X289+Y290+Y342</f>
        <v>20.2034546609914</v>
      </c>
      <c r="Z291" s="1" t="n">
        <f aca="false">Z289-Y289+Z290+Z342</f>
        <v>20.4315814196952</v>
      </c>
      <c r="AA291" s="1" t="n">
        <f aca="false">AA289-Z289+AA290+AA342</f>
        <v>20.6539480206129</v>
      </c>
      <c r="AB291" s="1" t="n">
        <f aca="false">AB289-AA289+AB290+AB342</f>
        <v>20.8704090079192</v>
      </c>
      <c r="AC291" s="1" t="n">
        <f aca="false">AC289-AB289+AC290+AC342</f>
        <v>21.0809451484065</v>
      </c>
      <c r="AD291" s="1" t="n">
        <f aca="false">AD289-AC289+AD290+AD342</f>
        <v>21.2855374940225</v>
      </c>
      <c r="AE291" s="1" t="n">
        <f aca="false">AE289-AD289+AE290+AE342</f>
        <v>21.4841784860273</v>
      </c>
      <c r="AF291" s="1" t="n">
        <f aca="false">AF289-AE289+AF290+AF342</f>
        <v>21.6768297345764</v>
      </c>
    </row>
    <row r="292" customFormat="false" ht="14.25" hidden="false" customHeight="true" outlineLevel="0" collapsed="false">
      <c r="B292" s="84" t="s">
        <v>1282</v>
      </c>
      <c r="C292" s="1" t="n">
        <f aca="false">C289*(1-$C$340)*$C$175</f>
        <v>0.0534594139695622</v>
      </c>
      <c r="D292" s="1" t="n">
        <f aca="false">D289*(1-$C$340)*$C$175</f>
        <v>0.174547359419236</v>
      </c>
      <c r="E292" s="1" t="n">
        <f aca="false">E289*(1-$C$340)*$C$175</f>
        <v>0.313526474826506</v>
      </c>
      <c r="F292" s="1" t="n">
        <f aca="false">F289*(1-$C$340)*$C$175</f>
        <v>0.138750060397962</v>
      </c>
      <c r="G292" s="1" t="n">
        <f aca="false">G289*(1-$C$340)*$C$175</f>
        <v>0.352032380541304</v>
      </c>
      <c r="H292" s="1" t="n">
        <f aca="false">H289*(1-$C$340)*$C$175</f>
        <v>0.571038588880591</v>
      </c>
      <c r="I292" s="1" t="n">
        <f aca="false">I289*(1-$C$340)*$C$175</f>
        <v>0.795903036608184</v>
      </c>
      <c r="J292" s="1" t="n">
        <f aca="false">J289*(1-$C$340)*$C$175</f>
        <v>1.02676302990568</v>
      </c>
      <c r="K292" s="1" t="n">
        <f aca="false">K289*(1-$C$340)*$C$175</f>
        <v>1.26375890466305</v>
      </c>
      <c r="L292" s="1" t="n">
        <f aca="false">L289*(1-$C$340)*$C$175</f>
        <v>1.50703410257866</v>
      </c>
      <c r="M292" s="1" t="n">
        <f aca="false">M289*(1-$C$340)*$C$175</f>
        <v>2.00047331698055</v>
      </c>
      <c r="N292" s="1" t="n">
        <f aca="false">N289*(1-$C$340)*$C$175</f>
        <v>2.43657355976412</v>
      </c>
      <c r="O292" s="1" t="n">
        <f aca="false">O289*(1-$C$340)*$C$175</f>
        <v>2.72011288021353</v>
      </c>
      <c r="P292" s="1" t="n">
        <f aca="false">P289*(1-$C$340)*$C$175</f>
        <v>3.01500963061546</v>
      </c>
      <c r="Q292" s="1" t="n">
        <f aca="false">Q289*(1-$C$340)*$C$175</f>
        <v>3.31646820891355</v>
      </c>
      <c r="R292" s="1" t="n">
        <f aca="false">R289*(1-$C$340)*$C$175</f>
        <v>3.42524872863747</v>
      </c>
      <c r="S292" s="1" t="n">
        <f aca="false">S289*(1-$C$340)*$C$175</f>
        <v>3.50797662136173</v>
      </c>
      <c r="T292" s="1" t="n">
        <f aca="false">T289*(1-$C$340)*$C$175</f>
        <v>3.5930814310529</v>
      </c>
      <c r="U292" s="1" t="n">
        <f aca="false">U289*(1-$C$340)*$C$175</f>
        <v>3.68059396343677</v>
      </c>
      <c r="V292" s="1" t="n">
        <f aca="false">V289*(1-$C$340)*$C$175</f>
        <v>3.77056245506605</v>
      </c>
      <c r="W292" s="1" t="n">
        <f aca="false">W289*(1-$C$340)*$C$175</f>
        <v>3.82933259987168</v>
      </c>
      <c r="X292" s="1" t="n">
        <f aca="false">X289*(1-$C$340)*$C$175</f>
        <v>3.88293498789904</v>
      </c>
      <c r="Y292" s="1" t="n">
        <f aca="false">Y289*(1-$C$340)*$C$175</f>
        <v>3.93534557533445</v>
      </c>
      <c r="Z292" s="1" t="n">
        <f aca="false">Z289*(1-$C$340)*$C$175</f>
        <v>3.9865661167013</v>
      </c>
      <c r="AA292" s="1" t="n">
        <f aca="false">AA289*(1-$C$340)*$C$175</f>
        <v>4.03659893166492</v>
      </c>
      <c r="AB292" s="1" t="n">
        <f aca="false">AB289*(1-$C$340)*$C$175</f>
        <v>4.08543966534574</v>
      </c>
      <c r="AC292" s="1" t="n">
        <f aca="false">AC289*(1-$C$340)*$C$175</f>
        <v>4.13308404992149</v>
      </c>
      <c r="AD292" s="1" t="n">
        <f aca="false">AD289*(1-$C$340)*$C$175</f>
        <v>4.17952789865836</v>
      </c>
      <c r="AE292" s="1" t="n">
        <f aca="false">AE289*(1-$C$340)*$C$175</f>
        <v>4.2247675738876</v>
      </c>
      <c r="AF292" s="1" t="n">
        <f aca="false">AF289*(1-$C$340)*$C$175</f>
        <v>4.2687985603199</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32.7283871805361</v>
      </c>
      <c r="G294" s="116" t="n">
        <f aca="false">G85</f>
        <v>34.2346905763938</v>
      </c>
      <c r="H294" s="116" t="n">
        <f aca="false">H85</f>
        <v>35.7424929420516</v>
      </c>
      <c r="I294" s="116" t="n">
        <f aca="false">I85</f>
        <v>37.2517193290193</v>
      </c>
      <c r="J294" s="116" t="n">
        <f aca="false">J85</f>
        <v>38.7622985362315</v>
      </c>
      <c r="K294" s="116" t="n">
        <f aca="false">K85</f>
        <v>40.2741629226761</v>
      </c>
      <c r="L294" s="116" t="n">
        <f aca="false">L85</f>
        <v>41.7872482293912</v>
      </c>
      <c r="M294" s="116" t="n">
        <f aca="false">M85</f>
        <v>33.429798583513</v>
      </c>
      <c r="N294" s="116" t="n">
        <f aca="false">N85</f>
        <v>27.6620799804743</v>
      </c>
      <c r="O294" s="116" t="n">
        <f aca="false">O85</f>
        <v>28.3468507442623</v>
      </c>
      <c r="P294" s="116" t="n">
        <f aca="false">P85</f>
        <v>28.851506186482</v>
      </c>
      <c r="Q294" s="116" t="n">
        <f aca="false">Q85</f>
        <v>29.3767112716142</v>
      </c>
      <c r="R294" s="116" t="n">
        <f aca="false">R85</f>
        <v>29.9155095817398</v>
      </c>
      <c r="S294" s="116" t="n">
        <f aca="false">S85</f>
        <v>30.4437009296463</v>
      </c>
      <c r="T294" s="116" t="n">
        <f aca="false">T85</f>
        <v>30.9648359838834</v>
      </c>
      <c r="U294" s="116" t="n">
        <f aca="false">U85</f>
        <v>31.4797189456279</v>
      </c>
      <c r="V294" s="116" t="n">
        <f aca="false">V85</f>
        <v>31.9884952389352</v>
      </c>
      <c r="W294" s="116" t="n">
        <f aca="false">W85</f>
        <v>32.4813747359697</v>
      </c>
      <c r="X294" s="116" t="n">
        <f aca="false">X85</f>
        <v>32.9585996213978</v>
      </c>
      <c r="Y294" s="116" t="n">
        <f aca="false">Y85</f>
        <v>33.4262536361165</v>
      </c>
      <c r="Z294" s="116" t="n">
        <f aca="false">Z85</f>
        <v>33.8840473127791</v>
      </c>
      <c r="AA294" s="116" t="n">
        <f aca="false">AA85</f>
        <v>34.3316920034897</v>
      </c>
      <c r="AB294" s="116" t="n">
        <f aca="false">AB85</f>
        <v>34.7691544072095</v>
      </c>
      <c r="AC294" s="116" t="n">
        <f aca="false">AC85</f>
        <v>35.1964015987849</v>
      </c>
      <c r="AD294" s="116" t="n">
        <f aca="false">AD85</f>
        <v>35.6134009787088</v>
      </c>
      <c r="AE294" s="116" t="n">
        <f aca="false">AE85</f>
        <v>36.0201202248782</v>
      </c>
      <c r="AF294" s="116" t="n">
        <f aca="false">AF85</f>
        <v>36.4165272462292</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3.27283871805361</v>
      </c>
      <c r="H295" s="1" t="n">
        <f aca="false">MAX(G294/$C$282,G294-H294)</f>
        <v>3.42346905763938</v>
      </c>
      <c r="I295" s="1" t="n">
        <f aca="false">MAX(H294/$C$282,H294-I294)</f>
        <v>3.57424929420516</v>
      </c>
      <c r="J295" s="1" t="n">
        <f aca="false">MAX(I294/$C$282,I294-J294)</f>
        <v>3.72517193290193</v>
      </c>
      <c r="K295" s="1" t="n">
        <f aca="false">MAX(J294/$C$282,J294-K294)</f>
        <v>3.87622985362315</v>
      </c>
      <c r="L295" s="1" t="n">
        <f aca="false">MAX(K294/$C$282,K294-L294)</f>
        <v>4.0274162922676</v>
      </c>
      <c r="M295" s="1" t="n">
        <f aca="false">MAX(L294/$C$282,L294-M294)</f>
        <v>8.35744964587824</v>
      </c>
      <c r="N295" s="1" t="n">
        <f aca="false">MAX(M294/$C$282,M294-N294)</f>
        <v>5.76771860303868</v>
      </c>
      <c r="O295" s="1" t="n">
        <f aca="false">MAX(N294/$C$282,N294-O294)</f>
        <v>2.76620799804743</v>
      </c>
      <c r="P295" s="1" t="n">
        <f aca="false">MAX(O294/$C$282,O294-P294)</f>
        <v>2.83468507442623</v>
      </c>
      <c r="Q295" s="1" t="n">
        <f aca="false">MAX(P294/$C$282,P294-Q294)</f>
        <v>2.8851506186482</v>
      </c>
      <c r="R295" s="1" t="n">
        <f aca="false">MAX(Q294/$C$282,Q294-R294)</f>
        <v>2.93767112716142</v>
      </c>
      <c r="S295" s="1" t="n">
        <f aca="false">MAX(R294/$C$282,R294-S294)</f>
        <v>2.99155095817398</v>
      </c>
      <c r="T295" s="1" t="n">
        <f aca="false">MAX(S294/$C$282,S294-T294)</f>
        <v>3.04437009296463</v>
      </c>
      <c r="U295" s="1" t="n">
        <f aca="false">MAX(T294/$C$282,T294-U294)</f>
        <v>3.09648359838834</v>
      </c>
      <c r="V295" s="1" t="n">
        <f aca="false">MAX(U294/$C$282,U294-V294)</f>
        <v>3.14797189456279</v>
      </c>
      <c r="W295" s="1" t="n">
        <f aca="false">MAX(V294/$C$282,V294-W294)</f>
        <v>3.19884952389352</v>
      </c>
      <c r="X295" s="1" t="n">
        <f aca="false">MAX(W294/$C$282,W294-X294)</f>
        <v>3.24813747359697</v>
      </c>
      <c r="Y295" s="1" t="n">
        <f aca="false">MAX(X294/$C$282,X294-Y294)</f>
        <v>3.29585996213978</v>
      </c>
      <c r="Z295" s="1" t="n">
        <f aca="false">MAX(Y294/$C$282,Y294-Z294)</f>
        <v>3.34262536361165</v>
      </c>
      <c r="AA295" s="1" t="n">
        <f aca="false">MAX(Z294/$C$282,Z294-AA294)</f>
        <v>3.38840473127791</v>
      </c>
      <c r="AB295" s="1" t="n">
        <f aca="false">MAX(AA294/$C$282,AA294-AB294)</f>
        <v>3.43316920034897</v>
      </c>
      <c r="AC295" s="1" t="n">
        <f aca="false">MAX(AB294/$C$282,AB294-AC294)</f>
        <v>3.47691544072095</v>
      </c>
      <c r="AD295" s="1" t="n">
        <f aca="false">MAX(AC294/$C$282,AC294-AD294)</f>
        <v>3.51964015987849</v>
      </c>
      <c r="AE295" s="1" t="n">
        <f aca="false">MAX(AD294/$C$282,AD294-AE294)</f>
        <v>3.56134009787088</v>
      </c>
      <c r="AF295" s="1" t="n">
        <f aca="false">MAX(AE294/$C$282,AE294-AF294)</f>
        <v>3.60201202248782</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18.5684169133116</v>
      </c>
      <c r="G296" s="1" t="n">
        <f aca="false">G294-F294+G295</f>
        <v>4.77914211391134</v>
      </c>
      <c r="H296" s="1" t="n">
        <f aca="false">H294-G294+H295</f>
        <v>4.93127142329713</v>
      </c>
      <c r="I296" s="1" t="n">
        <f aca="false">I294-H294+I295</f>
        <v>5.0834756811729</v>
      </c>
      <c r="J296" s="1" t="n">
        <f aca="false">J294-I294+J295</f>
        <v>5.23575114011416</v>
      </c>
      <c r="K296" s="1" t="n">
        <f aca="false">K294-J294+K295</f>
        <v>5.38809424006767</v>
      </c>
      <c r="L296" s="1" t="n">
        <f aca="false">L294-K294+L295</f>
        <v>5.54050159898277</v>
      </c>
      <c r="M296" s="1" t="n">
        <f aca="false">M294-L294+M295</f>
        <v>0</v>
      </c>
      <c r="N296" s="1" t="n">
        <f aca="false">N294-M294+N295</f>
        <v>0</v>
      </c>
      <c r="O296" s="1" t="n">
        <f aca="false">O294-N294+O295</f>
        <v>3.4509787618354</v>
      </c>
      <c r="P296" s="1" t="n">
        <f aca="false">P294-O294+P295</f>
        <v>3.33934051664591</v>
      </c>
      <c r="Q296" s="1" t="n">
        <f aca="false">Q294-P294+Q295</f>
        <v>3.41035570378043</v>
      </c>
      <c r="R296" s="1" t="n">
        <f aca="false">R294-Q294+R295</f>
        <v>3.47646943728701</v>
      </c>
      <c r="S296" s="1" t="n">
        <f aca="false">S294-R294+S295</f>
        <v>3.51974230608051</v>
      </c>
      <c r="T296" s="1" t="n">
        <f aca="false">T294-S294+T295</f>
        <v>3.56550514720168</v>
      </c>
      <c r="U296" s="1" t="n">
        <f aca="false">U294-T294+U295</f>
        <v>3.61136656013284</v>
      </c>
      <c r="V296" s="1" t="n">
        <f aca="false">V294-U294+V295</f>
        <v>3.65674818787017</v>
      </c>
      <c r="W296" s="1" t="n">
        <f aca="false">W294-V294+W295</f>
        <v>3.691729020928</v>
      </c>
      <c r="X296" s="1" t="n">
        <f aca="false">X294-W294+X295</f>
        <v>3.72536235902502</v>
      </c>
      <c r="Y296" s="1" t="n">
        <f aca="false">Y294-X294+Y295</f>
        <v>3.76351397685851</v>
      </c>
      <c r="Z296" s="1" t="n">
        <f aca="false">Z294-Y294+Z295</f>
        <v>3.80041904027426</v>
      </c>
      <c r="AA296" s="1" t="n">
        <f aca="false">AA294-Z294+AA295</f>
        <v>3.83604942198849</v>
      </c>
      <c r="AB296" s="1" t="n">
        <f aca="false">AB294-AA294+AB295</f>
        <v>3.87063160406873</v>
      </c>
      <c r="AC296" s="1" t="n">
        <f aca="false">AC294-AB294+AC295</f>
        <v>3.90416263229634</v>
      </c>
      <c r="AD296" s="1" t="n">
        <f aca="false">AD294-AC294+AD295</f>
        <v>3.93663953980246</v>
      </c>
      <c r="AE296" s="1" t="n">
        <f aca="false">AE294-AD294+AE295</f>
        <v>3.9680593440403</v>
      </c>
      <c r="AF296" s="1" t="n">
        <f aca="false">AF294-AE294+AF295</f>
        <v>3.99841904383873</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1.30913548722144</v>
      </c>
      <c r="G297" s="1" t="n">
        <f aca="false">G294*01_Supuestos!$I$126</f>
        <v>1.36938762305575</v>
      </c>
      <c r="H297" s="1" t="n">
        <f aca="false">H294*01_Supuestos!$I$126</f>
        <v>1.42969971768206</v>
      </c>
      <c r="I297" s="1" t="n">
        <f aca="false">I294*01_Supuestos!$I$126</f>
        <v>1.49006877316077</v>
      </c>
      <c r="J297" s="1" t="n">
        <f aca="false">J294*01_Supuestos!$I$126</f>
        <v>1.55049194144926</v>
      </c>
      <c r="K297" s="1" t="n">
        <f aca="false">K294*01_Supuestos!$I$126</f>
        <v>1.61096651690704</v>
      </c>
      <c r="L297" s="1" t="n">
        <f aca="false">L294*01_Supuestos!$I$126</f>
        <v>1.67148992917565</v>
      </c>
      <c r="M297" s="1" t="n">
        <f aca="false">M294*01_Supuestos!$I$126</f>
        <v>1.33719194334052</v>
      </c>
      <c r="N297" s="1" t="n">
        <f aca="false">N294*01_Supuestos!$I$126</f>
        <v>1.10648319921897</v>
      </c>
      <c r="O297" s="1" t="n">
        <f aca="false">O294*01_Supuestos!$I$126</f>
        <v>1.13387402977049</v>
      </c>
      <c r="P297" s="1" t="n">
        <f aca="false">P294*01_Supuestos!$I$126</f>
        <v>1.15406024745928</v>
      </c>
      <c r="Q297" s="1" t="n">
        <f aca="false">Q294*01_Supuestos!$I$126</f>
        <v>1.17506845086457</v>
      </c>
      <c r="R297" s="1" t="n">
        <f aca="false">R294*01_Supuestos!$I$126</f>
        <v>1.19662038326959</v>
      </c>
      <c r="S297" s="1" t="n">
        <f aca="false">S294*01_Supuestos!$I$126</f>
        <v>1.21774803718585</v>
      </c>
      <c r="T297" s="1" t="n">
        <f aca="false">T294*01_Supuestos!$I$126</f>
        <v>1.23859343935533</v>
      </c>
      <c r="U297" s="1" t="n">
        <f aca="false">U294*01_Supuestos!$I$126</f>
        <v>1.25918875782511</v>
      </c>
      <c r="V297" s="1" t="n">
        <f aca="false">V294*01_Supuestos!$I$126</f>
        <v>1.27953980955741</v>
      </c>
      <c r="W297" s="1" t="n">
        <f aca="false">W294*01_Supuestos!$I$126</f>
        <v>1.29925498943879</v>
      </c>
      <c r="X297" s="1" t="n">
        <f aca="false">X294*01_Supuestos!$I$126</f>
        <v>1.31834398485591</v>
      </c>
      <c r="Y297" s="1" t="n">
        <f aca="false">Y294*01_Supuestos!$I$126</f>
        <v>1.33705014544466</v>
      </c>
      <c r="Z297" s="1" t="n">
        <f aca="false">Z294*01_Supuestos!$I$126</f>
        <v>1.35536189251116</v>
      </c>
      <c r="AA297" s="1" t="n">
        <f aca="false">AA294*01_Supuestos!$I$126</f>
        <v>1.37326768013959</v>
      </c>
      <c r="AB297" s="1" t="n">
        <f aca="false">AB294*01_Supuestos!$I$126</f>
        <v>1.39076617628838</v>
      </c>
      <c r="AC297" s="1" t="n">
        <f aca="false">AC294*01_Supuestos!$I$126</f>
        <v>1.40785606395139</v>
      </c>
      <c r="AD297" s="1" t="n">
        <f aca="false">AD294*01_Supuestos!$I$126</f>
        <v>1.42453603914835</v>
      </c>
      <c r="AE297" s="1" t="n">
        <f aca="false">AE294*01_Supuestos!$I$126</f>
        <v>1.44080480899513</v>
      </c>
      <c r="AF297" s="1" t="n">
        <f aca="false">AF294*01_Supuestos!$I$126</f>
        <v>1.45666108984917</v>
      </c>
    </row>
    <row r="298" customFormat="false" ht="14.25" hidden="false" customHeight="true" outlineLevel="0" collapsed="false">
      <c r="B298" s="84" t="s">
        <v>1290</v>
      </c>
      <c r="C298" s="116" t="n">
        <f aca="false">C86</f>
        <v>0.4875</v>
      </c>
      <c r="D298" s="116" t="n">
        <f aca="false">D86</f>
        <v>0.9862125</v>
      </c>
      <c r="E298" s="116" t="n">
        <f aca="false">E86</f>
        <v>1.4963953875</v>
      </c>
      <c r="F298" s="116" t="n">
        <f aca="false">F86</f>
        <v>2.0183124814125</v>
      </c>
      <c r="G298" s="116" t="n">
        <f aca="false">G86</f>
        <v>2.55223366848499</v>
      </c>
      <c r="H298" s="116" t="n">
        <f aca="false">H86</f>
        <v>3.09843504286014</v>
      </c>
      <c r="I298" s="116" t="n">
        <f aca="false">I86</f>
        <v>3.65719904884592</v>
      </c>
      <c r="J298" s="116" t="n">
        <f aca="false">J86</f>
        <v>4.22881462696938</v>
      </c>
      <c r="K298" s="116" t="n">
        <f aca="false">K86</f>
        <v>4.81357736338968</v>
      </c>
      <c r="L298" s="116" t="n">
        <f aca="false">L86</f>
        <v>5.41178964274764</v>
      </c>
      <c r="M298" s="116" t="n">
        <f aca="false">M86</f>
        <v>6.02376080453083</v>
      </c>
      <c r="N298" s="116" t="n">
        <f aca="false">N86</f>
        <v>6.64980730303504</v>
      </c>
      <c r="O298" s="116" t="n">
        <f aca="false">O86</f>
        <v>7.29025287100485</v>
      </c>
      <c r="P298" s="116" t="n">
        <f aca="false">P86</f>
        <v>7.94542868703796</v>
      </c>
      <c r="Q298" s="116" t="n">
        <f aca="false">Q86</f>
        <v>8.61567354683983</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9.87232138829654</v>
      </c>
      <c r="X298" s="116" t="n">
        <f aca="false">X86</f>
        <v>10.0116997171971</v>
      </c>
      <c r="Y298" s="116" t="n">
        <f aca="false">Y86</f>
        <v>10.1480338210159</v>
      </c>
      <c r="Z298" s="116" t="n">
        <f aca="false">Z86</f>
        <v>10.2813122046494</v>
      </c>
      <c r="AA298" s="116" t="n">
        <f aca="false">AA86</f>
        <v>10.4115246208045</v>
      </c>
      <c r="AB298" s="116" t="n">
        <f aca="false">AB86</f>
        <v>10.5386600337405</v>
      </c>
      <c r="AC298" s="116" t="n">
        <f aca="false">AC86</f>
        <v>10.6627076130751</v>
      </c>
      <c r="AD298" s="116" t="n">
        <f aca="false">AD86</f>
        <v>10.7836567184172</v>
      </c>
      <c r="AE298" s="116" t="n">
        <f aca="false">AE86</f>
        <v>10.9014978943872</v>
      </c>
      <c r="AF298" s="116" t="n">
        <f aca="false">AF86</f>
        <v>11.0162198269907</v>
      </c>
    </row>
    <row r="299" customFormat="false" ht="14.25" hidden="false" customHeight="true" outlineLevel="0" collapsed="false">
      <c r="B299" s="144" t="s">
        <v>1291</v>
      </c>
      <c r="C299" s="1" t="n">
        <f aca="false">C286+C291+C296</f>
        <v>9.2625</v>
      </c>
      <c r="D299" s="1" t="n">
        <f aca="false">D286+D291+D296</f>
        <v>10.5005843319697</v>
      </c>
      <c r="E299" s="1" t="n">
        <f aca="false">E286+E291+E296</f>
        <v>11.8898546540016</v>
      </c>
      <c r="F299" s="1" t="n">
        <f aca="false">F286+F291+F296</f>
        <v>18.5684169133116</v>
      </c>
      <c r="G299" s="1" t="n">
        <f aca="false">G286+G291+G296</f>
        <v>14.2357163340233</v>
      </c>
      <c r="H299" s="1" t="n">
        <f aca="false">H286+H291+H296</f>
        <v>15.877651175815</v>
      </c>
      <c r="I299" s="1" t="n">
        <f aca="false">I286+I291+I296</f>
        <v>17.5588629713268</v>
      </c>
      <c r="J299" s="1" t="n">
        <f aca="false">J286+J291+J296</f>
        <v>19.2802600835477</v>
      </c>
      <c r="K299" s="1" t="n">
        <f aca="false">K286+K291+K296</f>
        <v>21.0427715181628</v>
      </c>
      <c r="L299" s="1" t="n">
        <f aca="false">L286+L291+L296</f>
        <v>22.8473474108179</v>
      </c>
      <c r="M299" s="1" t="n">
        <f aca="false">M286+M291+M296</f>
        <v>28.8736843479061</v>
      </c>
      <c r="N299" s="1" t="n">
        <f aca="false">N286+N291+N296</f>
        <v>29.4617859402143</v>
      </c>
      <c r="O299" s="1" t="n">
        <f aca="false">O286+O291+O296</f>
        <v>29.3060623951961</v>
      </c>
      <c r="P299" s="1" t="n">
        <f aca="false">P286+P291+P296</f>
        <v>31.3267846916527</v>
      </c>
      <c r="Q299" s="1" t="n">
        <f aca="false">Q286+Q291+Q296</f>
        <v>33.4029209231198</v>
      </c>
      <c r="R299" s="1" t="n">
        <f aca="false">R286+R291+R296</f>
        <v>27.4433955139317</v>
      </c>
      <c r="S299" s="1" t="n">
        <f aca="false">S286+S291+S296</f>
        <v>27.0731134301411</v>
      </c>
      <c r="T299" s="1" t="n">
        <f aca="false">T286+T291+T296</f>
        <v>27.7030896959803</v>
      </c>
      <c r="U299" s="1" t="n">
        <f aca="false">U286+U291+U296</f>
        <v>28.3484317261517</v>
      </c>
      <c r="V299" s="1" t="n">
        <f aca="false">V286+V291+V296</f>
        <v>29.0094488320255</v>
      </c>
      <c r="W299" s="1" t="n">
        <f aca="false">W286+W291+W296</f>
        <v>28.3115096312371</v>
      </c>
      <c r="X299" s="1" t="n">
        <f aca="false">X286+X291+X296</f>
        <v>28.4824802316841</v>
      </c>
      <c r="Y299" s="1" t="n">
        <f aca="false">Y286+Y291+Y296</f>
        <v>28.7885198383257</v>
      </c>
      <c r="Z299" s="1" t="n">
        <f aca="false">Z286+Z291+Z296</f>
        <v>29.0863544773561</v>
      </c>
      <c r="AA299" s="1" t="n">
        <f aca="false">AA286+AA291+AA296</f>
        <v>29.3759892589642</v>
      </c>
      <c r="AB299" s="1" t="n">
        <f aca="false">AB286+AB291+AB296</f>
        <v>29.6573940196916</v>
      </c>
      <c r="AC299" s="1" t="n">
        <f aca="false">AC286+AC291+AC296</f>
        <v>29.9305436453155</v>
      </c>
      <c r="AD299" s="1" t="n">
        <f aca="false">AD286+AD291+AD296</f>
        <v>30.1954132806972</v>
      </c>
      <c r="AE299" s="1" t="n">
        <f aca="false">AE286+AE291+AE296</f>
        <v>30.4519974869311</v>
      </c>
      <c r="AF299" s="1" t="n">
        <f aca="false">AF286+AF291+AF296</f>
        <v>30.7002362624381</v>
      </c>
    </row>
    <row r="300" customFormat="false" ht="14.25" hidden="false" customHeight="true" outlineLevel="0" collapsed="false">
      <c r="B300" s="144" t="s">
        <v>1292</v>
      </c>
      <c r="C300" s="1" t="n">
        <f aca="false">C285+C290+C295</f>
        <v>0</v>
      </c>
      <c r="D300" s="1" t="n">
        <f aca="false">D285+D290+D295</f>
        <v>1.003395104604</v>
      </c>
      <c r="E300" s="1" t="n">
        <f aca="false">E285+E290+E295</f>
        <v>2.1256859406356</v>
      </c>
      <c r="F300" s="1" t="n">
        <f aca="false">F285+F290+F295</f>
        <v>8.52501000831826</v>
      </c>
      <c r="G300" s="1" t="n">
        <f aca="false">G285+G290+G295</f>
        <v>4.03501827998307</v>
      </c>
      <c r="H300" s="1" t="n">
        <f aca="false">H285+H290+H295</f>
        <v>5.35724757143885</v>
      </c>
      <c r="I300" s="1" t="n">
        <f aca="false">I285+I290+I295</f>
        <v>6.711069128874</v>
      </c>
      <c r="J300" s="1" t="n">
        <f aca="false">J285+J290+J295</f>
        <v>8.09721347321153</v>
      </c>
      <c r="K300" s="1" t="n">
        <f aca="false">K285+K290+K295</f>
        <v>9.51642773241536</v>
      </c>
      <c r="L300" s="1" t="n">
        <f aca="false">L285+L290+L295</f>
        <v>10.9694760331993</v>
      </c>
      <c r="M300" s="1" t="n">
        <f aca="false">M285+M290+M295</f>
        <v>16.6358647241973</v>
      </c>
      <c r="N300" s="1" t="n">
        <f aca="false">N285+N290+N295</f>
        <v>16.7566859016086</v>
      </c>
      <c r="O300" s="1" t="n">
        <f aca="false">O285+O290+O295</f>
        <v>16.1507540159979</v>
      </c>
      <c r="P300" s="1" t="n">
        <f aca="false">P285+P290+P295</f>
        <v>17.7767646489753</v>
      </c>
      <c r="Q300" s="1" t="n">
        <f aca="false">Q285+Q290+Q295</f>
        <v>19.4471521982119</v>
      </c>
      <c r="R300" s="1" t="n">
        <f aca="false">R285+R290+R295</f>
        <v>21.1556400373922</v>
      </c>
      <c r="S300" s="1" t="n">
        <f aca="false">S285+S290+S295</f>
        <v>21.8070712397832</v>
      </c>
      <c r="T300" s="1" t="n">
        <f aca="false">T285+T290+T295</f>
        <v>22.3143298815194</v>
      </c>
      <c r="U300" s="1" t="n">
        <f aca="false">U285+U290+U295</f>
        <v>22.8339397352868</v>
      </c>
      <c r="V300" s="1" t="n">
        <f aca="false">V285+V290+V295</f>
        <v>23.3661504427118</v>
      </c>
      <c r="W300" s="1" t="n">
        <f aca="false">W285+W290+W295</f>
        <v>23.9112415184424</v>
      </c>
      <c r="X300" s="1" t="n">
        <f aca="false">X285+X290+X295</f>
        <v>24.2833646661559</v>
      </c>
      <c r="Y300" s="1" t="n">
        <f aca="false">Y285+Y290+Y295</f>
        <v>24.6255349157151</v>
      </c>
      <c r="Z300" s="1" t="n">
        <f aca="false">Z285+Z290+Z295</f>
        <v>24.9602012986886</v>
      </c>
      <c r="AA300" s="1" t="n">
        <f aca="false">AA285+AA290+AA295</f>
        <v>25.287344506261</v>
      </c>
      <c r="AB300" s="1" t="n">
        <f aca="false">AB285+AB290+AB295</f>
        <v>25.6069484159903</v>
      </c>
      <c r="AC300" s="1" t="n">
        <f aca="false">AC285+AC290+AC295</f>
        <v>25.9189857756194</v>
      </c>
      <c r="AD300" s="1" t="n">
        <f aca="false">AD285+AD290+AD295</f>
        <v>26.2234298487014</v>
      </c>
      <c r="AE300" s="1" t="n">
        <f aca="false">AE285+AE290+AE295</f>
        <v>26.5202543767881</v>
      </c>
      <c r="AF300" s="1" t="n">
        <f aca="false">AF285+AF290+AF295</f>
        <v>26.8094361452866</v>
      </c>
    </row>
    <row r="301" customFormat="false" ht="14.25" hidden="false" customHeight="true" outlineLevel="0" collapsed="false">
      <c r="B301" s="144" t="s">
        <v>1293</v>
      </c>
      <c r="C301" s="1" t="n">
        <f aca="false">C284+C289+C294</f>
        <v>9.2625</v>
      </c>
      <c r="D301" s="1" t="n">
        <f aca="false">D284+D289+D294</f>
        <v>18.7380375</v>
      </c>
      <c r="E301" s="1" t="n">
        <f aca="false">E284+E289+E294</f>
        <v>28.4315123625</v>
      </c>
      <c r="F301" s="1" t="n">
        <f aca="false">F284+F289+F294</f>
        <v>38.3479371468375</v>
      </c>
      <c r="G301" s="1" t="n">
        <f aca="false">G284+G289+G294</f>
        <v>48.4924397012148</v>
      </c>
      <c r="H301" s="1" t="n">
        <f aca="false">H284+H289+H294</f>
        <v>58.8702658143427</v>
      </c>
      <c r="I301" s="1" t="n">
        <f aca="false">I284+I289+I294</f>
        <v>69.4867819280726</v>
      </c>
      <c r="J301" s="1" t="n">
        <f aca="false">J284+J289+J294</f>
        <v>80.3474779124182</v>
      </c>
      <c r="K301" s="1" t="n">
        <f aca="false">K284+K289+K294</f>
        <v>91.4579699044039</v>
      </c>
      <c r="L301" s="1" t="n">
        <f aca="false">L284+L289+L294</f>
        <v>102.824003212205</v>
      </c>
      <c r="M301" s="1" t="n">
        <f aca="false">M284+M289+M294</f>
        <v>114.451455286086</v>
      </c>
      <c r="N301" s="1" t="n">
        <f aca="false">N284+N289+N294</f>
        <v>126.346338757666</v>
      </c>
      <c r="O301" s="1" t="n">
        <f aca="false">O284+O289+O294</f>
        <v>138.514804549092</v>
      </c>
      <c r="P301" s="1" t="n">
        <f aca="false">P284+P289+P294</f>
        <v>150.963145053721</v>
      </c>
      <c r="Q301" s="1" t="n">
        <f aca="false">Q284+Q289+Q294</f>
        <v>163.697797389957</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187.574106377634</v>
      </c>
      <c r="X301" s="1" t="n">
        <f aca="false">X284+X289+X294</f>
        <v>190.222294626746</v>
      </c>
      <c r="Y301" s="1" t="n">
        <f aca="false">Y284+Y289+Y294</f>
        <v>192.812642599303</v>
      </c>
      <c r="Z301" s="1" t="n">
        <f aca="false">Z284+Z289+Z294</f>
        <v>195.344931888338</v>
      </c>
      <c r="AA301" s="1" t="n">
        <f aca="false">AA284+AA289+AA294</f>
        <v>197.818967795286</v>
      </c>
      <c r="AB301" s="1" t="n">
        <f aca="false">AB284+AB289+AB294</f>
        <v>200.234540641069</v>
      </c>
      <c r="AC301" s="1" t="n">
        <f aca="false">AC284+AC289+AC294</f>
        <v>202.591444648427</v>
      </c>
      <c r="AD301" s="1" t="n">
        <f aca="false">AD284+AD289+AD294</f>
        <v>204.889477649926</v>
      </c>
      <c r="AE301" s="1" t="n">
        <f aca="false">AE284+AE289+AE294</f>
        <v>207.128459993357</v>
      </c>
      <c r="AF301" s="1" t="n">
        <f aca="false">AF284+AF289+AF294</f>
        <v>209.308176712824</v>
      </c>
    </row>
    <row r="302" customFormat="false" ht="14.25" hidden="false" customHeight="true" outlineLevel="0" collapsed="false">
      <c r="B302" s="144" t="s">
        <v>1294</v>
      </c>
      <c r="C302" s="1" t="n">
        <f aca="false">C287+C292+C297</f>
        <v>0.376064493932986</v>
      </c>
      <c r="D302" s="1" t="n">
        <f aca="false">D287+D292+D297</f>
        <v>0.767689819672565</v>
      </c>
      <c r="E302" s="1" t="n">
        <f aca="false">E287+E292+E297</f>
        <v>1.16989489950855</v>
      </c>
      <c r="F302" s="1" t="n">
        <f aca="false">F287+F292+F297</f>
        <v>1.54835972928689</v>
      </c>
      <c r="G302" s="1" t="n">
        <f aca="false">G287+G292+G297</f>
        <v>1.97634000329938</v>
      </c>
      <c r="H302" s="1" t="n">
        <f aca="false">H287+H292+H297</f>
        <v>2.4142490088555</v>
      </c>
      <c r="I302" s="1" t="n">
        <f aca="false">I287+I292+I297</f>
        <v>2.86231538800247</v>
      </c>
      <c r="J302" s="1" t="n">
        <f aca="false">J287+J292+J297</f>
        <v>3.32077302749353</v>
      </c>
      <c r="K302" s="1" t="n">
        <f aca="false">K287+K292+K297</f>
        <v>3.78986118011919</v>
      </c>
      <c r="L302" s="1" t="n">
        <f aca="false">L287+L292+L297</f>
        <v>4.26982458879404</v>
      </c>
      <c r="M302" s="1" t="n">
        <f aca="false">M287+M292+M297</f>
        <v>4.78628386916905</v>
      </c>
      <c r="N302" s="1" t="n">
        <f aca="false">N287+N292+N297</f>
        <v>5.30747209536401</v>
      </c>
      <c r="O302" s="1" t="n">
        <f aca="false">O287+O292+O297</f>
        <v>5.8237238232421</v>
      </c>
      <c r="P302" s="1" t="n">
        <f aca="false">P287+P292+P297</f>
        <v>6.35235271403765</v>
      </c>
      <c r="Q302" s="1" t="n">
        <f aca="false">Q287+Q292+Q297</f>
        <v>6.89311708692241</v>
      </c>
      <c r="R302" s="1" t="n">
        <f aca="false">R287+R292+R297</f>
        <v>7.1022216395411</v>
      </c>
      <c r="S302" s="1" t="n">
        <f aca="false">S287+S292+S297</f>
        <v>7.2659835912578</v>
      </c>
      <c r="T302" s="1" t="n">
        <f aca="false">T287+T292+T297</f>
        <v>7.43356142392929</v>
      </c>
      <c r="U302" s="1" t="n">
        <f aca="false">U287+U292+U297</f>
        <v>7.60504041892299</v>
      </c>
      <c r="V302" s="1" t="n">
        <f aca="false">V287+V292+V297</f>
        <v>7.78050955967129</v>
      </c>
      <c r="W302" s="1" t="n">
        <f aca="false">W287+W292+W297</f>
        <v>7.90155257542445</v>
      </c>
      <c r="X302" s="1" t="n">
        <f aca="false">X287+X292+X297</f>
        <v>8.01305948123357</v>
      </c>
      <c r="Y302" s="1" t="n">
        <f aca="false">Y287+Y292+Y297</f>
        <v>8.1221287236075</v>
      </c>
      <c r="Z302" s="1" t="n">
        <f aca="false">Z287+Z292+Z297</f>
        <v>8.22875174889272</v>
      </c>
      <c r="AA302" s="1" t="n">
        <f aca="false">AA287+AA292+AA297</f>
        <v>8.33292101059636</v>
      </c>
      <c r="AB302" s="1" t="n">
        <f aca="false">AB287+AB292+AB297</f>
        <v>8.43462766826379</v>
      </c>
      <c r="AC302" s="1" t="n">
        <f aca="false">AC287+AC292+AC297</f>
        <v>8.53386304657466</v>
      </c>
      <c r="AD302" s="1" t="n">
        <f aca="false">AD287+AD292+AD297</f>
        <v>8.63061862304208</v>
      </c>
      <c r="AE302" s="1" t="n">
        <f aca="false">AE287+AE292+AE297</f>
        <v>8.72488683293928</v>
      </c>
      <c r="AF302" s="1" t="n">
        <f aca="false">AF287+AF292+AF297</f>
        <v>8.8166586076421</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272.736559837801</v>
      </c>
      <c r="G307" s="116" t="n">
        <f aca="false">G81</f>
        <v>285.289088136615</v>
      </c>
      <c r="H307" s="116" t="n">
        <f aca="false">H81</f>
        <v>297.85410785043</v>
      </c>
      <c r="I307" s="116" t="n">
        <f aca="false">I81</f>
        <v>310.430994408494</v>
      </c>
      <c r="J307" s="116" t="n">
        <f aca="false">J81</f>
        <v>323.019154468596</v>
      </c>
      <c r="K307" s="116" t="n">
        <f aca="false">K81</f>
        <v>335.618024355634</v>
      </c>
      <c r="L307" s="116" t="n">
        <f aca="false">L81</f>
        <v>348.22706857826</v>
      </c>
      <c r="M307" s="116" t="n">
        <f aca="false">M81</f>
        <v>359.045237493698</v>
      </c>
      <c r="N307" s="116" t="n">
        <f aca="false">N81</f>
        <v>368.827733072991</v>
      </c>
      <c r="O307" s="116" t="n">
        <f aca="false">O81</f>
        <v>377.958009923497</v>
      </c>
      <c r="P307" s="116" t="n">
        <f aca="false">P81</f>
        <v>384.686749153093</v>
      </c>
      <c r="Q307" s="116" t="n">
        <f aca="false">Q81</f>
        <v>391.689483621522</v>
      </c>
      <c r="R307" s="116" t="n">
        <f aca="false">R81</f>
        <v>398.873461089864</v>
      </c>
      <c r="S307" s="116" t="n">
        <f aca="false">S81</f>
        <v>405.916012395284</v>
      </c>
      <c r="T307" s="116" t="n">
        <f aca="false">T81</f>
        <v>412.864479785111</v>
      </c>
      <c r="U307" s="116" t="n">
        <f aca="false">U81</f>
        <v>419.729585941705</v>
      </c>
      <c r="V307" s="116" t="n">
        <f aca="false">V81</f>
        <v>426.51326985247</v>
      </c>
      <c r="W307" s="116" t="n">
        <f aca="false">W81</f>
        <v>433.084996479596</v>
      </c>
      <c r="X307" s="116" t="n">
        <f aca="false">X81</f>
        <v>439.44799495197</v>
      </c>
      <c r="Y307" s="116" t="n">
        <f aca="false">Y81</f>
        <v>445.683381814887</v>
      </c>
      <c r="Z307" s="116" t="n">
        <f aca="false">Z81</f>
        <v>451.787297503722</v>
      </c>
      <c r="AA307" s="116" t="n">
        <f aca="false">AA81</f>
        <v>457.755893379863</v>
      </c>
      <c r="AB307" s="116" t="n">
        <f aca="false">AB81</f>
        <v>463.588725429459</v>
      </c>
      <c r="AC307" s="116" t="n">
        <f aca="false">AC81</f>
        <v>469.285354650465</v>
      </c>
      <c r="AD307" s="116" t="n">
        <f aca="false">AD81</f>
        <v>474.845346382784</v>
      </c>
      <c r="AE307" s="116" t="n">
        <f aca="false">AE81</f>
        <v>480.268269665043</v>
      </c>
      <c r="AF307" s="116" t="n">
        <f aca="false">AF81</f>
        <v>485.553696616389</v>
      </c>
    </row>
    <row r="308" customFormat="false" ht="14.25" hidden="false" customHeight="true" outlineLevel="0" collapsed="false">
      <c r="B308" s="84" t="s">
        <v>1300</v>
      </c>
      <c r="C308" s="1" t="n">
        <f aca="false">C301</f>
        <v>9.2625</v>
      </c>
      <c r="D308" s="1" t="n">
        <f aca="false">D301</f>
        <v>18.7380375</v>
      </c>
      <c r="E308" s="1" t="n">
        <f aca="false">E301</f>
        <v>28.4315123625</v>
      </c>
      <c r="F308" s="1" t="n">
        <f aca="false">F301</f>
        <v>38.3479371468375</v>
      </c>
      <c r="G308" s="1" t="n">
        <f aca="false">G301</f>
        <v>48.4924397012148</v>
      </c>
      <c r="H308" s="1" t="n">
        <f aca="false">H301</f>
        <v>58.8702658143427</v>
      </c>
      <c r="I308" s="1" t="n">
        <f aca="false">I301</f>
        <v>69.4867819280726</v>
      </c>
      <c r="J308" s="1" t="n">
        <f aca="false">J301</f>
        <v>80.3474779124182</v>
      </c>
      <c r="K308" s="1" t="n">
        <f aca="false">K301</f>
        <v>91.4579699044039</v>
      </c>
      <c r="L308" s="1" t="n">
        <f aca="false">L301</f>
        <v>102.824003212205</v>
      </c>
      <c r="M308" s="1" t="n">
        <f aca="false">M301</f>
        <v>114.451455286086</v>
      </c>
      <c r="N308" s="1" t="n">
        <f aca="false">N301</f>
        <v>126.346338757666</v>
      </c>
      <c r="O308" s="1" t="n">
        <f aca="false">O301</f>
        <v>138.514804549092</v>
      </c>
      <c r="P308" s="1" t="n">
        <f aca="false">P301</f>
        <v>150.963145053721</v>
      </c>
      <c r="Q308" s="1" t="n">
        <f aca="false">Q301</f>
        <v>163.697797389957</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187.574106377634</v>
      </c>
      <c r="X308" s="1" t="n">
        <f aca="false">X301</f>
        <v>190.222294626746</v>
      </c>
      <c r="Y308" s="1" t="n">
        <f aca="false">Y301</f>
        <v>192.812642599303</v>
      </c>
      <c r="Z308" s="1" t="n">
        <f aca="false">Z301</f>
        <v>195.344931888338</v>
      </c>
      <c r="AA308" s="1" t="n">
        <f aca="false">AA301</f>
        <v>197.818967795286</v>
      </c>
      <c r="AB308" s="1" t="n">
        <f aca="false">AB301</f>
        <v>200.234540641069</v>
      </c>
      <c r="AC308" s="1" t="n">
        <f aca="false">AC301</f>
        <v>202.591444648427</v>
      </c>
      <c r="AD308" s="1" t="n">
        <f aca="false">AD301</f>
        <v>204.889477649926</v>
      </c>
      <c r="AE308" s="1" t="n">
        <f aca="false">AE301</f>
        <v>207.128459993357</v>
      </c>
      <c r="AF308" s="1" t="n">
        <f aca="false">AF301</f>
        <v>209.308176712824</v>
      </c>
    </row>
    <row r="309" customFormat="false" ht="14.25" hidden="false" customHeight="true" outlineLevel="0" collapsed="false">
      <c r="B309" s="84" t="s">
        <v>1301</v>
      </c>
      <c r="C309" s="1" t="n">
        <f aca="false">C307-C308</f>
        <v>49.8818938619143</v>
      </c>
      <c r="D309" s="1" t="n">
        <f aca="false">D307-D308</f>
        <v>78.5007326116566</v>
      </c>
      <c r="E309" s="1" t="n">
        <f aca="false">E307-E308</f>
        <v>102.679323445134</v>
      </c>
      <c r="F309" s="1" t="n">
        <f aca="false">F307-F308</f>
        <v>234.388622690963</v>
      </c>
      <c r="G309" s="1" t="n">
        <f aca="false">G307-G308</f>
        <v>236.7966484354</v>
      </c>
      <c r="H309" s="1" t="n">
        <f aca="false">H307-H308</f>
        <v>238.983842036087</v>
      </c>
      <c r="I309" s="1" t="n">
        <f aca="false">I307-I308</f>
        <v>240.944212480422</v>
      </c>
      <c r="J309" s="1" t="n">
        <f aca="false">J307-J308</f>
        <v>242.671676556178</v>
      </c>
      <c r="K309" s="1" t="n">
        <f aca="false">K307-K308</f>
        <v>244.16005445123</v>
      </c>
      <c r="L309" s="1" t="n">
        <f aca="false">L307-L308</f>
        <v>245.403065366055</v>
      </c>
      <c r="M309" s="1" t="n">
        <f aca="false">M307-M308</f>
        <v>244.593782207612</v>
      </c>
      <c r="N309" s="1" t="n">
        <f aca="false">N307-N308</f>
        <v>242.481394315325</v>
      </c>
      <c r="O309" s="1" t="n">
        <f aca="false">O307-O308</f>
        <v>239.443205374405</v>
      </c>
      <c r="P309" s="1" t="n">
        <f aca="false">P307-P308</f>
        <v>233.723604099372</v>
      </c>
      <c r="Q309" s="1" t="n">
        <f aca="false">Q307-Q308</f>
        <v>227.991686231566</v>
      </c>
      <c r="R309" s="1" t="n">
        <f aca="false">R307-R308</f>
        <v>230.231119084551</v>
      </c>
      <c r="S309" s="1" t="n">
        <f aca="false">S307-S308</f>
        <v>233.394896523849</v>
      </c>
      <c r="T309" s="1" t="n">
        <f aca="false">T307-T308</f>
        <v>236.375378248633</v>
      </c>
      <c r="U309" s="1" t="n">
        <f aca="false">U307-U308</f>
        <v>239.181235069888</v>
      </c>
      <c r="V309" s="1" t="n">
        <f aca="false">V307-V308</f>
        <v>241.812306910601</v>
      </c>
      <c r="W309" s="1" t="n">
        <f aca="false">W307-W308</f>
        <v>245.510890101962</v>
      </c>
      <c r="X309" s="1" t="n">
        <f aca="false">X307-X308</f>
        <v>249.225700325225</v>
      </c>
      <c r="Y309" s="1" t="n">
        <f aca="false">Y307-Y308</f>
        <v>252.870739215584</v>
      </c>
      <c r="Z309" s="1" t="n">
        <f aca="false">Z307-Z308</f>
        <v>256.442365615383</v>
      </c>
      <c r="AA309" s="1" t="n">
        <f aca="false">AA307-AA308</f>
        <v>259.936925584577</v>
      </c>
      <c r="AB309" s="1" t="n">
        <f aca="false">AB307-AB308</f>
        <v>263.35418478839</v>
      </c>
      <c r="AC309" s="1" t="n">
        <f aca="false">AC307-AC308</f>
        <v>266.693910002038</v>
      </c>
      <c r="AD309" s="1" t="n">
        <f aca="false">AD307-AD308</f>
        <v>269.955868732858</v>
      </c>
      <c r="AE309" s="1" t="n">
        <f aca="false">AE307-AE308</f>
        <v>273.139809671686</v>
      </c>
      <c r="AF309" s="1" t="n">
        <f aca="false">AF307-AF308</f>
        <v>276.245519903565</v>
      </c>
    </row>
    <row r="310" customFormat="false" ht="14.25" hidden="false" customHeight="true" outlineLevel="0" collapsed="false">
      <c r="B310" s="84" t="s">
        <v>1302</v>
      </c>
      <c r="C310" s="1" t="n">
        <f aca="false">IF(C307&gt;0,100*C308/C307,0)</f>
        <v>15.6608249661419</v>
      </c>
      <c r="D310" s="1" t="n">
        <f aca="false">IF(D307&gt;0,100*D308/D307,0)</f>
        <v>19.2701300916122</v>
      </c>
      <c r="E310" s="1" t="n">
        <f aca="false">IF(E307&gt;0,100*E308/E307,0)</f>
        <v>21.6850973356731</v>
      </c>
      <c r="F310" s="1" t="n">
        <f aca="false">IF(F307&gt;0,100*F308/F307,0)</f>
        <v>14.0604314909755</v>
      </c>
      <c r="G310" s="1" t="n">
        <f aca="false">IF(G307&gt;0,100*G308/G307,0)</f>
        <v>16.9976496535309</v>
      </c>
      <c r="H310" s="1" t="n">
        <f aca="false">IF(H307&gt;0,100*H308/H307,0)</f>
        <v>19.7647990283568</v>
      </c>
      <c r="I310" s="1" t="n">
        <f aca="false">IF(I307&gt;0,100*I308/I307,0)</f>
        <v>22.383970408778</v>
      </c>
      <c r="J310" s="1" t="n">
        <f aca="false">IF(J307&gt;0,100*J308/J307,0)</f>
        <v>24.8739050922844</v>
      </c>
      <c r="K310" s="1" t="n">
        <f aca="false">IF(K307&gt;0,100*K308/K307,0)</f>
        <v>27.2506132768041</v>
      </c>
      <c r="L310" s="1" t="n">
        <f aca="false">IF(L307&gt;0,100*L308/L307,0)</f>
        <v>29.5278605514541</v>
      </c>
      <c r="M310" s="1" t="n">
        <f aca="false">IF(M307&gt;0,100*M308/M307,0)</f>
        <v>31.8766114501365</v>
      </c>
      <c r="N310" s="1" t="n">
        <f aca="false">IF(N307&gt;0,100*N308/N307,0)</f>
        <v>34.2561926417453</v>
      </c>
      <c r="O310" s="1" t="n">
        <f aca="false">IF(O307&gt;0,100*O308/O307,0)</f>
        <v>36.6481992476172</v>
      </c>
      <c r="P310" s="1" t="n">
        <f aca="false">IF(P307&gt;0,100*P308/P307,0)</f>
        <v>39.2431362364506</v>
      </c>
      <c r="Q310" s="1" t="n">
        <f aca="false">IF(Q307&gt;0,100*Q308/Q307,0)</f>
        <v>41.7927476317268</v>
      </c>
      <c r="R310" s="1" t="n">
        <f aca="false">IF(R307&gt;0,100*R308/R307,0)</f>
        <v>42.2796597057428</v>
      </c>
      <c r="S310" s="1" t="n">
        <f aca="false">IF(S307&gt;0,100*S308/S307,0)</f>
        <v>42.501677835619</v>
      </c>
      <c r="T310" s="1" t="n">
        <f aca="false">IF(T307&gt;0,100*T308/T307,0)</f>
        <v>42.7474656159177</v>
      </c>
      <c r="U310" s="1" t="n">
        <f aca="false">IF(U307&gt;0,100*U308/U307,0)</f>
        <v>43.0153977510875</v>
      </c>
      <c r="V310" s="1" t="n">
        <f aca="false">IF(V307&gt;0,100*V308/V307,0)</f>
        <v>43.3048573156367</v>
      </c>
      <c r="W310" s="1" t="n">
        <f aca="false">IF(W307&gt;0,100*W308/W307,0)</f>
        <v>43.3111532152722</v>
      </c>
      <c r="X310" s="1" t="n">
        <f aca="false">IF(X307&gt;0,100*X308/X307,0)</f>
        <v>43.2866452485547</v>
      </c>
      <c r="Y310" s="1" t="n">
        <f aca="false">IF(Y307&gt;0,100*Y308/Y307,0)</f>
        <v>43.2622463539345</v>
      </c>
      <c r="Z310" s="1" t="n">
        <f aca="false">IF(Z307&gt;0,100*Z308/Z307,0)</f>
        <v>43.2382523740011</v>
      </c>
      <c r="AA310" s="1" t="n">
        <f aca="false">IF(AA307&gt;0,100*AA308/AA307,0)</f>
        <v>43.2149472363272</v>
      </c>
      <c r="AB310" s="1" t="n">
        <f aca="false">IF(AB307&gt;0,100*AB308/AB307,0)</f>
        <v>43.1922800658226</v>
      </c>
      <c r="AC310" s="1" t="n">
        <f aca="false">IF(AC307&gt;0,100*AC308/AC307,0)</f>
        <v>43.170203936861</v>
      </c>
      <c r="AD310" s="1" t="n">
        <f aca="false">IF(AD307&gt;0,100*AD308/AD307,0)</f>
        <v>43.1486755026046</v>
      </c>
      <c r="AE310" s="1" t="n">
        <f aca="false">IF(AE307&gt;0,100*AE308/AE307,0)</f>
        <v>43.1276586599852</v>
      </c>
      <c r="AF310" s="1" t="n">
        <f aca="false">IF(AF307&gt;0,100*AF308/AF307,0)</f>
        <v>43.1071121837607</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12.0384856508805</v>
      </c>
      <c r="G313" s="116" t="n">
        <f aca="false">G111</f>
        <v>11.9686104803045</v>
      </c>
      <c r="H313" s="116" t="n">
        <f aca="false">H111</f>
        <v>11.9220198581063</v>
      </c>
      <c r="I313" s="116" t="n">
        <f aca="false">I111</f>
        <v>11.8972211454721</v>
      </c>
      <c r="J313" s="116" t="n">
        <f aca="false">J111</f>
        <v>11.8928175157697</v>
      </c>
      <c r="K313" s="116" t="n">
        <f aca="false">K111</f>
        <v>11.9075017979621</v>
      </c>
      <c r="L313" s="116" t="n">
        <f aca="false">L111</f>
        <v>11.9400507159457</v>
      </c>
      <c r="M313" s="116" t="n">
        <f aca="false">M111</f>
        <v>12.0815481177673</v>
      </c>
      <c r="N313" s="116" t="n">
        <f aca="false">N111</f>
        <v>12.2891228407001</v>
      </c>
      <c r="O313" s="116" t="n">
        <f aca="false">O111</f>
        <v>12.550086887955</v>
      </c>
      <c r="P313" s="116" t="n">
        <f aca="false">P111</f>
        <v>13.0189356222772</v>
      </c>
      <c r="Q313" s="116" t="n">
        <f aca="false">Q111</f>
        <v>13.47639191512</v>
      </c>
      <c r="R313" s="116" t="n">
        <f aca="false">R111</f>
        <v>13.9181912001575</v>
      </c>
      <c r="S313" s="116" t="n">
        <f aca="false">S111</f>
        <v>14.3450258769335</v>
      </c>
      <c r="T313" s="116" t="n">
        <f aca="false">T111</f>
        <v>14.7575434190715</v>
      </c>
      <c r="U313" s="116" t="n">
        <f aca="false">U111</f>
        <v>15.1563492852328</v>
      </c>
      <c r="V313" s="116" t="n">
        <f aca="false">V111</f>
        <v>15.5420096416592</v>
      </c>
      <c r="W313" s="116" t="n">
        <f aca="false">W111</f>
        <v>15.9150539084887</v>
      </c>
      <c r="X313" s="116" t="n">
        <f aca="false">X111</f>
        <v>16.2759771412383</v>
      </c>
      <c r="Y313" s="116" t="n">
        <f aca="false">Y111</f>
        <v>16.6252422581189</v>
      </c>
      <c r="Z313" s="116" t="n">
        <f aca="false">Z111</f>
        <v>16.9632821231507</v>
      </c>
      <c r="AA313" s="116" t="n">
        <f aca="false">AA111</f>
        <v>17.2905014944087</v>
      </c>
      <c r="AB313" s="116" t="n">
        <f aca="false">AB111</f>
        <v>17.6072788461221</v>
      </c>
      <c r="AC313" s="116" t="n">
        <f aca="false">AC111</f>
        <v>17.9139680727869</v>
      </c>
      <c r="AD313" s="116" t="n">
        <f aca="false">AD111</f>
        <v>18.2109000829274</v>
      </c>
      <c r="AE313" s="116" t="n">
        <f aca="false">AE111</f>
        <v>18.4983842896424</v>
      </c>
      <c r="AF313" s="116" t="n">
        <f aca="false">AF111</f>
        <v>18.7767100046174</v>
      </c>
    </row>
    <row r="314" customFormat="false" ht="14.25" hidden="false" customHeight="true" outlineLevel="0" collapsed="false">
      <c r="B314" s="84" t="s">
        <v>1306</v>
      </c>
      <c r="C314" s="1" t="n">
        <f aca="false">C302</f>
        <v>0.376064493932986</v>
      </c>
      <c r="D314" s="1" t="n">
        <f aca="false">D302</f>
        <v>0.767689819672565</v>
      </c>
      <c r="E314" s="1" t="n">
        <f aca="false">E302</f>
        <v>1.16989489950855</v>
      </c>
      <c r="F314" s="1" t="n">
        <f aca="false">F302</f>
        <v>1.54835972928689</v>
      </c>
      <c r="G314" s="1" t="n">
        <f aca="false">G302</f>
        <v>1.97634000329938</v>
      </c>
      <c r="H314" s="1" t="n">
        <f aca="false">H302</f>
        <v>2.4142490088555</v>
      </c>
      <c r="I314" s="1" t="n">
        <f aca="false">I302</f>
        <v>2.86231538800247</v>
      </c>
      <c r="J314" s="1" t="n">
        <f aca="false">J302</f>
        <v>3.32077302749353</v>
      </c>
      <c r="K314" s="1" t="n">
        <f aca="false">K302</f>
        <v>3.78986118011919</v>
      </c>
      <c r="L314" s="1" t="n">
        <f aca="false">L302</f>
        <v>4.26982458879404</v>
      </c>
      <c r="M314" s="1" t="n">
        <f aca="false">M302</f>
        <v>4.78628386916905</v>
      </c>
      <c r="N314" s="1" t="n">
        <f aca="false">N302</f>
        <v>5.30747209536401</v>
      </c>
      <c r="O314" s="1" t="n">
        <f aca="false">O302</f>
        <v>5.8237238232421</v>
      </c>
      <c r="P314" s="1" t="n">
        <f aca="false">P302</f>
        <v>6.35235271403765</v>
      </c>
      <c r="Q314" s="1" t="n">
        <f aca="false">Q302</f>
        <v>6.89311708692241</v>
      </c>
      <c r="R314" s="1" t="n">
        <f aca="false">R302</f>
        <v>7.1022216395411</v>
      </c>
      <c r="S314" s="1" t="n">
        <f aca="false">S302</f>
        <v>7.2659835912578</v>
      </c>
      <c r="T314" s="1" t="n">
        <f aca="false">T302</f>
        <v>7.43356142392929</v>
      </c>
      <c r="U314" s="1" t="n">
        <f aca="false">U302</f>
        <v>7.60504041892299</v>
      </c>
      <c r="V314" s="1" t="n">
        <f aca="false">V302</f>
        <v>7.78050955967129</v>
      </c>
      <c r="W314" s="1" t="n">
        <f aca="false">W302</f>
        <v>7.90155257542445</v>
      </c>
      <c r="X314" s="1" t="n">
        <f aca="false">X302</f>
        <v>8.01305948123357</v>
      </c>
      <c r="Y314" s="1" t="n">
        <f aca="false">Y302</f>
        <v>8.1221287236075</v>
      </c>
      <c r="Z314" s="1" t="n">
        <f aca="false">Z302</f>
        <v>8.22875174889272</v>
      </c>
      <c r="AA314" s="1" t="n">
        <f aca="false">AA302</f>
        <v>8.33292101059636</v>
      </c>
      <c r="AB314" s="1" t="n">
        <f aca="false">AB302</f>
        <v>8.43462766826379</v>
      </c>
      <c r="AC314" s="1" t="n">
        <f aca="false">AC302</f>
        <v>8.53386304657466</v>
      </c>
      <c r="AD314" s="1" t="n">
        <f aca="false">AD302</f>
        <v>8.63061862304208</v>
      </c>
      <c r="AE314" s="1" t="n">
        <f aca="false">AE302</f>
        <v>8.72488683293928</v>
      </c>
      <c r="AF314" s="1" t="n">
        <f aca="false">AF302</f>
        <v>8.8166586076421</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52.2444175987078</v>
      </c>
      <c r="D316" s="1" t="n">
        <f aca="false">IF(D313&gt;0,100*(D314+D315)/D313,0)</f>
        <v>42.6300405640515</v>
      </c>
      <c r="E316" s="1" t="n">
        <f aca="false">IF(E313&gt;0,100*(E314+E315)/E313,0)</f>
        <v>40.3961029298429</v>
      </c>
      <c r="F316" s="1" t="n">
        <f aca="false">IF(F313&gt;0,100*(F314+F315)/F313,0)</f>
        <v>22.4333257218225</v>
      </c>
      <c r="G316" s="1" t="n">
        <f aca="false">IF(G313&gt;0,100*(G314+G315)/G313,0)</f>
        <v>26.3808384562599</v>
      </c>
      <c r="H316" s="1" t="n">
        <f aca="false">IF(H313&gt;0,100*(H314+H315)/H313,0)</f>
        <v>30.4047119514212</v>
      </c>
      <c r="I316" s="1" t="n">
        <f aca="false">IF(I313&gt;0,100*(I314+I315)/I313,0)</f>
        <v>34.4886196139328</v>
      </c>
      <c r="J316" s="1" t="n">
        <f aca="false">IF(J313&gt;0,100*(J314+J315)/J313,0)</f>
        <v>38.617146675535</v>
      </c>
      <c r="K316" s="1" t="n">
        <f aca="false">IF(K313&gt;0,100*(K314+K315)/K313,0)</f>
        <v>42.7759942167428</v>
      </c>
      <c r="L316" s="1" t="n">
        <f aca="false">IF(L313&gt;0,100*(L314+L315)/L313,0)</f>
        <v>46.952128596499</v>
      </c>
      <c r="M316" s="1" t="n">
        <f aca="false">IF(M313&gt;0,100*(M314+M315)/M313,0)</f>
        <v>50.9535224414336</v>
      </c>
      <c r="N316" s="1" t="n">
        <f aca="false">IF(N313&gt;0,100*(N314+N315)/N313,0)</f>
        <v>54.6125619070549</v>
      </c>
      <c r="O316" s="1" t="n">
        <f aca="false">IF(O313&gt;0,100*(O314+O315)/O313,0)</f>
        <v>57.870156039765</v>
      </c>
      <c r="P316" s="1" t="n">
        <f aca="false">IF(P313&gt;0,100*(P314+P315)/P313,0)</f>
        <v>60.122883768133</v>
      </c>
      <c r="Q316" s="1" t="n">
        <f aca="false">IF(Q313&gt;0,100*(Q314+Q315)/Q313,0)</f>
        <v>62.3683188222975</v>
      </c>
      <c r="R316" s="1" t="n">
        <f aca="false">IF(R313&gt;0,100*(R314+R315)/R313,0)</f>
        <v>62.1625364479556</v>
      </c>
      <c r="S316" s="1" t="n">
        <f aca="false">IF(S313&gt;0,100*(S314+S315)/S313,0)</f>
        <v>61.7245634920904</v>
      </c>
      <c r="T316" s="1" t="n">
        <f aca="false">IF(T313&gt;0,100*(T314+T315)/T313,0)</f>
        <v>61.4038035061996</v>
      </c>
      <c r="U316" s="1" t="n">
        <f aca="false">IF(U313&gt;0,100*(U314+U315)/U313,0)</f>
        <v>61.1880544076979</v>
      </c>
      <c r="V316" s="1" t="n">
        <f aca="false">IF(V313&gt;0,100*(V314+V315)/V313,0)</f>
        <v>61.0671687712493</v>
      </c>
      <c r="W316" s="1" t="n">
        <f aca="false">IF(W313&gt;0,100*(W314+W315)/W313,0)</f>
        <v>60.6650296131609</v>
      </c>
      <c r="X316" s="1" t="n">
        <f aca="false">IF(X313&gt;0,100*(X314+X315)/X313,0)</f>
        <v>60.2741818631953</v>
      </c>
      <c r="Y316" s="1" t="n">
        <f aca="false">IF(Y313&gt;0,100*(Y314+Y315)/Y313,0)</f>
        <v>59.9342251037107</v>
      </c>
      <c r="Z316" s="1" t="n">
        <f aca="false">IF(Z313&gt;0,100*(Z314+Z315)/Z313,0)</f>
        <v>59.6399040335576</v>
      </c>
      <c r="AA316" s="1" t="n">
        <f aca="false">IF(AA313&gt;0,100*(AA314+AA315)/AA313,0)</f>
        <v>59.3866972567001</v>
      </c>
      <c r="AB316" s="1" t="n">
        <f aca="false">IF(AB313&gt;0,100*(AB314+AB315)/AB313,0)</f>
        <v>59.1706869898474</v>
      </c>
      <c r="AC316" s="1" t="n">
        <f aca="false">IF(AC313&gt;0,100*(AC314+AC315)/AC313,0)</f>
        <v>58.9884730924694</v>
      </c>
      <c r="AD316" s="1" t="n">
        <f aca="false">IF(AD313&gt;0,100*(AD314+AD315)/AD313,0)</f>
        <v>58.8370953320852</v>
      </c>
      <c r="AE316" s="1" t="n">
        <f aca="false">IF(AE313&gt;0,100*(AE314+AE315)/AE313,0)</f>
        <v>58.7139737879206</v>
      </c>
      <c r="AF316" s="1" t="n">
        <f aca="false">IF(AF313&gt;0,100*(AF314+AF315)/AF313,0)</f>
        <v>58.6168424434178</v>
      </c>
    </row>
    <row r="317" customFormat="false" ht="14.25" hidden="false" customHeight="true" outlineLevel="0" collapsed="false">
      <c r="B317" s="1" t="s">
        <v>1309</v>
      </c>
      <c r="C317" s="1" t="n">
        <f aca="false">$C$329*C291</f>
        <v>0.837200124807176</v>
      </c>
      <c r="D317" s="1" t="n">
        <f aca="false">$C$329*D291</f>
        <v>2.07043306797185</v>
      </c>
      <c r="E317" s="1" t="n">
        <f aca="false">$C$329*E291</f>
        <v>2.74504684310502</v>
      </c>
      <c r="F317" s="1" t="n">
        <f aca="false">$C$329*F291</f>
        <v>-5.73615229389664E-016</v>
      </c>
      <c r="G317" s="1" t="n">
        <f aca="false">$C$329*G291</f>
        <v>3.79206534658395</v>
      </c>
      <c r="H317" s="1" t="n">
        <f aca="false">$C$329*H291</f>
        <v>4.57644575196741</v>
      </c>
      <c r="I317" s="1" t="n">
        <f aca="false">$C$329*I291</f>
        <v>5.38157504055683</v>
      </c>
      <c r="J317" s="1" t="n">
        <f aca="false">$C$329*J291</f>
        <v>6.20793712179145</v>
      </c>
      <c r="K317" s="1" t="n">
        <f aca="false">$C$329*K291</f>
        <v>7.05602670077134</v>
      </c>
      <c r="L317" s="1" t="n">
        <f aca="false">$C$329*L291</f>
        <v>7.92634954327039</v>
      </c>
      <c r="M317" s="1" t="n">
        <f aca="false">$C$329*M291</f>
        <v>12.6364780790579</v>
      </c>
      <c r="N317" s="1" t="n">
        <f aca="false">$C$329*N291</f>
        <v>13.3458412452515</v>
      </c>
      <c r="O317" s="1" t="n">
        <f aca="false">$C$329*O291</f>
        <v>12.3772080632737</v>
      </c>
      <c r="P317" s="1" t="n">
        <f aca="false">$C$329*P291</f>
        <v>13.4786661888081</v>
      </c>
      <c r="Q317" s="1" t="n">
        <f aca="false">$C$329*Q291</f>
        <v>14.5420183457225</v>
      </c>
      <c r="R317" s="1" t="n">
        <f aca="false">$C$329*R291</f>
        <v>12.506552457567</v>
      </c>
      <c r="S317" s="1" t="n">
        <f aca="false">$C$329*S291</f>
        <v>12.4528952827633</v>
      </c>
      <c r="T317" s="1" t="n">
        <f aca="false">$C$329*T291</f>
        <v>12.7595951285632</v>
      </c>
      <c r="U317" s="1" t="n">
        <f aca="false">$C$329*U291</f>
        <v>13.0745199286332</v>
      </c>
      <c r="V317" s="1" t="n">
        <f aca="false">$C$329*V291</f>
        <v>13.3980430040581</v>
      </c>
      <c r="W317" s="1" t="n">
        <f aca="false">$C$329*W291</f>
        <v>13.2025234587639</v>
      </c>
      <c r="X317" s="1" t="n">
        <f aca="false">$C$329*X291</f>
        <v>13.3130305974579</v>
      </c>
      <c r="Y317" s="1" t="n">
        <f aca="false">$C$329*Y291</f>
        <v>13.4689697739943</v>
      </c>
      <c r="Z317" s="1" t="n">
        <f aca="false">$C$329*Z291</f>
        <v>13.6210542797968</v>
      </c>
      <c r="AA317" s="1" t="n">
        <f aca="false">$C$329*AA291</f>
        <v>13.7692986804086</v>
      </c>
      <c r="AB317" s="1" t="n">
        <f aca="false">$C$329*AB291</f>
        <v>13.9136060052795</v>
      </c>
      <c r="AC317" s="1" t="n">
        <f aca="false">$C$329*AC291</f>
        <v>14.053963432271</v>
      </c>
      <c r="AD317" s="1" t="n">
        <f aca="false">$C$329*AD291</f>
        <v>14.1903583293484</v>
      </c>
      <c r="AE317" s="1" t="n">
        <f aca="false">$C$329*AE291</f>
        <v>14.3227856573515</v>
      </c>
      <c r="AF317" s="1" t="n">
        <f aca="false">$C$329*AF291</f>
        <v>14.451219823051</v>
      </c>
    </row>
    <row r="318" customFormat="false" ht="14.25" hidden="false" customHeight="true" outlineLevel="0" collapsed="false">
      <c r="B318" s="146" t="s">
        <v>1310</v>
      </c>
      <c r="C318" s="1" t="n">
        <f aca="false">$C$329*(C290+(1-$C$279)*C332)</f>
        <v>0</v>
      </c>
      <c r="D318" s="1" t="n">
        <f aca="false">$C$329*(D290+(1-$C$279)*D332)</f>
        <v>0.168695825148646</v>
      </c>
      <c r="E318" s="1" t="n">
        <f aca="false">$C$329*(E290+(1-$C$279)*E332)</f>
        <v>0.550799356714055</v>
      </c>
      <c r="F318" s="1" t="n">
        <f aca="false">$C$329*(F290+(1-$C$279)*F332)</f>
        <v>2.70516783873106</v>
      </c>
      <c r="G318" s="1" t="n">
        <f aca="false">$C$329*(G290+(1-$C$279)*G332)</f>
        <v>0.437837869707764</v>
      </c>
      <c r="H318" s="1" t="n">
        <f aca="false">$C$329*(H290+(1-$C$279)*H332)</f>
        <v>1.11086876014522</v>
      </c>
      <c r="I318" s="1" t="n">
        <f aca="false">$C$329*(I290+(1-$C$279)*I332)</f>
        <v>1.80196187705644</v>
      </c>
      <c r="J318" s="1" t="n">
        <f aca="false">$C$329*(J290+(1-$C$279)*J332)</f>
        <v>2.5115411773009</v>
      </c>
      <c r="K318" s="1" t="n">
        <f aca="false">$C$329*(K290+(1-$C$279)*K332)</f>
        <v>3.24003994246329</v>
      </c>
      <c r="L318" s="1" t="n">
        <f aca="false">$C$329*(L290+(1-$C$279)*L332)</f>
        <v>3.98790101463635</v>
      </c>
      <c r="M318" s="1" t="n">
        <f aca="false">$C$329*(M290+(1-$C$279)*M332)</f>
        <v>4.75557703656097</v>
      </c>
      <c r="N318" s="1" t="n">
        <f aca="false">$C$329*(N290+(1-$C$279)*N332)</f>
        <v>6.31266734588646</v>
      </c>
      <c r="O318" s="1" t="n">
        <f aca="false">$C$329*(O290+(1-$C$279)*O332)</f>
        <v>7.68881954886025</v>
      </c>
      <c r="P318" s="1" t="n">
        <f aca="false">$C$329*(P290+(1-$C$279)*P332)</f>
        <v>8.58355250744698</v>
      </c>
      <c r="Q318" s="1" t="n">
        <f aca="false">$C$329*(Q290+(1-$C$279)*Q332)</f>
        <v>9.51412482294284</v>
      </c>
      <c r="R318" s="1" t="n">
        <f aca="false">$C$329*(R290+(1-$C$279)*R332)</f>
        <v>10.4654035564338</v>
      </c>
      <c r="S318" s="1" t="n">
        <f aca="false">$C$329*(S290+(1-$C$279)*S332)</f>
        <v>10.8086699368953</v>
      </c>
      <c r="T318" s="1" t="n">
        <f aca="false">$C$329*(T290+(1-$C$279)*T332)</f>
        <v>11.0697249894979</v>
      </c>
      <c r="U318" s="1" t="n">
        <f aca="false">$C$329*(U290+(1-$C$279)*U332)</f>
        <v>11.3382806100878</v>
      </c>
      <c r="V318" s="1" t="n">
        <f aca="false">$C$329*(V290+(1-$C$279)*V332)</f>
        <v>11.6144340088092</v>
      </c>
      <c r="W318" s="1" t="n">
        <f aca="false">$C$329*(W290+(1-$C$279)*W332)</f>
        <v>11.8983374002946</v>
      </c>
      <c r="X318" s="1" t="n">
        <f aca="false">$C$329*(X290+(1-$C$279)*X332)</f>
        <v>12.0837916979742</v>
      </c>
      <c r="Y318" s="1" t="n">
        <f aca="false">$C$329*(Y290+(1-$C$279)*Y332)</f>
        <v>12.2529386901833</v>
      </c>
      <c r="Z318" s="1" t="n">
        <f aca="false">$C$329*(Z290+(1-$C$279)*Z332)</f>
        <v>12.4183248520851</v>
      </c>
      <c r="AA318" s="1" t="n">
        <f aca="false">$C$329*(AA290+(1-$C$279)*AA332)</f>
        <v>12.5799557202304</v>
      </c>
      <c r="AB318" s="1" t="n">
        <f aca="false">$C$329*(AB290+(1-$C$279)*AB332)</f>
        <v>12.7378386145248</v>
      </c>
      <c r="AC318" s="1" t="n">
        <f aca="false">$C$329*(AC290+(1-$C$279)*AC332)</f>
        <v>12.8919597927675</v>
      </c>
      <c r="AD318" s="1" t="n">
        <f aca="false">$C$329*(AD290+(1-$C$279)*AD332)</f>
        <v>13.0423057874744</v>
      </c>
      <c r="AE318" s="1" t="n">
        <f aca="false">$C$329*(AE290+(1-$C$279)*AE332)</f>
        <v>13.1888633870435</v>
      </c>
      <c r="AF318" s="1" t="n">
        <f aca="false">$C$329*(AF290+(1-$C$279)*AF332)</f>
        <v>13.3316211124948</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0.251160037442153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0.705938293034522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1.03324892271706</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0.278073245206539</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1.13761960397519</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1.75706994519918</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2.07806646684135</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2.40753468814584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2.74567204066888</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3.09268036776925</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4.59388263245066</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5.28382760298401</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5.0650961371261</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5.29741103345206</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5.727994388643</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5.22507219569179</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5.00278234878053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5.08935683071289</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5.21490296511342</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5.34386176998799</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5.31797879394026</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5.33132480561014</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5.38930093172077</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5.45072292204465</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5.510602402666</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5.56891175790923</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5.62563731801612</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5.68077399449356</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5.73431899596845</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5.786264134005</v>
      </c>
    </row>
    <row r="320" customFormat="false" ht="14.25" hidden="false" customHeight="true" outlineLevel="0" collapsed="false">
      <c r="B320" s="147" t="s">
        <v>1312</v>
      </c>
      <c r="C320" s="1" t="n">
        <f aca="false">01_Supuestos!$C$185*C317</f>
        <v>0.251160037442153</v>
      </c>
      <c r="D320" s="1" t="n">
        <f aca="false">01_Supuestos!$C$185*D317</f>
        <v>0.621129920391555</v>
      </c>
      <c r="E320" s="1" t="n">
        <f aca="false">01_Supuestos!$C$185*E317</f>
        <v>0.823514052931507</v>
      </c>
      <c r="F320" s="1" t="n">
        <f aca="false">01_Supuestos!$C$185*F317</f>
        <v>-1.72084568816899E-016</v>
      </c>
      <c r="G320" s="1" t="n">
        <f aca="false">01_Supuestos!$C$185*G317</f>
        <v>1.13761960397519</v>
      </c>
      <c r="H320" s="1" t="n">
        <f aca="false">01_Supuestos!$C$185*H317</f>
        <v>1.37293372559022</v>
      </c>
      <c r="I320" s="1" t="n">
        <f aca="false">01_Supuestos!$C$185*I317</f>
        <v>1.61447251216705</v>
      </c>
      <c r="J320" s="1" t="n">
        <f aca="false">01_Supuestos!$C$185*J317</f>
        <v>1.86238113653744</v>
      </c>
      <c r="K320" s="1" t="n">
        <f aca="false">01_Supuestos!$C$185*K317</f>
        <v>2.1168080102314</v>
      </c>
      <c r="L320" s="1" t="n">
        <f aca="false">01_Supuestos!$C$185*L317</f>
        <v>2.37790486298112</v>
      </c>
      <c r="M320" s="1" t="n">
        <f aca="false">01_Supuestos!$C$185*M317</f>
        <v>3.79094342371737</v>
      </c>
      <c r="N320" s="1" t="n">
        <f aca="false">01_Supuestos!$C$185*N317</f>
        <v>4.00375237357544</v>
      </c>
      <c r="O320" s="1" t="n">
        <f aca="false">01_Supuestos!$C$185*O317</f>
        <v>3.71316241898212</v>
      </c>
      <c r="P320" s="1" t="n">
        <f aca="false">01_Supuestos!$C$185*P317</f>
        <v>4.04359985664243</v>
      </c>
      <c r="Q320" s="1" t="n">
        <f aca="false">01_Supuestos!$C$185*Q317</f>
        <v>4.36260550371674</v>
      </c>
      <c r="R320" s="1" t="n">
        <f aca="false">01_Supuestos!$C$185*R317</f>
        <v>3.75196573727011</v>
      </c>
      <c r="S320" s="1" t="n">
        <f aca="false">01_Supuestos!$C$185*S317</f>
        <v>3.73586858482899</v>
      </c>
      <c r="T320" s="1" t="n">
        <f aca="false">01_Supuestos!$C$185*T317</f>
        <v>3.82787853856897</v>
      </c>
      <c r="U320" s="1" t="n">
        <f aca="false">01_Supuestos!$C$185*U317</f>
        <v>3.92235597858997</v>
      </c>
      <c r="V320" s="1" t="n">
        <f aca="false">01_Supuestos!$C$185*V317</f>
        <v>4.01941290121744</v>
      </c>
      <c r="W320" s="1" t="n">
        <f aca="false">01_Supuestos!$C$185*W317</f>
        <v>3.96075703762917</v>
      </c>
      <c r="X320" s="1" t="n">
        <f aca="false">01_Supuestos!$C$185*X317</f>
        <v>3.99390917923736</v>
      </c>
      <c r="Y320" s="1" t="n">
        <f aca="false">01_Supuestos!$C$185*Y317</f>
        <v>4.04069093219828</v>
      </c>
      <c r="Z320" s="1" t="n">
        <f aca="false">01_Supuestos!$C$185*Z317</f>
        <v>4.08631628393903</v>
      </c>
      <c r="AA320" s="1" t="n">
        <f aca="false">01_Supuestos!$C$185*AA317</f>
        <v>4.13078960412258</v>
      </c>
      <c r="AB320" s="1" t="n">
        <f aca="false">01_Supuestos!$C$185*AB317</f>
        <v>4.17408180158384</v>
      </c>
      <c r="AC320" s="1" t="n">
        <f aca="false">01_Supuestos!$C$185*AC317</f>
        <v>4.21618902968131</v>
      </c>
      <c r="AD320" s="1" t="n">
        <f aca="false">01_Supuestos!$C$185*AD317</f>
        <v>4.25710749880451</v>
      </c>
      <c r="AE320" s="1" t="n">
        <f aca="false">01_Supuestos!$C$185*AE317</f>
        <v>4.29683569720546</v>
      </c>
      <c r="AF320" s="1" t="n">
        <f aca="false">01_Supuestos!$C$185*AF317</f>
        <v>4.33536594691529</v>
      </c>
    </row>
    <row r="321" customFormat="false" ht="14.25" hidden="false" customHeight="true" outlineLevel="0" collapsed="false">
      <c r="B321" s="148" t="s">
        <v>1313</v>
      </c>
      <c r="C321" s="1" t="n">
        <f aca="false">C320-C323</f>
        <v>0.251160037442153</v>
      </c>
      <c r="D321" s="1" t="n">
        <f aca="false">C321+D320-D323</f>
        <v>0.705938293034522</v>
      </c>
      <c r="E321" s="1" t="n">
        <f aca="false">D321+E320-E323</f>
        <v>1.03324892271706</v>
      </c>
      <c r="F321" s="1" t="n">
        <f aca="false">E321+F320-F323</f>
        <v>0.278073245206539</v>
      </c>
      <c r="G321" s="1" t="n">
        <f aca="false">F321+G320-G323</f>
        <v>1.13761960397519</v>
      </c>
      <c r="H321" s="1" t="n">
        <f aca="false">G321+H320-H323</f>
        <v>1.75706994519918</v>
      </c>
      <c r="I321" s="1" t="n">
        <f aca="false">H321+I320-I323</f>
        <v>2.07806646684135</v>
      </c>
      <c r="J321" s="1" t="n">
        <f aca="false">I321+J320-J323</f>
        <v>2.40753468814584</v>
      </c>
      <c r="K321" s="1" t="n">
        <f aca="false">J321+K320-K323</f>
        <v>2.74567204066888</v>
      </c>
      <c r="L321" s="1" t="n">
        <f aca="false">K321+L320-L323</f>
        <v>3.09268036776925</v>
      </c>
      <c r="M321" s="1" t="n">
        <f aca="false">L321+M320-M323</f>
        <v>4.59388263245066</v>
      </c>
      <c r="N321" s="1" t="n">
        <f aca="false">M321+N320-N323</f>
        <v>5.28382760298401</v>
      </c>
      <c r="O321" s="1" t="n">
        <f aca="false">N321+O320-O323</f>
        <v>5.0650961371261</v>
      </c>
      <c r="P321" s="1" t="n">
        <f aca="false">O321+P320-P323</f>
        <v>5.29741103345206</v>
      </c>
      <c r="Q321" s="1" t="n">
        <f aca="false">P321+Q320-Q323</f>
        <v>5.727994388643</v>
      </c>
      <c r="R321" s="1" t="n">
        <f aca="false">Q321+R320-R323</f>
        <v>5.22507219569179</v>
      </c>
      <c r="S321" s="1" t="n">
        <f aca="false">R321+S320-S323</f>
        <v>5.00278234878053</v>
      </c>
      <c r="T321" s="1" t="n">
        <f aca="false">S321+T320-T323</f>
        <v>5.08935683071289</v>
      </c>
      <c r="U321" s="1" t="n">
        <f aca="false">T321+U320-U323</f>
        <v>5.21490296511342</v>
      </c>
      <c r="V321" s="1" t="n">
        <f aca="false">U321+V320-V323</f>
        <v>5.34386176998799</v>
      </c>
      <c r="W321" s="1" t="n">
        <f aca="false">V321+W320-W323</f>
        <v>5.31797879394026</v>
      </c>
      <c r="X321" s="1" t="n">
        <f aca="false">W321+X320-X323</f>
        <v>5.33132480561014</v>
      </c>
      <c r="Y321" s="1" t="n">
        <f aca="false">X321+Y320-Y323</f>
        <v>5.38930093172077</v>
      </c>
      <c r="Z321" s="1" t="n">
        <f aca="false">Y321+Z320-Z323</f>
        <v>5.45072292204465</v>
      </c>
      <c r="AA321" s="1" t="n">
        <f aca="false">Z321+AA320-AA323</f>
        <v>5.510602402666</v>
      </c>
      <c r="AB321" s="1" t="n">
        <f aca="false">AA321+AB320-AB323</f>
        <v>5.56891175790923</v>
      </c>
      <c r="AC321" s="1" t="n">
        <f aca="false">AB321+AC320-AC323</f>
        <v>5.62563731801612</v>
      </c>
      <c r="AD321" s="1" t="n">
        <f aca="false">AC321+AD320-AD323</f>
        <v>5.68077399449356</v>
      </c>
      <c r="AE321" s="1" t="n">
        <f aca="false">AD321+AE320-AE323</f>
        <v>5.73431899596845</v>
      </c>
      <c r="AF321" s="1" t="n">
        <f aca="false">AE321+AF320-AF323</f>
        <v>5.786264134005</v>
      </c>
    </row>
    <row r="322" customFormat="false" ht="14.25" hidden="false" customHeight="true" outlineLevel="0" collapsed="false">
      <c r="B322" s="148" t="s">
        <v>1314</v>
      </c>
      <c r="C322" s="1" t="n">
        <f aca="false">$C$172*C83</f>
        <v>1.95</v>
      </c>
      <c r="D322" s="1" t="n">
        <f aca="false">$C$172*D83</f>
        <v>3.94485</v>
      </c>
      <c r="E322" s="1" t="n">
        <f aca="false">$C$172*E83</f>
        <v>5.98558155</v>
      </c>
      <c r="F322" s="1" t="n">
        <f aca="false">$C$172*F83</f>
        <v>8.07324992565</v>
      </c>
      <c r="G322" s="1" t="n">
        <f aca="false">$C$172*G83</f>
        <v>10.2089346739399</v>
      </c>
      <c r="H322" s="1" t="n">
        <f aca="false">$C$172*H83</f>
        <v>12.3937401714406</v>
      </c>
      <c r="I322" s="1" t="n">
        <f aca="false">$C$172*I83</f>
        <v>14.6287961953837</v>
      </c>
      <c r="J322" s="1" t="n">
        <f aca="false">$C$172*J83</f>
        <v>16.9152585078775</v>
      </c>
      <c r="K322" s="1" t="n">
        <f aca="false">$C$172*K83</f>
        <v>19.2543094535587</v>
      </c>
      <c r="L322" s="1" t="n">
        <f aca="false">$C$172*L83</f>
        <v>21.6471585709906</v>
      </c>
      <c r="M322" s="1" t="n">
        <f aca="false">$C$172*M83</f>
        <v>24.0950432181233</v>
      </c>
      <c r="N322" s="1" t="n">
        <f aca="false">$C$172*N83</f>
        <v>26.5992292121402</v>
      </c>
      <c r="O322" s="1" t="n">
        <f aca="false">$C$172*O83</f>
        <v>29.1610114840194</v>
      </c>
      <c r="P322" s="1" t="n">
        <f aca="false">$C$172*P83</f>
        <v>31.7817147481518</v>
      </c>
      <c r="Q322" s="1" t="n">
        <f aca="false">$C$172*Q83</f>
        <v>34.4626941873593</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39.4892855531862</v>
      </c>
      <c r="X322" s="1" t="n">
        <f aca="false">$C$172*X83</f>
        <v>40.0467988687886</v>
      </c>
      <c r="Y322" s="1" t="n">
        <f aca="false">$C$172*Y83</f>
        <v>40.5921352840637</v>
      </c>
      <c r="Z322" s="1" t="n">
        <f aca="false">$C$172*Z83</f>
        <v>41.1252488185976</v>
      </c>
      <c r="AA322" s="1" t="n">
        <f aca="false">$C$172*AA83</f>
        <v>41.6460984832181</v>
      </c>
      <c r="AB322" s="1" t="n">
        <f aca="false">$C$172*AB83</f>
        <v>42.154640134962</v>
      </c>
      <c r="AC322" s="1" t="n">
        <f aca="false">$C$172*AC83</f>
        <v>42.6508304523004</v>
      </c>
      <c r="AD322" s="1" t="n">
        <f aca="false">$C$172*AD83</f>
        <v>43.1346268736687</v>
      </c>
      <c r="AE322" s="1" t="n">
        <f aca="false">$C$172*AE83</f>
        <v>43.6059915775489</v>
      </c>
      <c r="AF322" s="1" t="n">
        <f aca="false">$C$172*AF83</f>
        <v>44.0648793079629</v>
      </c>
    </row>
    <row r="323" customFormat="false" ht="14.25" hidden="false" customHeight="true" outlineLevel="0" collapsed="false">
      <c r="B323" s="148" t="s">
        <v>1315</v>
      </c>
      <c r="C323" s="1" t="n">
        <f aca="false">MAX(0,MIN(C318,C320,C320-C319))</f>
        <v>0</v>
      </c>
      <c r="D323" s="1" t="n">
        <f aca="false">MAX(0,MIN(D318,C321+D320,C321+D320-D319))</f>
        <v>0.166351664799186</v>
      </c>
      <c r="E323" s="1" t="n">
        <f aca="false">MAX(0,MIN(E318,D321+E320,D321+E320-E319))</f>
        <v>0.496203423248973</v>
      </c>
      <c r="F323" s="1" t="n">
        <f aca="false">MAX(0,MIN(F318,E321+F320,E321+F320-F319))</f>
        <v>0.755175677510516</v>
      </c>
      <c r="G323" s="1" t="n">
        <f aca="false">MAX(0,MIN(G318,F321+G320,F321+G320-G319))</f>
        <v>0.278073245206539</v>
      </c>
      <c r="H323" s="1" t="n">
        <f aca="false">MAX(0,MIN(H318,G321+H320,G321+H320-H319))</f>
        <v>0.753483384366231</v>
      </c>
      <c r="I323" s="1" t="n">
        <f aca="false">MAX(0,MIN(I318,H321+I320,H321+I320-I319))</f>
        <v>1.29347599052488</v>
      </c>
      <c r="J323" s="1" t="n">
        <f aca="false">MAX(0,MIN(J318,I321+J320,I321+J320-J319))</f>
        <v>1.53291291523294</v>
      </c>
      <c r="K323" s="1" t="n">
        <f aca="false">MAX(0,MIN(K318,J321+K320,J321+K320-K319))</f>
        <v>1.77867065770837</v>
      </c>
      <c r="L323" s="1" t="n">
        <f aca="false">MAX(0,MIN(L318,K321+L320,K321+L320-L319))</f>
        <v>2.03089653588074</v>
      </c>
      <c r="M323" s="1" t="n">
        <f aca="false">MAX(0,MIN(M318,L321+M320,L321+M320-M319))</f>
        <v>2.28974115903596</v>
      </c>
      <c r="N323" s="1" t="n">
        <f aca="false">MAX(0,MIN(N318,M321+N320,M321+N320-N319))</f>
        <v>3.3138074030421</v>
      </c>
      <c r="O323" s="1" t="n">
        <f aca="false">MAX(0,MIN(O318,N321+O320,N321+O320-O319))</f>
        <v>3.93189388484003</v>
      </c>
      <c r="P323" s="1" t="n">
        <f aca="false">MAX(0,MIN(P318,O321+P320,O321+P320-P319))</f>
        <v>3.81128496031647</v>
      </c>
      <c r="Q323" s="1" t="n">
        <f aca="false">MAX(0,MIN(Q318,P321+Q320,P321+Q320-Q319))</f>
        <v>3.9320221485258</v>
      </c>
      <c r="R323" s="1" t="n">
        <f aca="false">MAX(0,MIN(R318,Q321+R320,Q321+R320-R319))</f>
        <v>4.25488793022131</v>
      </c>
      <c r="S323" s="1" t="n">
        <f aca="false">MAX(0,MIN(S318,R321+S320,R321+S320-S319))</f>
        <v>3.95815843174025</v>
      </c>
      <c r="T323" s="1" t="n">
        <f aca="false">MAX(0,MIN(T318,S321+T320,S321+T320-T319))</f>
        <v>3.74130405663661</v>
      </c>
      <c r="U323" s="1" t="n">
        <f aca="false">MAX(0,MIN(U318,T321+U320,T321+U320-U319))</f>
        <v>3.79680984418944</v>
      </c>
      <c r="V323" s="1" t="n">
        <f aca="false">MAX(0,MIN(V318,U321+V320,U321+V320-V319))</f>
        <v>3.89045409634287</v>
      </c>
      <c r="W323" s="1" t="n">
        <f aca="false">MAX(0,MIN(W318,V321+W320,V321+W320-W319))</f>
        <v>3.9866400136769</v>
      </c>
      <c r="X323" s="1" t="n">
        <f aca="false">MAX(0,MIN(X318,W321+X320,W321+X320-X319))</f>
        <v>3.98056316756748</v>
      </c>
      <c r="Y323" s="1" t="n">
        <f aca="false">MAX(0,MIN(Y318,X321+Y320,X321+Y320-Y319))</f>
        <v>3.98271480608766</v>
      </c>
      <c r="Z323" s="1" t="n">
        <f aca="false">MAX(0,MIN(Z318,Y321+Z320,Y321+Z320-Z319))</f>
        <v>4.02489429361514</v>
      </c>
      <c r="AA323" s="1" t="n">
        <f aca="false">MAX(0,MIN(AA318,Z321+AA320,Z321+AA320-AA319))</f>
        <v>4.07091012350124</v>
      </c>
      <c r="AB323" s="1" t="n">
        <f aca="false">MAX(0,MIN(AB318,AA321+AB320,AA321+AB320-AB319))</f>
        <v>4.1157724463406</v>
      </c>
      <c r="AC323" s="1" t="n">
        <f aca="false">MAX(0,MIN(AC318,AB321+AC320,AB321+AC320-AC319))</f>
        <v>4.15946346957442</v>
      </c>
      <c r="AD323" s="1" t="n">
        <f aca="false">MAX(0,MIN(AD318,AC321+AD320,AC321+AD320-AD319))</f>
        <v>4.20197082232706</v>
      </c>
      <c r="AE323" s="1" t="n">
        <f aca="false">MAX(0,MIN(AE318,AD321+AE320,AD321+AE320-AE319))</f>
        <v>4.24329069573057</v>
      </c>
      <c r="AF323" s="1" t="n">
        <f aca="false">MAX(0,MIN(AF318,AE321+AF320,AE321+AF320-AF319))</f>
        <v>4.28342080887874</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0.251160037442153</v>
      </c>
      <c r="D326" s="1" t="n">
        <f aca="false">IF(01_Supuestos!$C$184="Sí",D321,$C$172*D83)</f>
        <v>0.705938293034522</v>
      </c>
      <c r="E326" s="1" t="n">
        <f aca="false">IF(01_Supuestos!$C$184="Sí",E321,$C$172*E83)</f>
        <v>1.03324892271706</v>
      </c>
      <c r="F326" s="1" t="n">
        <f aca="false">IF(01_Supuestos!$C$184="Sí",F321,$C$172*F83)</f>
        <v>0.278073245206539</v>
      </c>
      <c r="G326" s="1" t="n">
        <f aca="false">IF(01_Supuestos!$C$184="Sí",G321,$C$172*G83)</f>
        <v>1.13761960397519</v>
      </c>
      <c r="H326" s="1" t="n">
        <f aca="false">IF(01_Supuestos!$C$184="Sí",H321,$C$172*H83)</f>
        <v>1.75706994519918</v>
      </c>
      <c r="I326" s="1" t="n">
        <f aca="false">IF(01_Supuestos!$C$184="Sí",I321,$C$172*I83)</f>
        <v>2.07806646684135</v>
      </c>
      <c r="J326" s="1" t="n">
        <f aca="false">IF(01_Supuestos!$C$184="Sí",J321,$C$172*J83)</f>
        <v>2.40753468814584</v>
      </c>
      <c r="K326" s="1" t="n">
        <f aca="false">IF(01_Supuestos!$C$184="Sí",K321,$C$172*K83)</f>
        <v>2.74567204066888</v>
      </c>
      <c r="L326" s="1" t="n">
        <f aca="false">IF(01_Supuestos!$C$184="Sí",L321,$C$172*L83)</f>
        <v>3.09268036776925</v>
      </c>
      <c r="M326" s="1" t="n">
        <f aca="false">IF(01_Supuestos!$C$184="Sí",M321,$C$172*M83)</f>
        <v>4.59388263245066</v>
      </c>
      <c r="N326" s="1" t="n">
        <f aca="false">IF(01_Supuestos!$C$184="Sí",N321,$C$172*N83)</f>
        <v>5.28382760298401</v>
      </c>
      <c r="O326" s="1" t="n">
        <f aca="false">IF(01_Supuestos!$C$184="Sí",O321,$C$172*O83)</f>
        <v>5.0650961371261</v>
      </c>
      <c r="P326" s="1" t="n">
        <f aca="false">IF(01_Supuestos!$C$184="Sí",P321,$C$172*P83)</f>
        <v>5.29741103345206</v>
      </c>
      <c r="Q326" s="1" t="n">
        <f aca="false">IF(01_Supuestos!$C$184="Sí",Q321,$C$172*Q83)</f>
        <v>5.727994388643</v>
      </c>
      <c r="R326" s="1" t="n">
        <f aca="false">IF(01_Supuestos!$C$184="Sí",R321,$C$172*R83)</f>
        <v>5.22507219569179</v>
      </c>
      <c r="S326" s="1" t="n">
        <f aca="false">IF(01_Supuestos!$C$184="Sí",S321,$C$172*S83)</f>
        <v>5.00278234878053</v>
      </c>
      <c r="T326" s="1" t="n">
        <f aca="false">IF(01_Supuestos!$C$184="Sí",T321,$C$172*T83)</f>
        <v>5.08935683071289</v>
      </c>
      <c r="U326" s="1" t="n">
        <f aca="false">IF(01_Supuestos!$C$184="Sí",U321,$C$172*U83)</f>
        <v>5.21490296511342</v>
      </c>
      <c r="V326" s="1" t="n">
        <f aca="false">IF(01_Supuestos!$C$184="Sí",V321,$C$172*V83)</f>
        <v>5.34386176998799</v>
      </c>
      <c r="W326" s="1" t="n">
        <f aca="false">IF(01_Supuestos!$C$184="Sí",W321,$C$172*W83)</f>
        <v>5.31797879394026</v>
      </c>
      <c r="X326" s="1" t="n">
        <f aca="false">IF(01_Supuestos!$C$184="Sí",X321,$C$172*X83)</f>
        <v>5.33132480561014</v>
      </c>
      <c r="Y326" s="1" t="n">
        <f aca="false">IF(01_Supuestos!$C$184="Sí",Y321,$C$172*Y83)</f>
        <v>5.38930093172077</v>
      </c>
      <c r="Z326" s="1" t="n">
        <f aca="false">IF(01_Supuestos!$C$184="Sí",Z321,$C$172*Z83)</f>
        <v>5.45072292204465</v>
      </c>
      <c r="AA326" s="1" t="n">
        <f aca="false">IF(01_Supuestos!$C$184="Sí",AA321,$C$172*AA83)</f>
        <v>5.510602402666</v>
      </c>
      <c r="AB326" s="1" t="n">
        <f aca="false">IF(01_Supuestos!$C$184="Sí",AB321,$C$172*AB83)</f>
        <v>5.56891175790923</v>
      </c>
      <c r="AC326" s="1" t="n">
        <f aca="false">IF(01_Supuestos!$C$184="Sí",AC321,$C$172*AC83)</f>
        <v>5.62563731801612</v>
      </c>
      <c r="AD326" s="1" t="n">
        <f aca="false">IF(01_Supuestos!$C$184="Sí",AD321,$C$172*AD83)</f>
        <v>5.68077399449356</v>
      </c>
      <c r="AE326" s="1" t="n">
        <f aca="false">IF(01_Supuestos!$C$184="Sí",AE321,$C$172*AE83)</f>
        <v>5.73431899596845</v>
      </c>
      <c r="AF326" s="1" t="n">
        <f aca="false">IF(01_Supuestos!$C$184="Sí",AF321,$C$172*AF83)</f>
        <v>5.786264134005</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0.0271157935160219</v>
      </c>
      <c r="E327" s="1" t="n">
        <f aca="false">IF(01_Supuestos!$C$184="Sí",MAX(0.001,IF(D299&gt;0,D320/D299,$C$328*(1-$C$279))),$C$172)</f>
        <v>0.0591519386688306</v>
      </c>
      <c r="F327" s="1" t="n">
        <f aca="false">IF(01_Supuestos!$C$184="Sí",MAX(0.001,IF(E299&gt;0,E320/E299,$C$328*(1-$C$279))),$C$172)</f>
        <v>0.0692619108387795</v>
      </c>
      <c r="G327" s="1" t="n">
        <f aca="false">IF(01_Supuestos!$C$184="Sí",MAX(0.001,IF(F299&gt;0,F320/F299,$C$328*(1-$C$279))),$C$172)</f>
        <v>0.001</v>
      </c>
      <c r="H327" s="1" t="n">
        <f aca="false">IF(01_Supuestos!$C$184="Sí",MAX(0.001,IF(G299&gt;0,G320/G299,$C$328*(1-$C$279))),$C$172)</f>
        <v>0.0799130565180114</v>
      </c>
      <c r="I327" s="1" t="n">
        <f aca="false">IF(01_Supuestos!$C$184="Sí",MAX(0.001,IF(H299&gt;0,H320/H299,$C$328*(1-$C$279))),$C$172)</f>
        <v>0.0864695735148464</v>
      </c>
      <c r="J327" s="1" t="n">
        <f aca="false">IF(01_Supuestos!$C$184="Sí",MAX(0.001,IF(I299&gt;0,I320/I299,$C$328*(1-$C$279))),$C$172)</f>
        <v>0.0919463016941042</v>
      </c>
      <c r="K327" s="1" t="n">
        <f aca="false">IF(01_Supuestos!$C$184="Sí",MAX(0.001,IF(J299&gt;0,J320/J299,$C$328*(1-$C$279))),$C$172)</f>
        <v>0.0965952289267429</v>
      </c>
      <c r="L327" s="1" t="n">
        <f aca="false">IF(01_Supuestos!$C$184="Sí",MAX(0.001,IF(K299&gt;0,K320/K299,$C$328*(1-$C$279))),$C$172)</f>
        <v>0.100595494676369</v>
      </c>
      <c r="M327" s="1" t="n">
        <f aca="false">IF(01_Supuestos!$C$184="Sí",MAX(0.001,IF(L299&gt;0,L320/L299,$C$328*(1-$C$279))),$C$172)</f>
        <v>0.104077940437638</v>
      </c>
      <c r="N327" s="1" t="n">
        <f aca="false">IF(01_Supuestos!$C$184="Sí",MAX(0.001,IF(M299&gt;0,M320/M299,$C$328*(1-$C$279))),$C$172)</f>
        <v>0.131294066182873</v>
      </c>
      <c r="O327" s="1" t="n">
        <f aca="false">IF(01_Supuestos!$C$184="Sí",MAX(0.001,IF(N299&gt;0,N320/N299,$C$328*(1-$C$279))),$C$172)</f>
        <v>0.135896458609132</v>
      </c>
      <c r="P327" s="1" t="n">
        <f aca="false">IF(01_Supuestos!$C$184="Sí",MAX(0.001,IF(O299&gt;0,O320/O299,$C$328*(1-$C$279))),$C$172)</f>
        <v>0.126702876998951</v>
      </c>
      <c r="Q327" s="1" t="n">
        <f aca="false">IF(01_Supuestos!$C$184="Sí",MAX(0.001,IF(P299&gt;0,P320/P299,$C$328*(1-$C$279))),$C$172)</f>
        <v>0.129078036461236</v>
      </c>
      <c r="R327" s="1" t="n">
        <f aca="false">IF(01_Supuestos!$C$184="Sí",MAX(0.001,IF(Q299&gt;0,Q320/Q299,$C$328*(1-$C$279))),$C$172)</f>
        <v>0.130605509433074</v>
      </c>
      <c r="S327" s="1" t="n">
        <f aca="false">IF(01_Supuestos!$C$184="Sí",MAX(0.001,IF(R299&gt;0,R320/R299,$C$328*(1-$C$279))),$C$172)</f>
        <v>0.136716527492577</v>
      </c>
      <c r="T327" s="1" t="n">
        <f aca="false">IF(01_Supuestos!$C$184="Sí",MAX(0.001,IF(S299&gt;0,S320/S299,$C$328*(1-$C$279))),$C$172)</f>
        <v>0.137991834388348</v>
      </c>
      <c r="U327" s="1" t="n">
        <f aca="false">IF(01_Supuestos!$C$184="Sí",MAX(0.001,IF(T299&gt;0,T320/T299,$C$328*(1-$C$279))),$C$172)</f>
        <v>0.138175148713625</v>
      </c>
      <c r="V327" s="1" t="n">
        <f aca="false">IF(01_Supuestos!$C$184="Sí",MAX(0.001,IF(U299&gt;0,U320/U299,$C$328*(1-$C$279))),$C$172)</f>
        <v>0.138362362210378</v>
      </c>
      <c r="W327" s="1" t="n">
        <f aca="false">IF(01_Supuestos!$C$184="Sí",MAX(0.001,IF(V299&gt;0,V320/V299,$C$328*(1-$C$279))),$C$172)</f>
        <v>0.138555300532982</v>
      </c>
      <c r="X327" s="1" t="n">
        <f aca="false">IF(01_Supuestos!$C$184="Sí",MAX(0.001,IF(W299&gt;0,W320/W299,$C$328*(1-$C$279))),$C$172)</f>
        <v>0.139899181965879</v>
      </c>
      <c r="Y327" s="1" t="n">
        <f aca="false">IF(01_Supuestos!$C$184="Sí",MAX(0.001,IF(X299&gt;0,X320/X299,$C$328*(1-$C$279))),$C$172)</f>
        <v>0.140223363511529</v>
      </c>
      <c r="Z327" s="1" t="n">
        <f aca="false">IF(01_Supuestos!$C$184="Sí",MAX(0.001,IF(Y299&gt;0,Y320/Y299,$C$328*(1-$C$279))),$C$172)</f>
        <v>0.140357717412723</v>
      </c>
      <c r="AA327" s="1" t="n">
        <f aca="false">IF(01_Supuestos!$C$184="Sí",MAX(0.001,IF(Z299&gt;0,Z320/Z299,$C$328*(1-$C$279))),$C$172)</f>
        <v>0.140489117916797</v>
      </c>
      <c r="AB327" s="1" t="n">
        <f aca="false">IF(01_Supuestos!$C$184="Sí",MAX(0.001,IF(AA299&gt;0,AA320/AA299,$C$328*(1-$C$279))),$C$172)</f>
        <v>0.140617889246472</v>
      </c>
      <c r="AC327" s="1" t="n">
        <f aca="false">IF(01_Supuestos!$C$184="Sí",MAX(0.001,IF(AB299&gt;0,AB320/AB299,$C$328*(1-$C$279))),$C$172)</f>
        <v>0.140743377479908</v>
      </c>
      <c r="AD327" s="1" t="n">
        <f aca="false">IF(01_Supuestos!$C$184="Sí",MAX(0.001,IF(AC299&gt;0,AC320/AC299,$C$328*(1-$C$279))),$C$172)</f>
        <v>0.140865768415175</v>
      </c>
      <c r="AE327" s="1" t="n">
        <f aca="false">IF(01_Supuestos!$C$184="Sí",MAX(0.001,IF(AD299&gt;0,AD320/AD299,$C$328*(1-$C$279))),$C$172)</f>
        <v>0.140985237036842</v>
      </c>
      <c r="AF327" s="1" t="n">
        <f aca="false">IF(01_Supuestos!$C$184="Sí",MAX(0.001,IF(AE299&gt;0,AE320/AE299,$C$328*(1-$C$279))),$C$172)</f>
        <v>0.141101932608838</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0.0216517273657028</v>
      </c>
      <c r="E330" s="1" t="n">
        <f aca="false">E343</f>
        <v>0.070693850866012</v>
      </c>
      <c r="F330" s="1" t="n">
        <f aca="false">F343</f>
        <v>0.126982120655839</v>
      </c>
      <c r="G330" s="1" t="n">
        <f aca="false">G343</f>
        <v>0.0561954996630141</v>
      </c>
      <c r="H330" s="1" t="n">
        <f aca="false">H343</f>
        <v>0.142577491248209</v>
      </c>
      <c r="I330" s="1" t="n">
        <f aca="false">I343</f>
        <v>0.231277728722911</v>
      </c>
      <c r="J330" s="1" t="n">
        <f aca="false">J343</f>
        <v>0.322350625990533</v>
      </c>
      <c r="K330" s="1" t="n">
        <f aca="false">K343</f>
        <v>0.415851793761867</v>
      </c>
      <c r="L330" s="1" t="n">
        <f aca="false">L343</f>
        <v>0.511838069817278</v>
      </c>
      <c r="M330" s="1" t="n">
        <f aca="false">M343</f>
        <v>0.610367549828139</v>
      </c>
      <c r="N330" s="1" t="n">
        <f aca="false">N343</f>
        <v>0.810216567025729</v>
      </c>
      <c r="O330" s="1" t="n">
        <f aca="false">O343</f>
        <v>0.986842587771915</v>
      </c>
      <c r="P330" s="1" t="n">
        <f aca="false">P343</f>
        <v>1.1016795380483</v>
      </c>
      <c r="Q330" s="1" t="n">
        <f aca="false">Q343</f>
        <v>1.22111638867239</v>
      </c>
      <c r="R330" s="1" t="n">
        <f aca="false">R343</f>
        <v>1.34321086118343</v>
      </c>
      <c r="S330" s="1" t="n">
        <f aca="false">S343</f>
        <v>1.38726832423573</v>
      </c>
      <c r="T330" s="1" t="n">
        <f aca="false">T343</f>
        <v>1.42077414941789</v>
      </c>
      <c r="U330" s="1" t="n">
        <f aca="false">U343</f>
        <v>1.45524265552595</v>
      </c>
      <c r="V330" s="1" t="n">
        <f aca="false">V343</f>
        <v>1.49068631926189</v>
      </c>
      <c r="W330" s="1" t="n">
        <f aca="false">W343</f>
        <v>1.52712467702934</v>
      </c>
      <c r="X330" s="1" t="n">
        <f aca="false">X343</f>
        <v>1.55092731641665</v>
      </c>
      <c r="Y330" s="1" t="n">
        <f aca="false">Y343</f>
        <v>1.57263695005348</v>
      </c>
      <c r="Z330" s="1" t="n">
        <f aca="false">Z343</f>
        <v>1.59386388963186</v>
      </c>
      <c r="AA330" s="1" t="n">
        <f aca="false">AA343</f>
        <v>1.61460884575559</v>
      </c>
      <c r="AB330" s="1" t="n">
        <f aca="false">AB343</f>
        <v>1.63487275791796</v>
      </c>
      <c r="AC330" s="1" t="n">
        <f aca="false">AC343</f>
        <v>1.6546538623386</v>
      </c>
      <c r="AD330" s="1" t="n">
        <f aca="false">AD343</f>
        <v>1.67395043049642</v>
      </c>
      <c r="AE330" s="1" t="n">
        <f aca="false">AE343</f>
        <v>1.69276076671217</v>
      </c>
      <c r="AF330" s="1" t="n">
        <f aca="false">AF343</f>
        <v>1.71108339768479</v>
      </c>
    </row>
    <row r="331" customFormat="false" ht="14.25" hidden="false" customHeight="true" outlineLevel="0" collapsed="false">
      <c r="B331" s="1" t="s">
        <v>1324</v>
      </c>
      <c r="C331" s="1" t="n">
        <f aca="false">C330*$C$338</f>
        <v>0</v>
      </c>
      <c r="D331" s="1" t="n">
        <f aca="false">D330*$C$338</f>
        <v>0.00757810457799599</v>
      </c>
      <c r="E331" s="1" t="n">
        <f aca="false">E330*$C$338</f>
        <v>0.0247428478031042</v>
      </c>
      <c r="F331" s="1" t="n">
        <f aca="false">F330*$C$338</f>
        <v>0.0444437422295437</v>
      </c>
      <c r="G331" s="1" t="n">
        <f aca="false">G330*$C$338</f>
        <v>0.0196684248820549</v>
      </c>
      <c r="H331" s="1" t="n">
        <f aca="false">H330*$C$338</f>
        <v>0.0499021219368733</v>
      </c>
      <c r="I331" s="1" t="n">
        <f aca="false">I330*$C$338</f>
        <v>0.0809472050530189</v>
      </c>
      <c r="J331" s="1" t="n">
        <f aca="false">J330*$C$338</f>
        <v>0.112822719096686</v>
      </c>
      <c r="K331" s="1" t="n">
        <f aca="false">K330*$C$338</f>
        <v>0.145548127816653</v>
      </c>
      <c r="L331" s="1" t="n">
        <f aca="false">L330*$C$338</f>
        <v>0.179143324436047</v>
      </c>
      <c r="M331" s="1" t="n">
        <f aca="false">M330*$C$338</f>
        <v>0.213628642439849</v>
      </c>
      <c r="N331" s="1" t="n">
        <f aca="false">N330*$C$338</f>
        <v>0.283575798459005</v>
      </c>
      <c r="O331" s="1" t="n">
        <f aca="false">O330*$C$338</f>
        <v>0.34539490572017</v>
      </c>
      <c r="P331" s="1" t="n">
        <f aca="false">P330*$C$338</f>
        <v>0.385587838316904</v>
      </c>
      <c r="Q331" s="1" t="n">
        <f aca="false">Q330*$C$338</f>
        <v>0.427390736035337</v>
      </c>
      <c r="R331" s="1" t="n">
        <f aca="false">R330*$C$338</f>
        <v>0.470123801414199</v>
      </c>
      <c r="S331" s="1" t="n">
        <f aca="false">S330*$C$338</f>
        <v>0.485543913482506</v>
      </c>
      <c r="T331" s="1" t="n">
        <f aca="false">T330*$C$338</f>
        <v>0.497270952296261</v>
      </c>
      <c r="U331" s="1" t="n">
        <f aca="false">U330*$C$338</f>
        <v>0.509334929434081</v>
      </c>
      <c r="V331" s="1" t="n">
        <f aca="false">V330*$C$338</f>
        <v>0.521740211741662</v>
      </c>
      <c r="W331" s="1" t="n">
        <f aca="false">W330*$C$338</f>
        <v>0.534493636960268</v>
      </c>
      <c r="X331" s="1" t="n">
        <f aca="false">X330*$C$338</f>
        <v>0.542824560745826</v>
      </c>
      <c r="Y331" s="1" t="n">
        <f aca="false">Y330*$C$338</f>
        <v>0.550422932518718</v>
      </c>
      <c r="Z331" s="1" t="n">
        <f aca="false">Z330*$C$338</f>
        <v>0.557852361371152</v>
      </c>
      <c r="AA331" s="1" t="n">
        <f aca="false">AA330*$C$338</f>
        <v>0.565113096014458</v>
      </c>
      <c r="AB331" s="1" t="n">
        <f aca="false">AB330*$C$338</f>
        <v>0.572205465271287</v>
      </c>
      <c r="AC331" s="1" t="n">
        <f aca="false">AC330*$C$338</f>
        <v>0.57912885181851</v>
      </c>
      <c r="AD331" s="1" t="n">
        <f aca="false">AD330*$C$338</f>
        <v>0.585882650673747</v>
      </c>
      <c r="AE331" s="1" t="n">
        <f aca="false">AE330*$C$338</f>
        <v>0.592466268349261</v>
      </c>
      <c r="AF331" s="1" t="n">
        <f aca="false">AF330*$C$338</f>
        <v>0.598879189189676</v>
      </c>
    </row>
    <row r="332" customFormat="false" ht="14.25" hidden="false" customHeight="true" outlineLevel="0" collapsed="false">
      <c r="B332" s="1" t="s">
        <v>1325</v>
      </c>
      <c r="C332" s="1" t="n">
        <f aca="false">IF($C$339&lt;=0,C331,IF($C$339=1,0,0))</f>
        <v>0</v>
      </c>
      <c r="D332" s="1" t="n">
        <f aca="false">IF($C$339&lt;=0,D331,IF($C$339=1,C331,0))</f>
        <v>0.00757810457799599</v>
      </c>
      <c r="E332" s="1" t="n">
        <f aca="false">IF($C$339&lt;=0,E331,IF($C$339=1,D331,C331))</f>
        <v>0.0247428478031042</v>
      </c>
      <c r="F332" s="1" t="n">
        <f aca="false">IF($C$339&lt;=0,F331,IF($C$339=1,E331,D331))</f>
        <v>0.0444437422295437</v>
      </c>
      <c r="G332" s="1" t="n">
        <f aca="false">IF($C$339&lt;=0,G331,IF($C$339=1,F331,E331))</f>
        <v>0.0196684248820549</v>
      </c>
      <c r="H332" s="1" t="n">
        <f aca="false">IF($C$339&lt;=0,H331,IF($C$339=1,G331,F331))</f>
        <v>0.0499021219368733</v>
      </c>
      <c r="I332" s="1" t="n">
        <f aca="false">IF($C$339&lt;=0,I331,IF($C$339=1,H331,G331))</f>
        <v>0.0809472050530189</v>
      </c>
      <c r="J332" s="1" t="n">
        <f aca="false">IF($C$339&lt;=0,J331,IF($C$339=1,I331,H331))</f>
        <v>0.112822719096686</v>
      </c>
      <c r="K332" s="1" t="n">
        <f aca="false">IF($C$339&lt;=0,K331,IF($C$339=1,J331,I331))</f>
        <v>0.145548127816653</v>
      </c>
      <c r="L332" s="1" t="n">
        <f aca="false">IF($C$339&lt;=0,L331,IF($C$339=1,K331,J331))</f>
        <v>0.179143324436047</v>
      </c>
      <c r="M332" s="1" t="n">
        <f aca="false">IF($C$339&lt;=0,M331,IF($C$339=1,L331,K331))</f>
        <v>0.213628642439849</v>
      </c>
      <c r="N332" s="1" t="n">
        <f aca="false">IF($C$339&lt;=0,N331,IF($C$339=1,M331,L331))</f>
        <v>0.283575798459005</v>
      </c>
      <c r="O332" s="1" t="n">
        <f aca="false">IF($C$339&lt;=0,O331,IF($C$339=1,N331,M331))</f>
        <v>0.34539490572017</v>
      </c>
      <c r="P332" s="1" t="n">
        <f aca="false">IF($C$339&lt;=0,P331,IF($C$339=1,O331,N331))</f>
        <v>0.385587838316904</v>
      </c>
      <c r="Q332" s="1" t="n">
        <f aca="false">IF($C$339&lt;=0,Q331,IF($C$339=1,P331,O331))</f>
        <v>0.427390736035337</v>
      </c>
      <c r="R332" s="1" t="n">
        <f aca="false">IF($C$339&lt;=0,R331,IF($C$339=1,Q331,P331))</f>
        <v>0.470123801414199</v>
      </c>
      <c r="S332" s="1" t="n">
        <f aca="false">IF($C$339&lt;=0,S331,IF($C$339=1,R331,Q331))</f>
        <v>0.485543913482506</v>
      </c>
      <c r="T332" s="1" t="n">
        <f aca="false">IF($C$339&lt;=0,T331,IF($C$339=1,S331,R331))</f>
        <v>0.497270952296261</v>
      </c>
      <c r="U332" s="1" t="n">
        <f aca="false">IF($C$339&lt;=0,U331,IF($C$339=1,T331,S331))</f>
        <v>0.509334929434081</v>
      </c>
      <c r="V332" s="1" t="n">
        <f aca="false">IF($C$339&lt;=0,V331,IF($C$339=1,U331,T331))</f>
        <v>0.521740211741662</v>
      </c>
      <c r="W332" s="1" t="n">
        <f aca="false">IF($C$339&lt;=0,W331,IF($C$339=1,V331,U331))</f>
        <v>0.534493636960268</v>
      </c>
      <c r="X332" s="1" t="n">
        <f aca="false">IF($C$339&lt;=0,X331,IF($C$339=1,W331,V331))</f>
        <v>0.542824560745826</v>
      </c>
      <c r="Y332" s="1" t="n">
        <f aca="false">IF($C$339&lt;=0,Y331,IF($C$339=1,X331,W331))</f>
        <v>0.550422932518718</v>
      </c>
      <c r="Z332" s="1" t="n">
        <f aca="false">IF($C$339&lt;=0,Z331,IF($C$339=1,Y331,X331))</f>
        <v>0.557852361371152</v>
      </c>
      <c r="AA332" s="1" t="n">
        <f aca="false">IF($C$339&lt;=0,AA331,IF($C$339=1,Z331,Y331))</f>
        <v>0.565113096014458</v>
      </c>
      <c r="AB332" s="1" t="n">
        <f aca="false">IF($C$339&lt;=0,AB331,IF($C$339=1,AA331,Z331))</f>
        <v>0.572205465271287</v>
      </c>
      <c r="AC332" s="1" t="n">
        <f aca="false">IF($C$339&lt;=0,AC331,IF($C$339=1,AB331,AA331))</f>
        <v>0.57912885181851</v>
      </c>
      <c r="AD332" s="1" t="n">
        <f aca="false">IF($C$339&lt;=0,AD331,IF($C$339=1,AC331,AB331))</f>
        <v>0.585882650673747</v>
      </c>
      <c r="AE332" s="1" t="n">
        <f aca="false">IF($C$339&lt;=0,AE331,IF($C$339=1,AD331,AC331))</f>
        <v>0.592466268349261</v>
      </c>
      <c r="AF332" s="1" t="n">
        <f aca="false">IF($C$339&lt;=0,AF331,IF($C$339=1,AE331,AD331))</f>
        <v>0.598879189189676</v>
      </c>
    </row>
    <row r="333" customFormat="false" ht="14.25" hidden="false" customHeight="true" outlineLevel="0" collapsed="false">
      <c r="B333" s="1" t="s">
        <v>1326</v>
      </c>
      <c r="C333" s="1" t="n">
        <f aca="false">C330-C331</f>
        <v>0</v>
      </c>
      <c r="D333" s="1" t="n">
        <f aca="false">D330-D331</f>
        <v>0.0140736227877068</v>
      </c>
      <c r="E333" s="1" t="n">
        <f aca="false">E330-E331</f>
        <v>0.0459510030629078</v>
      </c>
      <c r="F333" s="1" t="n">
        <f aca="false">F330-F331</f>
        <v>0.0825383784262954</v>
      </c>
      <c r="G333" s="1" t="n">
        <f aca="false">G330-G331</f>
        <v>0.0365270747809592</v>
      </c>
      <c r="H333" s="1" t="n">
        <f aca="false">H330-H331</f>
        <v>0.0926753693113361</v>
      </c>
      <c r="I333" s="1" t="n">
        <f aca="false">I330-I331</f>
        <v>0.150330523669892</v>
      </c>
      <c r="J333" s="1" t="n">
        <f aca="false">J330-J331</f>
        <v>0.209527906893846</v>
      </c>
      <c r="K333" s="1" t="n">
        <f aca="false">K330-K331</f>
        <v>0.270303665945214</v>
      </c>
      <c r="L333" s="1" t="n">
        <f aca="false">L330-L331</f>
        <v>0.332694745381231</v>
      </c>
      <c r="M333" s="1" t="n">
        <f aca="false">M330-M331</f>
        <v>0.39673890738829</v>
      </c>
      <c r="N333" s="1" t="n">
        <f aca="false">N330-N331</f>
        <v>0.526640768566724</v>
      </c>
      <c r="O333" s="1" t="n">
        <f aca="false">O330-O331</f>
        <v>0.641447682051745</v>
      </c>
      <c r="P333" s="1" t="n">
        <f aca="false">P330-P331</f>
        <v>0.716091699731394</v>
      </c>
      <c r="Q333" s="1" t="n">
        <f aca="false">Q330-Q331</f>
        <v>0.793725652637055</v>
      </c>
      <c r="R333" s="1" t="n">
        <f aca="false">R330-R331</f>
        <v>0.873087059769227</v>
      </c>
      <c r="S333" s="1" t="n">
        <f aca="false">S330-S331</f>
        <v>0.901724410753225</v>
      </c>
      <c r="T333" s="1" t="n">
        <f aca="false">T330-T331</f>
        <v>0.923503197121627</v>
      </c>
      <c r="U333" s="1" t="n">
        <f aca="false">U330-U331</f>
        <v>0.945907726091866</v>
      </c>
      <c r="V333" s="1" t="n">
        <f aca="false">V330-V331</f>
        <v>0.96894610752023</v>
      </c>
      <c r="W333" s="1" t="n">
        <f aca="false">W330-W331</f>
        <v>0.992631040069068</v>
      </c>
      <c r="X333" s="1" t="n">
        <f aca="false">X330-X331</f>
        <v>1.00810275567082</v>
      </c>
      <c r="Y333" s="1" t="n">
        <f aca="false">Y330-Y331</f>
        <v>1.02221401753476</v>
      </c>
      <c r="Z333" s="1" t="n">
        <f aca="false">Z330-Z331</f>
        <v>1.03601152826071</v>
      </c>
      <c r="AA333" s="1" t="n">
        <f aca="false">AA330-AA331</f>
        <v>1.04949574974114</v>
      </c>
      <c r="AB333" s="1" t="n">
        <f aca="false">AB330-AB331</f>
        <v>1.06266729264668</v>
      </c>
      <c r="AC333" s="1" t="n">
        <f aca="false">AC330-AC331</f>
        <v>1.07552501052009</v>
      </c>
      <c r="AD333" s="1" t="n">
        <f aca="false">AD330-AD331</f>
        <v>1.08806777982267</v>
      </c>
      <c r="AE333" s="1" t="n">
        <f aca="false">AE330-AE331</f>
        <v>1.10029449836291</v>
      </c>
      <c r="AF333" s="1" t="n">
        <f aca="false">AF330-AF331</f>
        <v>1.11220420849511</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01_Supuestos!$C$191</f>
        <v>0.35</v>
      </c>
      <c r="D338" s="1" t="s">
        <v>1347</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0.00909372549359519</v>
      </c>
      <c r="E341" s="1" t="n">
        <f aca="false">D284*$C$340</f>
        <v>0.029691417363725</v>
      </c>
      <c r="F341" s="1" t="n">
        <f aca="false">E284*$C$340</f>
        <v>0.0533324906754524</v>
      </c>
      <c r="G341" s="1" t="n">
        <f aca="false">F284*$C$340</f>
        <v>0.0236021098584659</v>
      </c>
      <c r="H341" s="1" t="n">
        <f aca="false">G284*$C$340</f>
        <v>0.0598825463242479</v>
      </c>
      <c r="I341" s="1" t="n">
        <f aca="false">H284*$C$340</f>
        <v>0.0971366460636227</v>
      </c>
      <c r="J341" s="1" t="n">
        <f aca="false">I284*$C$340</f>
        <v>0.135387262916024</v>
      </c>
      <c r="K341" s="1" t="n">
        <f aca="false">J284*$C$340</f>
        <v>0.174657753379984</v>
      </c>
      <c r="L341" s="1" t="n">
        <f aca="false">K284*$C$340</f>
        <v>0.214971989323257</v>
      </c>
      <c r="M341" s="1" t="n">
        <f aca="false">L284*$C$340</f>
        <v>0.256354370927818</v>
      </c>
      <c r="N341" s="1" t="n">
        <f aca="false">M284*$C$340</f>
        <v>0.340290958150806</v>
      </c>
      <c r="O341" s="1" t="n">
        <f aca="false">N284*$C$340</f>
        <v>0.414473886864204</v>
      </c>
      <c r="P341" s="1" t="n">
        <f aca="false">O284*$C$340</f>
        <v>0.462705405980285</v>
      </c>
      <c r="Q341" s="1" t="n">
        <f aca="false">P284*$C$340</f>
        <v>0.512868883242405</v>
      </c>
      <c r="R341" s="1" t="n">
        <f aca="false">Q284*$C$340</f>
        <v>0.564148561697039</v>
      </c>
      <c r="S341" s="1" t="n">
        <f aca="false">R284*$C$340</f>
        <v>0.582652696179007</v>
      </c>
      <c r="T341" s="1" t="n">
        <f aca="false">S284*$C$340</f>
        <v>0.596725142755513</v>
      </c>
      <c r="U341" s="1" t="n">
        <f aca="false">T284*$C$340</f>
        <v>0.611201915320898</v>
      </c>
      <c r="V341" s="1" t="n">
        <f aca="false">U284*$C$340</f>
        <v>0.626088254089995</v>
      </c>
      <c r="W341" s="1" t="n">
        <f aca="false">V284*$C$340</f>
        <v>0.641392364352321</v>
      </c>
      <c r="X341" s="1" t="n">
        <f aca="false">W284*$C$340</f>
        <v>0.651389472894991</v>
      </c>
      <c r="Y341" s="1" t="n">
        <f aca="false">X284*$C$340</f>
        <v>0.660507519022461</v>
      </c>
      <c r="Z341" s="1" t="n">
        <f aca="false">Y284*$C$340</f>
        <v>0.669422833645383</v>
      </c>
      <c r="AA341" s="1" t="n">
        <f aca="false">Z284*$C$340</f>
        <v>0.678135715217349</v>
      </c>
      <c r="AB341" s="1" t="n">
        <f aca="false">AA284*$C$340</f>
        <v>0.686646558325544</v>
      </c>
      <c r="AC341" s="1" t="n">
        <f aca="false">AB284*$C$340</f>
        <v>0.694954622182212</v>
      </c>
      <c r="AD341" s="1" t="n">
        <f aca="false">AC284*$C$340</f>
        <v>0.703059180808497</v>
      </c>
      <c r="AE341" s="1" t="n">
        <f aca="false">AD284*$C$340</f>
        <v>0.710959522019113</v>
      </c>
      <c r="AF341" s="1" t="n">
        <f aca="false">AE284*$C$340</f>
        <v>0.718655027027611</v>
      </c>
    </row>
    <row r="342" customFormat="false" ht="14.25" hidden="false" customHeight="true" outlineLevel="0" collapsed="false">
      <c r="B342" s="1" t="s">
        <v>1336</v>
      </c>
      <c r="C342" s="1" t="n">
        <f aca="false">0*$C$340</f>
        <v>0</v>
      </c>
      <c r="D342" s="1" t="n">
        <f aca="false">C289*$C$340</f>
        <v>0.0125580018721076</v>
      </c>
      <c r="E342" s="1" t="n">
        <f aca="false">D289*$C$340</f>
        <v>0.041002433502287</v>
      </c>
      <c r="F342" s="1" t="n">
        <f aca="false">E289*$C$340</f>
        <v>0.0736496299803866</v>
      </c>
      <c r="G342" s="1" t="n">
        <f aca="false">F289*$C$340</f>
        <v>0.0325933898045482</v>
      </c>
      <c r="H342" s="1" t="n">
        <f aca="false">G289*$C$340</f>
        <v>0.0826949449239614</v>
      </c>
      <c r="I342" s="1" t="n">
        <f aca="false">H289*$C$340</f>
        <v>0.134141082659289</v>
      </c>
      <c r="J342" s="1" t="n">
        <f aca="false">I289*$C$340</f>
        <v>0.186963363074509</v>
      </c>
      <c r="K342" s="1" t="n">
        <f aca="false">J289*$C$340</f>
        <v>0.241194040381883</v>
      </c>
      <c r="L342" s="1" t="n">
        <f aca="false">K289*$C$340</f>
        <v>0.296866080494021</v>
      </c>
      <c r="M342" s="1" t="n">
        <f aca="false">L289*$C$340</f>
        <v>0.354013178900321</v>
      </c>
      <c r="N342" s="1" t="n">
        <f aca="false">M289*$C$340</f>
        <v>0.469925608874923</v>
      </c>
      <c r="O342" s="1" t="n">
        <f aca="false">N289*$C$340</f>
        <v>0.572368700907711</v>
      </c>
      <c r="P342" s="1" t="n">
        <f aca="false">O289*$C$340</f>
        <v>0.638974132068013</v>
      </c>
      <c r="Q342" s="1" t="n">
        <f aca="false">P289*$C$340</f>
        <v>0.708247505429988</v>
      </c>
      <c r="R342" s="1" t="n">
        <f aca="false">Q289*$C$340</f>
        <v>0.779062299486387</v>
      </c>
      <c r="S342" s="1" t="n">
        <f aca="false">R289*$C$340</f>
        <v>0.804615628056724</v>
      </c>
      <c r="T342" s="1" t="n">
        <f aca="false">S289*$C$340</f>
        <v>0.824049006662375</v>
      </c>
      <c r="U342" s="1" t="n">
        <f aca="false">T289*$C$340</f>
        <v>0.844040740205049</v>
      </c>
      <c r="V342" s="1" t="n">
        <f aca="false">U289*$C$340</f>
        <v>0.864598065171897</v>
      </c>
      <c r="W342" s="1" t="n">
        <f aca="false">V289*$C$340</f>
        <v>0.885732312677015</v>
      </c>
      <c r="X342" s="1" t="n">
        <f aca="false">W289*$C$340</f>
        <v>0.899537843521654</v>
      </c>
      <c r="Y342" s="1" t="n">
        <f aca="false">X289*$C$340</f>
        <v>0.912129431031018</v>
      </c>
      <c r="Z342" s="1" t="n">
        <f aca="false">Y289*$C$340</f>
        <v>0.924441055986481</v>
      </c>
      <c r="AA342" s="1" t="n">
        <f aca="false">Z289*$C$340</f>
        <v>0.936473130538244</v>
      </c>
      <c r="AB342" s="1" t="n">
        <f aca="false">AA289*$C$340</f>
        <v>0.948226199592419</v>
      </c>
      <c r="AC342" s="1" t="n">
        <f aca="false">AB289*$C$340</f>
        <v>0.959699240156387</v>
      </c>
      <c r="AD342" s="1" t="n">
        <f aca="false">AC289*$C$340</f>
        <v>0.970891249687924</v>
      </c>
      <c r="AE342" s="1" t="n">
        <f aca="false">AD289*$C$340</f>
        <v>0.981801244693061</v>
      </c>
      <c r="AF342" s="1" t="n">
        <f aca="false">AE289*$C$340</f>
        <v>0.992428370657177</v>
      </c>
    </row>
    <row r="343" customFormat="false" ht="14.25" hidden="false" customHeight="true" outlineLevel="0" collapsed="false">
      <c r="B343" s="1" t="s">
        <v>1337</v>
      </c>
      <c r="C343" s="1" t="n">
        <f aca="false">C341+C342</f>
        <v>0</v>
      </c>
      <c r="D343" s="1" t="n">
        <f aca="false">D341+D342</f>
        <v>0.0216517273657028</v>
      </c>
      <c r="E343" s="1" t="n">
        <f aca="false">E341+E342</f>
        <v>0.070693850866012</v>
      </c>
      <c r="F343" s="1" t="n">
        <f aca="false">F341+F342</f>
        <v>0.126982120655839</v>
      </c>
      <c r="G343" s="1" t="n">
        <f aca="false">G341+G342</f>
        <v>0.0561954996630141</v>
      </c>
      <c r="H343" s="1" t="n">
        <f aca="false">H341+H342</f>
        <v>0.142577491248209</v>
      </c>
      <c r="I343" s="1" t="n">
        <f aca="false">I341+I342</f>
        <v>0.231277728722911</v>
      </c>
      <c r="J343" s="1" t="n">
        <f aca="false">J341+J342</f>
        <v>0.322350625990533</v>
      </c>
      <c r="K343" s="1" t="n">
        <f aca="false">K341+K342</f>
        <v>0.415851793761867</v>
      </c>
      <c r="L343" s="1" t="n">
        <f aca="false">L341+L342</f>
        <v>0.511838069817278</v>
      </c>
      <c r="M343" s="1" t="n">
        <f aca="false">M341+M342</f>
        <v>0.610367549828139</v>
      </c>
      <c r="N343" s="1" t="n">
        <f aca="false">N341+N342</f>
        <v>0.810216567025729</v>
      </c>
      <c r="O343" s="1" t="n">
        <f aca="false">O341+O342</f>
        <v>0.986842587771915</v>
      </c>
      <c r="P343" s="1" t="n">
        <f aca="false">P341+P342</f>
        <v>1.1016795380483</v>
      </c>
      <c r="Q343" s="1" t="n">
        <f aca="false">Q341+Q342</f>
        <v>1.22111638867239</v>
      </c>
      <c r="R343" s="1" t="n">
        <f aca="false">R341+R342</f>
        <v>1.34321086118343</v>
      </c>
      <c r="S343" s="1" t="n">
        <f aca="false">S341+S342</f>
        <v>1.38726832423573</v>
      </c>
      <c r="T343" s="1" t="n">
        <f aca="false">T341+T342</f>
        <v>1.42077414941789</v>
      </c>
      <c r="U343" s="1" t="n">
        <f aca="false">U341+U342</f>
        <v>1.45524265552595</v>
      </c>
      <c r="V343" s="1" t="n">
        <f aca="false">V341+V342</f>
        <v>1.49068631926189</v>
      </c>
      <c r="W343" s="1" t="n">
        <f aca="false">W341+W342</f>
        <v>1.52712467702934</v>
      </c>
      <c r="X343" s="1" t="n">
        <f aca="false">X341+X342</f>
        <v>1.55092731641665</v>
      </c>
      <c r="Y343" s="1" t="n">
        <f aca="false">Y341+Y342</f>
        <v>1.57263695005348</v>
      </c>
      <c r="Z343" s="1" t="n">
        <f aca="false">Z341+Z342</f>
        <v>1.59386388963186</v>
      </c>
      <c r="AA343" s="1" t="n">
        <f aca="false">AA341+AA342</f>
        <v>1.61460884575559</v>
      </c>
      <c r="AB343" s="1" t="n">
        <f aca="false">AB341+AB342</f>
        <v>1.63487275791796</v>
      </c>
      <c r="AC343" s="1" t="n">
        <f aca="false">AC341+AC342</f>
        <v>1.6546538623386</v>
      </c>
      <c r="AD343" s="1" t="n">
        <f aca="false">AD341+AD342</f>
        <v>1.67395043049642</v>
      </c>
      <c r="AE343" s="1" t="n">
        <f aca="false">AE341+AE342</f>
        <v>1.69276076671217</v>
      </c>
      <c r="AF343" s="1" t="n">
        <f aca="false">AF341+AF342</f>
        <v>1.71108339768479</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1356</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0.01</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1357</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1019</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5</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11.440447555496</v>
      </c>
      <c r="D48" s="116" t="n">
        <f aca="false">SUMPRODUCT(($C$39:$BT$39&gt;=D$39-$C$29+1)*($C$39:$BT$39&lt;=D$39)*($C$45:$BT$45))/$C$29+D47</f>
        <v>18.433684727896</v>
      </c>
      <c r="E48" s="116" t="n">
        <f aca="false">SUMPRODUCT(($C$39:$BT$39&gt;=E$39-$C$29+1)*($C$39:$BT$39&lt;=E$39)*($C$45:$BT$45))/$C$29+E47</f>
        <v>24.380839607896</v>
      </c>
      <c r="F48" s="116" t="n">
        <f aca="false">SUMPRODUCT(($C$39:$BT$39&gt;=F$39-$C$29+1)*($C$39:$BT$39&lt;=F$39)*($C$45:$BT$45))/$C$29+F47</f>
        <v>40.7905342941664</v>
      </c>
      <c r="G48" s="116" t="n">
        <f aca="false">SUMPRODUCT(($C$39:$BT$39&gt;=G$39-$C$29+1)*($C$39:$BT$39&lt;=G$39)*($C$45:$BT$45))/$C$29+G47</f>
        <v>40.7905342941664</v>
      </c>
      <c r="H48" s="116" t="n">
        <f aca="false">SUMPRODUCT(($C$39:$BT$39&gt;=H$39-$C$29+1)*($C$39:$BT$39&lt;=H$39)*($C$45:$BT$45))/$C$29+H47</f>
        <v>29.3500867386704</v>
      </c>
      <c r="I48" s="116" t="n">
        <f aca="false">SUMPRODUCT(($C$39:$BT$39&gt;=I$39-$C$29+1)*($C$39:$BT$39&lt;=I$39)*($C$45:$BT$45))/$C$29+I47</f>
        <v>22.3568495662704</v>
      </c>
      <c r="J48" s="116" t="n">
        <f aca="false">SUMPRODUCT(($C$39:$BT$39&gt;=J$39-$C$29+1)*($C$39:$BT$39&lt;=J$39)*($C$45:$BT$45))/$C$29+J47</f>
        <v>16.4096946862704</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9.1280816</v>
      </c>
      <c r="G49" s="116" t="n">
        <f aca="false">SUMPRODUCT(($C$39:$BT$39&gt;=G$39-$C$29+1)*($C$39:$BT$39&lt;=G$39)*($C$46:$BT$46))/$C$29</f>
        <v>9.1280816</v>
      </c>
      <c r="H49" s="116" t="n">
        <f aca="false">SUMPRODUCT(($C$39:$BT$39&gt;=H$39-$C$29+1)*($C$39:$BT$39&lt;=H$39)*($C$46:$BT$46))/$C$29</f>
        <v>9.1280816</v>
      </c>
      <c r="I49" s="116" t="n">
        <f aca="false">SUMPRODUCT(($C$39:$BT$39&gt;=I$39-$C$29+1)*($C$39:$BT$39&lt;=I$39)*($C$46:$BT$46))/$C$29</f>
        <v>9.1280816</v>
      </c>
      <c r="J49" s="116" t="n">
        <f aca="false">SUMPRODUCT(($C$39:$BT$39&gt;=J$39-$C$29+1)*($C$39:$BT$39&lt;=J$39)*($C$46:$BT$46))/$C$29</f>
        <v>9.1280816</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2.095936220638</v>
      </c>
      <c r="AC50" s="116" t="n">
        <f aca="false">IF($C$6="Sí",23_v67_Intermedio!AC24,22_v67_Prudente!AC24)-AC194+AC345</f>
        <v>1.995836136886</v>
      </c>
      <c r="AD50" s="116" t="n">
        <f aca="false">IF($C$6="Sí",23_v67_Intermedio!AD24,22_v67_Prudente!AD24)-AD194+AD345</f>
        <v>1.895736053134</v>
      </c>
      <c r="AE50" s="116" t="n">
        <f aca="false">IF($C$6="Sí",23_v67_Intermedio!AE24,22_v67_Prudente!AE24)-AE194+AE345</f>
        <v>1.795635969382</v>
      </c>
      <c r="AF50" s="116" t="n">
        <f aca="false">IF($C$6="Sí",23_v67_Intermedio!AF24,22_v67_Prudente!AF24)-AF194+AF345</f>
        <v>1.69553588563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0.14</v>
      </c>
      <c r="AC55" s="87" t="n">
        <f aca="false">IF($C$13="Sí",IF(AB122&lt;01_Supuestos!$I$138,MIN(AB55+01_Supuestos!$I$139,01_Supuestos!$I$140),IF(AB122&gt;01_Supuestos!$C$159,MAX(AB55-01_Supuestos!$C$160,01_Supuestos!$I$141),AB55)),AB55)</f>
        <v>0.18</v>
      </c>
      <c r="AD55" s="87" t="n">
        <f aca="false">IF($C$13="Sí",IF(AC122&lt;01_Supuestos!$I$138,MIN(AC55+01_Supuestos!$I$139,01_Supuestos!$I$140),IF(AC122&gt;01_Supuestos!$C$159,MAX(AC55-01_Supuestos!$C$160,01_Supuestos!$I$141),AC55)),AC55)</f>
        <v>0.22</v>
      </c>
      <c r="AE55" s="87" t="n">
        <f aca="false">IF($C$13="Sí",IF(AD122&lt;01_Supuestos!$I$138,MIN(AD55+01_Supuestos!$I$139,01_Supuestos!$I$140),IF(AD122&gt;01_Supuestos!$C$159,MAX(AD55-01_Supuestos!$C$160,01_Supuestos!$I$141),AD55)),AD55)</f>
        <v>0.26</v>
      </c>
      <c r="AF55" s="87" t="n">
        <f aca="false">IF($C$13="Sí",IF(AE122&lt;01_Supuestos!$I$138,MIN(AE55+01_Supuestos!$I$139,01_Supuestos!$I$140),IF(AE122&gt;01_Supuestos!$C$159,MAX(AE55-01_Supuestos!$C$160,01_Supuestos!$I$141),AE55)),AE55)</f>
        <v>0.3</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2.77720825928658</v>
      </c>
      <c r="AC56" s="116" t="n">
        <f aca="false">IF($C$11="Libro",AC55*AC54,IF(AC$39&lt;=20,01_Supuestos!$I$26+(01_Supuestos!$I$27-01_Supuestos!$I$26)*(AC$39-1)/19,01_Supuestos!$I$27*IF($C$6="Sí",(1+01_Supuestos!$I$9)^(AC$39-20),1))*AC55/0.1)</f>
        <v>3.65996374170268</v>
      </c>
      <c r="AD56" s="116" t="n">
        <f aca="false">IF($C$11="Libro",AD55*AD54,IF(AD$39&lt;=20,01_Supuestos!$I$26+(01_Supuestos!$I$27-01_Supuestos!$I$26)*(AD$39-1)/19,01_Supuestos!$I$27*IF($C$6="Sí",(1+01_Supuestos!$I$9)^(AD$39-20),1))*AD55/0.1)</f>
        <v>4.58512124307752</v>
      </c>
      <c r="AE56" s="116" t="n">
        <f aca="false">IF($C$11="Libro",AE55*AE54,IF(AE$39&lt;=20,01_Supuestos!$I$26+(01_Supuestos!$I$27-01_Supuestos!$I$26)*(AE$39-1)/19,01_Supuestos!$I$27*IF($C$6="Sí",(1+01_Supuestos!$I$9)^(AE$39-20),1))*AE55/0.1)</f>
        <v>5.55424914218254</v>
      </c>
      <c r="AF56" s="116" t="n">
        <f aca="false">IF($C$11="Libro",AF55*AF54,IF(AF$39&lt;=20,01_Supuestos!$I$26+(01_Supuestos!$I$27-01_Supuestos!$I$26)*(AF$39-1)/19,01_Supuestos!$I$27*IF($C$6="Sí",(1+01_Supuestos!$I$9)^(AF$39-20),1))*AF55/0.1)</f>
        <v>6.56896773546589</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23.1717907106751</v>
      </c>
      <c r="AC62" s="116" t="n">
        <f aca="false">IF($C$25="Verificado",AB62+IF(AC$39=4,01_Supuestos!$I$88*01_Supuestos!$I$89/1000000000000,0)+AC345-AC63,0)</f>
        <v>22.0132011751413</v>
      </c>
      <c r="AD62" s="116" t="n">
        <f aca="false">IF($C$25="Verificado",AC62+IF(AD$39=4,01_Supuestos!$I$88*01_Supuestos!$I$89/1000000000000,0)+AD345-AD63,0)</f>
        <v>20.9125411163843</v>
      </c>
      <c r="AE62" s="116" t="n">
        <f aca="false">IF($C$25="Verificado",AD62+IF(AE$39=4,01_Supuestos!$I$88*01_Supuestos!$I$89/1000000000000,0)+AE345-AE63,0)</f>
        <v>19.8669140605651</v>
      </c>
      <c r="AF62" s="116" t="n">
        <f aca="false">IF($C$25="Verificado",AE62+IF(AF$39=4,01_Supuestos!$I$88*01_Supuestos!$I$89/1000000000000,0)+AF345-AF63,0)</f>
        <v>18.8735683575368</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1.15858953553375</v>
      </c>
      <c r="AD63" s="116" t="n">
        <f aca="false">IF(AND($C$25="Verificado",AD$39&gt;4),AC62/01_Supuestos!$I$22,0)</f>
        <v>1.10066005875707</v>
      </c>
      <c r="AE63" s="116" t="n">
        <f aca="false">IF(AND($C$25="Verificado",AE$39&gt;4),AD62/01_Supuestos!$I$22,0)</f>
        <v>1.04562705581921</v>
      </c>
      <c r="AF63" s="116" t="n">
        <f aca="false">IF(AND($C$25="Verificado",AF$39&gt;4),AE62/01_Supuestos!$I$22,0)</f>
        <v>0.993345703028253</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11.440447555496</v>
      </c>
      <c r="D64" s="116" t="n">
        <f aca="false">D48+D50-D57</f>
        <v>18.433684727896</v>
      </c>
      <c r="E64" s="116" t="n">
        <f aca="false">E48+E50-E57</f>
        <v>24.380839607896</v>
      </c>
      <c r="F64" s="116" t="n">
        <f aca="false">F48+F50-F57</f>
        <v>40.7905342941664</v>
      </c>
      <c r="G64" s="116" t="n">
        <f aca="false">G48+G50-G57</f>
        <v>40.7905342941664</v>
      </c>
      <c r="H64" s="116" t="n">
        <f aca="false">H48+H50-H57</f>
        <v>29.3500867386704</v>
      </c>
      <c r="I64" s="116" t="n">
        <f aca="false">I48+I50-I57</f>
        <v>22.3568495662704</v>
      </c>
      <c r="J64" s="116" t="n">
        <f aca="false">J48+J50-J57</f>
        <v>16.4096946862704</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2.095936220638</v>
      </c>
      <c r="AC64" s="116" t="n">
        <f aca="false">AC48+AC50-AC57</f>
        <v>1.995836136886</v>
      </c>
      <c r="AD64" s="116" t="n">
        <f aca="false">AD48+AD50-AD57</f>
        <v>1.895736053134</v>
      </c>
      <c r="AE64" s="116" t="n">
        <f aca="false">AE48+AE50-AE57</f>
        <v>1.795635969382</v>
      </c>
      <c r="AF64" s="116" t="n">
        <f aca="false">AF48+AF50-AF57</f>
        <v>1.69553588563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0.091908323251863</v>
      </c>
      <c r="H65" s="116" t="n">
        <f aca="false">MIN(H58,H64)</f>
        <v>0.0951526870626538</v>
      </c>
      <c r="I65" s="116" t="n">
        <f aca="false">MIN(I58,I64)</f>
        <v>0.0985115769159654</v>
      </c>
      <c r="J65" s="116" t="n">
        <f aca="false">MIN(J58,J64)</f>
        <v>0.101989035581099</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11.360447555496</v>
      </c>
      <c r="D66" s="116" t="n">
        <f aca="false">D64-D65</f>
        <v>18.350860727896</v>
      </c>
      <c r="E66" s="116" t="n">
        <f aca="false">E64-E65</f>
        <v>24.295091920696</v>
      </c>
      <c r="F66" s="116" t="n">
        <f aca="false">F64-F65</f>
        <v>40.7017597136082</v>
      </c>
      <c r="G66" s="116" t="n">
        <f aca="false">G64-G65</f>
        <v>40.6986259709145</v>
      </c>
      <c r="H66" s="116" t="n">
        <f aca="false">H64-H65</f>
        <v>29.2549340516077</v>
      </c>
      <c r="I66" s="116" t="n">
        <f aca="false">I64-I65</f>
        <v>22.2583379893544</v>
      </c>
      <c r="J66" s="116" t="n">
        <f aca="false">J64-J65</f>
        <v>16.3077056506893</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1.90550184899078</v>
      </c>
      <c r="AC66" s="116" t="n">
        <f aca="false">AC64-AC65</f>
        <v>1.79867943191963</v>
      </c>
      <c r="AD66" s="116" t="n">
        <f aca="false">AD64-AD65</f>
        <v>1.69161971648232</v>
      </c>
      <c r="AE66" s="116" t="n">
        <f aca="false">AE64-AE65</f>
        <v>1.58431432604652</v>
      </c>
      <c r="AF66" s="116" t="n">
        <f aca="false">AF64-AF65</f>
        <v>1.47675458828477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11.360447555496</v>
      </c>
      <c r="D67" s="116" t="n">
        <f aca="false">C67+D66-D63</f>
        <v>29.711308283392</v>
      </c>
      <c r="E67" s="116" t="n">
        <f aca="false">D67+E66-E63</f>
        <v>54.006400204088</v>
      </c>
      <c r="F67" s="116" t="n">
        <f aca="false">E67+F66-F63</f>
        <v>94.7081599176962</v>
      </c>
      <c r="G67" s="116" t="n">
        <f aca="false">F67+G66-G63</f>
        <v>134.022471588611</v>
      </c>
      <c r="H67" s="116" t="n">
        <f aca="false">G67+H66-H63</f>
        <v>161.905582755219</v>
      </c>
      <c r="I67" s="116" t="n">
        <f aca="false">H67+I66-I63</f>
        <v>182.803964703823</v>
      </c>
      <c r="J67" s="116" t="n">
        <f aca="false">I67+J66-J63</f>
        <v>197.7629878158</v>
      </c>
      <c r="K67" s="116" t="n">
        <f aca="false">J67+K66-K63</f>
        <v>196.425015104023</v>
      </c>
      <c r="L67" s="116" t="n">
        <f aca="false">K67+L66-L63</f>
        <v>195.097216727835</v>
      </c>
      <c r="M67" s="116" t="n">
        <f aca="false">L67+M66-M63</f>
        <v>197.997431689176</v>
      </c>
      <c r="N67" s="116" t="n">
        <f aca="false">M67+N66-N63</f>
        <v>200.902833895947</v>
      </c>
      <c r="O67" s="116" t="n">
        <f aca="false">N67+O66-O63</f>
        <v>203.812823204492</v>
      </c>
      <c r="P67" s="116" t="n">
        <f aca="false">O67+P66-P63</f>
        <v>206.726817448754</v>
      </c>
      <c r="Q67" s="116" t="n">
        <f aca="false">P67+Q66-Q63</f>
        <v>209.644251116752</v>
      </c>
      <c r="R67" s="116" t="n">
        <f aca="false">Q67+R66-R63</f>
        <v>212.464473994491</v>
      </c>
      <c r="S67" s="116" t="n">
        <f aca="false">R67+S66-S63</f>
        <v>215.186950109226</v>
      </c>
      <c r="T67" s="116" t="n">
        <f aca="false">S67+T66-T63</f>
        <v>217.811156466612</v>
      </c>
      <c r="U67" s="116" t="n">
        <f aca="false">T67+U66-U63</f>
        <v>220.336581913935</v>
      </c>
      <c r="V67" s="116" t="n">
        <f aca="false">U67+V66-V63</f>
        <v>222.762726042949</v>
      </c>
      <c r="W67" s="116" t="n">
        <f aca="false">V67+W66-W63</f>
        <v>225.089098129754</v>
      </c>
      <c r="X67" s="116" t="n">
        <f aca="false">W67+X66-X63</f>
        <v>227.315216109209</v>
      </c>
      <c r="Y67" s="116" t="n">
        <f aca="false">X67+Y66-Y63</f>
        <v>229.440605581527</v>
      </c>
      <c r="Z67" s="116" t="n">
        <f aca="false">Y67+Z66-Z63</f>
        <v>231.464798848744</v>
      </c>
      <c r="AA67" s="116" t="n">
        <f aca="false">Z67+AA66-AA63</f>
        <v>233.38733397889</v>
      </c>
      <c r="AB67" s="116" t="n">
        <f aca="false">AA67+AB66-AB63</f>
        <v>234.07326789574</v>
      </c>
      <c r="AC67" s="116" t="n">
        <f aca="false">AB67+AC66-AC63</f>
        <v>234.713357792126</v>
      </c>
      <c r="AD67" s="116" t="n">
        <f aca="false">AC67+AD66-AD63</f>
        <v>235.304317449851</v>
      </c>
      <c r="AE67" s="116" t="n">
        <f aca="false">AD67+AE66-AE63</f>
        <v>235.843004720078</v>
      </c>
      <c r="AF67" s="116" t="n">
        <f aca="false">AE67+AF66-AF63</f>
        <v>236.326413605335</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3.86255216886864</v>
      </c>
      <c r="D68" s="116" t="n">
        <f aca="false">C68+(01_Supuestos!$I$125-1)*D66</f>
        <v>10.1018448163533</v>
      </c>
      <c r="E68" s="116" t="n">
        <f aca="false">D68+(01_Supuestos!$I$125-1)*E66</f>
        <v>18.3621760693899</v>
      </c>
      <c r="F68" s="116" t="n">
        <f aca="false">E68+(01_Supuestos!$I$125-1)*F66</f>
        <v>32.2007743720167</v>
      </c>
      <c r="G68" s="116" t="n">
        <f aca="false">F68+(01_Supuestos!$I$125-1)*G66</f>
        <v>46.0383072021277</v>
      </c>
      <c r="H68" s="116" t="n">
        <f aca="false">G68+(01_Supuestos!$I$125-1)*H66</f>
        <v>55.9849847796743</v>
      </c>
      <c r="I68" s="116" t="n">
        <f aca="false">H68+(01_Supuestos!$I$125-1)*I66</f>
        <v>63.5528196960548</v>
      </c>
      <c r="J68" s="116" t="n">
        <f aca="false">I68+(01_Supuestos!$I$125-1)*J66</f>
        <v>69.0974396172892</v>
      </c>
      <c r="K68" s="116" t="n">
        <f aca="false">J68+(01_Supuestos!$I$125-1)*K66</f>
        <v>69.0974396172892</v>
      </c>
      <c r="L68" s="116" t="n">
        <f aca="false">K68+(01_Supuestos!$I$125-1)*L66</f>
        <v>69.0974396172892</v>
      </c>
      <c r="M68" s="116" t="n">
        <f aca="false">L68+(01_Supuestos!$I$125-1)*M66</f>
        <v>70.5316778416538</v>
      </c>
      <c r="N68" s="116" t="n">
        <f aca="false">M68+(01_Supuestos!$I$125-1)*N66</f>
        <v>71.9645577345893</v>
      </c>
      <c r="O68" s="116" t="n">
        <f aca="false">N68+(01_Supuestos!$I$125-1)*O66</f>
        <v>73.3960313469962</v>
      </c>
      <c r="P68" s="116" t="n">
        <f aca="false">O68+(01_Supuestos!$I$125-1)*P66</f>
        <v>74.8260490371719</v>
      </c>
      <c r="Q68" s="116" t="n">
        <f aca="false">P68+(01_Supuestos!$I$125-1)*Q66</f>
        <v>76.2545594110615</v>
      </c>
      <c r="R68" s="116" t="n">
        <f aca="false">Q68+(01_Supuestos!$I$125-1)*R66</f>
        <v>77.6474752319246</v>
      </c>
      <c r="S68" s="116" t="n">
        <f aca="false">R68+(01_Supuestos!$I$125-1)*S66</f>
        <v>79.0047414132445</v>
      </c>
      <c r="T68" s="116" t="n">
        <f aca="false">S68+(01_Supuestos!$I$125-1)*T66</f>
        <v>80.3263009239504</v>
      </c>
      <c r="U68" s="116" t="n">
        <f aca="false">T68+(01_Supuestos!$I$125-1)*U66</f>
        <v>81.612094719775</v>
      </c>
      <c r="V68" s="116" t="n">
        <f aca="false">U68+(01_Supuestos!$I$125-1)*V66</f>
        <v>82.862061672188</v>
      </c>
      <c r="W68" s="116" t="n">
        <f aca="false">V68+(01_Supuestos!$I$125-1)*W66</f>
        <v>84.0761384948223</v>
      </c>
      <c r="X68" s="116" t="n">
        <f aca="false">W68+(01_Supuestos!$I$125-1)*X66</f>
        <v>85.2542596673019</v>
      </c>
      <c r="Y68" s="116" t="n">
        <f aca="false">X68+(01_Supuestos!$I$125-1)*Y66</f>
        <v>86.3963573563814</v>
      </c>
      <c r="Z68" s="116" t="n">
        <f aca="false">Y68+(01_Supuestos!$I$125-1)*Z66</f>
        <v>87.5023613343021</v>
      </c>
      <c r="AA68" s="116" t="n">
        <f aca="false">Z68+(01_Supuestos!$I$125-1)*AA66</f>
        <v>88.5721988942652</v>
      </c>
      <c r="AB68" s="116" t="n">
        <f aca="false">AA68+(01_Supuestos!$I$125-1)*AB66</f>
        <v>89.2200695229221</v>
      </c>
      <c r="AC68" s="116" t="n">
        <f aca="false">AB68+(01_Supuestos!$I$125-1)*AC66</f>
        <v>89.8316205297748</v>
      </c>
      <c r="AD68" s="116" t="n">
        <f aca="false">AC68+(01_Supuestos!$I$125-1)*AD66</f>
        <v>90.4067712333788</v>
      </c>
      <c r="AE68" s="116" t="n">
        <f aca="false">AD68+(01_Supuestos!$I$125-1)*AE66</f>
        <v>90.9454381042346</v>
      </c>
      <c r="AF68" s="116" t="n">
        <f aca="false">AE68+(01_Supuestos!$I$125-1)*AF66</f>
        <v>91.4475346642514</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11.440447555496</v>
      </c>
      <c r="D69" s="116" t="n">
        <f aca="false">C69+D48+D49+D50+D51-D63+D245</f>
        <v>29.874132283392</v>
      </c>
      <c r="E69" s="116" t="n">
        <f aca="false">D69+E48+E49+E50+E51-E63+E245</f>
        <v>54.254971891288</v>
      </c>
      <c r="F69" s="116" t="n">
        <f aca="false">E69+F48+F49+F50+F51-F63+F245</f>
        <v>111.187509327364</v>
      </c>
      <c r="G69" s="116" t="n">
        <f aca="false">F69+G48+G49+G50+G51-G63+G245</f>
        <v>166.735732463441</v>
      </c>
      <c r="H69" s="116" t="n">
        <f aca="false">G69+H48+H49+H50+H51-H63+H245</f>
        <v>210.855999459021</v>
      </c>
      <c r="I69" s="116" t="n">
        <f aca="false">H69+I48+I49+I50+I51-I63+I245</f>
        <v>247.994896126452</v>
      </c>
      <c r="J69" s="116" t="n">
        <f aca="false">I69+J48+J49+J50+J51-J63+J245</f>
        <v>279.197911415919</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319.126273175617</v>
      </c>
      <c r="R69" s="116" t="n">
        <f aca="false">Q69+R48+R49+R50+R51-R63+R245</f>
        <v>324.763506273682</v>
      </c>
      <c r="S69" s="116" t="n">
        <f aca="false">R69+S48+S49+S50+S51-S63+S245</f>
        <v>330.307744406</v>
      </c>
      <c r="T69" s="116" t="n">
        <f aca="false">S69+T48+T49+T50+T51-T63+T245</f>
        <v>335.758632316669</v>
      </c>
      <c r="U69" s="116" t="n">
        <f aca="false">T69+U48+U49+U50+U51-U63+U245</f>
        <v>341.115832512586</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374.833482117805</v>
      </c>
      <c r="AC69" s="116" t="n">
        <f aca="false">AB69+AC48+AC49+AC50+AC51-AC63+AC245</f>
        <v>378.353127119158</v>
      </c>
      <c r="AD69" s="116" t="n">
        <f aca="false">AC69+AD48+AD49+AD50+AD51-AD63+AD245</f>
        <v>381.830601513535</v>
      </c>
      <c r="AE69" s="116" t="n">
        <f aca="false">AD69+AE48+AE49+AE50+AE51-AE63+AE245</f>
        <v>385.263008827097</v>
      </c>
      <c r="AF69" s="116" t="n">
        <f aca="false">AE69+AF48+AF49+AF50+AF51-AF63+AF245</f>
        <v>388.647597409699</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16.4793494096682</v>
      </c>
      <c r="G70" s="116" t="n">
        <f aca="false">F70+G49+G51+G57+G65+G245</f>
        <v>32.71326087483</v>
      </c>
      <c r="H70" s="116" t="n">
        <f aca="false">G70+H49+H51+H57+H65+H245</f>
        <v>48.9504167038027</v>
      </c>
      <c r="I70" s="116" t="n">
        <f aca="false">H70+I49+I51+I57+I65+I245</f>
        <v>65.1909314226286</v>
      </c>
      <c r="J70" s="116" t="n">
        <f aca="false">I70+J49+J51+J57+J65+J245</f>
        <v>81.4349236001197</v>
      </c>
      <c r="K70" s="116" t="n">
        <f aca="false">J70+K49+K51+K57+K65+K245</f>
        <v>88.4488451420297</v>
      </c>
      <c r="L70" s="116" t="n">
        <f aca="false">K70+L49+L51+L57+L65+L245</f>
        <v>95.4627666839397</v>
      </c>
      <c r="M70" s="116" t="n">
        <f aca="false">L70+M49+M51+M57+M65+M245</f>
        <v>98.2583405071303</v>
      </c>
      <c r="N70" s="116" t="n">
        <f aca="false">M70+N49+N51+N57+N65+N245</f>
        <v>101.057909422759</v>
      </c>
      <c r="O70" s="116" t="n">
        <f aca="false">N70+O49+O51+O57+O65+O245</f>
        <v>103.86161445759</v>
      </c>
      <c r="P70" s="116" t="n">
        <f aca="false">O70+P49+P51+P57+P65+P245</f>
        <v>106.669601616631</v>
      </c>
      <c r="Q70" s="116" t="n">
        <f aca="false">P70+Q49+Q51+Q57+Q65+Q245</f>
        <v>109.482022058865</v>
      </c>
      <c r="R70" s="116" t="n">
        <f aca="false">Q70+R49+R51+R57+R65+R245</f>
        <v>112.299032279191</v>
      </c>
      <c r="S70" s="116" t="n">
        <f aca="false">R70+S49+S51+S57+S65+S245</f>
        <v>115.120794296774</v>
      </c>
      <c r="T70" s="116" t="n">
        <f aca="false">S70+T49+T51+T57+T65+T245</f>
        <v>117.947475850057</v>
      </c>
      <c r="U70" s="116" t="n">
        <f aca="false">T70+U49+U51+U57+U65+U245</f>
        <v>120.779250598652</v>
      </c>
      <c r="V70" s="116" t="n">
        <f aca="false">U70+V49+V51+V57+V65+V245</f>
        <v>123.616298332351</v>
      </c>
      <c r="W70" s="116" t="n">
        <f aca="false">V70+W49+W51+W57+W65+W245</f>
        <v>126.458805187531</v>
      </c>
      <c r="X70" s="116" t="n">
        <f aca="false">W70+X49+X51+X57+X65+X245</f>
        <v>129.306963871178</v>
      </c>
      <c r="Y70" s="116" t="n">
        <f aca="false">X70+Y49+Y51+Y57+Y65+Y245</f>
        <v>132.160973892838</v>
      </c>
      <c r="Z70" s="116" t="n">
        <f aca="false">Y70+Z49+Z51+Z57+Z65+Z245</f>
        <v>135.021041804743</v>
      </c>
      <c r="AA70" s="116" t="n">
        <f aca="false">Z70+AA49+AA51+AA57+AA65+AA245</f>
        <v>137.887381450418</v>
      </c>
      <c r="AB70" s="116" t="n">
        <f aca="false">AA70+AB49+AB51+AB57+AB65+AB245</f>
        <v>140.760214222065</v>
      </c>
      <c r="AC70" s="116" t="n">
        <f aca="false">AB70+AC49+AC51+AC57+AC65+AC245</f>
        <v>143.639769327032</v>
      </c>
      <c r="AD70" s="116" t="n">
        <f aca="false">AC70+AD49+AD51+AD57+AD65+AD245</f>
        <v>146.526284063683</v>
      </c>
      <c r="AE70" s="116" t="n">
        <f aca="false">AD70+AE49+AE51+AE57+AE65+AE245</f>
        <v>149.420004107019</v>
      </c>
      <c r="AF70" s="116" t="n">
        <f aca="false">AE70+AF49+AF51+AF57+AF65+AF245</f>
        <v>152.321183804364</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1358</v>
      </c>
      <c r="C72" s="116" t="n">
        <f aca="false">IF($C$173="Sí",(1-$C$172)*(C83+C181),$C$15*0)</f>
        <v>4.82044491317486</v>
      </c>
      <c r="D72" s="116" t="n">
        <f aca="false">IF($C$173="Sí",(1-$C$172)*(D83+D181),$C$15*C83)</f>
        <v>12.5924327864198</v>
      </c>
      <c r="E72" s="116" t="n">
        <f aca="false">IF($C$173="Sí",(1-$C$172)*(E83+E181),$C$15*D83)</f>
        <v>22.1158466864198</v>
      </c>
      <c r="F72" s="116" t="n">
        <f aca="false">IF($C$173="Sí",(1-$C$172)*(F83+F181),$C$15*E83)</f>
        <v>31.8582991061198</v>
      </c>
      <c r="G72" s="116" t="n">
        <f aca="false">IF($C$173="Sí",(1-$C$172)*(G83+G181),$C$15*F83)</f>
        <v>41.8248279314729</v>
      </c>
      <c r="H72" s="116" t="n">
        <f aca="false">IF($C$173="Sí",(1-$C$172)*(H83+H181),$C$15*G83)</f>
        <v>52.0205869198091</v>
      </c>
      <c r="I72" s="116" t="n">
        <f aca="false">IF($C$173="Sí",(1-$C$172)*(I83+I181),$C$15*H83)</f>
        <v>62.450848364877</v>
      </c>
      <c r="J72" s="116" t="n">
        <f aca="false">IF($C$173="Sí",(1-$C$172)*(J83+J181),$C$15*I83)</f>
        <v>73.1210058231815</v>
      </c>
      <c r="K72" s="116" t="n">
        <f aca="false">IF($C$173="Sí",(1-$C$172)*(K83+K181),$C$15*J83)</f>
        <v>84.036576903027</v>
      </c>
      <c r="L72" s="116" t="n">
        <f aca="false">IF($C$173="Sí",(1-$C$172)*(L83+L181),$C$15*K83)</f>
        <v>95.203206117709</v>
      </c>
      <c r="M72" s="116" t="n">
        <f aca="false">IF($C$173="Sí",(1-$C$172)*(M83+M181),$C$15*L83)</f>
        <v>106.626667804329</v>
      </c>
      <c r="N72" s="116" t="n">
        <f aca="false">IF($C$173="Sí",(1-$C$172)*(N83+N181),$C$15*M83)</f>
        <v>113.458888498147</v>
      </c>
      <c r="O72" s="116" t="n">
        <f aca="false">IF($C$173="Sí",(1-$C$172)*(O83+O181),$C$15*N83)</f>
        <v>116.068442933605</v>
      </c>
      <c r="P72" s="116" t="n">
        <f aca="false">IF($C$173="Sí",(1-$C$172)*(P83+P181),$C$15*O83)</f>
        <v>118.738017121078</v>
      </c>
      <c r="Q72" s="116" t="n">
        <f aca="false">IF($C$173="Sí",(1-$C$172)*(Q83+Q181),$C$15*P83)</f>
        <v>121.468991514862</v>
      </c>
      <c r="R72" s="116" t="n">
        <f aca="false">IF($C$173="Sí",(1-$C$172)*(R83+R181),$C$15*Q83)</f>
        <v>124.262778319704</v>
      </c>
      <c r="S72" s="116" t="n">
        <f aca="false">IF($C$173="Sí",(1-$C$172)*(S83+S181),$C$15*R83)</f>
        <v>127.120822221057</v>
      </c>
      <c r="T72" s="116" t="n">
        <f aca="false">IF($C$173="Sí",(1-$C$172)*(T83+T181),$C$15*S83)</f>
        <v>130.044601132142</v>
      </c>
      <c r="U72" s="116" t="n">
        <f aca="false">IF($C$173="Sí",(1-$C$172)*(U83+U181),$C$15*T83)</f>
        <v>133.035626958181</v>
      </c>
      <c r="V72" s="116" t="n">
        <f aca="false">IF($C$173="Sí",(1-$C$172)*(V83+V181),$C$15*U83)</f>
        <v>135.210942104959</v>
      </c>
      <c r="W72" s="116" t="n">
        <f aca="false">IF($C$173="Sí",(1-$C$172)*(W83+W181),$C$15*V83)</f>
        <v>137.221573170814</v>
      </c>
      <c r="X72" s="116" t="n">
        <f aca="false">IF($C$173="Sí",(1-$C$172)*(X83+X181),$C$15*W83)</f>
        <v>139.191078489022</v>
      </c>
      <c r="Y72" s="116" t="n">
        <f aca="false">IF($C$173="Sí",(1-$C$172)*(Y83+Y181),$C$15*X83)</f>
        <v>141.119350101685</v>
      </c>
      <c r="Z72" s="116" t="n">
        <f aca="false">IF($C$173="Sí",(1-$C$172)*(Z83+Z181),$C$15*Y83)</f>
        <v>143.006283626154</v>
      </c>
      <c r="AA72" s="116" t="n">
        <f aca="false">IF($C$173="Sí",(1-$C$172)*(AA83+AA181),$C$15*Z83)</f>
        <v>144.851778011926</v>
      </c>
      <c r="AB72" s="116" t="n">
        <f aca="false">IF($C$173="Sí",(1-$C$172)*(AB83+AB181),$C$15*AA83)</f>
        <v>146.176868766829</v>
      </c>
      <c r="AC72" s="116" t="n">
        <f aca="false">IF($C$173="Sí",(1-$C$172)*(AC83+AC181),$C$15*AB83)</f>
        <v>147.478195509414</v>
      </c>
      <c r="AD72" s="116" t="n">
        <f aca="false">IF($C$173="Sí",(1-$C$172)*(AD83+AD181),$C$15*AC83)</f>
        <v>148.754772415278</v>
      </c>
      <c r="AE72" s="116" t="n">
        <f aca="false">IF($C$173="Sí",(1-$C$172)*(AE83+AE181),$C$15*AD83)</f>
        <v>150.00566078337</v>
      </c>
      <c r="AF72" s="116" t="n">
        <f aca="false">IF($C$173="Sí",(1-$C$172)*(AF83+AF181),$C$15*AE83)</f>
        <v>151.229966603294</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4.82044491317486</v>
      </c>
      <c r="D73" s="116" t="n">
        <f aca="false">D72-C72</f>
        <v>7.7719878732449</v>
      </c>
      <c r="E73" s="116" t="n">
        <f aca="false">E72-D72</f>
        <v>9.5234139</v>
      </c>
      <c r="F73" s="116" t="n">
        <f aca="false">F72-E72</f>
        <v>9.7424524197</v>
      </c>
      <c r="G73" s="116" t="n">
        <f aca="false">G72-F72</f>
        <v>9.9665288253531</v>
      </c>
      <c r="H73" s="116" t="n">
        <f aca="false">H72-G72</f>
        <v>10.1957589883362</v>
      </c>
      <c r="I73" s="116" t="n">
        <f aca="false">I72-H72</f>
        <v>10.4302614450679</v>
      </c>
      <c r="J73" s="116" t="n">
        <f aca="false">J72-I72</f>
        <v>10.6701574583045</v>
      </c>
      <c r="K73" s="116" t="n">
        <f aca="false">K72-J72</f>
        <v>10.9155710798455</v>
      </c>
      <c r="L73" s="116" t="n">
        <f aca="false">L72-K72</f>
        <v>11.1666292146819</v>
      </c>
      <c r="M73" s="116" t="n">
        <f aca="false">M72-L72</f>
        <v>11.4234616866196</v>
      </c>
      <c r="N73" s="116" t="n">
        <f aca="false">N72-M72</f>
        <v>6.8322206938187</v>
      </c>
      <c r="O73" s="116" t="n">
        <f aca="false">O72-N72</f>
        <v>2.60955443545738</v>
      </c>
      <c r="P73" s="116" t="n">
        <f aca="false">P72-O72</f>
        <v>2.66957418747293</v>
      </c>
      <c r="Q73" s="116" t="n">
        <f aca="false">Q72-P72</f>
        <v>2.73097439378475</v>
      </c>
      <c r="R73" s="116" t="n">
        <f aca="false">R72-Q72</f>
        <v>2.7937868048418</v>
      </c>
      <c r="S73" s="116" t="n">
        <f aca="false">S72-R72</f>
        <v>2.85804390135321</v>
      </c>
      <c r="T73" s="116" t="n">
        <f aca="false">T72-S72</f>
        <v>2.9237789110843</v>
      </c>
      <c r="U73" s="116" t="n">
        <f aca="false">U72-T72</f>
        <v>2.99102582603925</v>
      </c>
      <c r="V73" s="116" t="n">
        <f aca="false">V72-U72</f>
        <v>2.17531514677799</v>
      </c>
      <c r="W73" s="116" t="n">
        <f aca="false">W72-V72</f>
        <v>2.0106310658548</v>
      </c>
      <c r="X73" s="116" t="n">
        <f aca="false">X72-W72</f>
        <v>1.96950531820841</v>
      </c>
      <c r="Y73" s="116" t="n">
        <f aca="false">Y72-X72</f>
        <v>1.92827161266311</v>
      </c>
      <c r="Z73" s="116" t="n">
        <f aca="false">Z72-Y72</f>
        <v>1.88693352446839</v>
      </c>
      <c r="AA73" s="116" t="n">
        <f aca="false">AA72-Z72</f>
        <v>1.84549438577193</v>
      </c>
      <c r="AB73" s="116" t="n">
        <f aca="false">AB72-AA72</f>
        <v>1.32509075490353</v>
      </c>
      <c r="AC73" s="116" t="n">
        <f aca="false">AC72-AB72</f>
        <v>1.30132674258456</v>
      </c>
      <c r="AD73" s="116" t="n">
        <f aca="false">AD72-AC72</f>
        <v>1.276576905864</v>
      </c>
      <c r="AE73" s="116" t="n">
        <f aca="false">AE72-AD72</f>
        <v>1.25088836809184</v>
      </c>
      <c r="AF73" s="116" t="n">
        <f aca="false">AF72-AE72</f>
        <v>1.22430581992487</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0.591335138619143</v>
      </c>
      <c r="E75" s="116" t="n">
        <f aca="false">$C$19*D81</f>
        <v>1.56352859909571</v>
      </c>
      <c r="F75" s="116" t="n">
        <f aca="false">$C$19*E81</f>
        <v>2.87438145983746</v>
      </c>
      <c r="G75" s="116" t="n">
        <f aca="false">$C$19*F81</f>
        <v>5.88201220350136</v>
      </c>
      <c r="H75" s="116" t="n">
        <f aca="false">$C$19*G81</f>
        <v>8.88961489631582</v>
      </c>
      <c r="I75" s="116" t="n">
        <f aca="false">$C$19*H81</f>
        <v>11.3755531699932</v>
      </c>
      <c r="J75" s="116" t="n">
        <f aca="false">$C$19*I81</f>
        <v>13.550262101845</v>
      </c>
      <c r="K75" s="116" t="n">
        <f aca="false">$C$19*J81</f>
        <v>15.4559000644048</v>
      </c>
      <c r="L75" s="116" t="n">
        <f aca="false">$C$19*K81</f>
        <v>16.085184703998</v>
      </c>
      <c r="M75" s="116" t="n">
        <f aca="false">$C$19*L81</f>
        <v>16.7149780603705</v>
      </c>
      <c r="N75" s="116" t="n">
        <f aca="false">$C$19*M81</f>
        <v>17.333113127961</v>
      </c>
      <c r="O75" s="116" t="n">
        <f aca="false">$C$19*N81</f>
        <v>17.9276752486722</v>
      </c>
      <c r="P75" s="116" t="n">
        <f aca="false">$C$19*O81</f>
        <v>18.488529242229</v>
      </c>
      <c r="Q75" s="116" t="n">
        <f aca="false">$C$19*P81</f>
        <v>18.9877546857199</v>
      </c>
      <c r="R75" s="116" t="n">
        <f aca="false">$C$19*Q81</f>
        <v>19.4253286522762</v>
      </c>
      <c r="S75" s="116" t="n">
        <f aca="false">$C$19*R81</f>
        <v>19.8155027594407</v>
      </c>
      <c r="T75" s="116" t="n">
        <f aca="false">$C$19*S81</f>
        <v>20.1699742746425</v>
      </c>
      <c r="U75" s="116" t="n">
        <f aca="false">$C$19*T81</f>
        <v>20.4986629767093</v>
      </c>
      <c r="V75" s="116" t="n">
        <f aca="false">$C$19*U81</f>
        <v>20.8290962620176</v>
      </c>
      <c r="W75" s="116" t="n">
        <f aca="false">$C$19*V81</f>
        <v>21.1610789654278</v>
      </c>
      <c r="X75" s="116" t="n">
        <f aca="false">$C$19*W81</f>
        <v>21.4872452157929</v>
      </c>
      <c r="Y75" s="116" t="n">
        <f aca="false">$C$19*X81</f>
        <v>21.8074075586116</v>
      </c>
      <c r="Z75" s="116" t="n">
        <f aca="false">$C$19*Y81</f>
        <v>22.1213791633574</v>
      </c>
      <c r="AA75" s="116" t="n">
        <f aca="false">$C$19*Z81</f>
        <v>22.4289737837991</v>
      </c>
      <c r="AB75" s="116" t="n">
        <f aca="false">$C$19*AA81</f>
        <v>22.7300057200062</v>
      </c>
      <c r="AC75" s="116" t="n">
        <f aca="false">$C$19*AB81</f>
        <v>22.965807025886</v>
      </c>
      <c r="AD75" s="116" t="n">
        <f aca="false">$C$19*AC81</f>
        <v>23.1959236715363</v>
      </c>
      <c r="AE75" s="116" t="n">
        <f aca="false">$C$19*AD81</f>
        <v>23.4201997428023</v>
      </c>
      <c r="AF75" s="116" t="n">
        <f aca="false">$C$19*AE81</f>
        <v>23.6384868254027</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(IF($C$173="Sí",(MAX(0,C74-0)+MAX(0,0+C53-C75))/$C$172,C73+MAX(0,C74-0)+MAX(0,0+C53-C75)))+IF($C$173="Sí",MAX(0,$C$226*(C70+0)*0.3/0.55-0)/$C$172,0)</f>
        <v>68.6666666666667</v>
      </c>
      <c r="D76" s="116" t="n">
        <f aca="false">(IF($C$173="Sí",(MAX(0,D74-C96)+MAX(0,C276+D53-D75))/$C$172,D73+MAX(0,D74-C96)+MAX(0,C276+D53-D75)))+IF($C$173="Sí",MAX(0,$C$226*(D70+C121)*0.3/0.55-C227)/$C$172,0)</f>
        <v>130.346885955448</v>
      </c>
      <c r="E76" s="116" t="n">
        <f aca="false">(IF($C$173="Sí",(MAX(0,E74-D96)+MAX(0,D276+E53-E75))/$C$172,E73+MAX(0,E74-D96)+MAX(0,D276+E53-E75)))+IF($C$173="Sí",MAX(0,$C$226*(E70+D121)*0.3/0.55-D227)/$C$172,0)</f>
        <v>184.016968143346</v>
      </c>
      <c r="F76" s="116" t="n">
        <f aca="false">(IF($C$173="Sí",(MAX(0,F74-E96)+MAX(0,E276+F53-F75))/$C$172,F73+MAX(0,F74-E96)+MAX(0,E276+F53-F75)))+IF($C$173="Sí",MAX(0,$C$226*(F70+E121)*0.3/0.55-E227)/$C$172,0)</f>
        <v>233.851125935425</v>
      </c>
      <c r="G76" s="116" t="n">
        <f aca="false">(IF($C$173="Sí",(MAX(0,G74-F96)+MAX(0,F276+G53-G75))/$C$172,G73+MAX(0,G74-F96)+MAX(0,F276+G53-G75)))+IF($C$173="Sí",MAX(0,$C$226*(G70+F121)*0.3/0.55-F227)/$C$172,0)</f>
        <v>260.741234167147</v>
      </c>
      <c r="H76" s="116" t="n">
        <f aca="false">(IF($C$173="Sí",(MAX(0,H74-G96)+MAX(0,G276+H53-H75))/$C$172,H73+MAX(0,H74-G96)+MAX(0,G276+H53-H75)))+IF($C$173="Sí",MAX(0,$C$226*(H70+G121)*0.3/0.55-G227)/$C$172,0)</f>
        <v>279.305501998157</v>
      </c>
      <c r="I76" s="116" t="n">
        <f aca="false">(IF($C$173="Sí",(MAX(0,I74-H96)+MAX(0,H276+I53-I75))/$C$172,I73+MAX(0,I74-H96)+MAX(0,H276+I53-I75)))+IF($C$173="Sí",MAX(0,$C$226*(I70+H121)*0.3/0.55-H227)/$C$172,0)</f>
        <v>297.457690652514</v>
      </c>
      <c r="J76" s="116" t="n">
        <f aca="false">(IF($C$173="Sí",(MAX(0,J74-I96)+MAX(0,I276+J53-J75))/$C$172,J73+MAX(0,J74-I96)+MAX(0,I276+J53-J75)))+IF($C$173="Sí",MAX(0,$C$226*(J70+I121)*0.3/0.55-I227)/$C$172,0)</f>
        <v>315.380735135505</v>
      </c>
      <c r="K76" s="116" t="n">
        <f aca="false">(IF($C$173="Sí",(MAX(0,K74-J96)+MAX(0,J276+K53-K75))/$C$172,K73+MAX(0,K74-J96)+MAX(0,J276+K53-K75)))+IF($C$173="Sí",MAX(0,$C$226*(K70+J121)*0.3/0.55-J227)/$C$172,0)</f>
        <v>333.927301692731</v>
      </c>
      <c r="L76" s="116" t="n">
        <f aca="false">(IF($C$173="Sí",(MAX(0,L74-K96)+MAX(0,K276+L53-L75))/$C$172,L73+MAX(0,L74-K96)+MAX(0,K276+L53-L75)))+IF($C$173="Sí",MAX(0,$C$226*(L70+K121)*0.3/0.55-K227)/$C$172,0)</f>
        <v>362.138891480264</v>
      </c>
      <c r="M76" s="116" t="n">
        <f aca="false">(IF($C$173="Sí",(MAX(0,M74-L96)+MAX(0,L276+M53-M75))/$C$172,M73+MAX(0,M74-L96)+MAX(0,L276+M53-M75)))+IF($C$173="Sí",MAX(0,$C$226*(M70+L121)*0.3/0.55-L227)/$C$172,0)</f>
        <v>324.677952217363</v>
      </c>
      <c r="N76" s="116" t="n">
        <f aca="false">(IF($C$173="Sí",(MAX(0,N74-M96)+MAX(0,M276+N53-N75))/$C$172,N73+MAX(0,N74-M96)+MAX(0,M276+N53-N75)))+IF($C$173="Sí",MAX(0,$C$226*(N70+M121)*0.3/0.55-M227)/$C$172,0)</f>
        <v>304.096630212445</v>
      </c>
      <c r="O76" s="116" t="n">
        <f aca="false">(IF($C$173="Sí",(MAX(0,O74-N96)+MAX(0,N276+O53-O75))/$C$172,O73+MAX(0,O74-N96)+MAX(0,N276+O53-O75)))+IF($C$173="Sí",MAX(0,$C$226*(O70+N121)*0.3/0.55-N227)/$C$172,0)</f>
        <v>290.107616571132</v>
      </c>
      <c r="P76" s="116" t="n">
        <f aca="false">(IF($C$173="Sí",(MAX(0,P74-O96)+MAX(0,O276+P53-P75))/$C$172,P73+MAX(0,P74-O96)+MAX(0,O276+P53-P75)))+IF($C$173="Sí",MAX(0,$C$226*(P70+O121)*0.3/0.55-O227)/$C$172,0)</f>
        <v>281.732181993401</v>
      </c>
      <c r="Q76" s="116" t="n">
        <f aca="false">(IF($C$173="Sí",(MAX(0,Q74-P96)+MAX(0,P276+Q53-Q75))/$C$172,Q73+MAX(0,Q74-P96)+MAX(0,P276+Q53-Q75)))+IF($C$173="Sí",MAX(0,$C$226*(Q70+P121)*0.3/0.55-P227)/$C$172,0)</f>
        <v>273.298034581919</v>
      </c>
      <c r="R76" s="116" t="n">
        <f aca="false">(IF($C$173="Sí",(MAX(0,R74-Q96)+MAX(0,Q276+R53-R75))/$C$172,R73+MAX(0,R74-Q96)+MAX(0,Q276+R53-R75)))+IF($C$173="Sí",MAX(0,$C$226*(R70+Q121)*0.3/0.55-Q227)/$C$172,0)</f>
        <v>264.52941600283</v>
      </c>
      <c r="S76" s="116" t="n">
        <f aca="false">(IF($C$173="Sí",(MAX(0,S74-R96)+MAX(0,R276+S53-S75))/$C$172,S73+MAX(0,S74-R96)+MAX(0,R276+S53-S75)))+IF($C$173="Sí",MAX(0,$C$226*(S70+R121)*0.3/0.55-R227)/$C$172,0)</f>
        <v>255.164117223796</v>
      </c>
      <c r="T76" s="116" t="n">
        <f aca="false">(IF($C$173="Sí",(MAX(0,T74-S96)+MAX(0,S276+T53-T75))/$C$172,T73+MAX(0,T74-S96)+MAX(0,S276+T53-T75)))+IF($C$173="Sí",MAX(0,$C$226*(T70+S121)*0.3/0.55-S227)/$C$172,0)</f>
        <v>244.995106631108</v>
      </c>
      <c r="U76" s="116" t="n">
        <f aca="false">(IF($C$173="Sí",(MAX(0,U74-T96)+MAX(0,T276+U53-U75))/$C$172,U73+MAX(0,U74-T96)+MAX(0,T276+U53-U75)))+IF($C$173="Sí",MAX(0,$C$226*(U70+T121)*0.3/0.55-T227)/$C$172,0)</f>
        <v>233.859531558043</v>
      </c>
      <c r="V76" s="116" t="n">
        <f aca="false">(IF($C$173="Sí",(MAX(0,V74-U96)+MAX(0,U276+V53-V75))/$C$172,V73+MAX(0,V74-U96)+MAX(0,U276+V53-V75)))+IF($C$173="Sí",MAX(0,$C$226*(V70+U121)*0.3/0.55-U227)/$C$172,0)</f>
        <v>221.64307176445</v>
      </c>
      <c r="W76" s="116" t="n">
        <f aca="false">(IF($C$173="Sí",(MAX(0,W74-V96)+MAX(0,V276+W53-W75))/$C$172,W73+MAX(0,W74-V96)+MAX(0,V276+W53-W75)))+IF($C$173="Sí",MAX(0,$C$226*(W70+V121)*0.3/0.55-V227)/$C$172,0)</f>
        <v>209.462221981077</v>
      </c>
      <c r="X76" s="116" t="n">
        <f aca="false">(IF($C$173="Sí",(MAX(0,X74-W96)+MAX(0,W276+X53-X75))/$C$172,X73+MAX(0,X74-W96)+MAX(0,W276+X53-X75)))+IF($C$173="Sí",MAX(0,$C$226*(X70+W121)*0.3/0.55-W227)/$C$172,0)</f>
        <v>196.481216871207</v>
      </c>
      <c r="Y76" s="116" t="n">
        <f aca="false">(IF($C$173="Sí",(MAX(0,Y74-X96)+MAX(0,X276+Y53-Y75))/$C$172,Y73+MAX(0,Y74-X96)+MAX(0,X276+Y53-Y75)))+IF($C$173="Sí",MAX(0,$C$226*(Y70+X121)*0.3/0.55-X227)/$C$172,0)</f>
        <v>182.543989423035</v>
      </c>
      <c r="Z76" s="116" t="n">
        <f aca="false">(IF($C$173="Sí",(MAX(0,Z74-Y96)+MAX(0,Y276+Z53-Z75))/$C$172,Z73+MAX(0,Z74-Y96)+MAX(0,Y276+Z53-Z75)))+IF($C$173="Sí",MAX(0,$C$226*(Z70+Y121)*0.3/0.55-Y227)/$C$172,0)</f>
        <v>167.658386420543</v>
      </c>
      <c r="AA76" s="116" t="n">
        <f aca="false">(IF($C$173="Sí",(MAX(0,AA74-Z96)+MAX(0,Z276+AA53-AA75))/$C$172,AA73+MAX(0,AA74-Z96)+MAX(0,Z276+AA53-AA75)))+IF($C$173="Sí",MAX(0,$C$226*(AA70+Z121)*0.3/0.55-Z227)/$C$172,0)</f>
        <v>151.830947618763</v>
      </c>
      <c r="AB76" s="116" t="n">
        <f aca="false">(IF($C$173="Sí",(MAX(0,AB74-AA96)+MAX(0,AA276+AB53-AB75))/$C$172,AB73+MAX(0,AB74-AA96)+MAX(0,AA276+AB53-AB75)))+IF($C$173="Sí",MAX(0,$C$226*(AB70+AA121)*0.3/0.55-AA227)/$C$172,0)</f>
        <v>135.066971734776</v>
      </c>
      <c r="AC76" s="116" t="n">
        <f aca="false">(IF($C$173="Sí",(MAX(0,AC74-AB96)+MAX(0,AB276+AC53-AC75))/$C$172,AC73+MAX(0,AC74-AB96)+MAX(0,AB276+AC53-AC75)))+IF($C$173="Sí",MAX(0,$C$226*(AC70+AB121)*0.3/0.55-AB227)/$C$172,0)</f>
        <v>121.175923445766</v>
      </c>
      <c r="AD76" s="116" t="n">
        <f aca="false">(IF($C$173="Sí",(MAX(0,AD74-AC96)+MAX(0,AC276+AD53-AD75))/$C$172,AD73+MAX(0,AD74-AC96)+MAX(0,AC276+AD53-AD75)))+IF($C$173="Sí",MAX(0,$C$226*(AD70+AC121)*0.3/0.55-AC227)/$C$172,0)</f>
        <v>109.42516605648</v>
      </c>
      <c r="AE76" s="116" t="n">
        <f aca="false">(IF($C$173="Sí",(MAX(0,AE74-AD96)+MAX(0,AD276+AE53-AE75))/$C$172,AE73+MAX(0,AE74-AD96)+MAX(0,AD276+AE53-AE75)))+IF($C$173="Sí",MAX(0,$C$226*(AE70+AD121)*0.3/0.55-AD227)/$C$172,0)</f>
        <v>100.057255341308</v>
      </c>
      <c r="AF76" s="116" t="n">
        <f aca="false">(IF($C$173="Sí",(MAX(0,AF74-AE96)+MAX(0,AE276+AF53-AF75))/$C$172,AF73+MAX(0,AF74-AE96)+MAX(0,AE276+AF53-AF75)))+IF($C$173="Sí",MAX(0,$C$226*(AF70+AE121)*0.3/0.55-AE227)/$C$172,0)</f>
        <v>93.3274576711445</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20.1853498759641</v>
      </c>
      <c r="E78" s="116" t="n">
        <f aca="false">MIN(MIN(D83+IF(E$39&lt;=01_Supuestos!$C$182,01_Supuestos!$C$181,$C$174)*E41,D83+E76),IF(01_Supuestos!$C$179&gt;0,01_Supuestos!$C$179/(1-01_Supuestos!$C$179)*64_Inflacion!$C$5*E41/$C$41,1E+099))</f>
        <v>31.5940666948854</v>
      </c>
      <c r="F78" s="116" t="n">
        <f aca="false">MIN(MIN(E83+IF(F$39&lt;=01_Supuestos!$C$182,01_Supuestos!$C$181,$C$174)*F41,E83+F76),IF(01_Supuestos!$C$179&gt;0,01_Supuestos!$C$179/(1-01_Supuestos!$C$179)*64_Inflacion!$C$5*F41/$C$41,1E+099))</f>
        <v>45.5118558658854</v>
      </c>
      <c r="G78" s="116" t="n">
        <f aca="false">MIN(MIN(F83+IF(G$39&lt;=01_Supuestos!$C$182,01_Supuestos!$C$181,$C$174)*G41,F83+G76),IF(01_Supuestos!$C$179&gt;0,01_Supuestos!$C$179/(1-01_Supuestos!$C$179)*64_Inflacion!$C$5*G41/$C$41,1E+099))</f>
        <v>59.7497541878184</v>
      </c>
      <c r="H78" s="116" t="n">
        <f aca="false">MIN(MIN(G83+IF(H$39&lt;=01_Supuestos!$C$182,01_Supuestos!$C$181,$C$174)*H41,G83+H76),IF(01_Supuestos!$C$179&gt;0,01_Supuestos!$C$179/(1-01_Supuestos!$C$179)*64_Inflacion!$C$5*H41/$C$41,1E+099))</f>
        <v>74.3151241711558</v>
      </c>
      <c r="I78" s="116" t="n">
        <f aca="false">MIN(MIN(H83+IF(I$39&lt;=01_Supuestos!$C$182,01_Supuestos!$C$181,$C$174)*I41,H83+I76),IF(01_Supuestos!$C$179&gt;0,01_Supuestos!$C$179/(1-01_Supuestos!$C$179)*64_Inflacion!$C$5*I41/$C$41,1E+099))</f>
        <v>89.21549766411</v>
      </c>
      <c r="J78" s="116" t="n">
        <f aca="false">MIN(MIN(I83+IF(J$39&lt;=01_Supuestos!$C$182,01_Supuestos!$C$181,$C$174)*J41,I83+J76),IF(01_Supuestos!$C$179&gt;0,01_Supuestos!$C$179/(1-01_Supuestos!$C$179)*64_Inflacion!$C$5*J41/$C$41,1E+099))</f>
        <v>104.458579747402</v>
      </c>
      <c r="K78" s="116" t="n">
        <f aca="false">MIN(MIN(J83+IF(K$39&lt;=01_Supuestos!$C$182,01_Supuestos!$C$181,$C$174)*K41,J83+K76),IF(01_Supuestos!$C$179&gt;0,01_Supuestos!$C$179/(1-01_Supuestos!$C$179)*64_Inflacion!$C$5*K41/$C$41,1E+099))</f>
        <v>120.05225271861</v>
      </c>
      <c r="L78" s="116" t="n">
        <f aca="false">MIN(MIN(K83+IF(L$39&lt;=01_Supuestos!$C$182,01_Supuestos!$C$181,$C$174)*L41,K83+L76),IF(01_Supuestos!$C$179&gt;0,01_Supuestos!$C$179/(1-01_Supuestos!$C$179)*64_Inflacion!$C$5*L41/$C$41,1E+099))</f>
        <v>136.004580168156</v>
      </c>
      <c r="M78" s="116" t="n">
        <f aca="false">MIN(MIN(L83+IF(M$39&lt;=01_Supuestos!$C$182,01_Supuestos!$C$181,$C$174)*M41,L83+M76),IF(01_Supuestos!$C$179&gt;0,01_Supuestos!$C$179/(1-01_Supuestos!$C$179)*64_Inflacion!$C$5*M41/$C$41,1E+099))</f>
        <v>152.323811149041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237.079982705182</v>
      </c>
      <c r="AF78" s="116" t="n">
        <f aca="false">MIN(MIN(AE83+IF(AF$39&lt;=01_Supuestos!$C$182,01_Supuestos!$C$181,$C$174)*AF41,AE83+AF76),IF(01_Supuestos!$C$179&gt;0,01_Supuestos!$C$179/(1-01_Supuestos!$C$179)*64_Inflacion!$C$5*AF41/$C$41,1E+099))</f>
        <v>239.432148882459</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6.88634987596409</v>
      </c>
      <c r="D79" s="116" t="n">
        <f aca="false">MAX(0,MIN(D67,$C$9*(D69+D68+C121),D78))</f>
        <v>17.9891896948854</v>
      </c>
      <c r="E79" s="116" t="n">
        <f aca="false">MAX(0,MIN(E67,$C$9*(E69+E68+D121),E78))</f>
        <v>31.5940666948854</v>
      </c>
      <c r="F79" s="116" t="n">
        <f aca="false">MAX(0,MIN(F67,$C$9*(F69+F68+E121),F78))</f>
        <v>45.5118558658854</v>
      </c>
      <c r="G79" s="116" t="n">
        <f aca="false">MAX(0,MIN(G67,$C$9*(G69+G68+F121),G78))</f>
        <v>59.7497541878184</v>
      </c>
      <c r="H79" s="116" t="n">
        <f aca="false">MAX(0,MIN(H67,$C$9*(H69+H68+G121),H78))</f>
        <v>74.3151241711558</v>
      </c>
      <c r="I79" s="116" t="n">
        <f aca="false">MAX(0,MIN(I67,$C$9*(I69+I68+H121),I78))</f>
        <v>89.21549766411</v>
      </c>
      <c r="J79" s="116" t="n">
        <f aca="false">MAX(0,MIN(J67,$C$9*(J69+J68+I121),J78))</f>
        <v>104.458579747402</v>
      </c>
      <c r="K79" s="116" t="n">
        <f aca="false">MAX(0,MIN(K67,$C$9*(K69+K68+J121),K78))</f>
        <v>120.05225271861</v>
      </c>
      <c r="L79" s="116" t="n">
        <f aca="false">MAX(0,MIN(L67,$C$9*(L69+L68+K121),L78))</f>
        <v>136.004580168156</v>
      </c>
      <c r="M79" s="116" t="n">
        <f aca="false">MAX(0,MIN(M67,$C$9*(M69+M68+L121),M78))</f>
        <v>152.323811149041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193.15848872137</v>
      </c>
      <c r="W79" s="116" t="n">
        <f aca="false">MAX(0,MIN(W67,$C$9*(W69+W68+V121),W78))</f>
        <v>196.030818815448</v>
      </c>
      <c r="X79" s="116" t="n">
        <f aca="false">MAX(0,MIN(X67,$C$9*(X69+X68+W121),X78))</f>
        <v>198.84439784146</v>
      </c>
      <c r="Y79" s="116" t="n">
        <f aca="false">MAX(0,MIN(Y67,$C$9*(Y69+Y68+X121),Y78))</f>
        <v>201.599071573836</v>
      </c>
      <c r="Z79" s="116" t="n">
        <f aca="false">MAX(0,MIN(Z67,$C$9*(Z69+Z68+Y121),Z78))</f>
        <v>204.294690894505</v>
      </c>
      <c r="AA79" s="116" t="n">
        <f aca="false">MAX(0,MIN(AA67,$C$9*(AA69+AA68+Z121),AA78))</f>
        <v>206.931111445608</v>
      </c>
      <c r="AB79" s="116" t="n">
        <f aca="false">MAX(0,MIN(AB67,$C$9*(AB69+AB68+AA121),AB78))</f>
        <v>208.824098238327</v>
      </c>
      <c r="AC79" s="116" t="n">
        <f aca="false">MAX(0,MIN(AC67,$C$9*(AC69+AC68+AB121),AC78))</f>
        <v>210.68313644202</v>
      </c>
      <c r="AD79" s="116" t="n">
        <f aca="false">MAX(0,MIN(AD67,$C$9*(AD69+AD68+AC121),AD78))</f>
        <v>212.506817736111</v>
      </c>
      <c r="AE79" s="116" t="n">
        <f aca="false">MAX(0,MIN(AE67,$C$9*(AE69+AE68+AD121),AE78))</f>
        <v>214.293801119099</v>
      </c>
      <c r="AF79" s="116" t="n">
        <f aca="false">MAX(0,MIN(AF67,$C$9*(AF69+AF68+AE121),AF78))</f>
        <v>216.042809433278</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0.386255216886864</v>
      </c>
      <c r="D80" s="116" t="n">
        <f aca="false">IF($C$177&lt;=1,D68,SUMPRODUCT($C$189:D189,((D$39-$C$39:D$39+1)&gt;=$C$177)+((D$39-$C$39:D$39+1)&lt;$C$177)*(D$39-$C$39:D$39+1)/$C$177))</f>
        <v>1.39643969852219</v>
      </c>
      <c r="E80" s="116" t="n">
        <f aca="false">IF($C$177&lt;=1,E68,SUMPRODUCT($C$189:E189,((E$39-$C$39:E$39+1)&gt;=$C$177)+((E$39-$C$39:E$39+1)&lt;$C$177)*(E$39-$C$39:E$39+1)/$C$177))</f>
        <v>3.23265730546119</v>
      </c>
      <c r="F80" s="116" t="n">
        <f aca="false">IF($C$177&lt;=1,F68,SUMPRODUCT($C$189:F189,((F$39-$C$39:F$39+1)&gt;=$C$177)+((F$39-$C$39:F$39+1)&lt;$C$177)*(F$39-$C$39:F$39+1)/$C$177))</f>
        <v>6.45273474266286</v>
      </c>
      <c r="G80" s="116" t="n">
        <f aca="false">IF($C$177&lt;=1,G68,SUMPRODUCT($C$189:G189,((G$39-$C$39:G$39+1)&gt;=$C$177)+((G$39-$C$39:G$39+1)&lt;$C$177)*(G$39-$C$39:G$39+1)/$C$177))</f>
        <v>11.0565654628756</v>
      </c>
      <c r="H80" s="116" t="n">
        <f aca="false">IF($C$177&lt;=1,H68,SUMPRODUCT($C$189:H189,((H$39-$C$39:H$39+1)&gt;=$C$177)+((H$39-$C$39:H$39+1)&lt;$C$177)*(H$39-$C$39:H$39+1)/$C$177))</f>
        <v>16.6550639408431</v>
      </c>
      <c r="I80" s="116" t="n">
        <f aca="false">IF($C$177&lt;=1,I68,SUMPRODUCT($C$189:I189,((I$39-$C$39:I$39+1)&gt;=$C$177)+((I$39-$C$39:I$39+1)&lt;$C$177)*(I$39-$C$39:I$39+1)/$C$177))</f>
        <v>23.0103459104485</v>
      </c>
      <c r="J80" s="116" t="n">
        <f aca="false">IF($C$177&lt;=1,J68,SUMPRODUCT($C$189:J189,((J$39-$C$39:J$39+1)&gt;=$C$177)+((J$39-$C$39:J$39+1)&lt;$C$177)*(J$39-$C$39:J$39+1)/$C$177))</f>
        <v>29.9200898721775</v>
      </c>
      <c r="K80" s="116" t="n">
        <f aca="false">IF($C$177&lt;=1,K68,SUMPRODUCT($C$189:K189,((K$39-$C$39:K$39+1)&gt;=$C$177)+((K$39-$C$39:K$39+1)&lt;$C$177)*(K$39-$C$39:K$39+1)/$C$177))</f>
        <v>36.8298338339064</v>
      </c>
      <c r="L80" s="116" t="n">
        <f aca="false">IF($C$177&lt;=1,L68,SUMPRODUCT($C$189:L189,((L$39-$C$39:L$39+1)&gt;=$C$177)+((L$39-$C$39:L$39+1)&lt;$C$177)*(L$39-$C$39:L$39+1)/$C$177))</f>
        <v>43.7395777956353</v>
      </c>
      <c r="M80" s="116" t="n">
        <f aca="false">IF($C$177&lt;=1,M68,SUMPRODUCT($C$189:M189,((M$39-$C$39:M$39+1)&gt;=$C$177)+((M$39-$C$39:M$39+1)&lt;$C$177)*(M$39-$C$39:M$39+1)/$C$177))</f>
        <v>50.4064903629138</v>
      </c>
      <c r="N80" s="116" t="n">
        <f aca="false">IF($C$177&lt;=1,N68,SUMPRODUCT($C$189:N189,((N$39-$C$39:N$39+1)&gt;=$C$177)+((N$39-$C$39:N$39+1)&lt;$C$177)*(N$39-$C$39:N$39+1)/$C$177))</f>
        <v>56.5927616547374</v>
      </c>
      <c r="O80" s="116" t="n">
        <f aca="false">IF($C$177&lt;=1,O68,SUMPRODUCT($C$189:O189,((O$39-$C$39:O$39+1)&gt;=$C$177)+((O$39-$C$39:O$39+1)&lt;$C$177)*(O$39-$C$39:O$39+1)/$C$177))</f>
        <v>62.096147182498</v>
      </c>
      <c r="P80" s="116" t="n">
        <f aca="false">IF($C$177&lt;=1,P68,SUMPRODUCT($C$189:P189,((P$39-$C$39:P$39+1)&gt;=$C$177)+((P$39-$C$39:P$39+1)&lt;$C$177)*(P$39-$C$39:P$39+1)/$C$177))</f>
        <v>66.3586746490136</v>
      </c>
      <c r="Q80" s="116" t="n">
        <f aca="false">IF($C$177&lt;=1,Q68,SUMPRODUCT($C$189:Q189,((Q$39-$C$39:Q$39+1)&gt;=$C$177)+((Q$39-$C$39:Q$39+1)&lt;$C$177)*(Q$39-$C$39:Q$39+1)/$C$177))</f>
        <v>69.3802998699069</v>
      </c>
      <c r="R80" s="116" t="n">
        <f aca="false">IF($C$177&lt;=1,R68,SUMPRODUCT($C$189:R189,((R$39-$C$39:R$39+1)&gt;=$C$177)+((R$39-$C$39:R$39+1)&lt;$C$177)*(R$39-$C$39:R$39+1)/$C$177))</f>
        <v>71.546548915132</v>
      </c>
      <c r="S80" s="116" t="n">
        <f aca="false">IF($C$177&lt;=1,S68,SUMPRODUCT($C$189:S189,((S$39-$C$39:S$39+1)&gt;=$C$177)+((S$39-$C$39:S$39+1)&lt;$C$177)*(S$39-$C$39:S$39+1)/$C$177))</f>
        <v>73.0917410868509</v>
      </c>
      <c r="T80" s="116" t="n">
        <f aca="false">IF($C$177&lt;=1,T68,SUMPRODUCT($C$189:T189,((T$39-$C$39:T$39+1)&gt;=$C$177)+((T$39-$C$39:T$39+1)&lt;$C$177)*(T$39-$C$39:T$39+1)/$C$177))</f>
        <v>74.2146272175171</v>
      </c>
      <c r="U80" s="116" t="n">
        <f aca="false">IF($C$177&lt;=1,U68,SUMPRODUCT($C$189:U189,((U$39-$C$39:U$39+1)&gt;=$C$177)+((U$39-$C$39:U$39+1)&lt;$C$177)*(U$39-$C$39:U$39+1)/$C$177))</f>
        <v>75.4660927277656</v>
      </c>
      <c r="V80" s="116" t="n">
        <f aca="false">IF($C$177&lt;=1,V68,SUMPRODUCT($C$189:V189,((V$39-$C$39:V$39+1)&gt;=$C$177)+((V$39-$C$39:V$39+1)&lt;$C$177)*(V$39-$C$39:V$39+1)/$C$177))</f>
        <v>76.8425549332555</v>
      </c>
      <c r="W80" s="116" t="n">
        <f aca="false">IF($C$177&lt;=1,W68,SUMPRODUCT($C$189:W189,((W$39-$C$39:W$39+1)&gt;=$C$177)+((W$39-$C$39:W$39+1)&lt;$C$177)*(W$39-$C$39:W$39+1)/$C$177))</f>
        <v>78.1970009985724</v>
      </c>
      <c r="X80" s="116" t="n">
        <f aca="false">IF($C$177&lt;=1,X68,SUMPRODUCT($C$189:X189,((X$39-$C$39:X$39+1)&gt;=$C$177)+((X$39-$C$39:X$39+1)&lt;$C$177)*(X$39-$C$39:X$39+1)/$C$177))</f>
        <v>79.5259711918436</v>
      </c>
      <c r="Y80" s="116" t="n">
        <f aca="false">IF($C$177&lt;=1,Y68,SUMPRODUCT($C$189:Y189,((Y$39-$C$39:Y$39+1)&gt;=$C$177)+((Y$39-$C$39:Y$39+1)&lt;$C$177)*(Y$39-$C$39:Y$39+1)/$C$177))</f>
        <v>80.8260037927821</v>
      </c>
      <c r="Z80" s="116" t="n">
        <f aca="false">IF($C$177&lt;=1,Z68,SUMPRODUCT($C$189:Z189,((Z$39-$C$39:Z$39+1)&gt;=$C$177)+((Z$39-$C$39:Z$39+1)&lt;$C$177)*(Z$39-$C$39:Z$39+1)/$C$177))</f>
        <v>82.0936350224952</v>
      </c>
      <c r="AA80" s="116" t="n">
        <f aca="false">IF($C$177&lt;=1,AA68,SUMPRODUCT($C$189:AA189,((AA$39-$C$39:AA$39+1)&gt;=$C$177)+((AA$39-$C$39:AA$39+1)&lt;$C$177)*(AA$39-$C$39:AA$39+1)/$C$177))</f>
        <v>83.3253989708155</v>
      </c>
      <c r="AB80" s="116" t="n">
        <f aca="false">IF($C$177&lt;=1,AB68,SUMPRODUCT($C$189:AB189,((AB$39-$C$39:AB$39+1)&gt;=$C$177)+((AB$39-$C$39:AB$39+1)&lt;$C$177)*(AB$39-$C$39:AB$39+1)/$C$177))</f>
        <v>84.4826583999153</v>
      </c>
      <c r="AC80" s="116" t="n">
        <f aca="false">IF($C$177&lt;=1,AC68,SUMPRODUCT($C$189:AC189,((AC$39-$C$39:AC$39+1)&gt;=$C$177)+((AC$39-$C$39:AC$39+1)&lt;$C$177)*(AC$39-$C$39:AC$39+1)/$C$177))</f>
        <v>85.5653463115683</v>
      </c>
      <c r="AD80" s="116" t="n">
        <f aca="false">IF($C$177&lt;=1,AD68,SUMPRODUCT($C$189:AD189,((AD$39-$C$39:AD$39+1)&gt;=$C$177)+((AD$39-$C$39:AD$39+1)&lt;$C$177)*(AD$39-$C$39:AD$39+1)/$C$177))</f>
        <v>86.5733933425111</v>
      </c>
      <c r="AE80" s="116" t="n">
        <f aca="false">IF($C$177&lt;=1,AE68,SUMPRODUCT($C$189:AE189,((AE$39-$C$39:AE$39+1)&gt;=$C$177)+((AE$39-$C$39:AE$39+1)&lt;$C$177)*(AE$39-$C$39:AE$39+1)/$C$177))</f>
        <v>87.5067276809571</v>
      </c>
      <c r="AF80" s="116" t="n">
        <f aca="false">IF($C$177&lt;=1,AF68,SUMPRODUCT($C$189:AF189,((AF$39-$C$39:AF$39+1)&gt;=$C$177)+((AF$39-$C$39:AF$39+1)&lt;$C$177)*(AF$39-$C$39:AF$39+1)/$C$177))</f>
        <v>88.3652749801634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11.8267027723829</v>
      </c>
      <c r="D81" s="116" t="n">
        <f aca="false">D69+D80+C121</f>
        <v>31.2705719819142</v>
      </c>
      <c r="E81" s="116" t="n">
        <f aca="false">E69+E80+D121</f>
        <v>57.4876291967492</v>
      </c>
      <c r="F81" s="116" t="n">
        <f aca="false">F69+F80+E121</f>
        <v>117.640244070027</v>
      </c>
      <c r="G81" s="116" t="n">
        <f aca="false">G69+G80+F121</f>
        <v>177.792297926316</v>
      </c>
      <c r="H81" s="116" t="n">
        <f aca="false">H69+H80+G121</f>
        <v>227.511063399864</v>
      </c>
      <c r="I81" s="116" t="n">
        <f aca="false">I69+I80+H121</f>
        <v>271.0052420369</v>
      </c>
      <c r="J81" s="116" t="n">
        <f aca="false">J69+J80+I121</f>
        <v>309.118001288097</v>
      </c>
      <c r="K81" s="116" t="n">
        <f aca="false">K69+K80+J121</f>
        <v>321.703694079959</v>
      </c>
      <c r="L81" s="116" t="n">
        <f aca="false">L69+L80+K121</f>
        <v>334.29956120741</v>
      </c>
      <c r="M81" s="116" t="n">
        <f aca="false">M69+M80+L121</f>
        <v>346.66226255922</v>
      </c>
      <c r="N81" s="116" t="n">
        <f aca="false">N69+N80+M121</f>
        <v>358.553504973444</v>
      </c>
      <c r="O81" s="116" t="n">
        <f aca="false">O69+O80+N121</f>
        <v>369.77058484458</v>
      </c>
      <c r="P81" s="116" t="n">
        <f aca="false">P69+P80+O121</f>
        <v>379.755093714398</v>
      </c>
      <c r="Q81" s="116" t="n">
        <f aca="false">Q69+Q80+P121</f>
        <v>388.506573045524</v>
      </c>
      <c r="R81" s="116" t="n">
        <f aca="false">R69+R80+Q121</f>
        <v>396.310055188814</v>
      </c>
      <c r="S81" s="116" t="n">
        <f aca="false">S69+S80+R121</f>
        <v>403.39948549285</v>
      </c>
      <c r="T81" s="116" t="n">
        <f aca="false">T69+T80+S121</f>
        <v>409.973259534186</v>
      </c>
      <c r="U81" s="116" t="n">
        <f aca="false">U69+U80+T121</f>
        <v>416.581925240352</v>
      </c>
      <c r="V81" s="116" t="n">
        <f aca="false">V69+V80+U121</f>
        <v>423.221579308556</v>
      </c>
      <c r="W81" s="116" t="n">
        <f aca="false">W69+W80+V121</f>
        <v>429.744904315857</v>
      </c>
      <c r="X81" s="116" t="n">
        <f aca="false">X69+X80+W121</f>
        <v>436.148151172231</v>
      </c>
      <c r="Y81" s="116" t="n">
        <f aca="false">Y69+Y80+X121</f>
        <v>442.427583267148</v>
      </c>
      <c r="Z81" s="116" t="n">
        <f aca="false">Z69+Z80+Y121</f>
        <v>448.579475675982</v>
      </c>
      <c r="AA81" s="116" t="n">
        <f aca="false">AA69+AA80+Z121</f>
        <v>454.600114400124</v>
      </c>
      <c r="AB81" s="116" t="n">
        <f aca="false">AB69+AB80+AA121</f>
        <v>459.316140517721</v>
      </c>
      <c r="AC81" s="116" t="n">
        <f aca="false">AC69+AC80+AB121</f>
        <v>463.918473430726</v>
      </c>
      <c r="AD81" s="116" t="n">
        <f aca="false">AD69+AD80+AC121</f>
        <v>468.403994856046</v>
      </c>
      <c r="AE81" s="116" t="n">
        <f aca="false">AE69+AE80+AD121</f>
        <v>472.769736508054</v>
      </c>
      <c r="AF81" s="116" t="n">
        <f aca="false">AF69+AF80+AE121</f>
        <v>477.012872389862</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6.88634987596409</v>
      </c>
      <c r="D83" s="136" t="n">
        <f aca="false">D79+D82</f>
        <v>17.9891896948854</v>
      </c>
      <c r="E83" s="136" t="n">
        <f aca="false">E79+E82</f>
        <v>31.5940666948854</v>
      </c>
      <c r="F83" s="136" t="n">
        <f aca="false">F79+F82</f>
        <v>45.5118558658854</v>
      </c>
      <c r="G83" s="136" t="n">
        <f aca="false">G79+G82</f>
        <v>59.7497541878184</v>
      </c>
      <c r="H83" s="136" t="n">
        <f aca="false">H79+H82</f>
        <v>74.3151241711558</v>
      </c>
      <c r="I83" s="136" t="n">
        <f aca="false">I79+I82</f>
        <v>89.21549766411</v>
      </c>
      <c r="J83" s="136" t="n">
        <f aca="false">J79+J82</f>
        <v>104.458579747402</v>
      </c>
      <c r="K83" s="136" t="n">
        <f aca="false">K79+K82</f>
        <v>120.05225271861</v>
      </c>
      <c r="L83" s="136" t="n">
        <f aca="false">L79+L82</f>
        <v>136.004580168156</v>
      </c>
      <c r="M83" s="136" t="n">
        <f aca="false">M79+M82</f>
        <v>152.323811149041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193.15848872137</v>
      </c>
      <c r="W83" s="136" t="n">
        <f aca="false">W79+W82</f>
        <v>196.030818815448</v>
      </c>
      <c r="X83" s="136" t="n">
        <f aca="false">X79+X82</f>
        <v>198.84439784146</v>
      </c>
      <c r="Y83" s="136" t="n">
        <f aca="false">Y79+Y82</f>
        <v>201.599071573836</v>
      </c>
      <c r="Z83" s="136" t="n">
        <f aca="false">Z79+Z82</f>
        <v>204.294690894505</v>
      </c>
      <c r="AA83" s="136" t="n">
        <f aca="false">AA79+AA82</f>
        <v>206.931111445608</v>
      </c>
      <c r="AB83" s="136" t="n">
        <f aca="false">AB79+AB82</f>
        <v>208.824098238327</v>
      </c>
      <c r="AC83" s="136" t="n">
        <f aca="false">AC79+AC82</f>
        <v>210.68313644202</v>
      </c>
      <c r="AD83" s="136" t="n">
        <f aca="false">AD79+AD82</f>
        <v>212.506817736111</v>
      </c>
      <c r="AE83" s="136" t="n">
        <f aca="false">AE79+AE82</f>
        <v>214.293801119099</v>
      </c>
      <c r="AF83" s="136" t="n">
        <f aca="false">AF79+AF82</f>
        <v>216.042809433278</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4.86035289641877</v>
      </c>
      <c r="D84" s="116" t="n">
        <f aca="false">D67-D79+D80-D82</f>
        <v>13.1185582870288</v>
      </c>
      <c r="E84" s="116" t="n">
        <f aca="false">E67-E79+E80-E82</f>
        <v>25.6449908146638</v>
      </c>
      <c r="F84" s="116" t="n">
        <f aca="false">F67-F79+F80-F82</f>
        <v>55.6490387944737</v>
      </c>
      <c r="G84" s="116" t="n">
        <f aca="false">G67-G79+G80-G82</f>
        <v>85.3292828636681</v>
      </c>
      <c r="H84" s="116" t="n">
        <f aca="false">H67-H79+H80-H82</f>
        <v>104.245522524906</v>
      </c>
      <c r="I84" s="116" t="n">
        <f aca="false">I67-I79+I80-I82</f>
        <v>116.598812950161</v>
      </c>
      <c r="J84" s="116" t="n">
        <f aca="false">J67-J79+J80-J82</f>
        <v>123.224497940575</v>
      </c>
      <c r="K84" s="116" t="n">
        <f aca="false">K67-K79+K80-K82</f>
        <v>113.202596219319</v>
      </c>
      <c r="L84" s="116" t="n">
        <f aca="false">L67-L79+L80-L82</f>
        <v>102.832214355314</v>
      </c>
      <c r="M84" s="116" t="n">
        <f aca="false">M67-M79+M80-M82</f>
        <v>96.0801109030485</v>
      </c>
      <c r="N84" s="116" t="n">
        <f aca="false">N67-N79+N80-N82</f>
        <v>95.4114691247594</v>
      </c>
      <c r="O84" s="116" t="n">
        <f aca="false">O67-O79+O80-O82</f>
        <v>100.096909053269</v>
      </c>
      <c r="P84" s="116" t="n">
        <f aca="false">P67-P79+P80-P82</f>
        <v>103.459753353371</v>
      </c>
      <c r="Q84" s="116" t="n">
        <f aca="false">Q67-Q79+Q80-Q82</f>
        <v>105.497420251141</v>
      </c>
      <c r="R84" s="116" t="n">
        <f aca="false">R67-R79+R80-R82</f>
        <v>106.492768167189</v>
      </c>
      <c r="S84" s="116" t="n">
        <f aca="false">S67-S79+S80-S82</f>
        <v>106.677516594566</v>
      </c>
      <c r="T84" s="116" t="n">
        <f aca="false">T67-T79+T80-T82</f>
        <v>106.247782066784</v>
      </c>
      <c r="U84" s="116" t="n">
        <f aca="false">U67-U79+U80-U82</f>
        <v>105.751778987156</v>
      </c>
      <c r="V84" s="116" t="n">
        <f aca="false">V67-V79+V80-V82</f>
        <v>106.446792254835</v>
      </c>
      <c r="W84" s="116" t="n">
        <f aca="false">W67-W79+W80-W82</f>
        <v>107.255280312878</v>
      </c>
      <c r="X84" s="116" t="n">
        <f aca="false">X67-X79+X80-X82</f>
        <v>107.996789459593</v>
      </c>
      <c r="Y84" s="116" t="n">
        <f aca="false">Y67-Y79+Y80-Y82</f>
        <v>108.667537800473</v>
      </c>
      <c r="Z84" s="116" t="n">
        <f aca="false">Z67-Z79+Z80-Z82</f>
        <v>109.263742976734</v>
      </c>
      <c r="AA84" s="116" t="n">
        <f aca="false">AA67-AA79+AA80-AA82</f>
        <v>109.781621504097</v>
      </c>
      <c r="AB84" s="116" t="n">
        <f aca="false">AB67-AB79+AB80-AB82</f>
        <v>109.731828057328</v>
      </c>
      <c r="AC84" s="116" t="n">
        <f aca="false">AC67-AC79+AC80-AC82</f>
        <v>109.595567661675</v>
      </c>
      <c r="AD84" s="116" t="n">
        <f aca="false">AD67-AD79+AD80-AD82</f>
        <v>109.370893056251</v>
      </c>
      <c r="AE84" s="116" t="n">
        <f aca="false">AE67-AE79+AE80-AE82</f>
        <v>109.055931281936</v>
      </c>
      <c r="AF84" s="116" t="n">
        <f aca="false">AF67-AF79+AF80-AF82</f>
        <v>108.648879152221</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1.41920433268594</v>
      </c>
      <c r="D85" s="116" t="n">
        <f aca="false">IF(AND($C$31&gt;0,D$39&gt;10),MIN(D83,MAX(01_Supuestos!$I$137*D81,C85*(1-1/MAX(1,$C$31)))),MIN(IF(D$39&lt;=10,01_Supuestos!$I$136,01_Supuestos!$I$137)*D81,D83))</f>
        <v>3.7524686378297</v>
      </c>
      <c r="E85" s="116" t="n">
        <f aca="false">IF(AND($C$31&gt;0,E$39&gt;10),MIN(E83,MAX(01_Supuestos!$I$137*E81,D85*(1-1/MAX(1,$C$31)))),MIN(IF(E$39&lt;=10,01_Supuestos!$I$136,01_Supuestos!$I$137)*E81,E83))</f>
        <v>6.8985155036099</v>
      </c>
      <c r="F85" s="116" t="n">
        <f aca="false">IF(AND($C$31&gt;0,F$39&gt;10),MIN(F83,MAX(01_Supuestos!$I$137*F81,E85*(1-1/MAX(1,$C$31)))),MIN(IF(F$39&lt;=10,01_Supuestos!$I$136,01_Supuestos!$I$137)*F81,F83))</f>
        <v>14.1168292884033</v>
      </c>
      <c r="G85" s="116" t="n">
        <f aca="false">IF(AND($C$31&gt;0,G$39&gt;10),MIN(G83,MAX(01_Supuestos!$I$137*G81,F85*(1-1/MAX(1,$C$31)))),MIN(IF(G$39&lt;=10,01_Supuestos!$I$136,01_Supuestos!$I$137)*G81,G83))</f>
        <v>21.335075751158</v>
      </c>
      <c r="H85" s="116" t="n">
        <f aca="false">IF(AND($C$31&gt;0,H$39&gt;10),MIN(H83,MAX(01_Supuestos!$I$137*H81,G85*(1-1/MAX(1,$C$31)))),MIN(IF(H$39&lt;=10,01_Supuestos!$I$136,01_Supuestos!$I$137)*H81,H83))</f>
        <v>27.3013276079837</v>
      </c>
      <c r="I85" s="116" t="n">
        <f aca="false">IF(AND($C$31&gt;0,I$39&gt;10),MIN(I83,MAX(01_Supuestos!$I$137*I81,H85*(1-1/MAX(1,$C$31)))),MIN(IF(I$39&lt;=10,01_Supuestos!$I$136,01_Supuestos!$I$137)*I81,I83))</f>
        <v>32.520629044428</v>
      </c>
      <c r="J85" s="116" t="n">
        <f aca="false">IF(AND($C$31&gt;0,J$39&gt;10),MIN(J83,MAX(01_Supuestos!$I$137*J81,I85*(1-1/MAX(1,$C$31)))),MIN(IF(J$39&lt;=10,01_Supuestos!$I$136,01_Supuestos!$I$137)*J81,J83))</f>
        <v>37.0941601545716</v>
      </c>
      <c r="K85" s="116" t="n">
        <f aca="false">IF(AND($C$31&gt;0,K$39&gt;10),MIN(K83,MAX(01_Supuestos!$I$137*K81,J85*(1-1/MAX(1,$C$31)))),MIN(IF(K$39&lt;=10,01_Supuestos!$I$136,01_Supuestos!$I$137)*K81,K83))</f>
        <v>38.6044432895951</v>
      </c>
      <c r="L85" s="116" t="n">
        <f aca="false">IF(AND($C$31&gt;0,L$39&gt;10),MIN(L83,MAX(01_Supuestos!$I$137*L81,K85*(1-1/MAX(1,$C$31)))),MIN(IF(L$39&lt;=10,01_Supuestos!$I$136,01_Supuestos!$I$137)*L81,L83))</f>
        <v>40.1159473448892</v>
      </c>
      <c r="M85" s="116" t="n">
        <f aca="false">IF(AND($C$31&gt;0,M$39&gt;10),MIN(M83,MAX(01_Supuestos!$I$137*M81,L85*(1-1/MAX(1,$C$31)))),MIN(IF(M$39&lt;=10,01_Supuestos!$I$136,01_Supuestos!$I$137)*M81,M83))</f>
        <v>32.0927578759113</v>
      </c>
      <c r="N85" s="116" t="n">
        <f aca="false">IF(AND($C$31&gt;0,N$39&gt;10),MIN(N83,MAX(01_Supuestos!$I$137*N81,M85*(1-1/MAX(1,$C$31)))),MIN(IF(N$39&lt;=10,01_Supuestos!$I$136,01_Supuestos!$I$137)*N81,N83))</f>
        <v>26.8915128730083</v>
      </c>
      <c r="O85" s="116" t="n">
        <f aca="false">IF(AND($C$31&gt;0,O$39&gt;10),MIN(O83,MAX(01_Supuestos!$I$137*O81,N85*(1-1/MAX(1,$C$31)))),MIN(IF(O$39&lt;=10,01_Supuestos!$I$136,01_Supuestos!$I$137)*O81,O83))</f>
        <v>27.7327938633435</v>
      </c>
      <c r="P85" s="116" t="n">
        <f aca="false">IF(AND($C$31&gt;0,P$39&gt;10),MIN(P83,MAX(01_Supuestos!$I$137*P81,O85*(1-1/MAX(1,$C$31)))),MIN(IF(P$39&lt;=10,01_Supuestos!$I$136,01_Supuestos!$I$137)*P81,P83))</f>
        <v>28.4816320285799</v>
      </c>
      <c r="Q85" s="116" t="n">
        <f aca="false">IF(AND($C$31&gt;0,Q$39&gt;10),MIN(Q83,MAX(01_Supuestos!$I$137*Q81,P85*(1-1/MAX(1,$C$31)))),MIN(IF(Q$39&lt;=10,01_Supuestos!$I$136,01_Supuestos!$I$137)*Q81,Q83))</f>
        <v>29.1379929784143</v>
      </c>
      <c r="R85" s="116" t="n">
        <f aca="false">IF(AND($C$31&gt;0,R$39&gt;10),MIN(R83,MAX(01_Supuestos!$I$137*R81,Q85*(1-1/MAX(1,$C$31)))),MIN(IF(R$39&lt;=10,01_Supuestos!$I$136,01_Supuestos!$I$137)*R81,R83))</f>
        <v>29.7232541391611</v>
      </c>
      <c r="S85" s="116" t="n">
        <f aca="false">IF(AND($C$31&gt;0,S$39&gt;10),MIN(S83,MAX(01_Supuestos!$I$137*S81,R85*(1-1/MAX(1,$C$31)))),MIN(IF(S$39&lt;=10,01_Supuestos!$I$136,01_Supuestos!$I$137)*S81,S83))</f>
        <v>30.2549614119638</v>
      </c>
      <c r="T85" s="116" t="n">
        <f aca="false">IF(AND($C$31&gt;0,T$39&gt;10),MIN(T83,MAX(01_Supuestos!$I$137*T81,S85*(1-1/MAX(1,$C$31)))),MIN(IF(T$39&lt;=10,01_Supuestos!$I$136,01_Supuestos!$I$137)*T81,T83))</f>
        <v>30.747994465064</v>
      </c>
      <c r="U85" s="116" t="n">
        <f aca="false">IF(AND($C$31&gt;0,U$39&gt;10),MIN(U83,MAX(01_Supuestos!$I$137*U81,T85*(1-1/MAX(1,$C$31)))),MIN(IF(U$39&lt;=10,01_Supuestos!$I$136,01_Supuestos!$I$137)*U81,U83))</f>
        <v>31.2436443930264</v>
      </c>
      <c r="V85" s="116" t="n">
        <f aca="false">IF(AND($C$31&gt;0,V$39&gt;10),MIN(V83,MAX(01_Supuestos!$I$137*V81,U85*(1-1/MAX(1,$C$31)))),MIN(IF(V$39&lt;=10,01_Supuestos!$I$136,01_Supuestos!$I$137)*V81,V83))</f>
        <v>31.7416184481417</v>
      </c>
      <c r="W85" s="116" t="n">
        <f aca="false">IF(AND($C$31&gt;0,W$39&gt;10),MIN(W83,MAX(01_Supuestos!$I$137*W81,V85*(1-1/MAX(1,$C$31)))),MIN(IF(W$39&lt;=10,01_Supuestos!$I$136,01_Supuestos!$I$137)*W81,W83))</f>
        <v>32.2308678236893</v>
      </c>
      <c r="X85" s="116" t="n">
        <f aca="false">IF(AND($C$31&gt;0,X$39&gt;10),MIN(X83,MAX(01_Supuestos!$I$137*X81,W85*(1-1/MAX(1,$C$31)))),MIN(IF(X$39&lt;=10,01_Supuestos!$I$136,01_Supuestos!$I$137)*X81,X83))</f>
        <v>32.7111113379173</v>
      </c>
      <c r="Y85" s="116" t="n">
        <f aca="false">IF(AND($C$31&gt;0,Y$39&gt;10),MIN(Y83,MAX(01_Supuestos!$I$137*Y81,X85*(1-1/MAX(1,$C$31)))),MIN(IF(Y$39&lt;=10,01_Supuestos!$I$136,01_Supuestos!$I$137)*Y81,Y83))</f>
        <v>33.1820687450361</v>
      </c>
      <c r="Z85" s="116" t="n">
        <f aca="false">IF(AND($C$31&gt;0,Z$39&gt;10),MIN(Z83,MAX(01_Supuestos!$I$137*Z81,Y85*(1-1/MAX(1,$C$31)))),MIN(IF(Z$39&lt;=10,01_Supuestos!$I$136,01_Supuestos!$I$137)*Z81,Z83))</f>
        <v>33.6434606756987</v>
      </c>
      <c r="AA85" s="116" t="n">
        <f aca="false">IF(AND($C$31&gt;0,AA$39&gt;10),MIN(AA83,MAX(01_Supuestos!$I$137*AA81,Z85*(1-1/MAX(1,$C$31)))),MIN(IF(AA$39&lt;=10,01_Supuestos!$I$136,01_Supuestos!$I$137)*AA81,AA83))</f>
        <v>34.0950085800093</v>
      </c>
      <c r="AB85" s="116" t="n">
        <f aca="false">IF(AND($C$31&gt;0,AB$39&gt;10),MIN(AB83,MAX(01_Supuestos!$I$137*AB81,AA85*(1-1/MAX(1,$C$31)))),MIN(IF(AB$39&lt;=10,01_Supuestos!$I$136,01_Supuestos!$I$137)*AB81,AB83))</f>
        <v>34.448710538829</v>
      </c>
      <c r="AC85" s="116" t="n">
        <f aca="false">IF(AND($C$31&gt;0,AC$39&gt;10),MIN(AC83,MAX(01_Supuestos!$I$137*AC81,AB85*(1-1/MAX(1,$C$31)))),MIN(IF(AC$39&lt;=10,01_Supuestos!$I$136,01_Supuestos!$I$137)*AC81,AC83))</f>
        <v>34.7938855073044</v>
      </c>
      <c r="AD85" s="116" t="n">
        <f aca="false">IF(AND($C$31&gt;0,AD$39&gt;10),MIN(AD83,MAX(01_Supuestos!$I$137*AD81,AC85*(1-1/MAX(1,$C$31)))),MIN(IF(AD$39&lt;=10,01_Supuestos!$I$136,01_Supuestos!$I$137)*AD81,AD83))</f>
        <v>35.1302996142034</v>
      </c>
      <c r="AE85" s="116" t="n">
        <f aca="false">IF(AND($C$31&gt;0,AE$39&gt;10),MIN(AE83,MAX(01_Supuestos!$I$137*AE81,AD85*(1-1/MAX(1,$C$31)))),MIN(IF(AE$39&lt;=10,01_Supuestos!$I$136,01_Supuestos!$I$137)*AE81,AE83))</f>
        <v>35.4577302381041</v>
      </c>
      <c r="AF85" s="116" t="n">
        <f aca="false">IF(AND($C$31&gt;0,AF$39&gt;10),MIN(AF83,MAX(01_Supuestos!$I$137*AF81,AE85*(1-1/MAX(1,$C$31)))),MIN(IF(AF$39&lt;=10,01_Supuestos!$I$136,01_Supuestos!$I$137)*AF81,AF83))</f>
        <v>35.7759654292397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0.344317493798204</v>
      </c>
      <c r="D86" s="116" t="n">
        <f aca="false">01_Supuestos!$I$127*D83</f>
        <v>0.899459484744269</v>
      </c>
      <c r="E86" s="116" t="n">
        <f aca="false">01_Supuestos!$I$127*E83</f>
        <v>1.57970333474427</v>
      </c>
      <c r="F86" s="116" t="n">
        <f aca="false">01_Supuestos!$I$127*F83</f>
        <v>2.27559279329427</v>
      </c>
      <c r="G86" s="116" t="n">
        <f aca="false">01_Supuestos!$I$127*G83</f>
        <v>2.98748770939092</v>
      </c>
      <c r="H86" s="116" t="n">
        <f aca="false">01_Supuestos!$I$127*H83</f>
        <v>3.71575620855779</v>
      </c>
      <c r="I86" s="116" t="n">
        <f aca="false">01_Supuestos!$I$127*I83</f>
        <v>4.4607748832055</v>
      </c>
      <c r="J86" s="116" t="n">
        <f aca="false">01_Supuestos!$I$127*J83</f>
        <v>5.22292898737011</v>
      </c>
      <c r="K86" s="116" t="n">
        <f aca="false">01_Supuestos!$I$127*K83</f>
        <v>6.0026126359305</v>
      </c>
      <c r="L86" s="116" t="n">
        <f aca="false">01_Supuestos!$I$127*L83</f>
        <v>6.80022900840779</v>
      </c>
      <c r="M86" s="116" t="n">
        <f aca="false">01_Supuestos!$I$127*M83</f>
        <v>7.61619055745205</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9.6579244360685</v>
      </c>
      <c r="W86" s="116" t="n">
        <f aca="false">01_Supuestos!$I$127*W83</f>
        <v>9.80154094077241</v>
      </c>
      <c r="X86" s="116" t="n">
        <f aca="false">01_Supuestos!$I$127*X83</f>
        <v>9.94221989207301</v>
      </c>
      <c r="Y86" s="116" t="n">
        <f aca="false">01_Supuestos!$I$127*Y83</f>
        <v>10.0799535786918</v>
      </c>
      <c r="Z86" s="116" t="n">
        <f aca="false">01_Supuestos!$I$127*Z83</f>
        <v>10.2147345447253</v>
      </c>
      <c r="AA86" s="116" t="n">
        <f aca="false">01_Supuestos!$I$127*AA83</f>
        <v>10.3465555722804</v>
      </c>
      <c r="AB86" s="116" t="n">
        <f aca="false">01_Supuestos!$I$127*AB83</f>
        <v>10.4412049119164</v>
      </c>
      <c r="AC86" s="116" t="n">
        <f aca="false">01_Supuestos!$I$127*AC83</f>
        <v>10.534156822101</v>
      </c>
      <c r="AD86" s="116" t="n">
        <f aca="false">01_Supuestos!$I$127*AD83</f>
        <v>10.6253408868056</v>
      </c>
      <c r="AE86" s="116" t="n">
        <f aca="false">01_Supuestos!$I$127*AE83</f>
        <v>10.714690055955</v>
      </c>
      <c r="AF86" s="116" t="n">
        <f aca="false">01_Supuestos!$I$127*AF83</f>
        <v>10.8021404716639</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5.12282804947994</v>
      </c>
      <c r="D87" s="116" t="n">
        <f aca="false">D83-D85-D86</f>
        <v>13.3372615723114</v>
      </c>
      <c r="E87" s="116" t="n">
        <f aca="false">E83-E85-E86</f>
        <v>23.1158478565312</v>
      </c>
      <c r="F87" s="116" t="n">
        <f aca="false">F83-F85-F86</f>
        <v>29.1194337841878</v>
      </c>
      <c r="G87" s="116" t="n">
        <f aca="false">G83-G85-G86</f>
        <v>35.4271907272695</v>
      </c>
      <c r="H87" s="116" t="n">
        <f aca="false">H83-H85-H86</f>
        <v>43.2980403546143</v>
      </c>
      <c r="I87" s="116" t="n">
        <f aca="false">I83-I85-I86</f>
        <v>52.2340937364765</v>
      </c>
      <c r="J87" s="116" t="n">
        <f aca="false">J83-J85-J86</f>
        <v>62.1414906054605</v>
      </c>
      <c r="K87" s="116" t="n">
        <f aca="false">K83-K85-K86</f>
        <v>75.4451967930845</v>
      </c>
      <c r="L87" s="116" t="n">
        <f aca="false">L83-L85-L86</f>
        <v>89.0884038148588</v>
      </c>
      <c r="M87" s="116" t="n">
        <f aca="false">M83-M85-M86</f>
        <v>112.614862715678</v>
      </c>
      <c r="N87" s="116" t="n">
        <f aca="false">N83-N85-N86</f>
        <v>127.08840723162</v>
      </c>
      <c r="O87" s="116" t="n">
        <f aca="false">O83-O85-O86</f>
        <v>129.788664403691</v>
      </c>
      <c r="P87" s="116" t="n">
        <f aca="false">P83-P85-P86</f>
        <v>132.662819778597</v>
      </c>
      <c r="Q87" s="116" t="n">
        <f aca="false">Q83-Q85-Q86</f>
        <v>135.712781220327</v>
      </c>
      <c r="R87" s="116" t="n">
        <f aca="false">R83-R85-R86</f>
        <v>138.919087866152</v>
      </c>
      <c r="S87" s="116" t="n">
        <f aca="false">S83-S85-S86</f>
        <v>142.266154459471</v>
      </c>
      <c r="T87" s="116" t="n">
        <f aca="false">T83-T85-T86</f>
        <v>145.741107071414</v>
      </c>
      <c r="U87" s="116" t="n">
        <f aca="false">U83-U85-U86</f>
        <v>149.304706478791</v>
      </c>
      <c r="V87" s="116" t="n">
        <f aca="false">V83-V85-V86</f>
        <v>151.75894583716</v>
      </c>
      <c r="W87" s="116" t="n">
        <f aca="false">W83-W85-W86</f>
        <v>153.998410050987</v>
      </c>
      <c r="X87" s="116" t="n">
        <f aca="false">X83-X85-X86</f>
        <v>156.19106661147</v>
      </c>
      <c r="Y87" s="116" t="n">
        <f aca="false">Y83-Y85-Y86</f>
        <v>158.337049250108</v>
      </c>
      <c r="Z87" s="116" t="n">
        <f aca="false">Z83-Z85-Z86</f>
        <v>160.436495674081</v>
      </c>
      <c r="AA87" s="116" t="n">
        <f aca="false">AA83-AA85-AA86</f>
        <v>162.489547293318</v>
      </c>
      <c r="AB87" s="116" t="n">
        <f aca="false">AB83-AB85-AB86</f>
        <v>163.934182787582</v>
      </c>
      <c r="AC87" s="116" t="n">
        <f aca="false">AC83-AC85-AC86</f>
        <v>165.355094112614</v>
      </c>
      <c r="AD87" s="116" t="n">
        <f aca="false">AD83-AD85-AD86</f>
        <v>166.751177235102</v>
      </c>
      <c r="AE87" s="116" t="n">
        <f aca="false">AE83-AE85-AE86</f>
        <v>168.12138082504</v>
      </c>
      <c r="AF87" s="116" t="n">
        <f aca="false">AF83-AF85-AF86</f>
        <v>169.464703532374</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0.019367859026149</v>
      </c>
      <c r="D88" s="116" t="n">
        <f aca="false">D86/01_Supuestos!$I$131*01_Supuestos!$I$129*01_Supuestos!$I$130*01_Supuestos!$I$128</f>
        <v>0.0505945960168651</v>
      </c>
      <c r="E88" s="116" t="n">
        <f aca="false">E86/01_Supuestos!$I$131*01_Supuestos!$I$129*01_Supuestos!$I$130*01_Supuestos!$I$128</f>
        <v>0.0888583125793651</v>
      </c>
      <c r="F88" s="116" t="n">
        <f aca="false">F86/01_Supuestos!$I$131*01_Supuestos!$I$129*01_Supuestos!$I$130*01_Supuestos!$I$128</f>
        <v>0.128002094622803</v>
      </c>
      <c r="G88" s="116" t="n">
        <f aca="false">G86/01_Supuestos!$I$131*01_Supuestos!$I$129*01_Supuestos!$I$130*01_Supuestos!$I$128</f>
        <v>0.168046183653239</v>
      </c>
      <c r="H88" s="116" t="n">
        <f aca="false">H86/01_Supuestos!$I$131*01_Supuestos!$I$129*01_Supuestos!$I$130*01_Supuestos!$I$128</f>
        <v>0.209011286731376</v>
      </c>
      <c r="I88" s="116" t="n">
        <f aca="false">I86/01_Supuestos!$I$131*01_Supuestos!$I$129*01_Supuestos!$I$130*01_Supuestos!$I$128</f>
        <v>0.250918587180309</v>
      </c>
      <c r="J88" s="116" t="n">
        <f aca="false">J86/01_Supuestos!$I$131*01_Supuestos!$I$129*01_Supuestos!$I$130*01_Supuestos!$I$128</f>
        <v>0.293789755539569</v>
      </c>
      <c r="K88" s="116" t="n">
        <f aca="false">K86/01_Supuestos!$I$131*01_Supuestos!$I$129*01_Supuestos!$I$130*01_Supuestos!$I$128</f>
        <v>0.337646960771091</v>
      </c>
      <c r="L88" s="116" t="n">
        <f aca="false">L86/01_Supuestos!$I$131*01_Supuestos!$I$129*01_Supuestos!$I$130*01_Supuestos!$I$128</f>
        <v>0.382512881722938</v>
      </c>
      <c r="M88" s="116" t="n">
        <f aca="false">M86/01_Supuestos!$I$131*01_Supuestos!$I$129*01_Supuestos!$I$130*01_Supuestos!$I$128</f>
        <v>0.428410718856678</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0.543258249528853</v>
      </c>
      <c r="W88" s="116" t="n">
        <f aca="false">W86/01_Supuestos!$I$131*01_Supuestos!$I$129*01_Supuestos!$I$130*01_Supuestos!$I$128</f>
        <v>0.551336677918448</v>
      </c>
      <c r="X88" s="116" t="n">
        <f aca="false">X86/01_Supuestos!$I$131*01_Supuestos!$I$129*01_Supuestos!$I$130*01_Supuestos!$I$128</f>
        <v>0.559249868929107</v>
      </c>
      <c r="Y88" s="116" t="n">
        <f aca="false">Y86/01_Supuestos!$I$131*01_Supuestos!$I$129*01_Supuestos!$I$130*01_Supuestos!$I$128</f>
        <v>0.566997388801414</v>
      </c>
      <c r="Z88" s="116" t="n">
        <f aca="false">Z86/01_Supuestos!$I$131*01_Supuestos!$I$129*01_Supuestos!$I$130*01_Supuestos!$I$128</f>
        <v>0.574578818140796</v>
      </c>
      <c r="AA88" s="116" t="n">
        <f aca="false">AA86/01_Supuestos!$I$131*01_Supuestos!$I$129*01_Supuestos!$I$130*01_Supuestos!$I$128</f>
        <v>0.581993750940773</v>
      </c>
      <c r="AB88" s="116" t="n">
        <f aca="false">AB86/01_Supuestos!$I$131*01_Supuestos!$I$129*01_Supuestos!$I$130*01_Supuestos!$I$128</f>
        <v>0.587317776295296</v>
      </c>
      <c r="AC88" s="116" t="n">
        <f aca="false">AC86/01_Supuestos!$I$131*01_Supuestos!$I$129*01_Supuestos!$I$130*01_Supuestos!$I$128</f>
        <v>0.59254632124318</v>
      </c>
      <c r="AD88" s="116" t="n">
        <f aca="false">AD86/01_Supuestos!$I$131*01_Supuestos!$I$129*01_Supuestos!$I$130*01_Supuestos!$I$128</f>
        <v>0.597675424882812</v>
      </c>
      <c r="AE88" s="116" t="n">
        <f aca="false">AE86/01_Supuestos!$I$131*01_Supuestos!$I$129*01_Supuestos!$I$130*01_Supuestos!$I$128</f>
        <v>0.602701315647467</v>
      </c>
      <c r="AF88" s="116" t="n">
        <f aca="false">AF86/01_Supuestos!$I$131*01_Supuestos!$I$129*01_Supuestos!$I$130*01_Supuestos!$I$128</f>
        <v>0.607620401531094</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2.06590496278923</v>
      </c>
      <c r="D90" s="116" t="n">
        <f aca="false">D83-C83-D73+D185-D228</f>
        <v>3.33085194567639</v>
      </c>
      <c r="E90" s="116" t="n">
        <f aca="false">E83-D83-E73+E185-E228</f>
        <v>4.0814631</v>
      </c>
      <c r="F90" s="116" t="n">
        <f aca="false">F83-E83-F73+F185-F228</f>
        <v>4.1753367513</v>
      </c>
      <c r="G90" s="116" t="n">
        <f aca="false">G83-F83-G73+G185-G228</f>
        <v>4.2713694965799</v>
      </c>
      <c r="H90" s="116" t="n">
        <f aca="false">H83-G83-H73+H185-H228</f>
        <v>4.36961099500124</v>
      </c>
      <c r="I90" s="116" t="n">
        <f aca="false">I83-H83-I73+I185-I228</f>
        <v>4.47011204788627</v>
      </c>
      <c r="J90" s="116" t="n">
        <f aca="false">J83-I83-J73+J185-J228</f>
        <v>4.57292462498765</v>
      </c>
      <c r="K90" s="116" t="n">
        <f aca="false">K83-J83-K73+K185-K228</f>
        <v>4.67810189136236</v>
      </c>
      <c r="L90" s="116" t="n">
        <f aca="false">L83-K83-L73+L185-L228</f>
        <v>4.7856982348637</v>
      </c>
      <c r="M90" s="116" t="n">
        <f aca="false">M83-L83-M73+M185-M228</f>
        <v>4.89576929426556</v>
      </c>
      <c r="N90" s="116" t="n">
        <f aca="false">N83-M83-N73+N185-N228</f>
        <v>2.92809458306516</v>
      </c>
      <c r="O90" s="116" t="n">
        <f aca="false">O83-N83-O73+O185-O228</f>
        <v>1.11838047233887</v>
      </c>
      <c r="P90" s="116" t="n">
        <f aca="false">P83-O83-P73+P185-P228</f>
        <v>1.14410322320268</v>
      </c>
      <c r="Q90" s="116" t="n">
        <f aca="false">Q83-P83-Q73+Q185-Q228</f>
        <v>1.17041759733632</v>
      </c>
      <c r="R90" s="116" t="n">
        <f aca="false">R83-Q83-R73+R185-R228</f>
        <v>1.19733720207506</v>
      </c>
      <c r="S90" s="116" t="n">
        <f aca="false">S83-R83-S73+S185-S228</f>
        <v>1.2248759577228</v>
      </c>
      <c r="T90" s="116" t="n">
        <f aca="false">T83-S83-T73+T185-T228</f>
        <v>1.25304810475043</v>
      </c>
      <c r="U90" s="116" t="n">
        <f aca="false">U83-T83-U73+U185-U228</f>
        <v>1.28186821115966</v>
      </c>
      <c r="V90" s="116" t="n">
        <f aca="false">V83-U83-V73+V185-V228</f>
        <v>0.93227792004771</v>
      </c>
      <c r="W90" s="116" t="n">
        <f aca="false">W83-V83-W73+W185-W228</f>
        <v>0.861699028223484</v>
      </c>
      <c r="X90" s="116" t="n">
        <f aca="false">X83-W83-X73+X185-X228</f>
        <v>0.844073707803602</v>
      </c>
      <c r="Y90" s="116" t="n">
        <f aca="false">Y83-X83-Y73+Y185-Y228</f>
        <v>0.826402119712782</v>
      </c>
      <c r="Z90" s="116" t="n">
        <f aca="false">Z83-Y83-Z73+Z185-Z228</f>
        <v>0.808685796200706</v>
      </c>
      <c r="AA90" s="116" t="n">
        <f aca="false">AA83-Z83-AA73+AA185-AA228</f>
        <v>0.790926165330859</v>
      </c>
      <c r="AB90" s="116" t="n">
        <f aca="false">AB83-AA83-AB73+AB185-AB228</f>
        <v>0.567896037815785</v>
      </c>
      <c r="AC90" s="116" t="n">
        <f aca="false">AC83-AB83-AC73+AC185-AC228</f>
        <v>0.557711461107658</v>
      </c>
      <c r="AD90" s="116" t="n">
        <f aca="false">AD83-AC83-AD73+AD185-AD228</f>
        <v>0.547104388227439</v>
      </c>
      <c r="AE90" s="116" t="n">
        <f aca="false">AE83-AD83-AE73+AE185-AE228</f>
        <v>0.536095014896489</v>
      </c>
      <c r="AF90" s="116" t="n">
        <f aca="false">AF83-AE83-AF73+AF185-AF228</f>
        <v>0.524702494253518</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2.06590496278923</v>
      </c>
      <c r="D92" s="116" t="n">
        <f aca="false">IF(D90&gt;0,IF($C$20="BC",MIN(D90-D91,MAX(0,C276+D53-D75)),MIN(D90,MAX(0,C276+D53-D75))),0)</f>
        <v>3.33085194567639</v>
      </c>
      <c r="E92" s="116" t="n">
        <f aca="false">IF(E90&gt;0,IF($C$20="BC",MIN(E90-E91,MAX(0,D276+E53-E75)),MIN(E90,MAX(0,D276+E53-E75))),0)</f>
        <v>4.0814631</v>
      </c>
      <c r="F92" s="116" t="n">
        <f aca="false">IF(F90&gt;0,IF($C$20="BC",MIN(F90-F91,MAX(0,E276+F53-F75)),MIN(F90,MAX(0,E276+F53-F75))),0)</f>
        <v>4.1753367513</v>
      </c>
      <c r="G92" s="116" t="n">
        <f aca="false">IF(G90&gt;0,IF($C$20="BC",MIN(G90-G91,MAX(0,F276+G53-G75)),MIN(G90,MAX(0,F276+G53-G75))),0)</f>
        <v>4.2713694965799</v>
      </c>
      <c r="H92" s="116" t="n">
        <f aca="false">IF(H90&gt;0,IF($C$20="BC",MIN(H90-H91,MAX(0,G276+H53-H75)),MIN(H90,MAX(0,G276+H53-H75))),0)</f>
        <v>4.36961099500124</v>
      </c>
      <c r="I92" s="116" t="n">
        <f aca="false">IF(I90&gt;0,IF($C$20="BC",MIN(I90-I91,MAX(0,H276+I53-I75)),MIN(I90,MAX(0,H276+I53-I75))),0)</f>
        <v>4.47011204788627</v>
      </c>
      <c r="J92" s="116" t="n">
        <f aca="false">IF(J90&gt;0,IF($C$20="BC",MIN(J90-J91,MAX(0,I276+J53-J75)),MIN(J90,MAX(0,I276+J53-J75))),0)</f>
        <v>4.57292462498765</v>
      </c>
      <c r="K92" s="116" t="n">
        <f aca="false">IF(K90&gt;0,IF($C$20="BC",MIN(K90-K91,MAX(0,J276+K53-K75)),MIN(K90,MAX(0,J276+K53-K75))),0)</f>
        <v>4.67810189136236</v>
      </c>
      <c r="L92" s="116" t="n">
        <f aca="false">IF(L90&gt;0,IF($C$20="BC",MIN(L90-L91,MAX(0,K276+L53-L75)),MIN(L90,MAX(0,K276+L53-L75))),0)</f>
        <v>4.7856982348637</v>
      </c>
      <c r="M92" s="116" t="n">
        <f aca="false">IF(M90&gt;0,IF($C$20="BC",MIN(M90-M91,MAX(0,L276+M53-M75)),MIN(M90,MAX(0,L276+M53-M75))),0)</f>
        <v>4.89576929426556</v>
      </c>
      <c r="N92" s="116" t="n">
        <f aca="false">IF(N90&gt;0,IF($C$20="BC",MIN(N90-N91,MAX(0,M276+N53-N75)),MIN(N90,MAX(0,M276+N53-N75))),0)</f>
        <v>2.92809458306516</v>
      </c>
      <c r="O92" s="116" t="n">
        <f aca="false">IF(O90&gt;0,IF($C$20="BC",MIN(O90-O91,MAX(0,N276+O53-O75)),MIN(O90,MAX(0,N276+O53-O75))),0)</f>
        <v>1.11838047233887</v>
      </c>
      <c r="P92" s="116" t="n">
        <f aca="false">IF(P90&gt;0,IF($C$20="BC",MIN(P90-P91,MAX(0,O276+P53-P75)),MIN(P90,MAX(0,O276+P53-P75))),0)</f>
        <v>1.14410322320268</v>
      </c>
      <c r="Q92" s="116" t="n">
        <f aca="false">IF(Q90&gt;0,IF($C$20="BC",MIN(Q90-Q91,MAX(0,P276+Q53-Q75)),MIN(Q90,MAX(0,P276+Q53-Q75))),0)</f>
        <v>1.17041759733632</v>
      </c>
      <c r="R92" s="116" t="n">
        <f aca="false">IF(R90&gt;0,IF($C$20="BC",MIN(R90-R91,MAX(0,Q276+R53-R75)),MIN(R90,MAX(0,Q276+R53-R75))),0)</f>
        <v>1.19733720207506</v>
      </c>
      <c r="S92" s="116" t="n">
        <f aca="false">IF(S90&gt;0,IF($C$20="BC",MIN(S90-S91,MAX(0,R276+S53-S75)),MIN(S90,MAX(0,R276+S53-S75))),0)</f>
        <v>1.2248759577228</v>
      </c>
      <c r="T92" s="116" t="n">
        <f aca="false">IF(T90&gt;0,IF($C$20="BC",MIN(T90-T91,MAX(0,S276+T53-T75)),MIN(T90,MAX(0,S276+T53-T75))),0)</f>
        <v>1.25304810475043</v>
      </c>
      <c r="U92" s="116" t="n">
        <f aca="false">IF(U90&gt;0,IF($C$20="BC",MIN(U90-U91,MAX(0,T276+U53-U75)),MIN(U90,MAX(0,T276+U53-U75))),0)</f>
        <v>1.28186821115966</v>
      </c>
      <c r="V92" s="116" t="n">
        <f aca="false">IF(V90&gt;0,IF($C$20="BC",MIN(V90-V91,MAX(0,U276+V53-V75)),MIN(V90,MAX(0,U276+V53-V75))),0)</f>
        <v>0.93227792004771</v>
      </c>
      <c r="W92" s="116" t="n">
        <f aca="false">IF(W90&gt;0,IF($C$20="BC",MIN(W90-W91,MAX(0,V276+W53-W75)),MIN(W90,MAX(0,V276+W53-W75))),0)</f>
        <v>0.861699028223484</v>
      </c>
      <c r="X92" s="116" t="n">
        <f aca="false">IF(X90&gt;0,IF($C$20="BC",MIN(X90-X91,MAX(0,W276+X53-X75)),MIN(X90,MAX(0,W276+X53-X75))),0)</f>
        <v>0.844073707803602</v>
      </c>
      <c r="Y92" s="116" t="n">
        <f aca="false">IF(Y90&gt;0,IF($C$20="BC",MIN(Y90-Y91,MAX(0,X276+Y53-Y75)),MIN(Y90,MAX(0,X276+Y53-Y75))),0)</f>
        <v>0.826402119712782</v>
      </c>
      <c r="Z92" s="116" t="n">
        <f aca="false">IF(Z90&gt;0,IF($C$20="BC",MIN(Z90-Z91,MAX(0,Y276+Z53-Z75)),MIN(Z90,MAX(0,Y276+Z53-Z75))),0)</f>
        <v>0.808685796200706</v>
      </c>
      <c r="AA92" s="116" t="n">
        <f aca="false">IF(AA90&gt;0,IF($C$20="BC",MIN(AA90-AA91,MAX(0,Z276+AA53-AA75)),MIN(AA90,MAX(0,Z276+AA53-AA75))),0)</f>
        <v>0.790926165330859</v>
      </c>
      <c r="AB92" s="116" t="n">
        <f aca="false">IF(AB90&gt;0,IF($C$20="BC",MIN(AB90-AB91,MAX(0,AA276+AB53-AB75)),MIN(AB90,MAX(0,AA276+AB53-AB75))),0)</f>
        <v>0.567896037815785</v>
      </c>
      <c r="AC92" s="116" t="n">
        <f aca="false">IF(AC90&gt;0,IF($C$20="BC",MIN(AC90-AC91,MAX(0,AB276+AC53-AC75)),MIN(AC90,MAX(0,AB276+AC53-AC75))),0)</f>
        <v>0.557711461107658</v>
      </c>
      <c r="AD92" s="116" t="n">
        <f aca="false">IF(AD90&gt;0,IF($C$20="BC",MIN(AD90-AD91,MAX(0,AC276+AD53-AD75)),MIN(AD90,MAX(0,AC276+AD53-AD75))),0)</f>
        <v>0.547104388227439</v>
      </c>
      <c r="AE92" s="116" t="n">
        <f aca="false">IF(AE90&gt;0,IF($C$20="BC",MIN(AE90-AE91,MAX(0,AD276+AE53-AE75)),MIN(AE90,MAX(0,AD276+AE53-AE75))),0)</f>
        <v>0.536095014896489</v>
      </c>
      <c r="AF92" s="116" t="n">
        <f aca="false">IF(AF90&gt;0,IF($C$20="BC",MIN(AF90-AF91,MAX(0,AE276+AF53-AF75)),MIN(AF90,MAX(0,AE276+AF53-AF75))),0)</f>
        <v>0.524702494253518</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0</v>
      </c>
      <c r="P94" s="116" t="n">
        <f aca="false">IF(P90&lt;0,-P90-P93,0)</f>
        <v>0</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0.295667569309572</v>
      </c>
      <c r="D100" s="116" t="n">
        <f aca="false">$C$21*$C$22*D81</f>
        <v>0.781764299547855</v>
      </c>
      <c r="E100" s="116" t="n">
        <f aca="false">$C$21*$C$22*E81</f>
        <v>1.43719072991873</v>
      </c>
      <c r="F100" s="116" t="n">
        <f aca="false">$C$21*$C$22*F81</f>
        <v>2.94100610175068</v>
      </c>
      <c r="G100" s="116" t="n">
        <f aca="false">$C$21*$C$22*G81</f>
        <v>4.44480744815791</v>
      </c>
      <c r="H100" s="116" t="n">
        <f aca="false">$C$21*$C$22*H81</f>
        <v>5.68777658499661</v>
      </c>
      <c r="I100" s="116" t="n">
        <f aca="false">$C$21*$C$22*I81</f>
        <v>6.7751310509225</v>
      </c>
      <c r="J100" s="116" t="n">
        <f aca="false">$C$21*$C$22*J81</f>
        <v>7.72795003220242</v>
      </c>
      <c r="K100" s="116" t="n">
        <f aca="false">$C$21*$C$22*K81</f>
        <v>8.04259235199898</v>
      </c>
      <c r="L100" s="116" t="n">
        <f aca="false">$C$21*$C$22*L81</f>
        <v>8.35748903018525</v>
      </c>
      <c r="M100" s="116" t="n">
        <f aca="false">$C$21*$C$22*M81</f>
        <v>8.66655656398049</v>
      </c>
      <c r="N100" s="116" t="n">
        <f aca="false">$C$21*$C$22*N81</f>
        <v>8.96383762433609</v>
      </c>
      <c r="O100" s="116" t="n">
        <f aca="false">$C$21*$C$22*O81</f>
        <v>9.2442646211145</v>
      </c>
      <c r="P100" s="116" t="n">
        <f aca="false">$C$21*$C$22*P81</f>
        <v>9.49387734285995</v>
      </c>
      <c r="Q100" s="116" t="n">
        <f aca="false">$C$21*$C$22*Q81</f>
        <v>9.71266432613811</v>
      </c>
      <c r="R100" s="116" t="n">
        <f aca="false">$C$21*$C$22*R81</f>
        <v>9.90775137972035</v>
      </c>
      <c r="S100" s="116" t="n">
        <f aca="false">$C$21*$C$22*S81</f>
        <v>10.0849871373213</v>
      </c>
      <c r="T100" s="116" t="n">
        <f aca="false">$C$21*$C$22*T81</f>
        <v>10.2493314883547</v>
      </c>
      <c r="U100" s="116" t="n">
        <f aca="false">$C$21*$C$22*U81</f>
        <v>10.4145481310088</v>
      </c>
      <c r="V100" s="116" t="n">
        <f aca="false">$C$21*$C$22*V81</f>
        <v>10.5805394827139</v>
      </c>
      <c r="W100" s="116" t="n">
        <f aca="false">$C$21*$C$22*W81</f>
        <v>10.7436226078964</v>
      </c>
      <c r="X100" s="116" t="n">
        <f aca="false">$C$21*$C$22*X81</f>
        <v>10.9037037793058</v>
      </c>
      <c r="Y100" s="116" t="n">
        <f aca="false">$C$21*$C$22*Y81</f>
        <v>11.0606895816787</v>
      </c>
      <c r="Z100" s="116" t="n">
        <f aca="false">$C$21*$C$22*Z81</f>
        <v>11.2144868918996</v>
      </c>
      <c r="AA100" s="116" t="n">
        <f aca="false">$C$21*$C$22*AA81</f>
        <v>11.3650028600031</v>
      </c>
      <c r="AB100" s="116" t="n">
        <f aca="false">$C$21*$C$22*AB81</f>
        <v>11.482903512943</v>
      </c>
      <c r="AC100" s="116" t="n">
        <f aca="false">$C$21*$C$22*AC81</f>
        <v>11.5979618357681</v>
      </c>
      <c r="AD100" s="116" t="n">
        <f aca="false">$C$21*$C$22*AD81</f>
        <v>11.7100998714011</v>
      </c>
      <c r="AE100" s="116" t="n">
        <f aca="false">$C$21*$C$22*AE81</f>
        <v>11.8192434127014</v>
      </c>
      <c r="AF100" s="116" t="n">
        <f aca="false">$C$21*$C$22*AF81</f>
        <v>11.9253218097466</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0.000781764299547855</v>
      </c>
      <c r="F102" s="116" t="n">
        <f aca="false">E104*$C$24</f>
        <v>0.00143719072991873</v>
      </c>
      <c r="G102" s="116" t="n">
        <f aca="false">F104*$C$24</f>
        <v>0.00294100610175068</v>
      </c>
      <c r="H102" s="116" t="n">
        <f aca="false">G104*$C$24</f>
        <v>0.00444480744815791</v>
      </c>
      <c r="I102" s="116" t="n">
        <f aca="false">H104*$C$24</f>
        <v>0.00568777658499661</v>
      </c>
      <c r="J102" s="116" t="n">
        <f aca="false">I104*$C$24</f>
        <v>0.0067751310509225</v>
      </c>
      <c r="K102" s="116" t="n">
        <f aca="false">J104*$C$24</f>
        <v>0.00772795003220242</v>
      </c>
      <c r="L102" s="116" t="n">
        <f aca="false">K104*$C$24</f>
        <v>0.00804259235199898</v>
      </c>
      <c r="M102" s="116" t="n">
        <f aca="false">L104*$C$24</f>
        <v>0.00835748903018525</v>
      </c>
      <c r="N102" s="116" t="n">
        <f aca="false">M104*$C$24</f>
        <v>0.0086665565639805</v>
      </c>
      <c r="O102" s="116" t="n">
        <f aca="false">N104*$C$24</f>
        <v>0.00896383762433609</v>
      </c>
      <c r="P102" s="116" t="n">
        <f aca="false">O104*$C$24</f>
        <v>0.0092442646211145</v>
      </c>
      <c r="Q102" s="116" t="n">
        <f aca="false">P104*$C$24</f>
        <v>0.00949387734285995</v>
      </c>
      <c r="R102" s="116" t="n">
        <f aca="false">Q104*$C$24</f>
        <v>0.00971266432613811</v>
      </c>
      <c r="S102" s="116" t="n">
        <f aca="false">R104*$C$24</f>
        <v>0.00990775137972035</v>
      </c>
      <c r="T102" s="116" t="n">
        <f aca="false">S104*$C$24</f>
        <v>0.0100849871373213</v>
      </c>
      <c r="U102" s="116" t="n">
        <f aca="false">T104*$C$24</f>
        <v>0.0102493314883547</v>
      </c>
      <c r="V102" s="116" t="n">
        <f aca="false">U104*$C$24</f>
        <v>0.0104145481310088</v>
      </c>
      <c r="W102" s="116" t="n">
        <f aca="false">V104*$C$24</f>
        <v>0.0105805394827139</v>
      </c>
      <c r="X102" s="116" t="n">
        <f aca="false">W104*$C$24</f>
        <v>0.0107436226078964</v>
      </c>
      <c r="Y102" s="116" t="n">
        <f aca="false">X104*$C$24</f>
        <v>0.0109037037793058</v>
      </c>
      <c r="Z102" s="116" t="n">
        <f aca="false">Y104*$C$24</f>
        <v>0.0110606895816787</v>
      </c>
      <c r="AA102" s="116" t="n">
        <f aca="false">Z104*$C$24</f>
        <v>0.0112144868918996</v>
      </c>
      <c r="AB102" s="116" t="n">
        <f aca="false">AA104*$C$24</f>
        <v>0.0113650028600031</v>
      </c>
      <c r="AC102" s="116" t="n">
        <f aca="false">AB104*$C$24</f>
        <v>0.011482903512943</v>
      </c>
      <c r="AD102" s="116" t="n">
        <f aca="false">AC104*$C$24</f>
        <v>0.0115979618357681</v>
      </c>
      <c r="AE102" s="116" t="n">
        <f aca="false">AD104*$C$24</f>
        <v>0.0117100998714011</v>
      </c>
      <c r="AF102" s="116" t="n">
        <f aca="false">AE104*$C$24</f>
        <v>0.0118192434127014</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0.781764299547855</v>
      </c>
      <c r="E103" s="116" t="n">
        <f aca="false">MIN(MAX(0,E100-D104-E101),MAX(0,D276))</f>
        <v>0.655426430370875</v>
      </c>
      <c r="F103" s="116" t="n">
        <f aca="false">MIN(MAX(0,F100-E104-F101),MAX(0,E276))</f>
        <v>1.50381537183195</v>
      </c>
      <c r="G103" s="116" t="n">
        <f aca="false">MIN(MAX(0,G100-F104-G101),MAX(0,F276))</f>
        <v>1.50380134640723</v>
      </c>
      <c r="H103" s="116" t="n">
        <f aca="false">MIN(MAX(0,H100-G104-H101),MAX(0,G276))</f>
        <v>1.2429691368387</v>
      </c>
      <c r="I103" s="116" t="n">
        <f aca="false">MIN(MAX(0,I100-H104-I101),MAX(0,H276))</f>
        <v>1.0873544659259</v>
      </c>
      <c r="J103" s="116" t="n">
        <f aca="false">MIN(MAX(0,J100-I104-J101),MAX(0,I276))</f>
        <v>0.95281898127992</v>
      </c>
      <c r="K103" s="116" t="n">
        <f aca="false">MIN(MAX(0,K100-J104-K101),MAX(0,J276))</f>
        <v>0.314642319796551</v>
      </c>
      <c r="L103" s="116" t="n">
        <f aca="false">MIN(MAX(0,L100-K104-L101),MAX(0,K276))</f>
        <v>0.314896678186273</v>
      </c>
      <c r="M103" s="116" t="n">
        <f aca="false">MIN(MAX(0,M100-L104-M101),MAX(0,L276))</f>
        <v>0.309067533795247</v>
      </c>
      <c r="N103" s="116" t="n">
        <f aca="false">MIN(MAX(0,N100-M104-N101),MAX(0,M276))</f>
        <v>0.297281060355598</v>
      </c>
      <c r="O103" s="116" t="n">
        <f aca="false">MIN(MAX(0,O100-N104-O101),MAX(0,N276))</f>
        <v>0.280426996778409</v>
      </c>
      <c r="P103" s="116" t="n">
        <f aca="false">MIN(MAX(0,P100-O104-P101),MAX(0,O276))</f>
        <v>0.24961272174545</v>
      </c>
      <c r="Q103" s="116" t="n">
        <f aca="false">MIN(MAX(0,Q100-P104-Q101),MAX(0,P276))</f>
        <v>0.218786983278159</v>
      </c>
      <c r="R103" s="116" t="n">
        <f aca="false">MIN(MAX(0,R100-Q104-R101),MAX(0,Q276))</f>
        <v>0.195087053582242</v>
      </c>
      <c r="S103" s="116" t="n">
        <f aca="false">MIN(MAX(0,S100-R104-S101),MAX(0,R276))</f>
        <v>0.17723575760091</v>
      </c>
      <c r="T103" s="116" t="n">
        <f aca="false">MIN(MAX(0,T100-S104-T101),MAX(0,S276))</f>
        <v>0.1643443510334</v>
      </c>
      <c r="U103" s="116" t="n">
        <f aca="false">MIN(MAX(0,U100-T104-U101),MAX(0,T276))</f>
        <v>0.165216642654141</v>
      </c>
      <c r="V103" s="116" t="n">
        <f aca="false">MIN(MAX(0,V100-U104-V101),MAX(0,U276))</f>
        <v>0.165991351705104</v>
      </c>
      <c r="W103" s="116" t="n">
        <f aca="false">MIN(MAX(0,W100-V104-W101),MAX(0,V276))</f>
        <v>0.163083125182524</v>
      </c>
      <c r="X103" s="116" t="n">
        <f aca="false">MIN(MAX(0,X100-W104-X101),MAX(0,W276))</f>
        <v>0.160081171409349</v>
      </c>
      <c r="Y103" s="116" t="n">
        <f aca="false">MIN(MAX(0,Y100-X104-Y101),MAX(0,X276))</f>
        <v>0.156985802372912</v>
      </c>
      <c r="Z103" s="116" t="n">
        <f aca="false">MIN(MAX(0,Z100-Y104-Z101),MAX(0,Y276))</f>
        <v>0.15379731022087</v>
      </c>
      <c r="AA103" s="116" t="n">
        <f aca="false">MIN(MAX(0,AA100-Z104-AA101),MAX(0,Z276))</f>
        <v>0.150515968103528</v>
      </c>
      <c r="AB103" s="116" t="n">
        <f aca="false">MIN(MAX(0,AB100-AA104-AB101),MAX(0,AA276))</f>
        <v>0.117900652939925</v>
      </c>
      <c r="AC103" s="116" t="n">
        <f aca="false">MIN(MAX(0,AC100-AB104-AC101),MAX(0,AB276))</f>
        <v>0.115058322825131</v>
      </c>
      <c r="AD103" s="116" t="n">
        <f aca="false">MIN(MAX(0,AD100-AC104-AD101),MAX(0,AC276))</f>
        <v>0.112138035632995</v>
      </c>
      <c r="AE103" s="116" t="n">
        <f aca="false">MIN(MAX(0,AE100-AD104-AE101),MAX(0,AD276))</f>
        <v>0.109143541300218</v>
      </c>
      <c r="AF103" s="116" t="n">
        <f aca="false">MIN(MAX(0,AF100-AE104-AF101),MAX(0,AE276))</f>
        <v>0.106078397045202</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0.781764299547855</v>
      </c>
      <c r="E104" s="136" t="n">
        <f aca="false">D104+E101+E103</f>
        <v>1.43719072991873</v>
      </c>
      <c r="F104" s="136" t="n">
        <f aca="false">E104+F101+F103</f>
        <v>2.94100610175068</v>
      </c>
      <c r="G104" s="136" t="n">
        <f aca="false">F104+G101+G103</f>
        <v>4.44480744815791</v>
      </c>
      <c r="H104" s="136" t="n">
        <f aca="false">G104+H101+H103</f>
        <v>5.68777658499661</v>
      </c>
      <c r="I104" s="136" t="n">
        <f aca="false">H104+I101+I103</f>
        <v>6.7751310509225</v>
      </c>
      <c r="J104" s="136" t="n">
        <f aca="false">I104+J101+J103</f>
        <v>7.72795003220242</v>
      </c>
      <c r="K104" s="136" t="n">
        <f aca="false">J104+K101+K103</f>
        <v>8.04259235199898</v>
      </c>
      <c r="L104" s="136" t="n">
        <f aca="false">K104+L101+L103</f>
        <v>8.35748903018525</v>
      </c>
      <c r="M104" s="136" t="n">
        <f aca="false">L104+M101+M103</f>
        <v>8.66655656398049</v>
      </c>
      <c r="N104" s="136" t="n">
        <f aca="false">M104+N101+N103</f>
        <v>8.96383762433609</v>
      </c>
      <c r="O104" s="136" t="n">
        <f aca="false">N104+O101+O103</f>
        <v>9.2442646211145</v>
      </c>
      <c r="P104" s="136" t="n">
        <f aca="false">O104+P101+P103</f>
        <v>9.49387734285995</v>
      </c>
      <c r="Q104" s="136" t="n">
        <f aca="false">P104+Q101+Q103</f>
        <v>9.71266432613811</v>
      </c>
      <c r="R104" s="136" t="n">
        <f aca="false">Q104+R101+R103</f>
        <v>9.90775137972035</v>
      </c>
      <c r="S104" s="136" t="n">
        <f aca="false">R104+S101+S103</f>
        <v>10.0849871373213</v>
      </c>
      <c r="T104" s="136" t="n">
        <f aca="false">S104+T101+T103</f>
        <v>10.2493314883547</v>
      </c>
      <c r="U104" s="136" t="n">
        <f aca="false">T104+U101+U103</f>
        <v>10.4145481310088</v>
      </c>
      <c r="V104" s="136" t="n">
        <f aca="false">U104+V101+V103</f>
        <v>10.5805394827139</v>
      </c>
      <c r="W104" s="136" t="n">
        <f aca="false">V104+W101+W103</f>
        <v>10.7436226078964</v>
      </c>
      <c r="X104" s="136" t="n">
        <f aca="false">W104+X101+X103</f>
        <v>10.9037037793058</v>
      </c>
      <c r="Y104" s="136" t="n">
        <f aca="false">X104+Y101+Y103</f>
        <v>11.0606895816787</v>
      </c>
      <c r="Z104" s="136" t="n">
        <f aca="false">Y104+Z101+Z103</f>
        <v>11.2144868918996</v>
      </c>
      <c r="AA104" s="136" t="n">
        <f aca="false">Z104+AA101+AA103</f>
        <v>11.3650028600031</v>
      </c>
      <c r="AB104" s="136" t="n">
        <f aca="false">AA104+AB101+AB103</f>
        <v>11.482903512943</v>
      </c>
      <c r="AC104" s="136" t="n">
        <f aca="false">AB104+AC101+AC103</f>
        <v>11.5979618357681</v>
      </c>
      <c r="AD104" s="136" t="n">
        <f aca="false">AC104+AD101+AD103</f>
        <v>11.7100998714011</v>
      </c>
      <c r="AE104" s="136" t="n">
        <f aca="false">AD104+AE101+AE103</f>
        <v>11.8192434127014</v>
      </c>
      <c r="AF104" s="136" t="n">
        <f aca="false">AE104+AF101+AF103</f>
        <v>11.9253218097466</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6.08767078810544</v>
      </c>
      <c r="E105" s="139" t="n">
        <f aca="false">E104/($C$36*(1+$C$23)^(E$39-1))</f>
        <v>11.1915369229861</v>
      </c>
      <c r="F105" s="139" t="n">
        <f aca="false">F104/($C$36*(1+$C$23)^(F$39-1))</f>
        <v>22.9018860846197</v>
      </c>
      <c r="G105" s="139" t="n">
        <f aca="false">G104/($C$36*(1+$C$23)^(G$39-1))</f>
        <v>34.6121260289759</v>
      </c>
      <c r="H105" s="139" t="n">
        <f aca="false">H104/($C$36*(1+$C$23)^(H$39-1))</f>
        <v>44.2912414723722</v>
      </c>
      <c r="I105" s="139" t="n">
        <f aca="false">I104/($C$36*(1+$C$23)^(I$39-1))</f>
        <v>52.7585711040291</v>
      </c>
      <c r="J105" s="139" t="n">
        <f aca="false">J104/($C$36*(1+$C$23)^(J$39-1))</f>
        <v>60.1782604938425</v>
      </c>
      <c r="K105" s="139" t="n">
        <f aca="false">K104/($C$36*(1+$C$23)^(K$39-1))</f>
        <v>62.628409291933</v>
      </c>
      <c r="L105" s="139" t="n">
        <f aca="false">L104/($C$36*(1+$C$23)^(L$39-1))</f>
        <v>65.0805388022915</v>
      </c>
      <c r="M105" s="139" t="n">
        <f aca="false">M104/($C$36*(1+$C$23)^(M$39-1))</f>
        <v>67.4872762270182</v>
      </c>
      <c r="N105" s="139" t="n">
        <f aca="false">N104/($C$36*(1+$C$23)^(N$39-1))</f>
        <v>69.8022312947163</v>
      </c>
      <c r="O105" s="139" t="n">
        <f aca="false">O104/($C$36*(1+$C$23)^(O$39-1))</f>
        <v>71.9859422130474</v>
      </c>
      <c r="P105" s="139" t="n">
        <f aca="false">P104/($C$36*(1+$C$23)^(P$39-1))</f>
        <v>73.9296995263298</v>
      </c>
      <c r="Q105" s="139" t="n">
        <f aca="false">Q104/($C$36*(1+$C$23)^(Q$39-1))</f>
        <v>75.633413967742</v>
      </c>
      <c r="R105" s="139" t="n">
        <f aca="false">R104/($C$36*(1+$C$23)^(R$39-1))</f>
        <v>77.1525748681784</v>
      </c>
      <c r="S105" s="139" t="n">
        <f aca="false">S104/($C$36*(1+$C$23)^(S$39-1))</f>
        <v>78.532726078433</v>
      </c>
      <c r="T105" s="139" t="n">
        <f aca="false">T104/($C$36*(1+$C$23)^(T$39-1))</f>
        <v>79.8124907153636</v>
      </c>
      <c r="U105" s="139" t="n">
        <f aca="false">U104/($C$36*(1+$C$23)^(U$39-1))</f>
        <v>81.0990479676917</v>
      </c>
      <c r="V105" s="139" t="n">
        <f aca="false">V104/($C$36*(1+$C$23)^(V$39-1))</f>
        <v>82.3916379509357</v>
      </c>
      <c r="W105" s="139" t="n">
        <f aca="false">W104/($C$36*(1+$C$23)^(W$39-1))</f>
        <v>83.6615813057048</v>
      </c>
      <c r="X105" s="139" t="n">
        <f aca="false">X104/($C$36*(1+$C$23)^(X$39-1))</f>
        <v>84.9081481692442</v>
      </c>
      <c r="Y105" s="139" t="n">
        <f aca="false">Y104/($C$36*(1+$C$23)^(Y$39-1))</f>
        <v>86.1306111082727</v>
      </c>
      <c r="Z105" s="139" t="n">
        <f aca="false">Z104/($C$36*(1+$C$23)^(Z$39-1))</f>
        <v>87.3282449644904</v>
      </c>
      <c r="AA105" s="139" t="n">
        <f aca="false">AA104/($C$36*(1+$C$23)^(AA$39-1))</f>
        <v>88.5003267066436</v>
      </c>
      <c r="AB105" s="139" t="n">
        <f aca="false">AB104/($C$36*(1+$C$23)^(AB$39-1))</f>
        <v>89.4184299779442</v>
      </c>
      <c r="AC105" s="139" t="n">
        <f aca="false">AC104/($C$36*(1+$C$23)^(AC$39-1))</f>
        <v>90.3143997621824</v>
      </c>
      <c r="AD105" s="139" t="n">
        <f aca="false">AD104/($C$36*(1+$C$23)^(AD$39-1))</f>
        <v>91.1876290003982</v>
      </c>
      <c r="AE105" s="139" t="n">
        <f aca="false">AE104/($C$36*(1+$C$23)^(AE$39-1))</f>
        <v>92.0375398347354</v>
      </c>
      <c r="AF105" s="139" t="n">
        <f aca="false">AF104/($C$36*(1+$C$23)^(AF$39-1))</f>
        <v>92.8635821077256</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0.276783749276414</v>
      </c>
      <c r="D107" s="116" t="n">
        <f aca="false">D87*(1-$C$340)*$C$175+D85*01_Supuestos!$I$126+D55*D88</f>
        <v>0.722925430248171</v>
      </c>
      <c r="E107" s="116" t="n">
        <f aca="false">E87*(1-$C$340)*$C$175+E85*01_Supuestos!$I$126+E55*E88</f>
        <v>1.26886809465487</v>
      </c>
      <c r="F107" s="116" t="n">
        <f aca="false">F87*(1-$C$340)*$C$175+F85*01_Supuestos!$I$126+F55*F88</f>
        <v>1.81708767719129</v>
      </c>
      <c r="G107" s="116" t="n">
        <f aca="false">G87*(1-$C$340)*$C$175+G85*01_Supuestos!$I$126+G55*G88</f>
        <v>2.3783431576715</v>
      </c>
      <c r="H107" s="116" t="n">
        <f aca="false">H87*(1-$C$340)*$C$175+H85*01_Supuestos!$I$126+H55*H88</f>
        <v>2.95615181088842</v>
      </c>
      <c r="I107" s="116" t="n">
        <f aca="false">I87*(1-$C$340)*$C$175+I85*01_Supuestos!$I$126+I55*I88</f>
        <v>3.54952239085696</v>
      </c>
      <c r="J107" s="116" t="n">
        <f aca="false">J87*(1-$C$340)*$C$175+J85*01_Supuestos!$I$126+J55*J88</f>
        <v>4.15850863681127</v>
      </c>
      <c r="K107" s="116" t="n">
        <f aca="false">K87*(1-$C$340)*$C$175+K85*01_Supuestos!$I$126+K55*K88</f>
        <v>4.78964445514252</v>
      </c>
      <c r="L107" s="116" t="n">
        <f aca="false">L87*(1-$C$340)*$C$175+L85*01_Supuestos!$I$126+L55*L88</f>
        <v>5.4353825323664</v>
      </c>
      <c r="M107" s="116" t="n">
        <f aca="false">M87*(1-$C$340)*$C$175+M85*01_Supuestos!$I$126+M55*M88</f>
        <v>6.12056609272851</v>
      </c>
      <c r="N107" s="116" t="n">
        <f aca="false">N87*(1-$C$340)*$C$175+N85*01_Supuestos!$I$126+N55*N88</f>
        <v>6.5314001713277</v>
      </c>
      <c r="O107" s="116" t="n">
        <f aca="false">O87*(1-$C$340)*$C$175+O85*01_Supuestos!$I$126+O55*O88</f>
        <v>6.681049840449</v>
      </c>
      <c r="P107" s="116" t="n">
        <f aca="false">P87*(1-$C$340)*$C$175+P85*01_Supuestos!$I$126+P55*P88</f>
        <v>6.83442875813993</v>
      </c>
      <c r="Q107" s="116" t="n">
        <f aca="false">Q87*(1-$C$340)*$C$175+Q85*01_Supuestos!$I$126+Q55*Q88</f>
        <v>6.99161732120528</v>
      </c>
      <c r="R107" s="116" t="n">
        <f aca="false">R87*(1-$C$340)*$C$175+R85*01_Supuestos!$I$126+R55*R88</f>
        <v>7.15264274517484</v>
      </c>
      <c r="S107" s="116" t="n">
        <f aca="false">S87*(1-$C$340)*$C$175+S85*01_Supuestos!$I$126+S55*S88</f>
        <v>7.31754398217492</v>
      </c>
      <c r="T107" s="116" t="n">
        <f aca="false">T87*(1-$C$340)*$C$175+T85*01_Supuestos!$I$126+T55*T88</f>
        <v>7.48636876958753</v>
      </c>
      <c r="U107" s="116" t="n">
        <f aca="false">U87*(1-$C$340)*$C$175+U85*01_Supuestos!$I$126+U55*U88</f>
        <v>7.65909894492601</v>
      </c>
      <c r="V107" s="116" t="n">
        <f aca="false">V87*(1-$C$340)*$C$175+V85*01_Supuestos!$I$126+V55*V88</f>
        <v>7.78436888716644</v>
      </c>
      <c r="W107" s="116" t="n">
        <f aca="false">W87*(1-$C$340)*$C$175+W85*01_Supuestos!$I$126+W55*W88</f>
        <v>7.90008069660991</v>
      </c>
      <c r="X107" s="116" t="n">
        <f aca="false">X87*(1-$C$340)*$C$175+X85*01_Supuestos!$I$126+X55*X88</f>
        <v>8.01342314605988</v>
      </c>
      <c r="Y107" s="116" t="n">
        <f aca="false">Y87*(1-$C$340)*$C$175+Y85*01_Supuestos!$I$126+Y55*Y88</f>
        <v>8.12439067525869</v>
      </c>
      <c r="Z107" s="116" t="n">
        <f aca="false">Z87*(1-$C$340)*$C$175+Z85*01_Supuestos!$I$126+Z55*Z88</f>
        <v>8.23297792968766</v>
      </c>
      <c r="AA107" s="116" t="n">
        <f aca="false">AA87*(1-$C$340)*$C$175+AA85*01_Supuestos!$I$126+AA55*AA88</f>
        <v>8.33917974657101</v>
      </c>
      <c r="AB107" s="116" t="n">
        <f aca="false">AB87*(1-$C$340)*$C$175+AB85*01_Supuestos!$I$126+AB55*AB88</f>
        <v>8.43885107150186</v>
      </c>
      <c r="AC107" s="116" t="n">
        <f aca="false">AC87*(1-$C$340)*$C$175+AC85*01_Supuestos!$I$126+AC55*AC88</f>
        <v>8.53758011448993</v>
      </c>
      <c r="AD107" s="116" t="n">
        <f aca="false">AD87*(1-$C$340)*$C$175+AD85*01_Supuestos!$I$126+AD55*AD88</f>
        <v>8.63529819294065</v>
      </c>
      <c r="AE107" s="116" t="n">
        <f aca="false">AE87*(1-$C$340)*$C$175+AE85*01_Supuestos!$I$126+AE55*AE88</f>
        <v>8.73193873331447</v>
      </c>
      <c r="AF107" s="116" t="n">
        <f aca="false">AF87*(1-$C$340)*$C$175+AF85*01_Supuestos!$I$126+AF55*AF88</f>
        <v>8.82743716700208</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0.0512282804947994</v>
      </c>
      <c r="E108" s="116" t="n">
        <f aca="false">E330-E332</f>
        <v>0.133372615723114</v>
      </c>
      <c r="F108" s="116" t="n">
        <f aca="false">F330-F332</f>
        <v>0.231158478565312</v>
      </c>
      <c r="G108" s="116" t="n">
        <f aca="false">G330-G332</f>
        <v>0.291194337841878</v>
      </c>
      <c r="H108" s="116" t="n">
        <f aca="false">H330-H332</f>
        <v>0.354271907272695</v>
      </c>
      <c r="I108" s="116" t="n">
        <f aca="false">I330-I332</f>
        <v>0.432980403546143</v>
      </c>
      <c r="J108" s="116" t="n">
        <f aca="false">J330-J332</f>
        <v>0.522340937364765</v>
      </c>
      <c r="K108" s="116" t="n">
        <f aca="false">K330-K332</f>
        <v>0.621414906054605</v>
      </c>
      <c r="L108" s="116" t="n">
        <f aca="false">L330-L332</f>
        <v>0.754451967930845</v>
      </c>
      <c r="M108" s="116" t="n">
        <f aca="false">M330-M332</f>
        <v>0.890884038148588</v>
      </c>
      <c r="N108" s="116" t="n">
        <f aca="false">N330-N332</f>
        <v>1.12614862715678</v>
      </c>
      <c r="O108" s="116" t="n">
        <f aca="false">O330-O332</f>
        <v>1.2708840723162</v>
      </c>
      <c r="P108" s="116" t="n">
        <f aca="false">P330-P332</f>
        <v>1.29788664403691</v>
      </c>
      <c r="Q108" s="116" t="n">
        <f aca="false">Q330-Q332</f>
        <v>1.32662819778597</v>
      </c>
      <c r="R108" s="116" t="n">
        <f aca="false">R330-R332</f>
        <v>1.35712781220328</v>
      </c>
      <c r="S108" s="116" t="n">
        <f aca="false">S330-S332</f>
        <v>1.38919087866152</v>
      </c>
      <c r="T108" s="116" t="n">
        <f aca="false">T330-T332</f>
        <v>1.42266154459471</v>
      </c>
      <c r="U108" s="116" t="n">
        <f aca="false">U330-U332</f>
        <v>1.45741107071414</v>
      </c>
      <c r="V108" s="116" t="n">
        <f aca="false">V330-V332</f>
        <v>1.49304706478791</v>
      </c>
      <c r="W108" s="116" t="n">
        <f aca="false">W330-W332</f>
        <v>1.5175894583716</v>
      </c>
      <c r="X108" s="116" t="n">
        <f aca="false">X330-X332</f>
        <v>1.53998410050987</v>
      </c>
      <c r="Y108" s="116" t="n">
        <f aca="false">Y330-Y332</f>
        <v>1.5619106661147</v>
      </c>
      <c r="Z108" s="116" t="n">
        <f aca="false">Z330-Z332</f>
        <v>1.58337049250108</v>
      </c>
      <c r="AA108" s="116" t="n">
        <f aca="false">AA330-AA332</f>
        <v>1.60436495674081</v>
      </c>
      <c r="AB108" s="116" t="n">
        <f aca="false">AB330-AB332</f>
        <v>1.62489547293318</v>
      </c>
      <c r="AC108" s="116" t="n">
        <f aca="false">AC330-AC332</f>
        <v>1.63934182787582</v>
      </c>
      <c r="AD108" s="116" t="n">
        <f aca="false">AD330-AD332</f>
        <v>1.65355094112614</v>
      </c>
      <c r="AE108" s="116" t="n">
        <f aca="false">AE330-AE332</f>
        <v>1.66751177235102</v>
      </c>
      <c r="AF108" s="116" t="n">
        <f aca="false">AF330-AF332</f>
        <v>1.6812138082504</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0.389511895137611</v>
      </c>
      <c r="G109" s="116" t="n">
        <f aca="false">(G70+F121)*(0.3*$C$5+0.25*01_Supuestos!$I$134)/0.55-F227*$C$5</f>
        <v>0.77322252976871</v>
      </c>
      <c r="H109" s="116" t="n">
        <f aca="false">(H70+G121)*(0.3*$C$5+0.25*01_Supuestos!$I$134)/0.55-G227*$C$5</f>
        <v>1.15700984936261</v>
      </c>
      <c r="I109" s="116" t="n">
        <f aca="false">(I70+H121)*(0.3*$C$5+0.25*01_Supuestos!$I$134)/0.55-H227*$C$5</f>
        <v>1.5408765608985</v>
      </c>
      <c r="J109" s="116" t="n">
        <f aca="false">(J70+I121)*(0.3*$C$5+0.25*01_Supuestos!$I$134)/0.55-I227*$C$5</f>
        <v>1.92482546691192</v>
      </c>
      <c r="K109" s="116" t="n">
        <f aca="false">(K70+J121)*(0.3*$C$5+0.25*01_Supuestos!$I$134)/0.55-J227*$C$5</f>
        <v>2.09060906699343</v>
      </c>
      <c r="L109" s="116" t="n">
        <f aca="false">(L70+K121)*(0.3*$C$5+0.25*01_Supuestos!$I$134)/0.55-K227*$C$5</f>
        <v>2.25639266707494</v>
      </c>
      <c r="M109" s="116" t="n">
        <f aca="false">(M70+L121)*(0.3*$C$5+0.25*01_Supuestos!$I$134)/0.55-L227*$C$5</f>
        <v>2.32246986653217</v>
      </c>
      <c r="N109" s="116" t="n">
        <f aca="false">(N70+M121)*(0.3*$C$5+0.25*01_Supuestos!$I$134)/0.55-M227*$C$5</f>
        <v>2.38864149544704</v>
      </c>
      <c r="O109" s="116" t="n">
        <f aca="false">(O70+N121)*(0.3*$C$5+0.25*01_Supuestos!$I$134)/0.55-N227*$C$5</f>
        <v>2.45491088717941</v>
      </c>
      <c r="P109" s="116" t="n">
        <f aca="false">(P70+O121)*(0.3*$C$5+0.25*01_Supuestos!$I$134)/0.55-O227*$C$5</f>
        <v>2.52128149275673</v>
      </c>
      <c r="Q109" s="116" t="n">
        <f aca="false">(Q70+P121)*(0.3*$C$5+0.25*01_Supuestos!$I$134)/0.55-P227*$C$5</f>
        <v>2.58775688502772</v>
      </c>
      <c r="R109" s="116" t="n">
        <f aca="false">(R70+Q121)*(0.3*$C$5+0.25*01_Supuestos!$I$134)/0.55-Q227*$C$5</f>
        <v>2.65434076296269</v>
      </c>
      <c r="S109" s="116" t="n">
        <f aca="false">(S70+R121)*(0.3*$C$5+0.25*01_Supuestos!$I$134)/0.55-R227*$C$5</f>
        <v>2.72103695610556</v>
      </c>
      <c r="T109" s="116" t="n">
        <f aca="false">(T70+S121)*(0.3*$C$5+0.25*01_Supuestos!$I$134)/0.55-S227*$C$5</f>
        <v>2.78784942918317</v>
      </c>
      <c r="U109" s="116" t="n">
        <f aca="false">(U70+T121)*(0.3*$C$5+0.25*01_Supuestos!$I$134)/0.55-T227*$C$5</f>
        <v>2.85478228687722</v>
      </c>
      <c r="V109" s="116" t="n">
        <f aca="false">(V70+U121)*(0.3*$C$5+0.25*01_Supuestos!$I$134)/0.55-U227*$C$5</f>
        <v>2.92183977876467</v>
      </c>
      <c r="W109" s="116" t="n">
        <f aca="false">(W70+V121)*(0.3*$C$5+0.25*01_Supuestos!$I$134)/0.55-V227*$C$5</f>
        <v>2.98902630443255</v>
      </c>
      <c r="X109" s="116" t="n">
        <f aca="false">(X70+W121)*(0.3*$C$5+0.25*01_Supuestos!$I$134)/0.55-W227*$C$5</f>
        <v>3.0563464187733</v>
      </c>
      <c r="Y109" s="116" t="n">
        <f aca="false">(Y70+X121)*(0.3*$C$5+0.25*01_Supuestos!$I$134)/0.55-X227*$C$5</f>
        <v>3.12380483746709</v>
      </c>
      <c r="Z109" s="116" t="n">
        <f aca="false">(Z70+Y121)*(0.3*$C$5+0.25*01_Supuestos!$I$134)/0.55-Y227*$C$5</f>
        <v>3.19140644265756</v>
      </c>
      <c r="AA109" s="116" t="n">
        <f aca="false">(AA70+Z121)*(0.3*$C$5+0.25*01_Supuestos!$I$134)/0.55-Z227*$C$5</f>
        <v>3.25915628882806</v>
      </c>
      <c r="AB109" s="116" t="n">
        <f aca="false">(AB70+AA121)*(0.3*$C$5+0.25*01_Supuestos!$I$134)/0.55-AA227*$C$5</f>
        <v>3.32705960888518</v>
      </c>
      <c r="AC109" s="116" t="n">
        <f aca="false">(AC70+AB121)*(0.3*$C$5+0.25*01_Supuestos!$I$134)/0.55-AB227*$C$5</f>
        <v>3.39512182045711</v>
      </c>
      <c r="AD109" s="116" t="n">
        <f aca="false">(AD70+AC121)*(0.3*$C$5+0.25*01_Supuestos!$I$134)/0.55-AC227*$C$5</f>
        <v>3.46334853241433</v>
      </c>
      <c r="AE109" s="116" t="n">
        <f aca="false">(AE70+AD121)*(0.3*$C$5+0.25*01_Supuestos!$I$134)/0.55-AD227*$C$5</f>
        <v>3.53174555162044</v>
      </c>
      <c r="AF109" s="116" t="n">
        <f aca="false">(AF70+AE121)*(0.3*$C$5+0.25*01_Supuestos!$I$134)/0.55-AE227*$C$5</f>
        <v>3.60031888992133</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0.6755020837092</v>
      </c>
      <c r="E110" s="116" t="n">
        <f aca="false">D120*$C$10</f>
        <v>1.28534804203154</v>
      </c>
      <c r="F110" s="116" t="n">
        <f aca="false">E120*$C$10</f>
        <v>1.86978835554841</v>
      </c>
      <c r="G110" s="116" t="n">
        <f aca="false">F120*$C$10</f>
        <v>2.22265338587759</v>
      </c>
      <c r="H110" s="116" t="n">
        <f aca="false">G120*$C$10</f>
        <v>2.5228442923517</v>
      </c>
      <c r="I110" s="116" t="n">
        <f aca="false">H120*$C$10</f>
        <v>2.80045011280116</v>
      </c>
      <c r="J110" s="116" t="n">
        <f aca="false">I120*$C$10</f>
        <v>3.06475689248737</v>
      </c>
      <c r="K110" s="116" t="n">
        <f aca="false">J120*$C$10</f>
        <v>3.32619317002785</v>
      </c>
      <c r="L110" s="116" t="n">
        <f aca="false">K120*$C$10</f>
        <v>3.6444398251827</v>
      </c>
      <c r="M110" s="116" t="n">
        <f aca="false">L120*$C$10</f>
        <v>3.99414273039528</v>
      </c>
      <c r="N110" s="116" t="n">
        <f aca="false">M120*$C$10</f>
        <v>3.79967357670931</v>
      </c>
      <c r="O110" s="116" t="n">
        <f aca="false">N120*$C$10</f>
        <v>3.67359860770041</v>
      </c>
      <c r="P110" s="116" t="n">
        <f aca="false">O120*$C$10</f>
        <v>3.60528643440873</v>
      </c>
      <c r="Q110" s="116" t="n">
        <f aca="false">P120*$C$10</f>
        <v>3.53420077711035</v>
      </c>
      <c r="R110" s="116" t="n">
        <f aca="false">Q120*$C$10</f>
        <v>3.45744537085938</v>
      </c>
      <c r="S110" s="116" t="n">
        <f aca="false">R120*$C$10</f>
        <v>3.37276582743029</v>
      </c>
      <c r="T110" s="116" t="n">
        <f aca="false">S120*$C$10</f>
        <v>3.27839771923912</v>
      </c>
      <c r="U110" s="116" t="n">
        <f aca="false">T120*$C$10</f>
        <v>3.17297828554427</v>
      </c>
      <c r="V110" s="116" t="n">
        <f aca="false">U120*$C$10</f>
        <v>3.05627062269734</v>
      </c>
      <c r="W110" s="116" t="n">
        <f aca="false">V120*$C$10</f>
        <v>2.93999109459128</v>
      </c>
      <c r="X110" s="116" t="n">
        <f aca="false">W120*$C$10</f>
        <v>2.81510635970042</v>
      </c>
      <c r="Y110" s="116" t="n">
        <f aca="false">X120*$C$10</f>
        <v>2.67997115349327</v>
      </c>
      <c r="Z110" s="116" t="n">
        <f aca="false">Y120*$C$10</f>
        <v>2.53466132813321</v>
      </c>
      <c r="AA110" s="116" t="n">
        <f aca="false">Z120*$C$10</f>
        <v>2.37923903242998</v>
      </c>
      <c r="AB110" s="116" t="n">
        <f aca="false">AA120*$C$10</f>
        <v>2.21375340341537</v>
      </c>
      <c r="AC110" s="116" t="n">
        <f aca="false">AB120*$C$10</f>
        <v>2.07615044208656</v>
      </c>
      <c r="AD110" s="116" t="n">
        <f aca="false">AC120*$C$10</f>
        <v>1.96082157209681</v>
      </c>
      <c r="AE110" s="116" t="n">
        <f aca="false">AD120*$C$10</f>
        <v>1.87030817208181</v>
      </c>
      <c r="AF110" s="116" t="n">
        <f aca="false">AE120*$C$10</f>
        <v>1.80728534443611</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0.55357665388876</v>
      </c>
      <c r="D111" s="136" t="n">
        <f aca="false">D69*01_Supuestos!$I$107-D218</f>
        <v>1.42828368911724</v>
      </c>
      <c r="E111" s="136" t="n">
        <f aca="false">E69*01_Supuestos!$I$107-E218</f>
        <v>2.56406832333937</v>
      </c>
      <c r="F111" s="136" t="n">
        <f aca="false">F69*01_Supuestos!$I$107-F218</f>
        <v>5.25232231519187</v>
      </c>
      <c r="G111" s="136" t="n">
        <f aca="false">G69*01_Supuestos!$I$107-G218</f>
        <v>7.80108948551008</v>
      </c>
      <c r="H111" s="136" t="n">
        <f aca="false">H69*01_Supuestos!$I$107-H218</f>
        <v>9.73116546168079</v>
      </c>
      <c r="I111" s="136" t="n">
        <f aca="false">I69*01_Supuestos!$I$107-I218</f>
        <v>11.2792050011858</v>
      </c>
      <c r="J111" s="136" t="n">
        <f aca="false">J69*01_Supuestos!$I$107-J218</f>
        <v>12.5091975008267</v>
      </c>
      <c r="K111" s="136" t="n">
        <f aca="false">K69*01_Supuestos!$I$107-K218</f>
        <v>12.4841295794165</v>
      </c>
      <c r="L111" s="136" t="n">
        <f aca="false">L69*01_Supuestos!$I$107-L218</f>
        <v>12.4794900332596</v>
      </c>
      <c r="M111" s="136" t="n">
        <f aca="false">M69*01_Supuestos!$I$107-M218</f>
        <v>12.512414471571</v>
      </c>
      <c r="N111" s="136" t="n">
        <f aca="false">N69*01_Supuestos!$I$107-N218</f>
        <v>12.5917626576767</v>
      </c>
      <c r="O111" s="136" t="n">
        <f aca="false">O69*01_Supuestos!$I$107-O218</f>
        <v>12.7241359868209</v>
      </c>
      <c r="P111" s="136" t="n">
        <f aca="false">P69*01_Supuestos!$I$107-P218</f>
        <v>12.9472962336558</v>
      </c>
      <c r="Q111" s="136" t="n">
        <f aca="false">Q69*01_Supuestos!$I$107-Q218</f>
        <v>13.2553942813638</v>
      </c>
      <c r="R111" s="136" t="n">
        <f aca="false">R69*01_Supuestos!$I$107-R218</f>
        <v>13.6195072119713</v>
      </c>
      <c r="S111" s="136" t="n">
        <f aca="false">S69*01_Supuestos!$I$107-S218</f>
        <v>14.024429714961</v>
      </c>
      <c r="T111" s="136" t="n">
        <f aca="false">T69*01_Supuestos!$I$107-T218</f>
        <v>14.4576234701719</v>
      </c>
      <c r="U111" s="136" t="n">
        <f aca="false">U69*01_Supuestos!$I$107-U218</f>
        <v>14.8757720780868</v>
      </c>
      <c r="V111" s="136" t="n">
        <f aca="false">V69*01_Supuestos!$I$107-V218</f>
        <v>15.2795277045336</v>
      </c>
      <c r="W111" s="136" t="n">
        <f aca="false">W69*01_Supuestos!$I$107-W218</f>
        <v>15.669500222863</v>
      </c>
      <c r="X111" s="136" t="n">
        <f aca="false">X69*01_Supuestos!$I$107-X218</f>
        <v>16.0462599531352</v>
      </c>
      <c r="Y111" s="136" t="n">
        <f aca="false">Y69*01_Supuestos!$I$107-Y218</f>
        <v>16.4103402240666</v>
      </c>
      <c r="Z111" s="136" t="n">
        <f aca="false">Z69*01_Supuestos!$I$107-Z218</f>
        <v>16.7622397691973</v>
      </c>
      <c r="AA111" s="136" t="n">
        <f aca="false">AA69*01_Supuestos!$I$107-AA218</f>
        <v>17.1024249679981</v>
      </c>
      <c r="AB111" s="136" t="n">
        <f aca="false">AB69*01_Supuestos!$I$107-AB218</f>
        <v>17.3746076419445</v>
      </c>
      <c r="AC111" s="136" t="n">
        <f aca="false">AC69*01_Supuestos!$I$107-AC218</f>
        <v>17.6387561299341</v>
      </c>
      <c r="AD111" s="136" t="n">
        <f aca="false">AD69*01_Supuestos!$I$107-AD218</f>
        <v>17.895109981073</v>
      </c>
      <c r="AE111" s="136" t="n">
        <f aca="false">AE69*01_Supuestos!$I$107-AE218</f>
        <v>18.1438910858209</v>
      </c>
      <c r="AF111" s="136" t="n">
        <f aca="false">AF69*01_Supuestos!$I$107-AF218</f>
        <v>18.3853049253209</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0.0236534055447657</v>
      </c>
      <c r="D112" s="116" t="n">
        <f aca="false">D81*$C$7</f>
        <v>0.0625411439638284</v>
      </c>
      <c r="E112" s="116" t="n">
        <f aca="false">E81*$C$7</f>
        <v>0.114975258393498</v>
      </c>
      <c r="F112" s="116" t="n">
        <f aca="false">F81*$C$7</f>
        <v>0.235280488140055</v>
      </c>
      <c r="G112" s="116" t="n">
        <f aca="false">G81*$C$7</f>
        <v>0.355584595852633</v>
      </c>
      <c r="H112" s="116" t="n">
        <f aca="false">H81*$C$7</f>
        <v>0.455022126799729</v>
      </c>
      <c r="I112" s="116" t="n">
        <f aca="false">I81*$C$7</f>
        <v>0.5420104840738</v>
      </c>
      <c r="J112" s="116" t="n">
        <f aca="false">J81*$C$7</f>
        <v>0.618236002576194</v>
      </c>
      <c r="K112" s="116" t="n">
        <f aca="false">K81*$C$7</f>
        <v>0.643407388159918</v>
      </c>
      <c r="L112" s="116" t="n">
        <f aca="false">L81*$C$7</f>
        <v>0.66859912241482</v>
      </c>
      <c r="M112" s="116" t="n">
        <f aca="false">M81*$C$7</f>
        <v>0.69332452511844</v>
      </c>
      <c r="N112" s="116" t="n">
        <f aca="false">N81*$C$7</f>
        <v>0.717107009946887</v>
      </c>
      <c r="O112" s="116" t="n">
        <f aca="false">O81*$C$7</f>
        <v>0.73954116968916</v>
      </c>
      <c r="P112" s="116" t="n">
        <f aca="false">P81*$C$7</f>
        <v>0.759510187428796</v>
      </c>
      <c r="Q112" s="116" t="n">
        <f aca="false">Q81*$C$7</f>
        <v>0.777013146091049</v>
      </c>
      <c r="R112" s="116" t="n">
        <f aca="false">R81*$C$7</f>
        <v>0.792620110377628</v>
      </c>
      <c r="S112" s="116" t="n">
        <f aca="false">S81*$C$7</f>
        <v>0.806798970985701</v>
      </c>
      <c r="T112" s="116" t="n">
        <f aca="false">T81*$C$7</f>
        <v>0.819946519068373</v>
      </c>
      <c r="U112" s="116" t="n">
        <f aca="false">U81*$C$7</f>
        <v>0.833163850480704</v>
      </c>
      <c r="V112" s="116" t="n">
        <f aca="false">V81*$C$7</f>
        <v>0.846443158617113</v>
      </c>
      <c r="W112" s="116" t="n">
        <f aca="false">W81*$C$7</f>
        <v>0.859489808631714</v>
      </c>
      <c r="X112" s="116" t="n">
        <f aca="false">X81*$C$7</f>
        <v>0.872296302344462</v>
      </c>
      <c r="Y112" s="116" t="n">
        <f aca="false">Y81*$C$7</f>
        <v>0.884855166534295</v>
      </c>
      <c r="Z112" s="116" t="n">
        <f aca="false">Z81*$C$7</f>
        <v>0.897158951351965</v>
      </c>
      <c r="AA112" s="116" t="n">
        <f aca="false">AA81*$C$7</f>
        <v>0.909200228800247</v>
      </c>
      <c r="AB112" s="116" t="n">
        <f aca="false">AB81*$C$7</f>
        <v>0.918632281035441</v>
      </c>
      <c r="AC112" s="116" t="n">
        <f aca="false">AC81*$C$7</f>
        <v>0.927836946861452</v>
      </c>
      <c r="AD112" s="116" t="n">
        <f aca="false">AD81*$C$7</f>
        <v>0.936807989712091</v>
      </c>
      <c r="AE112" s="116" t="n">
        <f aca="false">AE81*$C$7</f>
        <v>0.945539473016109</v>
      </c>
      <c r="AF112" s="116" t="n">
        <f aca="false">AF81*$C$7</f>
        <v>0.954025744779725</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-0.304035502662217</v>
      </c>
      <c r="D113" s="136" t="n">
        <f aca="false">D107+D109+D110-D111-D112-D108-D97-D98-D102+D184-D190-D229-D265-D268-D274</f>
        <v>-0.159963516994731</v>
      </c>
      <c r="E113" s="136" t="n">
        <f aca="false">E107+E109+E110-E111-E112-E108-E97-E98-E102+E184-E190-E229-E265-E268-E274</f>
        <v>-0.28898454771836</v>
      </c>
      <c r="F113" s="136" t="n">
        <f aca="false">F107+F109+F110-F111-F112-F108-F97-F98-F102+F184-F190-F229-F265-F268-F274</f>
        <v>-1.65973969430291</v>
      </c>
      <c r="G113" s="136" t="n">
        <f aca="false">G107+G109+G110-G111-G112-G108-G97-G98-G102+G184-G190-G229-G265-G268-G274</f>
        <v>-3.09750276595427</v>
      </c>
      <c r="H113" s="136" t="n">
        <f aca="false">H107+H109+H110-H111-H112-H108-H97-H98-H102+H184-H190-H229-H265-H268-H274</f>
        <v>-3.93490864405855</v>
      </c>
      <c r="I113" s="136" t="n">
        <f aca="false">I107+I109+I110-I111-I112-I108-I97-I98-I102+I184-I190-I229-I265-I268-I274</f>
        <v>-4.4002600250166</v>
      </c>
      <c r="J113" s="136" t="n">
        <f aca="false">J107+J109+J110-J111-J112-J108-J97-J98-J102+J184-J190-J229-J265-J268-J274</f>
        <v>-4.54501907851955</v>
      </c>
      <c r="K113" s="136" t="n">
        <f aca="false">K107+K109+K110-K111-K112-K108-K97-K98-K102+K184-K190-K229-K265-K268-K274</f>
        <v>-3.59225141995095</v>
      </c>
      <c r="L113" s="136" t="n">
        <f aca="false">L107+L109+L110-L111-L112-L108-L97-L98-L102+L184-L190-L229-L265-L268-L274</f>
        <v>-2.62197029439212</v>
      </c>
      <c r="M113" s="136" t="n">
        <f aca="false">M107+M109+M110-M111-M112-M108-M97-M98-M102+M184-M190-M229-M265-M268-M274</f>
        <v>-1.72111516811436</v>
      </c>
      <c r="N113" s="136" t="n">
        <f aca="false">N107+N109+N110-N111-N112-N108-N97-N98-N102+N184-N190-N229-N265-N268-N274</f>
        <v>-1.78069905210939</v>
      </c>
      <c r="O113" s="136" t="n">
        <f aca="false">O107+O109+O110-O111-O112-O108-O97-O98-O102+O184-O190-O229-O265-O268-O274</f>
        <v>-1.99199995258862</v>
      </c>
      <c r="P113" s="136" t="n">
        <f aca="false">P107+P109+P110-P111-P112-P108-P97-P98-P102+P184-P190-P229-P265-P268-P274</f>
        <v>-2.11230965299774</v>
      </c>
      <c r="Q113" s="136" t="n">
        <f aca="false">Q107+Q109+Q110-Q111-Q112-Q108-Q97-Q98-Q102+Q184-Q190-Q229-Q265-Q268-Q274</f>
        <v>-2.31568901499778</v>
      </c>
      <c r="R113" s="136" t="n">
        <f aca="false">R107+R109+R110-R111-R112-R108-R97-R98-R102+R184-R190-R229-R265-R268-R274</f>
        <v>-2.57667030904133</v>
      </c>
      <c r="S113" s="136" t="n">
        <f aca="false">S107+S109+S110-S111-S112-S108-S97-S98-S102+S184-S190-S229-S265-S268-S274</f>
        <v>-2.88254096138767</v>
      </c>
      <c r="T113" s="136" t="n">
        <f aca="false">T107+T109+T110-T111-T112-T108-T97-T98-T102+T184-T190-T229-T265-T268-T274</f>
        <v>-3.22272290352853</v>
      </c>
      <c r="U113" s="136" t="n">
        <f aca="false">U107+U109+U110-U111-U112-U108-U97-U98-U102+U184-U190-U229-U265-U268-U274</f>
        <v>-3.55625462690162</v>
      </c>
      <c r="V113" s="136" t="n">
        <f aca="false">V107+V109+V110-V111-V112-V108-V97-V98-V102+V184-V190-V229-V265-V268-V274</f>
        <v>-3.93455865849362</v>
      </c>
      <c r="W113" s="136" t="n">
        <f aca="false">W107+W109+W110-W111-W112-W108-W97-W98-W102+W184-W190-W229-W265-W268-W274</f>
        <v>-4.29667272030067</v>
      </c>
      <c r="X113" s="136" t="n">
        <f aca="false">X107+X109+X110-X111-X112-X108-X97-X98-X102+X184-X190-X229-X265-X268-X274</f>
        <v>-4.65400359330833</v>
      </c>
      <c r="Y113" s="136" t="n">
        <f aca="false">Y107+Y109+Y110-Y111-Y112-Y108-Y97-Y98-Y102+Y184-Y190-Y229-Y265-Y268-Y274</f>
        <v>-5.0104027693267</v>
      </c>
      <c r="Z113" s="136" t="n">
        <f aca="false">Z107+Z109+Z110-Z111-Z112-Z108-Z97-Z98-Z102+Z184-Z190-Z229-Z265-Z268-Z274</f>
        <v>-5.36628734396663</v>
      </c>
      <c r="AA113" s="136" t="n">
        <f aca="false">AA107+AA109+AA110-AA111-AA112-AA108-AA97-AA98-AA102+AA184-AA190-AA229-AA265-AA268-AA274</f>
        <v>-5.722055461608</v>
      </c>
      <c r="AB113" s="136" t="n">
        <f aca="false">AB107+AB109+AB110-AB111-AB112-AB108-AB97-AB98-AB102+AB184-AB190-AB229-AB265-AB268-AB274</f>
        <v>-6.0229247493541</v>
      </c>
      <c r="AC113" s="136" t="n">
        <f aca="false">AC107+AC109+AC110-AC111-AC112-AC108-AC97-AC98-AC102+AC184-AC190-AC229-AC265-AC268-AC274</f>
        <v>-6.28230452890543</v>
      </c>
      <c r="AD113" s="136" t="n">
        <f aca="false">AD107+AD109+AD110-AD111-AD112-AD108-AD97-AD98-AD102+AD184-AD190-AD229-AD265-AD268-AD274</f>
        <v>-6.51197596250282</v>
      </c>
      <c r="AE113" s="136" t="n">
        <f aca="false">AE107+AE109+AE110-AE111-AE112-AE108-AE97-AE98-AE102+AE184-AE190-AE229-AE265-AE268-AE274</f>
        <v>-6.70966280443436</v>
      </c>
      <c r="AF113" s="136" t="n">
        <f aca="false">AF107+AF109+AF110-AF111-AF112-AF108-AF97-AF98-AF102+AF184-AF190-AF229-AF265-AF268-AF274</f>
        <v>-6.87293730370586</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19.3000595345486</v>
      </c>
      <c r="D114" s="116" t="n">
        <f aca="false">C120+D53+D56-D57+(D58-D65)+D113-D92+D94-D95-D103+D60-D245</f>
        <v>36.7242297723296</v>
      </c>
      <c r="E114" s="116" t="n">
        <f aca="false">D120+E53+E56-E57+(E58-E65)+E113-E92+E94-E95-E103+E60-E245</f>
        <v>53.4225244442404</v>
      </c>
      <c r="F114" s="116" t="n">
        <f aca="false">E120+F53+F56-F57+(F58-F65)+F113-F92+F94-F95-F103+F60-F245</f>
        <v>63.5043824536455</v>
      </c>
      <c r="G114" s="116" t="n">
        <f aca="false">F120+G53+G56-G57+(G58-G65)+G113-G92+G94-G95-G103+G60-G245</f>
        <v>72.0812654957629</v>
      </c>
      <c r="H114" s="116" t="n">
        <f aca="false">G120+H53+H56-H57+(H58-H65)+H113-H92+H94-H95-H103+H60-H245</f>
        <v>80.0128603657474</v>
      </c>
      <c r="I114" s="116" t="n">
        <f aca="false">H120+I53+I56-I57+(I58-I65)+I113-I92+I94-I95-I103+I60-I245</f>
        <v>87.5644826424964</v>
      </c>
      <c r="J114" s="116" t="n">
        <f aca="false">I120+J53+J56-J57+(J58-J65)+J113-J92+J94-J95-J103+J60-J245</f>
        <v>95.0340905722243</v>
      </c>
      <c r="K114" s="116" t="n">
        <f aca="false">J120+K53+K56-K57+(K58-K65)+K113-K92+K94-K95-K103+K60-K245</f>
        <v>104.126852148077</v>
      </c>
      <c r="L114" s="116" t="n">
        <f aca="false">K120+L53+L56-L57+(L58-L65)+L113-L92+L94-L95-L103+L60-L245</f>
        <v>114.11836372558</v>
      </c>
      <c r="M114" s="116" t="n">
        <f aca="false">L120+M53+M56-M57+(M58-M65)+M113-M92+M94-M95-M103+M60-M245</f>
        <v>108.562102191694</v>
      </c>
      <c r="N114" s="116" t="n">
        <f aca="false">M120+N53+N56-N57+(N58-N65)+N113-N92+N94-N95-N103+N60-N245</f>
        <v>104.959960220012</v>
      </c>
      <c r="O114" s="116" t="n">
        <f aca="false">N120+O53+O56-O57+(O58-O65)+O113-O92+O94-O95-O103+O60-O245</f>
        <v>103.008183840249</v>
      </c>
      <c r="P114" s="116" t="n">
        <f aca="false">O120+P53+P56-P57+(P58-P65)+P113-P92+P94-P95-P103+P60-P245</f>
        <v>100.977165060296</v>
      </c>
      <c r="Q114" s="116" t="n">
        <f aca="false">P120+Q53+Q56-Q57+(Q58-Q65)+Q113-Q92+Q94-Q95-Q103+Q60-Q245</f>
        <v>98.7841534531252</v>
      </c>
      <c r="R114" s="116" t="n">
        <f aca="false">Q120+R53+R56-R57+(R58-R65)+R113-R92+R94-R95-R103+R60-R245</f>
        <v>96.3647379265796</v>
      </c>
      <c r="S114" s="116" t="n">
        <f aca="false">R120+S53+S56-S57+(S58-S65)+S113-S92+S94-S95-S103+S60-S245</f>
        <v>93.668506263975</v>
      </c>
      <c r="T114" s="116" t="n">
        <f aca="false">S120+T53+T56-T57+(T58-T65)+T113-T92+T94-T95-T103+T60-T245</f>
        <v>90.6565224441221</v>
      </c>
      <c r="U114" s="116" t="n">
        <f aca="false">T120+U53+U56-U57+(U58-U65)+U113-U92+U94-U95-U103+U60-U245</f>
        <v>87.3220177913526</v>
      </c>
      <c r="V114" s="116" t="n">
        <f aca="false">U120+V53+V56-V57+(V58-V65)+V113-V92+V94-V95-V103+V60-V245</f>
        <v>83.9997455597508</v>
      </c>
      <c r="W114" s="116" t="n">
        <f aca="false">V120+W53+W56-W57+(W58-W65)+W113-W92+W94-W95-W103+W60-W245</f>
        <v>80.4316102771548</v>
      </c>
      <c r="X114" s="116" t="n">
        <f aca="false">W120+X53+X56-X57+(X58-X65)+X113-X92+X94-X95-X103+X60-X245</f>
        <v>76.5706043855221</v>
      </c>
      <c r="Y114" s="116" t="n">
        <f aca="false">X120+Y53+Y56-Y57+(Y58-Y65)+Y113-Y92+Y94-Y95-Y103+Y60-Y245</f>
        <v>72.4188950895204</v>
      </c>
      <c r="Z114" s="116" t="n">
        <f aca="false">Y120+Z53+Z56-Z57+(Z58-Z65)+Z113-Z92+Z94-Z95-Z103+Z60-Z245</f>
        <v>67.9782580694281</v>
      </c>
      <c r="AA114" s="116" t="n">
        <f aca="false">Z120+AA53+AA56-AA57+(AA58-AA65)+AA113-AA92+AA94-AA95-AA103+AA60-AA245</f>
        <v>63.2500972404391</v>
      </c>
      <c r="AB114" s="116" t="n">
        <f aca="false">AA120+AB53+AB56-AB57+(AB58-AB65)+AB113-AB92+AB94-AB95-AB103+AB60-AB245</f>
        <v>59.3185840596159</v>
      </c>
      <c r="AC114" s="116" t="n">
        <f aca="false">AB120+AC53+AC56-AC57+(AC58-AC65)+AC113-AC92+AC94-AC95-AC103+AC60-AC245</f>
        <v>56.0234734884803</v>
      </c>
      <c r="AD114" s="116" t="n">
        <f aca="false">AC120+AD53+AD56-AD57+(AD58-AD65)+AD113-AD92+AD94-AD95-AD103+AD60-AD245</f>
        <v>53.4373763451946</v>
      </c>
      <c r="AE114" s="116" t="n">
        <f aca="false">AD120+AE53+AE56-AE57+(AE58-AE65)+AE113-AE92+AE94-AE95-AE103+AE60-AE245</f>
        <v>51.6367241267461</v>
      </c>
      <c r="AF114" s="116" t="n">
        <f aca="false">AE120+AF53+AF56-AF57+(AF58-AF65)+AF113-AF92+AF94-AF95-AF103+AF60-AF245</f>
        <v>50.7019736672074</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v>
      </c>
      <c r="N115" s="116" t="n">
        <f aca="false">IF(N113&gt;0,MIN(N113,01_Supuestos!$I$106*N81),0)</f>
        <v>0</v>
      </c>
      <c r="O115" s="116" t="n">
        <f aca="false">IF(O113&gt;0,MIN(O113,01_Supuestos!$I$106*O81),0)</f>
        <v>0</v>
      </c>
      <c r="P115" s="116" t="n">
        <f aca="false">IF(P113&gt;0,MIN(P113,01_Supuestos!$I$106*P81),0)</f>
        <v>0</v>
      </c>
      <c r="Q115" s="116" t="n">
        <f aca="false">IF(Q113&gt;0,MIN(Q113,01_Supuestos!$I$106*Q81),0)</f>
        <v>0</v>
      </c>
      <c r="R115" s="116" t="n">
        <f aca="false">IF(R113&gt;0,MIN(R113,01_Supuestos!$I$106*R81),0)</f>
        <v>0</v>
      </c>
      <c r="S115" s="116" t="n">
        <f aca="false">IF(S113&gt;0,MIN(S113,01_Supuestos!$I$106*S81),0)</f>
        <v>0</v>
      </c>
      <c r="T115" s="116" t="n">
        <f aca="false">IF(T113&gt;0,MIN(T113,01_Supuestos!$I$106*T81),0)</f>
        <v>0</v>
      </c>
      <c r="U115" s="116" t="n">
        <f aca="false">IF(U113&gt;0,MIN(U113,01_Supuestos!$I$106*U81),0)</f>
        <v>0</v>
      </c>
      <c r="V115" s="116" t="n">
        <f aca="false">IF(V113&gt;0,MIN(V113,01_Supuestos!$I$106*V81),0)</f>
        <v>0</v>
      </c>
      <c r="W115" s="116" t="n">
        <f aca="false">IF(W113&gt;0,MIN(W113,01_Supuestos!$I$106*W81),0)</f>
        <v>0</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19.3000595345486</v>
      </c>
      <c r="D120" s="136" t="n">
        <f aca="false">D114-D115+D118+D119</f>
        <v>36.7242297723296</v>
      </c>
      <c r="E120" s="136" t="n">
        <f aca="false">E114-E115+E118+E119</f>
        <v>53.4225244442404</v>
      </c>
      <c r="F120" s="136" t="n">
        <f aca="false">F114-F115+F118+F119</f>
        <v>63.5043824536455</v>
      </c>
      <c r="G120" s="136" t="n">
        <f aca="false">G114-G115+G118+G119</f>
        <v>72.0812654957629</v>
      </c>
      <c r="H120" s="136" t="n">
        <f aca="false">H114-H115+H118+H119</f>
        <v>80.0128603657474</v>
      </c>
      <c r="I120" s="136" t="n">
        <f aca="false">I114-I115+I118+I119</f>
        <v>87.5644826424964</v>
      </c>
      <c r="J120" s="136" t="n">
        <f aca="false">J114-J115+J118+J119</f>
        <v>95.0340905722243</v>
      </c>
      <c r="K120" s="136" t="n">
        <f aca="false">K114-K115+K118+K119</f>
        <v>104.126852148077</v>
      </c>
      <c r="L120" s="136" t="n">
        <f aca="false">L114-L115+L118+L119</f>
        <v>114.11836372558</v>
      </c>
      <c r="M120" s="136" t="n">
        <f aca="false">M114-M115+M118+M119</f>
        <v>108.562102191694</v>
      </c>
      <c r="N120" s="136" t="n">
        <f aca="false">N114-N115+N118+N119</f>
        <v>104.959960220012</v>
      </c>
      <c r="O120" s="136" t="n">
        <f aca="false">O114-O115+O118+O119</f>
        <v>103.008183840249</v>
      </c>
      <c r="P120" s="136" t="n">
        <f aca="false">P114-P115+P118+P119</f>
        <v>100.977165060296</v>
      </c>
      <c r="Q120" s="136" t="n">
        <f aca="false">Q114-Q115+Q118+Q119</f>
        <v>98.7841534531252</v>
      </c>
      <c r="R120" s="136" t="n">
        <f aca="false">R114-R115+R118+R119</f>
        <v>96.3647379265796</v>
      </c>
      <c r="S120" s="136" t="n">
        <f aca="false">S114-S115+S118+S119</f>
        <v>93.668506263975</v>
      </c>
      <c r="T120" s="136" t="n">
        <f aca="false">T114-T115+T118+T119</f>
        <v>90.6565224441221</v>
      </c>
      <c r="U120" s="136" t="n">
        <f aca="false">U114-U115+U118+U119</f>
        <v>87.3220177913526</v>
      </c>
      <c r="V120" s="136" t="n">
        <f aca="false">V114-V115+V118+V119</f>
        <v>83.9997455597508</v>
      </c>
      <c r="W120" s="136" t="n">
        <f aca="false">W114-W115+W118+W119</f>
        <v>80.4316102771548</v>
      </c>
      <c r="X120" s="136" t="n">
        <f aca="false">X114-X115+X118+X119</f>
        <v>76.5706043855221</v>
      </c>
      <c r="Y120" s="136" t="n">
        <f aca="false">Y114-Y115+Y118+Y119</f>
        <v>72.4188950895204</v>
      </c>
      <c r="Z120" s="136" t="n">
        <f aca="false">Z114-Z115+Z118+Z119</f>
        <v>67.9782580694281</v>
      </c>
      <c r="AA120" s="136" t="n">
        <f aca="false">AA114-AA115+AA118+AA119</f>
        <v>63.2500972404391</v>
      </c>
      <c r="AB120" s="136" t="n">
        <f aca="false">AB114-AB115+AB118+AB119</f>
        <v>59.3185840596159</v>
      </c>
      <c r="AC120" s="136" t="n">
        <f aca="false">AC114-AC115+AC118+AC119</f>
        <v>56.0234734884803</v>
      </c>
      <c r="AD120" s="136" t="n">
        <f aca="false">AD114-AD115+AD118+AD119</f>
        <v>53.4373763451946</v>
      </c>
      <c r="AE120" s="136" t="n">
        <f aca="false">AE114-AE115+AE118+AE119</f>
        <v>51.6367241267461</v>
      </c>
      <c r="AF120" s="136" t="n">
        <f aca="false">AF114-AF115+AF118+AF119</f>
        <v>50.7019736672074</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v>
      </c>
      <c r="M121" s="116" t="n">
        <f aca="false">L121+M115</f>
        <v>0</v>
      </c>
      <c r="N121" s="116" t="n">
        <f aca="false">M121+N115</f>
        <v>0</v>
      </c>
      <c r="O121" s="116" t="n">
        <f aca="false">N121+O115</f>
        <v>0</v>
      </c>
      <c r="P121" s="116" t="n">
        <f aca="false">O121+P115</f>
        <v>0</v>
      </c>
      <c r="Q121" s="116" t="n">
        <f aca="false">P121+Q115</f>
        <v>0</v>
      </c>
      <c r="R121" s="116" t="n">
        <f aca="false">Q121+R115</f>
        <v>0</v>
      </c>
      <c r="S121" s="116" t="n">
        <f aca="false">R121+S115</f>
        <v>0</v>
      </c>
      <c r="T121" s="116" t="n">
        <f aca="false">S121+T115</f>
        <v>0</v>
      </c>
      <c r="U121" s="116" t="n">
        <f aca="false">T121+U115</f>
        <v>0</v>
      </c>
      <c r="V121" s="116" t="n">
        <f aca="false">U121+V115</f>
        <v>0</v>
      </c>
      <c r="W121" s="116" t="n">
        <f aca="false">V121+W115</f>
        <v>0</v>
      </c>
      <c r="X121" s="116" t="n">
        <f aca="false">W121+X115</f>
        <v>0</v>
      </c>
      <c r="Y121" s="116" t="n">
        <f aca="false">X121+Y115</f>
        <v>0</v>
      </c>
      <c r="Z121" s="116" t="n">
        <f aca="false">Y121+Z115</f>
        <v>0</v>
      </c>
      <c r="AA121" s="116" t="n">
        <f aca="false">Z121+AA115</f>
        <v>0</v>
      </c>
      <c r="AB121" s="116" t="n">
        <f aca="false">AA121+AB115</f>
        <v>0</v>
      </c>
      <c r="AC121" s="116" t="n">
        <f aca="false">AB121+AC115</f>
        <v>0</v>
      </c>
      <c r="AD121" s="116" t="n">
        <f aca="false">AC121+AD115</f>
        <v>0</v>
      </c>
      <c r="AE121" s="116" t="n">
        <f aca="false">AD121+AE115</f>
        <v>0</v>
      </c>
      <c r="AF121" s="116" t="n">
        <f aca="false">AE121+AF115</f>
        <v>0</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1.61460056050822</v>
      </c>
      <c r="D122" s="87" t="n">
        <f aca="false">D276/(D81+D115)</f>
        <v>1.15663439296915</v>
      </c>
      <c r="E122" s="87" t="n">
        <f aca="false">E276/(E81+E115)</f>
        <v>0.912017419626511</v>
      </c>
      <c r="F122" s="87" t="n">
        <f aca="false">F276/(F81+F115)</f>
        <v>0.539818520062263</v>
      </c>
      <c r="G122" s="87" t="n">
        <f aca="false">G276/(G81+G115)</f>
        <v>0.405424005069308</v>
      </c>
      <c r="H122" s="87" t="n">
        <f aca="false">H276/(H81+H115)</f>
        <v>0.351687778036183</v>
      </c>
      <c r="I122" s="87" t="n">
        <f aca="false">I276/(I81+I115)</f>
        <v>0.323109922097277</v>
      </c>
      <c r="J122" s="87" t="n">
        <f aca="false">J276/(J81+J115)</f>
        <v>0.307436287036719</v>
      </c>
      <c r="K122" s="87" t="n">
        <f aca="false">K276/(K81+K115)</f>
        <v>0.323673162802403</v>
      </c>
      <c r="L122" s="87" t="n">
        <f aca="false">L276/(L81+L115)</f>
        <v>0.341365580359757</v>
      </c>
      <c r="M122" s="87" t="n">
        <f aca="false">M276/(M81+M115)</f>
        <v>0.313163888651275</v>
      </c>
      <c r="N122" s="87" t="n">
        <f aca="false">N276/(N81+N115)</f>
        <v>0.292731653056315</v>
      </c>
      <c r="O122" s="87" t="n">
        <f aca="false">O276/(O81+O115)</f>
        <v>0.278573223674742</v>
      </c>
      <c r="P122" s="87" t="n">
        <f aca="false">P276/(P81+P115)</f>
        <v>0.265900752173287</v>
      </c>
      <c r="Q122" s="87" t="n">
        <f aca="false">Q276/(Q81+Q115)</f>
        <v>0.25426636331723</v>
      </c>
      <c r="R122" s="87" t="n">
        <f aca="false">R276/(R81+R115)</f>
        <v>0.243154915362086</v>
      </c>
      <c r="S122" s="87" t="n">
        <f aca="false">S276/(S81+S115)</f>
        <v>0.232197882328819</v>
      </c>
      <c r="T122" s="87" t="n">
        <f aca="false">T276/(T81+T115)</f>
        <v>0.221127891480353</v>
      </c>
      <c r="U122" s="87" t="n">
        <f aca="false">U276/(U81+U115)</f>
        <v>0.209615474173468</v>
      </c>
      <c r="V122" s="87" t="n">
        <f aca="false">V276/(V81+V115)</f>
        <v>0.198476990934599</v>
      </c>
      <c r="W122" s="87" t="n">
        <f aca="false">W276/(W81+W115)</f>
        <v>0.187161289102892</v>
      </c>
      <c r="X122" s="87" t="n">
        <f aca="false">X276/(X81+X115)</f>
        <v>0.175560997288935</v>
      </c>
      <c r="Y122" s="87" t="n">
        <f aca="false">Y276/(Y81+Y115)</f>
        <v>0.163685307671679</v>
      </c>
      <c r="Z122" s="87" t="n">
        <f aca="false">Z276/(Z81+Z115)</f>
        <v>0.151541168857512</v>
      </c>
      <c r="AA122" s="87" t="n">
        <f aca="false">AA276/(AA81+AA115)</f>
        <v>0.139133482893866</v>
      </c>
      <c r="AB122" s="87" t="n">
        <f aca="false">AB276/(AB81+AB115)</f>
        <v>0.129145437808379</v>
      </c>
      <c r="AC122" s="87" t="n">
        <f aca="false">AC276/(AC81+AC115)</f>
        <v>0.120761462836737</v>
      </c>
      <c r="AD122" s="87" t="n">
        <f aca="false">AD276/(AD81+AD115)</f>
        <v>0.11408394661881</v>
      </c>
      <c r="AE122" s="87" t="n">
        <f aca="false">AE276/(AE81+AE115)</f>
        <v>0.109221720722105</v>
      </c>
      <c r="AF122" s="87" t="n">
        <f aca="false">AF276/(AF81+AF115)</f>
        <v>0.106290577470557</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Amarillo</v>
      </c>
      <c r="AB123" s="116" t="str">
        <f aca="false">IF(AB122&gt;=01_Supuestos!$I$138,"Verde",IF(AB122&gt;=0.1,"Amarillo","Rojo"))</f>
        <v>Amarillo</v>
      </c>
      <c r="AC123" s="116" t="str">
        <f aca="false">IF(AC122&gt;=01_Supuestos!$I$138,"Verde",IF(AC122&gt;=0.1,"Amarillo","Rojo"))</f>
        <v>Amarillo</v>
      </c>
      <c r="AD123" s="116" t="str">
        <f aca="false">IF(AD122&gt;=01_Supuestos!$I$138,"Verde",IF(AD122&gt;=0.1,"Amarillo","Rojo"))</f>
        <v>Amarillo</v>
      </c>
      <c r="AE123" s="116" t="str">
        <f aca="false">IF(AE122&gt;=01_Supuestos!$I$138,"Verde",IF(AE122&gt;=0.1,"Amarillo","Rojo"))</f>
        <v>Amarillo</v>
      </c>
      <c r="AF123" s="116" t="str">
        <f aca="false">IF(AF122&gt;=01_Supuestos!$I$138,"Verde",IF(AF122&gt;=0.1,"Amarillo","Rojo"))</f>
        <v>Amarillo</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0.304035502662217</v>
      </c>
      <c r="D127" s="116" t="n">
        <f aca="false">MAX(0,-D113)</f>
        <v>0.159963516994731</v>
      </c>
      <c r="E127" s="116" t="n">
        <f aca="false">MAX(0,-E113)</f>
        <v>0.28898454771836</v>
      </c>
      <c r="F127" s="116" t="n">
        <f aca="false">MAX(0,-F113)</f>
        <v>1.65973969430291</v>
      </c>
      <c r="G127" s="116" t="n">
        <f aca="false">MAX(0,-G113)</f>
        <v>3.09750276595427</v>
      </c>
      <c r="H127" s="116" t="n">
        <f aca="false">MAX(0,-H113)</f>
        <v>3.93490864405855</v>
      </c>
      <c r="I127" s="116" t="n">
        <f aca="false">MAX(0,-I113)</f>
        <v>4.4002600250166</v>
      </c>
      <c r="J127" s="116" t="n">
        <f aca="false">MAX(0,-J113)</f>
        <v>4.54501907851955</v>
      </c>
      <c r="K127" s="116" t="n">
        <f aca="false">MAX(0,-K113)</f>
        <v>3.59225141995095</v>
      </c>
      <c r="L127" s="116" t="n">
        <f aca="false">MAX(0,-L113)</f>
        <v>2.62197029439212</v>
      </c>
      <c r="M127" s="116" t="n">
        <f aca="false">MAX(0,-M113)</f>
        <v>1.72111516811436</v>
      </c>
      <c r="N127" s="116" t="n">
        <f aca="false">MAX(0,-N113)</f>
        <v>1.78069905210939</v>
      </c>
      <c r="O127" s="116" t="n">
        <f aca="false">MAX(0,-O113)</f>
        <v>1.99199995258862</v>
      </c>
      <c r="P127" s="116" t="n">
        <f aca="false">MAX(0,-P113)</f>
        <v>2.11230965299774</v>
      </c>
      <c r="Q127" s="116" t="n">
        <f aca="false">MAX(0,-Q113)</f>
        <v>2.31568901499778</v>
      </c>
      <c r="R127" s="116" t="n">
        <f aca="false">MAX(0,-R113)</f>
        <v>2.57667030904133</v>
      </c>
      <c r="S127" s="116" t="n">
        <f aca="false">MAX(0,-S113)</f>
        <v>2.88254096138767</v>
      </c>
      <c r="T127" s="116" t="n">
        <f aca="false">MAX(0,-T113)</f>
        <v>3.22272290352853</v>
      </c>
      <c r="U127" s="116" t="n">
        <f aca="false">MAX(0,-U113)</f>
        <v>3.55625462690162</v>
      </c>
      <c r="V127" s="116" t="n">
        <f aca="false">MAX(0,-V113)</f>
        <v>3.93455865849362</v>
      </c>
      <c r="W127" s="116" t="n">
        <f aca="false">MAX(0,-W113)</f>
        <v>4.29667272030067</v>
      </c>
      <c r="X127" s="116" t="n">
        <f aca="false">MAX(0,-X113)</f>
        <v>4.65400359330833</v>
      </c>
      <c r="Y127" s="116" t="n">
        <f aca="false">MAX(0,-Y113)</f>
        <v>5.0104027693267</v>
      </c>
      <c r="Z127" s="116" t="n">
        <f aca="false">MAX(0,-Z113)</f>
        <v>5.36628734396663</v>
      </c>
      <c r="AA127" s="116" t="n">
        <f aca="false">MAX(0,-AA113)</f>
        <v>5.722055461608</v>
      </c>
      <c r="AB127" s="116" t="n">
        <f aca="false">MAX(0,-AB113)</f>
        <v>6.0229247493541</v>
      </c>
      <c r="AC127" s="116" t="n">
        <f aca="false">MAX(0,-AC113)</f>
        <v>6.28230452890543</v>
      </c>
      <c r="AD127" s="116" t="n">
        <f aca="false">MAX(0,-AD113)</f>
        <v>6.51197596250282</v>
      </c>
      <c r="AE127" s="116" t="n">
        <f aca="false">MAX(0,-AE113)</f>
        <v>6.70966280443436</v>
      </c>
      <c r="AF127" s="116" t="n">
        <f aca="false">MAX(0,-AF113)</f>
        <v>6.87293730370586</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10.5567498928026</v>
      </c>
      <c r="D128" s="116" t="n">
        <f aca="false">IF(AVERAGE(E127:I127)&gt;0,D120/AVERAGE(E127:I127),99)</f>
        <v>13.7221223625097</v>
      </c>
      <c r="E128" s="116" t="n">
        <f aca="false">IF(AVERAGE(F127:J127)&gt;0,E120/AVERAGE(F127:J127),99)</f>
        <v>15.144645170717</v>
      </c>
      <c r="F128" s="116" t="n">
        <f aca="false">IF(AVERAGE(G127:K127)&gt;0,F120/AVERAGE(G127:K127),99)</f>
        <v>16.2249797851823</v>
      </c>
      <c r="G128" s="116" t="n">
        <f aca="false">IF(AVERAGE(H127:L127)&gt;0,G120/AVERAGE(H127:L127),99)</f>
        <v>18.8749659002148</v>
      </c>
      <c r="H128" s="116" t="n">
        <f aca="false">IF(AVERAGE(I127:M127)&gt;0,H120/AVERAGE(I127:M127),99)</f>
        <v>23.6996269662602</v>
      </c>
      <c r="I128" s="116" t="n">
        <f aca="false">IF(AVERAGE(J127:N127)&gt;0,I120/AVERAGE(J127:N127),99)</f>
        <v>30.7005626730086</v>
      </c>
      <c r="J128" s="116" t="n">
        <f aca="false">IF(AVERAGE(K127:O127)&gt;0,J120/AVERAGE(K127:O127),99)</f>
        <v>40.584984316833</v>
      </c>
      <c r="K128" s="116" t="n">
        <f aca="false">IF(AVERAGE(L127:P127)&gt;0,K120/AVERAGE(L127:P127),99)</f>
        <v>50.9023728782515</v>
      </c>
      <c r="L128" s="116" t="n">
        <f aca="false">IF(AVERAGE(M127:Q127)&gt;0,L120/AVERAGE(M127:Q127),99)</f>
        <v>57.5088270442962</v>
      </c>
      <c r="M128" s="116" t="n">
        <f aca="false">IF(AVERAGE(N127:R127)&gt;0,M120/AVERAGE(N127:R127),99)</f>
        <v>50.3657768648533</v>
      </c>
      <c r="N128" s="116" t="n">
        <f aca="false">IF(AVERAGE(O127:S127)&gt;0,N120/AVERAGE(O127:S127),99)</f>
        <v>44.1780056009516</v>
      </c>
      <c r="O128" s="116" t="n">
        <f aca="false">IF(AVERAGE(P127:T127)&gt;0,O120/AVERAGE(P127:T127),99)</f>
        <v>39.2863125547879</v>
      </c>
      <c r="P128" s="116" t="n">
        <f aca="false">IF(AVERAGE(Q127:U127)&gt;0,P120/AVERAGE(Q127:U127),99)</f>
        <v>34.6908110463445</v>
      </c>
      <c r="Q128" s="116" t="n">
        <f aca="false">IF(AVERAGE(R127:V127)&gt;0,Q120/AVERAGE(R127:V127),99)</f>
        <v>30.5403128631672</v>
      </c>
      <c r="R128" s="116" t="n">
        <f aca="false">IF(AVERAGE(S127:W127)&gt;0,R120/AVERAGE(S127:W127),99)</f>
        <v>26.9284315221031</v>
      </c>
      <c r="S128" s="116" t="n">
        <f aca="false">IF(AVERAGE(T127:X127)&gt;0,S120/AVERAGE(T127:X127),99)</f>
        <v>23.8169990921097</v>
      </c>
      <c r="T128" s="116" t="n">
        <f aca="false">IF(AVERAGE(U127:Y127)&gt;0,T120/AVERAGE(U127:Y127),99)</f>
        <v>21.130192359616</v>
      </c>
      <c r="U128" s="116" t="n">
        <f aca="false">IF(AVERAGE(V127:Z127)&gt;0,U120/AVERAGE(V127:Z127),99)</f>
        <v>18.7693016529776</v>
      </c>
      <c r="V128" s="116" t="n">
        <f aca="false">IF(AVERAGE(W127:AA127)&gt;0,V120/AVERAGE(W127:AA127),99)</f>
        <v>16.7668032287563</v>
      </c>
      <c r="W128" s="116" t="n">
        <f aca="false">IF(AVERAGE(X127:AB127)&gt;0,W120/AVERAGE(X127:AB127),99)</f>
        <v>15.0195305120584</v>
      </c>
      <c r="X128" s="116" t="n">
        <f aca="false">IF(AVERAGE(Y127:AC127)&gt;0,X120/AVERAGE(Y127:AC127),99)</f>
        <v>13.4788537134973</v>
      </c>
      <c r="Y128" s="116" t="n">
        <f aca="false">IF(AVERAGE(Z127:AD127)&gt;0,Y120/AVERAGE(Z127:AD127),99)</f>
        <v>12.1079364566921</v>
      </c>
      <c r="Z128" s="116" t="n">
        <f aca="false">IF(AVERAGE(AA127:AE127)&gt;0,Z120/AVERAGE(AA127:AE127),99)</f>
        <v>10.8768959760526</v>
      </c>
      <c r="AA128" s="116" t="n">
        <f aca="false">IF(AVERAGE(AB127:AF127)&gt;0,AA120/AVERAGE(AB127:AF127),99)</f>
        <v>9.76087611627912</v>
      </c>
      <c r="AB128" s="116" t="n">
        <f aca="false">IF(AVERAGE(AC127:AF127)&gt;0,AB120/AVERAGE(AC127:AF127),99)</f>
        <v>8.99554196118723</v>
      </c>
      <c r="AC128" s="116" t="n">
        <f aca="false">IF(AVERAGE(AD127:AF127)&gt;0,AC120/AVERAGE(AD127:AF127),99)</f>
        <v>8.36396945497057</v>
      </c>
      <c r="AD128" s="116" t="n">
        <f aca="false">IF(AVERAGE(AE127:AF127)&gt;0,AD120/AVERAGE(AE127:AF127),99)</f>
        <v>7.86850469273095</v>
      </c>
      <c r="AE128" s="116" t="n">
        <f aca="false">IF(AVERAGE(AF127:AF127)&gt;0,AE120/AVERAGE(AF127:AF127),99)</f>
        <v>7.51305036623916</v>
      </c>
      <c r="AF128" s="116" t="n">
        <f aca="false">IF(AF127&gt;0,AF120/AF127,99)</f>
        <v>7.37704585779781</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0.0211887688491203</v>
      </c>
      <c r="D129" s="87" t="n">
        <f aca="false">D83/D41</f>
        <v>0.0541068943375754</v>
      </c>
      <c r="E129" s="87" t="n">
        <f aca="false">E83/E41</f>
        <v>0.0928904147972389</v>
      </c>
      <c r="F129" s="87" t="n">
        <f aca="false">F83/F41</f>
        <v>0.130801969498767</v>
      </c>
      <c r="G129" s="87" t="n">
        <f aca="false">G83/G41</f>
        <v>0.167861162755393</v>
      </c>
      <c r="H129" s="87" t="n">
        <f aca="false">H83/H41</f>
        <v>0.204087158118664</v>
      </c>
      <c r="I129" s="87" t="n">
        <f aca="false">I83/I41</f>
        <v>0.239498688288039</v>
      </c>
      <c r="J129" s="87" t="n">
        <f aca="false">J83/J41</f>
        <v>0.274114064797692</v>
      </c>
      <c r="K129" s="87" t="n">
        <f aca="false">K83/K41</f>
        <v>0.307951187485525</v>
      </c>
      <c r="L129" s="87" t="n">
        <f aca="false">L83/L41</f>
        <v>0.341027553749291</v>
      </c>
      <c r="M129" s="87" t="n">
        <f aca="false">M83/M41</f>
        <v>0.373360267594615</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0.385827694011985</v>
      </c>
      <c r="W129" s="87" t="n">
        <f aca="false">W83/W41</f>
        <v>0.38276156245847</v>
      </c>
      <c r="X129" s="87" t="n">
        <f aca="false">X83/X41</f>
        <v>0.379526137796768</v>
      </c>
      <c r="Y129" s="87" t="n">
        <f aca="false">Y83/Y41</f>
        <v>0.376132815684703</v>
      </c>
      <c r="Z129" s="87" t="n">
        <f aca="false">Z83/Z41</f>
        <v>0.372592530511079</v>
      </c>
      <c r="AA129" s="87" t="n">
        <f aca="false">AA83/AA41</f>
        <v>0.368915769967323</v>
      </c>
      <c r="AB129" s="87" t="n">
        <f aca="false">AB83/AB41</f>
        <v>0.363920408144202</v>
      </c>
      <c r="AC129" s="87" t="n">
        <f aca="false">AC83/AC41</f>
        <v>0.358905354479236</v>
      </c>
      <c r="AD129" s="87" t="n">
        <f aca="false">AD83/AD41</f>
        <v>0.353872974551978</v>
      </c>
      <c r="AE129" s="87" t="n">
        <f aca="false">AE83/AE41</f>
        <v>0.348825723326758</v>
      </c>
      <c r="AF129" s="87" t="n">
        <f aca="false">AF83/AF41</f>
        <v>0.343766124117623</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-2.77720825928658</v>
      </c>
      <c r="AC134" s="116" t="n">
        <f aca="false">-AC56</f>
        <v>-3.65996374170268</v>
      </c>
      <c r="AD134" s="116" t="n">
        <f aca="false">-AD56</f>
        <v>-4.58512124307752</v>
      </c>
      <c r="AE134" s="116" t="n">
        <f aca="false">-AE56</f>
        <v>-5.55424914218254</v>
      </c>
      <c r="AF134" s="116" t="n">
        <f aca="false">-AF56</f>
        <v>-6.56896773546589</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v>
      </c>
      <c r="F136" s="116" t="n">
        <f aca="false">01_Supuestos!$C$152*MAX(0,F111-01_Supuestos!$C$153-01_Supuestos!$C$154-F59-0.05*SUM($C$51:F51))</f>
        <v>0</v>
      </c>
      <c r="G136" s="116" t="n">
        <f aca="false">01_Supuestos!$C$152*MAX(0,G111-01_Supuestos!$C$153-01_Supuestos!$C$154-G59-0.05*SUM($C$51:G51))</f>
        <v>0.237284964551008</v>
      </c>
      <c r="H136" s="116" t="n">
        <f aca="false">01_Supuestos!$C$152*MAX(0,H111-01_Supuestos!$C$153-01_Supuestos!$C$154-H59-0.05*SUM($C$51:H51))</f>
        <v>0.416880570168078</v>
      </c>
      <c r="I136" s="116" t="n">
        <f aca="false">01_Supuestos!$C$152*MAX(0,I111-01_Supuestos!$C$153-01_Supuestos!$C$154-I59-0.05*SUM($C$51:I51))</f>
        <v>0.558272532118583</v>
      </c>
      <c r="J136" s="116" t="n">
        <f aca="false">01_Supuestos!$C$152*MAX(0,J111-01_Supuestos!$C$153-01_Supuestos!$C$154-J59-0.05*SUM($C$51:J51))</f>
        <v>0.667859790082665</v>
      </c>
      <c r="K136" s="116" t="n">
        <f aca="false">01_Supuestos!$C$152*MAX(0,K111-01_Supuestos!$C$153-01_Supuestos!$C$154-K59-0.05*SUM($C$51:K51))</f>
        <v>0.651941005941652</v>
      </c>
      <c r="L136" s="116" t="n">
        <f aca="false">01_Supuestos!$C$152*MAX(0,L111-01_Supuestos!$C$153-01_Supuestos!$C$154-L59-0.05*SUM($C$51:L51))</f>
        <v>0.638065059325964</v>
      </c>
      <c r="M136" s="116" t="n">
        <f aca="false">01_Supuestos!$C$152*MAX(0,M111-01_Supuestos!$C$153-01_Supuestos!$C$154-M59-0.05*SUM($C$51:M51))</f>
        <v>0.627945511157095</v>
      </c>
      <c r="N136" s="116" t="n">
        <f aca="false">01_Supuestos!$C$152*MAX(0,N111-01_Supuestos!$C$153-01_Supuestos!$C$154-N59-0.05*SUM($C$51:N51))</f>
        <v>0.622468337767672</v>
      </c>
      <c r="O136" s="116" t="n">
        <f aca="false">01_Supuestos!$C$152*MAX(0,O111-01_Supuestos!$C$153-01_Supuestos!$C$154-O59-0.05*SUM($C$51:O51))</f>
        <v>0.622293678682093</v>
      </c>
      <c r="P136" s="116" t="n">
        <f aca="false">01_Supuestos!$C$152*MAX(0,P111-01_Supuestos!$C$153-01_Supuestos!$C$154-P59-0.05*SUM($C$51:P51))</f>
        <v>0.631197711365576</v>
      </c>
      <c r="Q136" s="116" t="n">
        <f aca="false">01_Supuestos!$C$152*MAX(0,Q111-01_Supuestos!$C$153-01_Supuestos!$C$154-Q59-0.05*SUM($C$51:Q51))</f>
        <v>0.648595524136382</v>
      </c>
      <c r="R136" s="116" t="n">
        <f aca="false">01_Supuestos!$C$152*MAX(0,R111-01_Supuestos!$C$153-01_Supuestos!$C$154-R59-0.05*SUM($C$51:R51))</f>
        <v>0.671594825197134</v>
      </c>
      <c r="S136" s="116" t="n">
        <f aca="false">01_Supuestos!$C$152*MAX(0,S111-01_Supuestos!$C$153-01_Supuestos!$C$154-S59-0.05*SUM($C$51:S51))</f>
        <v>0.698675083496096</v>
      </c>
      <c r="T136" s="116" t="n">
        <f aca="false">01_Supuestos!$C$152*MAX(0,T111-01_Supuestos!$C$153-01_Supuestos!$C$154-T59-0.05*SUM($C$51:T51))</f>
        <v>0.728582467017188</v>
      </c>
      <c r="U136" s="116" t="n">
        <f aca="false">01_Supuestos!$C$152*MAX(0,U111-01_Supuestos!$C$153-01_Supuestos!$C$154-U59-0.05*SUM($C$51:U51))</f>
        <v>0.756985335808683</v>
      </c>
      <c r="V136" s="116" t="n">
        <f aca="false">01_Supuestos!$C$152*MAX(0,V111-01_Supuestos!$C$153-01_Supuestos!$C$154-V59-0.05*SUM($C$51:V51))</f>
        <v>0.783948906453357</v>
      </c>
      <c r="W136" s="116" t="n">
        <f aca="false">01_Supuestos!$C$152*MAX(0,W111-01_Supuestos!$C$153-01_Supuestos!$C$154-W59-0.05*SUM($C$51:W51))</f>
        <v>0.809534166286298</v>
      </c>
      <c r="X136" s="116" t="n">
        <f aca="false">01_Supuestos!$C$152*MAX(0,X111-01_Supuestos!$C$153-01_Supuestos!$C$154-X59-0.05*SUM($C$51:X51))</f>
        <v>0.83379814731352</v>
      </c>
      <c r="Y136" s="116" t="n">
        <f aca="false">01_Supuestos!$C$152*MAX(0,Y111-01_Supuestos!$C$153-01_Supuestos!$C$154-Y59-0.05*SUM($C$51:Y51))</f>
        <v>0.856794182406661</v>
      </c>
      <c r="Z136" s="116" t="n">
        <f aca="false">01_Supuestos!$C$152*MAX(0,Z111-01_Supuestos!$C$153-01_Supuestos!$C$154-Z59-0.05*SUM($C$51:Z51))</f>
        <v>0.878572144919727</v>
      </c>
      <c r="AA136" s="116" t="n">
        <f aca="false">01_Supuestos!$C$152*MAX(0,AA111-01_Supuestos!$C$153-01_Supuestos!$C$154-AA59-0.05*SUM($C$51:AA51))</f>
        <v>0.899178672799813</v>
      </c>
      <c r="AB136" s="116" t="n">
        <f aca="false">01_Supuestos!$C$152*MAX(0,AB111-01_Supuestos!$C$153-01_Supuestos!$C$154-AB59-0.05*SUM($C$51:AB51))</f>
        <v>0.912984948194447</v>
      </c>
      <c r="AC136" s="116" t="n">
        <f aca="false">01_Supuestos!$C$152*MAX(0,AC111-01_Supuestos!$C$153-01_Supuestos!$C$154-AC59-0.05*SUM($C$51:AC51))</f>
        <v>0.925987804993411</v>
      </c>
      <c r="AD136" s="116" t="n">
        <f aca="false">01_Supuestos!$C$152*MAX(0,AD111-01_Supuestos!$C$153-01_Supuestos!$C$154-AD59-0.05*SUM($C$51:AD51))</f>
        <v>0.938211198107298</v>
      </c>
      <c r="AE136" s="116" t="n">
        <f aca="false">01_Supuestos!$C$152*MAX(0,AE111-01_Supuestos!$C$153-01_Supuestos!$C$154-AE59-0.05*SUM($C$51:AE51))</f>
        <v>0.949677316582087</v>
      </c>
      <c r="AF136" s="116" t="n">
        <f aca="false">01_Supuestos!$C$152*MAX(0,AF111-01_Supuestos!$C$153-01_Supuestos!$C$154-AF59-0.05*SUM($C$51:AF51))</f>
        <v>0.960406708532091</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0.0174310731235341</v>
      </c>
      <c r="D139" s="116" t="n">
        <f aca="false">(1-D55)*D88</f>
        <v>0.0455351364151786</v>
      </c>
      <c r="E139" s="116" t="n">
        <f aca="false">(1-E55)*E88</f>
        <v>0.0799724813214286</v>
      </c>
      <c r="F139" s="116" t="n">
        <f aca="false">(1-F55)*F88</f>
        <v>0.115201885160522</v>
      </c>
      <c r="G139" s="116" t="n">
        <f aca="false">(1-G55)*G88</f>
        <v>0.151241565287915</v>
      </c>
      <c r="H139" s="116" t="n">
        <f aca="false">(1-H55)*H88</f>
        <v>0.188110158058238</v>
      </c>
      <c r="I139" s="116" t="n">
        <f aca="false">(1-I55)*I88</f>
        <v>0.225826728462279</v>
      </c>
      <c r="J139" s="116" t="n">
        <f aca="false">(1-J55)*J88</f>
        <v>0.264410779985612</v>
      </c>
      <c r="K139" s="116" t="n">
        <f aca="false">(1-K55)*K88</f>
        <v>0.303882264693982</v>
      </c>
      <c r="L139" s="116" t="n">
        <f aca="false">(1-L55)*L88</f>
        <v>0.344261593550644</v>
      </c>
      <c r="M139" s="116" t="n">
        <f aca="false">(1-M55)*M88</f>
        <v>0.38556964697101</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0.488932424575968</v>
      </c>
      <c r="W139" s="116" t="n">
        <f aca="false">(1-W55)*W88</f>
        <v>0.496203010126603</v>
      </c>
      <c r="X139" s="116" t="n">
        <f aca="false">(1-X55)*X88</f>
        <v>0.503324882036196</v>
      </c>
      <c r="Y139" s="116" t="n">
        <f aca="false">(1-Y55)*Y88</f>
        <v>0.510297649921273</v>
      </c>
      <c r="Z139" s="116" t="n">
        <f aca="false">(1-Z55)*Z88</f>
        <v>0.517120936326716</v>
      </c>
      <c r="AA139" s="116" t="n">
        <f aca="false">(1-AA55)*AA88</f>
        <v>0.523794375846695</v>
      </c>
      <c r="AB139" s="116" t="n">
        <f aca="false">(1-AB55)*AB88</f>
        <v>0.505093287613954</v>
      </c>
      <c r="AC139" s="116" t="n">
        <f aca="false">(1-AC55)*AC88</f>
        <v>0.485887983419408</v>
      </c>
      <c r="AD139" s="116" t="n">
        <f aca="false">(1-AD55)*AD88</f>
        <v>0.466186831408594</v>
      </c>
      <c r="AE139" s="116" t="n">
        <f aca="false">(1-AE55)*AE88</f>
        <v>0.445998973579126</v>
      </c>
      <c r="AF139" s="116" t="n">
        <f aca="false">(1-AF55)*AF88</f>
        <v>0.425334281071765</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-18.8138689268765</v>
      </c>
      <c r="D140" s="116" t="n">
        <f aca="false">SUM(D133:D139)</f>
        <v>-18.7444779704848</v>
      </c>
      <c r="E140" s="116" t="n">
        <f aca="false">SUM(E133:E139)</f>
        <v>-18.7395004823716</v>
      </c>
      <c r="F140" s="116" t="n">
        <f aca="false">SUM(F133:F139)</f>
        <v>-18.5929490478641</v>
      </c>
      <c r="G140" s="116" t="n">
        <f aca="false">SUM(G133:G139)</f>
        <v>-18.3457163934762</v>
      </c>
      <c r="H140" s="116" t="n">
        <f aca="false">SUM(H133:H139)</f>
        <v>-18.1561458010026</v>
      </c>
      <c r="I140" s="116" t="n">
        <f aca="false">SUM(I133:I139)</f>
        <v>-18.0047480510998</v>
      </c>
      <c r="J140" s="116" t="n">
        <f aca="false">SUM(J133:J139)</f>
        <v>-17.8851207849238</v>
      </c>
      <c r="K140" s="116" t="n">
        <f aca="false">SUM(K133:K139)</f>
        <v>-17.8909620053101</v>
      </c>
      <c r="L140" s="116" t="n">
        <f aca="false">SUM(L133:L139)</f>
        <v>-17.8947195803092</v>
      </c>
      <c r="M140" s="116" t="n">
        <f aca="false">SUM(M133:M139)</f>
        <v>2.70532322115646</v>
      </c>
      <c r="N140" s="116" t="n">
        <f aca="false">SUM(N133:N139)</f>
        <v>2.69250312349484</v>
      </c>
      <c r="O140" s="116" t="n">
        <f aca="false">SUM(O133:O139)</f>
        <v>2.66879421461167</v>
      </c>
      <c r="P140" s="116" t="n">
        <f aca="false">SUM(P133:P139)</f>
        <v>2.65343974326367</v>
      </c>
      <c r="Q140" s="116" t="n">
        <f aca="false">SUM(Q133:Q139)</f>
        <v>2.6458397681014</v>
      </c>
      <c r="R140" s="116" t="n">
        <f aca="false">SUM(R133:R139)</f>
        <v>2.64308647661163</v>
      </c>
      <c r="S140" s="116" t="n">
        <f aca="false">SUM(S133:S139)</f>
        <v>2.64364331663254</v>
      </c>
      <c r="T140" s="116" t="n">
        <f aca="false">SUM(T133:T139)</f>
        <v>2.64623992496379</v>
      </c>
      <c r="U140" s="116" t="n">
        <f aca="false">SUM(U133:U139)</f>
        <v>2.6465276103761</v>
      </c>
      <c r="V140" s="116" t="n">
        <f aca="false">SUM(V133:V139)</f>
        <v>2.64135557708589</v>
      </c>
      <c r="W140" s="116" t="n">
        <f aca="false">SUM(W133:W139)</f>
        <v>2.63311512666232</v>
      </c>
      <c r="X140" s="116" t="n">
        <f aca="false">SUM(X133:X139)</f>
        <v>2.62228555858056</v>
      </c>
      <c r="Y140" s="116" t="n">
        <f aca="false">SUM(Y133:Y139)</f>
        <v>2.60889458873298</v>
      </c>
      <c r="Z140" s="116" t="n">
        <f aca="false">SUM(Z133:Z139)</f>
        <v>2.59296577321175</v>
      </c>
      <c r="AA140" s="116" t="n">
        <f aca="false">SUM(AA133:AA139)</f>
        <v>2.57451871618658</v>
      </c>
      <c r="AB140" s="116" t="n">
        <f aca="false">SUM(AB133:AB139)</f>
        <v>1.72918443210746</v>
      </c>
      <c r="AC140" s="116" t="n">
        <f aca="false">SUM(AC133:AC139)</f>
        <v>0.841615563628212</v>
      </c>
      <c r="AD140" s="116" t="n">
        <f aca="false">SUM(AD133:AD139)</f>
        <v>-0.0896723071510998</v>
      </c>
      <c r="AE140" s="116" t="n">
        <f aca="false">SUM(AE133:AE139)</f>
        <v>-1.06621497780311</v>
      </c>
      <c r="AF140" s="116" t="n">
        <f aca="false">SUM(AF133:AF139)</f>
        <v>-2.08960111287037</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-0.0567681733074377</v>
      </c>
      <c r="D141" s="116" t="n">
        <f aca="false">-D85*01_Supuestos!$I$126</f>
        <v>-0.150098745513188</v>
      </c>
      <c r="E141" s="116" t="n">
        <f aca="false">-E85*01_Supuestos!$I$126</f>
        <v>-0.275940620144396</v>
      </c>
      <c r="F141" s="116" t="n">
        <f aca="false">-F85*01_Supuestos!$I$126</f>
        <v>-0.564673171536131</v>
      </c>
      <c r="G141" s="116" t="n">
        <f aca="false">-G85*01_Supuestos!$I$126</f>
        <v>-0.853403030046319</v>
      </c>
      <c r="H141" s="116" t="n">
        <f aca="false">-H85*01_Supuestos!$I$126</f>
        <v>-1.09205310431935</v>
      </c>
      <c r="I141" s="116" t="n">
        <f aca="false">-I85*01_Supuestos!$I$126</f>
        <v>-1.30082516177712</v>
      </c>
      <c r="J141" s="116" t="n">
        <f aca="false">-J85*01_Supuestos!$I$126</f>
        <v>-1.48376640618287</v>
      </c>
      <c r="K141" s="116" t="n">
        <f aca="false">-K85*01_Supuestos!$I$126</f>
        <v>-1.5441777315838</v>
      </c>
      <c r="L141" s="116" t="n">
        <f aca="false">-L85*01_Supuestos!$I$126</f>
        <v>-1.60463789379557</v>
      </c>
      <c r="M141" s="116" t="n">
        <f aca="false">-M85*01_Supuestos!$I$126</f>
        <v>-1.28371031503645</v>
      </c>
      <c r="N141" s="116" t="n">
        <f aca="false">-N85*01_Supuestos!$I$126</f>
        <v>-1.07566051492033</v>
      </c>
      <c r="O141" s="116" t="n">
        <f aca="false">-O85*01_Supuestos!$I$126</f>
        <v>-1.10931175453374</v>
      </c>
      <c r="P141" s="116" t="n">
        <f aca="false">-P85*01_Supuestos!$I$126</f>
        <v>-1.13926528114319</v>
      </c>
      <c r="Q141" s="116" t="n">
        <f aca="false">-Q85*01_Supuestos!$I$126</f>
        <v>-1.16551971913657</v>
      </c>
      <c r="R141" s="116" t="n">
        <f aca="false">-R85*01_Supuestos!$I$126</f>
        <v>-1.18893016556644</v>
      </c>
      <c r="S141" s="116" t="n">
        <f aca="false">-S85*01_Supuestos!$I$126</f>
        <v>-1.21019845647855</v>
      </c>
      <c r="T141" s="116" t="n">
        <f aca="false">-T85*01_Supuestos!$I$126</f>
        <v>-1.22991977860256</v>
      </c>
      <c r="U141" s="116" t="n">
        <f aca="false">-U85*01_Supuestos!$I$126</f>
        <v>-1.24974577572106</v>
      </c>
      <c r="V141" s="116" t="n">
        <f aca="false">-V85*01_Supuestos!$I$126</f>
        <v>-1.26966473792567</v>
      </c>
      <c r="W141" s="116" t="n">
        <f aca="false">-W85*01_Supuestos!$I$126</f>
        <v>-1.28923471294757</v>
      </c>
      <c r="X141" s="116" t="n">
        <f aca="false">-X85*01_Supuestos!$I$126</f>
        <v>-1.30844445351669</v>
      </c>
      <c r="Y141" s="116" t="n">
        <f aca="false">-Y85*01_Supuestos!$I$126</f>
        <v>-1.32728274980144</v>
      </c>
      <c r="Z141" s="116" t="n">
        <f aca="false">-Z85*01_Supuestos!$I$126</f>
        <v>-1.34573842702795</v>
      </c>
      <c r="AA141" s="116" t="n">
        <f aca="false">-AA85*01_Supuestos!$I$126</f>
        <v>-1.36380034320037</v>
      </c>
      <c r="AB141" s="116" t="n">
        <f aca="false">-AB85*01_Supuestos!$I$126</f>
        <v>-1.37794842155316</v>
      </c>
      <c r="AC141" s="116" t="n">
        <f aca="false">-AC85*01_Supuestos!$I$126</f>
        <v>-1.39175542029218</v>
      </c>
      <c r="AD141" s="116" t="n">
        <f aca="false">-AD85*01_Supuestos!$I$126</f>
        <v>-1.40521198456814</v>
      </c>
      <c r="AE141" s="116" t="n">
        <f aca="false">-AE85*01_Supuestos!$I$126</f>
        <v>-1.41830920952416</v>
      </c>
      <c r="AF141" s="116" t="n">
        <f aca="false">-AF85*01_Supuestos!$I$126</f>
        <v>-1.43103861716959</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0.0383185169825205</v>
      </c>
      <c r="D142" s="116" t="n">
        <f aca="false">D85*01_Supuestos!$I$101</f>
        <v>0.101316653221402</v>
      </c>
      <c r="E142" s="116" t="n">
        <f aca="false">E85*01_Supuestos!$I$101</f>
        <v>0.186259918597467</v>
      </c>
      <c r="F142" s="116" t="n">
        <f aca="false">F85*01_Supuestos!$I$101</f>
        <v>0.381154390786888</v>
      </c>
      <c r="G142" s="116" t="n">
        <f aca="false">G85*01_Supuestos!$I$101</f>
        <v>0.576047045281265</v>
      </c>
      <c r="H142" s="116" t="n">
        <f aca="false">H85*01_Supuestos!$I$101</f>
        <v>0.73713584541556</v>
      </c>
      <c r="I142" s="116" t="n">
        <f aca="false">I85*01_Supuestos!$I$101</f>
        <v>0.878056984199556</v>
      </c>
      <c r="J142" s="116" t="n">
        <f aca="false">J85*01_Supuestos!$I$101</f>
        <v>1.00154232417343</v>
      </c>
      <c r="K142" s="116" t="n">
        <f aca="false">K85*01_Supuestos!$I$101</f>
        <v>1.04231996881907</v>
      </c>
      <c r="L142" s="116" t="n">
        <f aca="false">L85*01_Supuestos!$I$101</f>
        <v>1.08313057831201</v>
      </c>
      <c r="M142" s="116" t="n">
        <f aca="false">M85*01_Supuestos!$I$101</f>
        <v>0.866504462649606</v>
      </c>
      <c r="N142" s="116" t="n">
        <f aca="false">N85*01_Supuestos!$I$101</f>
        <v>0.726070847571223</v>
      </c>
      <c r="O142" s="116" t="n">
        <f aca="false">O85*01_Supuestos!$I$101</f>
        <v>0.748785434310275</v>
      </c>
      <c r="P142" s="116" t="n">
        <f aca="false">P85*01_Supuestos!$I$101</f>
        <v>0.769004064771656</v>
      </c>
      <c r="Q142" s="116" t="n">
        <f aca="false">Q85*01_Supuestos!$I$101</f>
        <v>0.786725810417187</v>
      </c>
      <c r="R142" s="116" t="n">
        <f aca="false">R85*01_Supuestos!$I$101</f>
        <v>0.802527861757349</v>
      </c>
      <c r="S142" s="116" t="n">
        <f aca="false">S85*01_Supuestos!$I$101</f>
        <v>0.816883958123022</v>
      </c>
      <c r="T142" s="116" t="n">
        <f aca="false">T85*01_Supuestos!$I$101</f>
        <v>0.830195850556727</v>
      </c>
      <c r="U142" s="116" t="n">
        <f aca="false">U85*01_Supuestos!$I$101</f>
        <v>0.843578398611713</v>
      </c>
      <c r="V142" s="116" t="n">
        <f aca="false">V85*01_Supuestos!$I$101</f>
        <v>0.857023698099826</v>
      </c>
      <c r="W142" s="116" t="n">
        <f aca="false">W85*01_Supuestos!$I$101</f>
        <v>0.870233431239611</v>
      </c>
      <c r="X142" s="116" t="n">
        <f aca="false">X85*01_Supuestos!$I$101</f>
        <v>0.883200006123768</v>
      </c>
      <c r="Y142" s="116" t="n">
        <f aca="false">Y85*01_Supuestos!$I$101</f>
        <v>0.895915856115974</v>
      </c>
      <c r="Z142" s="116" t="n">
        <f aca="false">Z85*01_Supuestos!$I$101</f>
        <v>0.908373438243864</v>
      </c>
      <c r="AA142" s="116" t="n">
        <f aca="false">AA85*01_Supuestos!$I$101</f>
        <v>0.92056523166025</v>
      </c>
      <c r="AB142" s="116" t="n">
        <f aca="false">AB85*01_Supuestos!$I$101</f>
        <v>0.930115184548384</v>
      </c>
      <c r="AC142" s="116" t="n">
        <f aca="false">AC85*01_Supuestos!$I$101</f>
        <v>0.93943490869722</v>
      </c>
      <c r="AD142" s="116" t="n">
        <f aca="false">AD85*01_Supuestos!$I$101</f>
        <v>0.948518089583492</v>
      </c>
      <c r="AE142" s="116" t="n">
        <f aca="false">AE85*01_Supuestos!$I$101</f>
        <v>0.95735871642881</v>
      </c>
      <c r="AF142" s="116" t="n">
        <f aca="false">AF85*01_Supuestos!$I$101</f>
        <v>0.965951066589471</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-18.8323185832014</v>
      </c>
      <c r="D148" s="136" t="n">
        <f aca="false">D140+D141+D142+D144+D145+D146+D147</f>
        <v>-18.7932600627766</v>
      </c>
      <c r="E148" s="136" t="n">
        <f aca="false">E140+E141+E142+E144+E145+E146+E147</f>
        <v>-18.8291811839185</v>
      </c>
      <c r="F148" s="136" t="n">
        <f aca="false">F140+F141+F142+F144+F145+F146+F147</f>
        <v>-18.7764678286133</v>
      </c>
      <c r="G148" s="136" t="n">
        <f aca="false">G140+G141+G142+G144+G145+G146+G147</f>
        <v>-18.6230723782413</v>
      </c>
      <c r="H148" s="136" t="n">
        <f aca="false">H140+H141+H142+H144+H145+H146+H147</f>
        <v>-18.5110630599064</v>
      </c>
      <c r="I148" s="136" t="n">
        <f aca="false">I140+I141+I142+I144+I145+I146+I147</f>
        <v>-18.4275162286774</v>
      </c>
      <c r="J148" s="136" t="n">
        <f aca="false">J140+J141+J142+J144+J145+J146+J147</f>
        <v>-18.3673448669333</v>
      </c>
      <c r="K148" s="136" t="n">
        <f aca="false">K140+K141+K142+K144+K145+K146+K147</f>
        <v>-18.3928197680748</v>
      </c>
      <c r="L148" s="136" t="n">
        <f aca="false">L140+L141+L142+L144+L145+L146+L147</f>
        <v>-18.4162268957928</v>
      </c>
      <c r="M148" s="136" t="n">
        <f aca="false">M140+M141+M142+M144+M145+M146+M147</f>
        <v>2.28811736876961</v>
      </c>
      <c r="N148" s="136" t="n">
        <f aca="false">N140+N141+N142+N144+N145+N146+N147</f>
        <v>2.34291345614573</v>
      </c>
      <c r="O148" s="136" t="n">
        <f aca="false">O140+O141+O142+O144+O145+O146+O147</f>
        <v>2.30826789438821</v>
      </c>
      <c r="P148" s="136" t="n">
        <f aca="false">P140+P141+P142+P144+P145+P146+P147</f>
        <v>2.28317852689214</v>
      </c>
      <c r="Q148" s="136" t="n">
        <f aca="false">Q140+Q141+Q142+Q144+Q145+Q146+Q147</f>
        <v>2.26704585938201</v>
      </c>
      <c r="R148" s="136" t="n">
        <f aca="false">R140+R141+R142+R144+R145+R146+R147</f>
        <v>2.25668417280254</v>
      </c>
      <c r="S148" s="136" t="n">
        <f aca="false">S140+S141+S142+S144+S145+S146+S147</f>
        <v>2.25032881827701</v>
      </c>
      <c r="T148" s="136" t="n">
        <f aca="false">T140+T141+T142+T144+T145+T146+T147</f>
        <v>2.24651599691796</v>
      </c>
      <c r="U148" s="136" t="n">
        <f aca="false">U140+U141+U142+U144+U145+U146+U147</f>
        <v>2.24036023326675</v>
      </c>
      <c r="V148" s="136" t="n">
        <f aca="false">V140+V141+V142+V144+V145+V146+V147</f>
        <v>2.22871453726005</v>
      </c>
      <c r="W148" s="136" t="n">
        <f aca="false">W140+W141+W142+W144+W145+W146+W147</f>
        <v>2.21411384495436</v>
      </c>
      <c r="X148" s="136" t="n">
        <f aca="false">X140+X141+X142+X144+X145+X146+X147</f>
        <v>2.19704111118763</v>
      </c>
      <c r="Y148" s="136" t="n">
        <f aca="false">Y140+Y141+Y142+Y144+Y145+Y146+Y147</f>
        <v>2.17752769504752</v>
      </c>
      <c r="Z148" s="136" t="n">
        <f aca="false">Z140+Z141+Z142+Z144+Z145+Z146+Z147</f>
        <v>2.15560078442767</v>
      </c>
      <c r="AA148" s="136" t="n">
        <f aca="false">AA140+AA141+AA142+AA144+AA145+AA146+AA147</f>
        <v>2.13128360464646</v>
      </c>
      <c r="AB148" s="136" t="n">
        <f aca="false">AB140+AB141+AB142+AB144+AB145+AB146+AB147</f>
        <v>1.28135119510268</v>
      </c>
      <c r="AC148" s="136" t="n">
        <f aca="false">AC140+AC141+AC142+AC144+AC145+AC146+AC147</f>
        <v>0.389295052033254</v>
      </c>
      <c r="AD148" s="136" t="n">
        <f aca="false">AD140+AD141+AD142+AD144+AD145+AD146+AD147</f>
        <v>-0.546366202135745</v>
      </c>
      <c r="AE148" s="136" t="n">
        <f aca="false">AE140+AE141+AE142+AE144+AE145+AE146+AE147</f>
        <v>-1.52716547089847</v>
      </c>
      <c r="AF148" s="136" t="n">
        <f aca="false">AF140+AF141+AF142+AF144+AF145+AF146+AF147</f>
        <v>-2.55468866345048</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-18.8323185832014</v>
      </c>
      <c r="D149" s="138" t="n">
        <f aca="false">C149+D148</f>
        <v>-37.625578645978</v>
      </c>
      <c r="E149" s="138" t="n">
        <f aca="false">D149+E148</f>
        <v>-56.4547598298965</v>
      </c>
      <c r="F149" s="138" t="n">
        <f aca="false">E149+F148</f>
        <v>-75.2312276585098</v>
      </c>
      <c r="G149" s="138" t="n">
        <f aca="false">F149+G148</f>
        <v>-93.8543000367511</v>
      </c>
      <c r="H149" s="138" t="n">
        <f aca="false">G149+H148</f>
        <v>-112.365363096658</v>
      </c>
      <c r="I149" s="138" t="n">
        <f aca="false">H149+I148</f>
        <v>-130.792879325335</v>
      </c>
      <c r="J149" s="138" t="n">
        <f aca="false">I149+J148</f>
        <v>-149.160224192268</v>
      </c>
      <c r="K149" s="138" t="n">
        <f aca="false">J149+K148</f>
        <v>-167.553043960343</v>
      </c>
      <c r="L149" s="138" t="n">
        <f aca="false">K149+L148</f>
        <v>-185.969270856136</v>
      </c>
      <c r="M149" s="138" t="n">
        <f aca="false">L149+M148</f>
        <v>-183.681153487366</v>
      </c>
      <c r="N149" s="138" t="n">
        <f aca="false">M149+N148</f>
        <v>-181.33824003122</v>
      </c>
      <c r="O149" s="138" t="n">
        <f aca="false">N149+O148</f>
        <v>-179.029972136832</v>
      </c>
      <c r="P149" s="138" t="n">
        <f aca="false">O149+P148</f>
        <v>-176.74679360994</v>
      </c>
      <c r="Q149" s="138" t="n">
        <f aca="false">P149+Q148</f>
        <v>-174.479747750558</v>
      </c>
      <c r="R149" s="138" t="n">
        <f aca="false">Q149+R148</f>
        <v>-172.223063577755</v>
      </c>
      <c r="S149" s="138" t="n">
        <f aca="false">R149+S148</f>
        <v>-169.972734759478</v>
      </c>
      <c r="T149" s="138" t="n">
        <f aca="false">S149+T148</f>
        <v>-167.726218762561</v>
      </c>
      <c r="U149" s="138" t="n">
        <f aca="false">T149+U148</f>
        <v>-165.485858529294</v>
      </c>
      <c r="V149" s="138" t="n">
        <f aca="false">U149+V148</f>
        <v>-163.257143992034</v>
      </c>
      <c r="W149" s="138" t="n">
        <f aca="false">V149+W148</f>
        <v>-161.043030147079</v>
      </c>
      <c r="X149" s="138" t="n">
        <f aca="false">W149+X148</f>
        <v>-158.845989035892</v>
      </c>
      <c r="Y149" s="138" t="n">
        <f aca="false">X149+Y148</f>
        <v>-156.668461340844</v>
      </c>
      <c r="Z149" s="138" t="n">
        <f aca="false">Y149+Z148</f>
        <v>-154.512860556417</v>
      </c>
      <c r="AA149" s="138" t="n">
        <f aca="false">Z149+AA148</f>
        <v>-152.38157695177</v>
      </c>
      <c r="AB149" s="138" t="n">
        <f aca="false">AA149+AB148</f>
        <v>-151.100225756667</v>
      </c>
      <c r="AC149" s="138" t="n">
        <f aca="false">AB149+AC148</f>
        <v>-150.710930704634</v>
      </c>
      <c r="AD149" s="138" t="n">
        <f aca="false">AC149+AD148</f>
        <v>-151.25729690677</v>
      </c>
      <c r="AE149" s="138" t="n">
        <f aca="false">AD149+AE148</f>
        <v>-152.784462377668</v>
      </c>
      <c r="AF149" s="138" t="n">
        <f aca="false">AE149+AF148</f>
        <v>-155.339151041119</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6.88634987596409</v>
      </c>
      <c r="D152" s="116" t="n">
        <f aca="false">D83</f>
        <v>17.9891896948854</v>
      </c>
      <c r="E152" s="116" t="n">
        <f aca="false">E83</f>
        <v>31.5940666948854</v>
      </c>
      <c r="F152" s="116" t="n">
        <f aca="false">F83</f>
        <v>45.5118558658854</v>
      </c>
      <c r="G152" s="116" t="n">
        <f aca="false">G83</f>
        <v>59.7497541878184</v>
      </c>
      <c r="H152" s="116" t="n">
        <f aca="false">H83</f>
        <v>74.3151241711558</v>
      </c>
      <c r="I152" s="116" t="n">
        <f aca="false">I83</f>
        <v>89.21549766411</v>
      </c>
      <c r="J152" s="116" t="n">
        <f aca="false">J83</f>
        <v>104.458579747402</v>
      </c>
      <c r="K152" s="116" t="n">
        <f aca="false">K83</f>
        <v>120.05225271861</v>
      </c>
      <c r="L152" s="116" t="n">
        <f aca="false">L83</f>
        <v>136.004580168156</v>
      </c>
      <c r="M152" s="116" t="n">
        <f aca="false">M83</f>
        <v>152.323811149041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193.15848872137</v>
      </c>
      <c r="W152" s="116" t="n">
        <f aca="false">W83</f>
        <v>196.030818815448</v>
      </c>
      <c r="X152" s="116" t="n">
        <f aca="false">X83</f>
        <v>198.84439784146</v>
      </c>
      <c r="Y152" s="116" t="n">
        <f aca="false">Y83</f>
        <v>201.599071573836</v>
      </c>
      <c r="Z152" s="116" t="n">
        <f aca="false">Z83</f>
        <v>204.294690894505</v>
      </c>
      <c r="AA152" s="116" t="n">
        <f aca="false">AA83</f>
        <v>206.931111445608</v>
      </c>
      <c r="AB152" s="116" t="n">
        <f aca="false">AB83</f>
        <v>208.824098238327</v>
      </c>
      <c r="AC152" s="116" t="n">
        <f aca="false">AC83</f>
        <v>210.68313644202</v>
      </c>
      <c r="AD152" s="116" t="n">
        <f aca="false">AD83</f>
        <v>212.506817736111</v>
      </c>
      <c r="AE152" s="116" t="n">
        <f aca="false">AE83</f>
        <v>214.293801119099</v>
      </c>
      <c r="AF152" s="116" t="n">
        <f aca="false">AF83</f>
        <v>216.042809433278</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19.3000595345486</v>
      </c>
      <c r="D153" s="116" t="n">
        <f aca="false">D120</f>
        <v>36.7242297723296</v>
      </c>
      <c r="E153" s="116" t="n">
        <f aca="false">E120</f>
        <v>53.4225244442404</v>
      </c>
      <c r="F153" s="116" t="n">
        <f aca="false">F120</f>
        <v>63.5043824536455</v>
      </c>
      <c r="G153" s="116" t="n">
        <f aca="false">G120</f>
        <v>72.0812654957629</v>
      </c>
      <c r="H153" s="116" t="n">
        <f aca="false">H120</f>
        <v>80.0128603657474</v>
      </c>
      <c r="I153" s="116" t="n">
        <f aca="false">I120</f>
        <v>87.5644826424964</v>
      </c>
      <c r="J153" s="116" t="n">
        <f aca="false">J120</f>
        <v>95.0340905722243</v>
      </c>
      <c r="K153" s="116" t="n">
        <f aca="false">K120</f>
        <v>104.126852148077</v>
      </c>
      <c r="L153" s="116" t="n">
        <f aca="false">L120</f>
        <v>114.11836372558</v>
      </c>
      <c r="M153" s="116" t="n">
        <f aca="false">M120</f>
        <v>108.562102191694</v>
      </c>
      <c r="N153" s="116" t="n">
        <f aca="false">N120</f>
        <v>104.959960220012</v>
      </c>
      <c r="O153" s="116" t="n">
        <f aca="false">O120</f>
        <v>103.008183840249</v>
      </c>
      <c r="P153" s="116" t="n">
        <f aca="false">P120</f>
        <v>100.977165060296</v>
      </c>
      <c r="Q153" s="116" t="n">
        <f aca="false">Q120</f>
        <v>98.7841534531252</v>
      </c>
      <c r="R153" s="116" t="n">
        <f aca="false">R120</f>
        <v>96.3647379265796</v>
      </c>
      <c r="S153" s="116" t="n">
        <f aca="false">S120</f>
        <v>93.668506263975</v>
      </c>
      <c r="T153" s="116" t="n">
        <f aca="false">T120</f>
        <v>90.6565224441221</v>
      </c>
      <c r="U153" s="116" t="n">
        <f aca="false">U120</f>
        <v>87.3220177913526</v>
      </c>
      <c r="V153" s="116" t="n">
        <f aca="false">V120</f>
        <v>83.9997455597508</v>
      </c>
      <c r="W153" s="116" t="n">
        <f aca="false">W120</f>
        <v>80.4316102771548</v>
      </c>
      <c r="X153" s="116" t="n">
        <f aca="false">X120</f>
        <v>76.5706043855221</v>
      </c>
      <c r="Y153" s="116" t="n">
        <f aca="false">Y120</f>
        <v>72.4188950895204</v>
      </c>
      <c r="Z153" s="116" t="n">
        <f aca="false">Z120</f>
        <v>67.9782580694281</v>
      </c>
      <c r="AA153" s="116" t="n">
        <f aca="false">AA120</f>
        <v>63.2500972404391</v>
      </c>
      <c r="AB153" s="116" t="n">
        <f aca="false">AB120</f>
        <v>59.3185840596159</v>
      </c>
      <c r="AC153" s="116" t="n">
        <f aca="false">AC120</f>
        <v>56.0234734884803</v>
      </c>
      <c r="AD153" s="116" t="n">
        <f aca="false">AD120</f>
        <v>53.4373763451946</v>
      </c>
      <c r="AE153" s="116" t="n">
        <f aca="false">AE120</f>
        <v>51.6367241267461</v>
      </c>
      <c r="AF153" s="116" t="n">
        <f aca="false">AF120</f>
        <v>50.7019736672074</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0.781764299547855</v>
      </c>
      <c r="E154" s="116" t="n">
        <f aca="false">E104</f>
        <v>1.43719072991873</v>
      </c>
      <c r="F154" s="116" t="n">
        <f aca="false">F104</f>
        <v>2.94100610175068</v>
      </c>
      <c r="G154" s="116" t="n">
        <f aca="false">G104</f>
        <v>4.44480744815791</v>
      </c>
      <c r="H154" s="116" t="n">
        <f aca="false">H104</f>
        <v>5.68777658499661</v>
      </c>
      <c r="I154" s="116" t="n">
        <f aca="false">I104</f>
        <v>6.7751310509225</v>
      </c>
      <c r="J154" s="116" t="n">
        <f aca="false">J104</f>
        <v>7.72795003220242</v>
      </c>
      <c r="K154" s="116" t="n">
        <f aca="false">K104</f>
        <v>8.04259235199898</v>
      </c>
      <c r="L154" s="116" t="n">
        <f aca="false">L104</f>
        <v>8.35748903018525</v>
      </c>
      <c r="M154" s="116" t="n">
        <f aca="false">M104</f>
        <v>8.66655656398049</v>
      </c>
      <c r="N154" s="116" t="n">
        <f aca="false">N104</f>
        <v>8.96383762433609</v>
      </c>
      <c r="O154" s="116" t="n">
        <f aca="false">O104</f>
        <v>9.2442646211145</v>
      </c>
      <c r="P154" s="116" t="n">
        <f aca="false">P104</f>
        <v>9.49387734285995</v>
      </c>
      <c r="Q154" s="116" t="n">
        <f aca="false">Q104</f>
        <v>9.71266432613811</v>
      </c>
      <c r="R154" s="116" t="n">
        <f aca="false">R104</f>
        <v>9.90775137972035</v>
      </c>
      <c r="S154" s="116" t="n">
        <f aca="false">S104</f>
        <v>10.0849871373213</v>
      </c>
      <c r="T154" s="116" t="n">
        <f aca="false">T104</f>
        <v>10.2493314883547</v>
      </c>
      <c r="U154" s="116" t="n">
        <f aca="false">U104</f>
        <v>10.4145481310088</v>
      </c>
      <c r="V154" s="116" t="n">
        <f aca="false">V104</f>
        <v>10.5805394827139</v>
      </c>
      <c r="W154" s="116" t="n">
        <f aca="false">W104</f>
        <v>10.7436226078964</v>
      </c>
      <c r="X154" s="116" t="n">
        <f aca="false">X104</f>
        <v>10.9037037793058</v>
      </c>
      <c r="Y154" s="116" t="n">
        <f aca="false">Y104</f>
        <v>11.0606895816787</v>
      </c>
      <c r="Z154" s="116" t="n">
        <f aca="false">Z104</f>
        <v>11.2144868918996</v>
      </c>
      <c r="AA154" s="116" t="n">
        <f aca="false">AA104</f>
        <v>11.3650028600031</v>
      </c>
      <c r="AB154" s="116" t="n">
        <f aca="false">AB104</f>
        <v>11.482903512943</v>
      </c>
      <c r="AC154" s="116" t="n">
        <f aca="false">AC104</f>
        <v>11.5979618357681</v>
      </c>
      <c r="AD154" s="116" t="n">
        <f aca="false">AD104</f>
        <v>11.7100998714011</v>
      </c>
      <c r="AE154" s="116" t="n">
        <f aca="false">AE104</f>
        <v>11.8192434127014</v>
      </c>
      <c r="AF154" s="116" t="n">
        <f aca="false">AF104</f>
        <v>11.9253218097466</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16.4793494096682</v>
      </c>
      <c r="G155" s="116" t="n">
        <f aca="false">G70+G121-G227</f>
        <v>32.71326087483</v>
      </c>
      <c r="H155" s="116" t="n">
        <f aca="false">H70+H121-H227</f>
        <v>48.9504167038027</v>
      </c>
      <c r="I155" s="116" t="n">
        <f aca="false">I70+I121-I227</f>
        <v>65.1909314226286</v>
      </c>
      <c r="J155" s="116" t="n">
        <f aca="false">J70+J121-J227</f>
        <v>81.4349236001197</v>
      </c>
      <c r="K155" s="116" t="n">
        <f aca="false">K70+K121-K227</f>
        <v>88.4488451420297</v>
      </c>
      <c r="L155" s="116" t="n">
        <f aca="false">L70+L121-L227</f>
        <v>95.4627666839397</v>
      </c>
      <c r="M155" s="116" t="n">
        <f aca="false">M70+M121-M227</f>
        <v>98.2583405071303</v>
      </c>
      <c r="N155" s="116" t="n">
        <f aca="false">N70+N121-N227</f>
        <v>101.057909422759</v>
      </c>
      <c r="O155" s="116" t="n">
        <f aca="false">O70+O121-O227</f>
        <v>103.86161445759</v>
      </c>
      <c r="P155" s="116" t="n">
        <f aca="false">P70+P121-P227</f>
        <v>106.669601616631</v>
      </c>
      <c r="Q155" s="116" t="n">
        <f aca="false">Q70+Q121-Q227</f>
        <v>109.482022058865</v>
      </c>
      <c r="R155" s="116" t="n">
        <f aca="false">R70+R121-R227</f>
        <v>112.299032279191</v>
      </c>
      <c r="S155" s="116" t="n">
        <f aca="false">S70+S121-S227</f>
        <v>115.120794296774</v>
      </c>
      <c r="T155" s="116" t="n">
        <f aca="false">T70+T121-T227</f>
        <v>117.947475850057</v>
      </c>
      <c r="U155" s="116" t="n">
        <f aca="false">U70+U121-U227</f>
        <v>120.779250598652</v>
      </c>
      <c r="V155" s="116" t="n">
        <f aca="false">V70+V121-V227</f>
        <v>123.616298332351</v>
      </c>
      <c r="W155" s="116" t="n">
        <f aca="false">W70+W121-W227</f>
        <v>126.458805187531</v>
      </c>
      <c r="X155" s="116" t="n">
        <f aca="false">X70+X121-X227</f>
        <v>129.306963871178</v>
      </c>
      <c r="Y155" s="116" t="n">
        <f aca="false">Y70+Y121-Y227</f>
        <v>132.160973892838</v>
      </c>
      <c r="Z155" s="116" t="n">
        <f aca="false">Z70+Z121-Z227</f>
        <v>135.021041804743</v>
      </c>
      <c r="AA155" s="116" t="n">
        <f aca="false">AA70+AA121-AA227</f>
        <v>137.887381450418</v>
      </c>
      <c r="AB155" s="116" t="n">
        <f aca="false">AB70+AB121-AB227</f>
        <v>140.760214222065</v>
      </c>
      <c r="AC155" s="116" t="n">
        <f aca="false">AC70+AC121-AC227</f>
        <v>143.639769327032</v>
      </c>
      <c r="AD155" s="116" t="n">
        <f aca="false">AD70+AD121-AD227</f>
        <v>146.526284063683</v>
      </c>
      <c r="AE155" s="116" t="n">
        <f aca="false">AE70+AE121-AE227</f>
        <v>149.420004107019</v>
      </c>
      <c r="AF155" s="116" t="n">
        <f aca="false">AF70+AF121-AF227</f>
        <v>152.321183804364</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26.2664094105126</v>
      </c>
      <c r="D156" s="136" t="n">
        <f aca="false">SUM(D152:D155)+D187</f>
        <v>55.6580077667628</v>
      </c>
      <c r="E156" s="136" t="n">
        <f aca="false">SUM(E152:E155)+E187</f>
        <v>86.7023535562445</v>
      </c>
      <c r="F156" s="136" t="n">
        <f aca="false">SUM(F152:F155)+F187</f>
        <v>128.43659383095</v>
      </c>
      <c r="G156" s="136" t="n">
        <f aca="false">SUM(G152:G155)+G187</f>
        <v>168.989088006569</v>
      </c>
      <c r="H156" s="136" t="n">
        <f aca="false">SUM(H152:H155)+H187</f>
        <v>208.966177825702</v>
      </c>
      <c r="I156" s="136" t="n">
        <f aca="false">SUM(I152:I155)+I187</f>
        <v>248.746042780158</v>
      </c>
      <c r="J156" s="136" t="n">
        <f aca="false">SUM(J152:J155)+J187</f>
        <v>288.655543951949</v>
      </c>
      <c r="K156" s="136" t="n">
        <f aca="false">SUM(K152:K155)+K187</f>
        <v>320.670542360716</v>
      </c>
      <c r="L156" s="136" t="n">
        <f aca="false">SUM(L152:L155)+L187</f>
        <v>353.94319960786</v>
      </c>
      <c r="M156" s="136" t="n">
        <f aca="false">SUM(M152:M155)+M187</f>
        <v>367.810810411846</v>
      </c>
      <c r="N156" s="136" t="n">
        <f aca="false">SUM(N152:N155)+N187</f>
        <v>377.065833693032</v>
      </c>
      <c r="O156" s="136" t="n">
        <f aca="false">SUM(O152:O155)+O187</f>
        <v>381.926124252675</v>
      </c>
      <c r="P156" s="136" t="n">
        <f aca="false">SUM(P152:P155)+P187</f>
        <v>386.766382764183</v>
      </c>
      <c r="Q156" s="136" t="n">
        <f aca="false">SUM(Q152:Q155)+Q187</f>
        <v>391.505970573646</v>
      </c>
      <c r="R156" s="136" t="n">
        <f aca="false">SUM(R152:R155)+R187</f>
        <v>396.089776327925</v>
      </c>
      <c r="S156" s="136" t="n">
        <f aca="false">SUM(S152:S155)+S187</f>
        <v>400.47546229958</v>
      </c>
      <c r="T156" s="136" t="n">
        <f aca="false">SUM(T152:T155)+T187</f>
        <v>404.631331399879</v>
      </c>
      <c r="U156" s="136" t="n">
        <f aca="false">SUM(U152:U155)+U187</f>
        <v>408.566712175557</v>
      </c>
      <c r="V156" s="136" t="n">
        <f aca="false">SUM(V152:V155)+V187</f>
        <v>411.355072096186</v>
      </c>
      <c r="W156" s="136" t="n">
        <f aca="false">SUM(W152:W155)+W187</f>
        <v>413.66485688803</v>
      </c>
      <c r="X156" s="136" t="n">
        <f aca="false">SUM(X152:X155)+X187</f>
        <v>415.625669877466</v>
      </c>
      <c r="Y156" s="136" t="n">
        <f aca="false">SUM(Y152:Y155)+Y187</f>
        <v>417.239630137874</v>
      </c>
      <c r="Z156" s="136" t="n">
        <f aca="false">SUM(Z152:Z155)+Z187</f>
        <v>418.508477660576</v>
      </c>
      <c r="AA156" s="136" t="n">
        <f aca="false">SUM(AA152:AA155)+AA187</f>
        <v>419.433592996468</v>
      </c>
      <c r="AB156" s="136" t="n">
        <f aca="false">SUM(AB152:AB155)+AB187</f>
        <v>420.385800032951</v>
      </c>
      <c r="AC156" s="136" t="n">
        <f aca="false">SUM(AC152:AC155)+AC187</f>
        <v>421.9443410933</v>
      </c>
      <c r="AD156" s="136" t="n">
        <f aca="false">SUM(AD152:AD155)+AD187</f>
        <v>424.18057801639</v>
      </c>
      <c r="AE156" s="136" t="n">
        <f aca="false">SUM(AE152:AE155)+AE187</f>
        <v>427.169772765565</v>
      </c>
      <c r="AF156" s="136" t="n">
        <f aca="false">SUM(AF152:AF155)+AF187</f>
        <v>430.991288714596</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11.8267027723829</v>
      </c>
      <c r="D157" s="116" t="n">
        <f aca="false">D69+D80+D121</f>
        <v>31.2705719819142</v>
      </c>
      <c r="E157" s="116" t="n">
        <f aca="false">E69+E80+E121</f>
        <v>57.4876291967492</v>
      </c>
      <c r="F157" s="116" t="n">
        <f aca="false">F69+F80+F121</f>
        <v>117.640244070027</v>
      </c>
      <c r="G157" s="116" t="n">
        <f aca="false">G69+G80+G121</f>
        <v>177.792297926316</v>
      </c>
      <c r="H157" s="116" t="n">
        <f aca="false">H69+H80+H121</f>
        <v>227.511063399864</v>
      </c>
      <c r="I157" s="116" t="n">
        <f aca="false">I69+I80+I121</f>
        <v>271.0052420369</v>
      </c>
      <c r="J157" s="116" t="n">
        <f aca="false">J69+J80+J121</f>
        <v>309.118001288097</v>
      </c>
      <c r="K157" s="116" t="n">
        <f aca="false">K69+K80+K121</f>
        <v>321.703694079959</v>
      </c>
      <c r="L157" s="116" t="n">
        <f aca="false">L69+L80+L121</f>
        <v>334.29956120741</v>
      </c>
      <c r="M157" s="116" t="n">
        <f aca="false">M69+M80+M121</f>
        <v>346.66226255922</v>
      </c>
      <c r="N157" s="116" t="n">
        <f aca="false">N69+N80+N121</f>
        <v>358.553504973444</v>
      </c>
      <c r="O157" s="116" t="n">
        <f aca="false">O69+O80+O121</f>
        <v>369.77058484458</v>
      </c>
      <c r="P157" s="116" t="n">
        <f aca="false">P69+P80+P121</f>
        <v>379.755093714398</v>
      </c>
      <c r="Q157" s="116" t="n">
        <f aca="false">Q69+Q80+Q121</f>
        <v>388.506573045524</v>
      </c>
      <c r="R157" s="116" t="n">
        <f aca="false">R69+R80+R121</f>
        <v>396.310055188814</v>
      </c>
      <c r="S157" s="116" t="n">
        <f aca="false">S69+S80+S121</f>
        <v>403.39948549285</v>
      </c>
      <c r="T157" s="116" t="n">
        <f aca="false">T69+T80+T121</f>
        <v>409.973259534186</v>
      </c>
      <c r="U157" s="116" t="n">
        <f aca="false">U69+U80+U121</f>
        <v>416.581925240352</v>
      </c>
      <c r="V157" s="116" t="n">
        <f aca="false">V69+V80+V121</f>
        <v>423.221579308556</v>
      </c>
      <c r="W157" s="116" t="n">
        <f aca="false">W69+W80+W121</f>
        <v>429.744904315857</v>
      </c>
      <c r="X157" s="116" t="n">
        <f aca="false">X69+X80+X121</f>
        <v>436.148151172231</v>
      </c>
      <c r="Y157" s="116" t="n">
        <f aca="false">Y69+Y80+Y121</f>
        <v>442.427583267148</v>
      </c>
      <c r="Z157" s="116" t="n">
        <f aca="false">Z69+Z80+Z121</f>
        <v>448.579475675982</v>
      </c>
      <c r="AA157" s="116" t="n">
        <f aca="false">AA69+AA80+AA121</f>
        <v>454.600114400124</v>
      </c>
      <c r="AB157" s="116" t="n">
        <f aca="false">AB69+AB80+AB121</f>
        <v>459.316140517721</v>
      </c>
      <c r="AC157" s="116" t="n">
        <f aca="false">AC69+AC80+AC121</f>
        <v>463.918473430726</v>
      </c>
      <c r="AD157" s="116" t="n">
        <f aca="false">AD69+AD80+AD121</f>
        <v>468.403994856046</v>
      </c>
      <c r="AE157" s="116" t="n">
        <f aca="false">AE69+AE80+AE121</f>
        <v>472.769736508054</v>
      </c>
      <c r="AF157" s="116" t="n">
        <f aca="false">AF69+AF80+AF121</f>
        <v>477.012872389862</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4.82044491317486</v>
      </c>
      <c r="D159" s="116" t="n">
        <f aca="false">D72</f>
        <v>12.5924327864198</v>
      </c>
      <c r="E159" s="116" t="n">
        <f aca="false">E72</f>
        <v>22.1158466864198</v>
      </c>
      <c r="F159" s="116" t="n">
        <f aca="false">F72</f>
        <v>31.8582991061198</v>
      </c>
      <c r="G159" s="116" t="n">
        <f aca="false">G72</f>
        <v>41.8248279314729</v>
      </c>
      <c r="H159" s="116" t="n">
        <f aca="false">H72</f>
        <v>52.0205869198091</v>
      </c>
      <c r="I159" s="116" t="n">
        <f aca="false">I72</f>
        <v>62.450848364877</v>
      </c>
      <c r="J159" s="116" t="n">
        <f aca="false">J72</f>
        <v>73.1210058231815</v>
      </c>
      <c r="K159" s="116" t="n">
        <f aca="false">K72</f>
        <v>84.036576903027</v>
      </c>
      <c r="L159" s="116" t="n">
        <f aca="false">L72</f>
        <v>95.203206117709</v>
      </c>
      <c r="M159" s="116" t="n">
        <f aca="false">M72</f>
        <v>106.626667804329</v>
      </c>
      <c r="N159" s="116" t="n">
        <f aca="false">N72</f>
        <v>113.458888498147</v>
      </c>
      <c r="O159" s="116" t="n">
        <f aca="false">O72</f>
        <v>116.068442933605</v>
      </c>
      <c r="P159" s="116" t="n">
        <f aca="false">P72</f>
        <v>118.738017121078</v>
      </c>
      <c r="Q159" s="116" t="n">
        <f aca="false">Q72</f>
        <v>121.468991514862</v>
      </c>
      <c r="R159" s="116" t="n">
        <f aca="false">R72</f>
        <v>124.262778319704</v>
      </c>
      <c r="S159" s="116" t="n">
        <f aca="false">S72</f>
        <v>127.120822221057</v>
      </c>
      <c r="T159" s="116" t="n">
        <f aca="false">T72</f>
        <v>130.044601132142</v>
      </c>
      <c r="U159" s="116" t="n">
        <f aca="false">U72</f>
        <v>133.035626958181</v>
      </c>
      <c r="V159" s="116" t="n">
        <f aca="false">V72</f>
        <v>135.210942104959</v>
      </c>
      <c r="W159" s="116" t="n">
        <f aca="false">W72</f>
        <v>137.221573170814</v>
      </c>
      <c r="X159" s="116" t="n">
        <f aca="false">X72</f>
        <v>139.191078489022</v>
      </c>
      <c r="Y159" s="116" t="n">
        <f aca="false">Y72</f>
        <v>141.119350101685</v>
      </c>
      <c r="Z159" s="116" t="n">
        <f aca="false">Z72</f>
        <v>143.006283626154</v>
      </c>
      <c r="AA159" s="116" t="n">
        <f aca="false">AA72</f>
        <v>144.851778011926</v>
      </c>
      <c r="AB159" s="116" t="n">
        <f aca="false">AB72</f>
        <v>146.176868766829</v>
      </c>
      <c r="AC159" s="116" t="n">
        <f aca="false">AC72</f>
        <v>147.478195509414</v>
      </c>
      <c r="AD159" s="116" t="n">
        <f aca="false">AD72</f>
        <v>148.754772415278</v>
      </c>
      <c r="AE159" s="116" t="n">
        <f aca="false">AE72</f>
        <v>150.00566078337</v>
      </c>
      <c r="AF159" s="116" t="n">
        <f aca="false">AF72</f>
        <v>151.229966603294</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16.6471476855577</v>
      </c>
      <c r="D160" s="136" t="n">
        <f aca="false">SUM(D157:D159)</f>
        <v>43.863004768334</v>
      </c>
      <c r="E160" s="136" t="n">
        <f aca="false">SUM(E157:E159)</f>
        <v>79.6034758831689</v>
      </c>
      <c r="F160" s="136" t="n">
        <f aca="false">SUM(F157:F159)</f>
        <v>149.498543176147</v>
      </c>
      <c r="G160" s="136" t="n">
        <f aca="false">SUM(G157:G159)</f>
        <v>219.617125857789</v>
      </c>
      <c r="H160" s="136" t="n">
        <f aca="false">SUM(H157:H159)</f>
        <v>279.531650319673</v>
      </c>
      <c r="I160" s="136" t="n">
        <f aca="false">SUM(I157:I159)</f>
        <v>333.456090401777</v>
      </c>
      <c r="J160" s="136" t="n">
        <f aca="false">SUM(J157:J159)</f>
        <v>382.239007111278</v>
      </c>
      <c r="K160" s="136" t="n">
        <f aca="false">SUM(K157:K159)</f>
        <v>405.740270982986</v>
      </c>
      <c r="L160" s="136" t="n">
        <f aca="false">SUM(L157:L159)</f>
        <v>429.502767325119</v>
      </c>
      <c r="M160" s="136" t="n">
        <f aca="false">SUM(M157:M159)</f>
        <v>453.288930363548</v>
      </c>
      <c r="N160" s="136" t="n">
        <f aca="false">SUM(N157:N159)</f>
        <v>472.012393471591</v>
      </c>
      <c r="O160" s="136" t="n">
        <f aca="false">SUM(O157:O159)</f>
        <v>485.839027778185</v>
      </c>
      <c r="P160" s="136" t="n">
        <f aca="false">SUM(P157:P159)</f>
        <v>498.493110835476</v>
      </c>
      <c r="Q160" s="136" t="n">
        <f aca="false">SUM(Q157:Q159)</f>
        <v>509.975564560387</v>
      </c>
      <c r="R160" s="136" t="n">
        <f aca="false">SUM(R157:R159)</f>
        <v>520.572833508518</v>
      </c>
      <c r="S160" s="136" t="n">
        <f aca="false">SUM(S157:S159)</f>
        <v>530.520307713908</v>
      </c>
      <c r="T160" s="136" t="n">
        <f aca="false">SUM(T157:T159)</f>
        <v>540.017860666328</v>
      </c>
      <c r="U160" s="136" t="n">
        <f aca="false">SUM(U157:U159)</f>
        <v>549.617552198533</v>
      </c>
      <c r="V160" s="136" t="n">
        <f aca="false">SUM(V157:V159)</f>
        <v>558.432521413515</v>
      </c>
      <c r="W160" s="136" t="n">
        <f aca="false">SUM(W157:W159)</f>
        <v>566.966477486671</v>
      </c>
      <c r="X160" s="136" t="n">
        <f aca="false">SUM(X157:X159)</f>
        <v>575.339229661253</v>
      </c>
      <c r="Y160" s="136" t="n">
        <f aca="false">SUM(Y157:Y159)</f>
        <v>583.546933368833</v>
      </c>
      <c r="Z160" s="136" t="n">
        <f aca="false">SUM(Z157:Z159)</f>
        <v>591.585759302136</v>
      </c>
      <c r="AA160" s="136" t="n">
        <f aca="false">SUM(AA157:AA159)</f>
        <v>599.451892412049</v>
      </c>
      <c r="AB160" s="136" t="n">
        <f aca="false">SUM(AB157:AB159)</f>
        <v>605.49300928455</v>
      </c>
      <c r="AC160" s="136" t="n">
        <f aca="false">SUM(AC157:AC159)</f>
        <v>611.39666894014</v>
      </c>
      <c r="AD160" s="136" t="n">
        <f aca="false">SUM(AD157:AD159)</f>
        <v>617.158767271323</v>
      </c>
      <c r="AE160" s="136" t="n">
        <f aca="false">SUM(AE157:AE159)</f>
        <v>622.775397291424</v>
      </c>
      <c r="AF160" s="136" t="n">
        <f aca="false">SUM(AF157:AF159)</f>
        <v>628.242838993157</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9.61926172495492</v>
      </c>
      <c r="D161" s="138" t="n">
        <f aca="false">D156-D160</f>
        <v>11.7950029984289</v>
      </c>
      <c r="E161" s="138" t="n">
        <f aca="false">E156-E160</f>
        <v>7.09887767307552</v>
      </c>
      <c r="F161" s="138" t="n">
        <f aca="false">F156-F160</f>
        <v>-21.0619493451973</v>
      </c>
      <c r="G161" s="138" t="n">
        <f aca="false">G156-G160</f>
        <v>-50.6280378512201</v>
      </c>
      <c r="H161" s="138" t="n">
        <f aca="false">H156-H160</f>
        <v>-70.5654724939709</v>
      </c>
      <c r="I161" s="138" t="n">
        <f aca="false">I156-I160</f>
        <v>-84.7100476216196</v>
      </c>
      <c r="J161" s="138" t="n">
        <f aca="false">J156-J160</f>
        <v>-93.5834631593298</v>
      </c>
      <c r="K161" s="138" t="n">
        <f aca="false">K156-K160</f>
        <v>-85.0697286222701</v>
      </c>
      <c r="L161" s="138" t="n">
        <f aca="false">L156-L160</f>
        <v>-75.5595677172586</v>
      </c>
      <c r="M161" s="138" t="n">
        <f aca="false">M156-M160</f>
        <v>-85.4781199517022</v>
      </c>
      <c r="N161" s="138" t="n">
        <f aca="false">N156-N160</f>
        <v>-94.9465597785591</v>
      </c>
      <c r="O161" s="138" t="n">
        <f aca="false">O156-O160</f>
        <v>-103.91290352551</v>
      </c>
      <c r="P161" s="138" t="n">
        <f aca="false">P156-P160</f>
        <v>-111.726728071293</v>
      </c>
      <c r="Q161" s="138" t="n">
        <f aca="false">Q156-Q160</f>
        <v>-118.46959398674</v>
      </c>
      <c r="R161" s="138" t="n">
        <f aca="false">R156-R160</f>
        <v>-124.483057180593</v>
      </c>
      <c r="S161" s="138" t="n">
        <f aca="false">S156-S160</f>
        <v>-130.044845414327</v>
      </c>
      <c r="T161" s="138" t="n">
        <f aca="false">T156-T160</f>
        <v>-135.386529266449</v>
      </c>
      <c r="U161" s="138" t="n">
        <f aca="false">U156-U160</f>
        <v>-141.050840022976</v>
      </c>
      <c r="V161" s="138" t="n">
        <f aca="false">V156-V160</f>
        <v>-147.077449317329</v>
      </c>
      <c r="W161" s="138" t="n">
        <f aca="false">W156-W160</f>
        <v>-153.301620598641</v>
      </c>
      <c r="X161" s="138" t="n">
        <f aca="false">X156-X160</f>
        <v>-159.713559783787</v>
      </c>
      <c r="Y161" s="138" t="n">
        <f aca="false">Y156-Y160</f>
        <v>-166.307303230959</v>
      </c>
      <c r="Z161" s="138" t="n">
        <f aca="false">Z156-Z160</f>
        <v>-173.07728164156</v>
      </c>
      <c r="AA161" s="138" t="n">
        <f aca="false">AA156-AA160</f>
        <v>-180.018299415581</v>
      </c>
      <c r="AB161" s="138" t="n">
        <f aca="false">AB156-AB160</f>
        <v>-185.107209251598</v>
      </c>
      <c r="AC161" s="138" t="n">
        <f aca="false">AC156-AC160</f>
        <v>-189.45232784684</v>
      </c>
      <c r="AD161" s="138" t="n">
        <f aca="false">AD156-AD160</f>
        <v>-192.978189254933</v>
      </c>
      <c r="AE161" s="138" t="n">
        <f aca="false">AE156-AE160</f>
        <v>-195.605624525858</v>
      </c>
      <c r="AF161" s="138" t="n">
        <f aca="false">AF156-AF160</f>
        <v>-197.251550278561</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11.8267027723829</v>
      </c>
      <c r="D162" s="116" t="n">
        <f aca="false">D48+D50+(D80-C80)-D63</f>
        <v>19.4438692095313</v>
      </c>
      <c r="E162" s="116" t="n">
        <f aca="false">E48+E50+(E80-D80)-E63</f>
        <v>26.217057214835</v>
      </c>
      <c r="F162" s="116" t="n">
        <f aca="false">F48+F50+(F80-E80)-F63</f>
        <v>48.3421348732781</v>
      </c>
      <c r="G162" s="116" t="n">
        <f aca="false">G48+G50+(G80-F80)-G63</f>
        <v>48.3415738562892</v>
      </c>
      <c r="H162" s="116" t="n">
        <f aca="false">H48+H50+(H80-G80)-H63</f>
        <v>37.9082854735478</v>
      </c>
      <c r="I162" s="116" t="n">
        <f aca="false">I48+I50+(I80-H80)-I63</f>
        <v>31.6836986370359</v>
      </c>
      <c r="J162" s="116" t="n">
        <f aca="false">J48+J50+(J80-I80)-J63</f>
        <v>26.3022792511968</v>
      </c>
      <c r="K162" s="116" t="n">
        <f aca="false">K48+K50+(K80-J80)-K63</f>
        <v>9.90329439186205</v>
      </c>
      <c r="L162" s="116" t="n">
        <f aca="false">L48+L50+(L80-K80)-L63</f>
        <v>9.91346872745088</v>
      </c>
      <c r="M162" s="116" t="n">
        <f aca="false">M48+M50+(M80-L80)-M63</f>
        <v>9.68030295180989</v>
      </c>
      <c r="N162" s="116" t="n">
        <f aca="false">N48+N50+(N80-M80)-N63</f>
        <v>9.20884401422391</v>
      </c>
      <c r="O162" s="116" t="n">
        <f aca="false">O48+O50+(O80-N80)-O63</f>
        <v>8.53468147113642</v>
      </c>
      <c r="P162" s="116" t="n">
        <f aca="false">P48+P50+(P80-O80)-P63</f>
        <v>7.30211046981801</v>
      </c>
      <c r="Q162" s="116" t="n">
        <f aca="false">Q48+Q50+(Q80-P80)-Q63</f>
        <v>6.06908093112626</v>
      </c>
      <c r="R162" s="116" t="n">
        <f aca="false">R48+R50+(R80-Q80)-R63</f>
        <v>5.12108374328976</v>
      </c>
      <c r="S162" s="116" t="n">
        <f aca="false">S48+S50+(S80-R80)-S63</f>
        <v>4.40703190403636</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3.46949400883475</v>
      </c>
      <c r="AA162" s="116" t="n">
        <f aca="false">AA48+AA50+(AA80-Z80)-AA63</f>
        <v>3.33824032414112</v>
      </c>
      <c r="AB162" s="116" t="n">
        <f aca="false">AB48+AB50+(AB80-AA80)-AB63</f>
        <v>2.03362771759694</v>
      </c>
      <c r="AC162" s="116" t="n">
        <f aca="false">AC48+AC50+(AC80-AB80)-AC63</f>
        <v>1.91993451300528</v>
      </c>
      <c r="AD162" s="116" t="n">
        <f aca="false">AD48+AD50+(AD80-AC80)-AD63</f>
        <v>1.80312302531977</v>
      </c>
      <c r="AE162" s="116" t="n">
        <f aca="false">AE48+AE50+(AE80-AD80)-AE63</f>
        <v>1.68334325200875</v>
      </c>
      <c r="AF162" s="116" t="n">
        <f aca="false">AF48+AF50+(AF80-AE80)-AF63</f>
        <v>1.56073748180808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9.61926172495492</v>
      </c>
      <c r="D163" s="116" t="n">
        <f aca="false">C163+D53+D56+D58+D118+D119+D60+D113+D101-D115-D162</f>
        <v>11.7950029984289</v>
      </c>
      <c r="E163" s="116" t="n">
        <f aca="false">D163+E53+E56+E58+E118+E119+E60+E113+E101-E115-E162</f>
        <v>7.09887767307551</v>
      </c>
      <c r="F163" s="116" t="n">
        <f aca="false">E163+F53+F56+F58+F118+F119+F60+F113+F101-F115-F162</f>
        <v>-21.0619493451973</v>
      </c>
      <c r="G163" s="116" t="n">
        <f aca="false">F163+G53+G56+G58+G118+G119+G60+G113+G101-G115-G162</f>
        <v>-50.6280378512201</v>
      </c>
      <c r="H163" s="116" t="n">
        <f aca="false">G163+H53+H56+H58+H118+H119+H60+H113+H101-H115-H162</f>
        <v>-70.5654724939709</v>
      </c>
      <c r="I163" s="116" t="n">
        <f aca="false">H163+I53+I56+I58+I118+I119+I60+I113+I101-I115-I162</f>
        <v>-84.7100476216196</v>
      </c>
      <c r="J163" s="116" t="n">
        <f aca="false">I163+J53+J56+J58+J118+J119+J60+J113+J101-J115-J162</f>
        <v>-93.5834631593299</v>
      </c>
      <c r="K163" s="116" t="n">
        <f aca="false">J163+K53+K56+K58+K118+K119+K60+K113+K101-K115-K162</f>
        <v>-85.0697286222702</v>
      </c>
      <c r="L163" s="116" t="n">
        <f aca="false">K163+L53+L56+L58+L118+L119+L60+L113+L101-L115-L162</f>
        <v>-75.5595677172587</v>
      </c>
      <c r="M163" s="116" t="n">
        <f aca="false">L163+M53+M56+M58+M118+M119+M60+M113+M101-M115-M162</f>
        <v>-85.4781199517023</v>
      </c>
      <c r="N163" s="116" t="n">
        <f aca="false">M163+N53+N56+N58+N118+N119+N60+N113+N101-N115-N162</f>
        <v>-94.9465597785591</v>
      </c>
      <c r="O163" s="116" t="n">
        <f aca="false">N163+O53+O56+O58+O118+O119+O60+O113+O101-O115-O162</f>
        <v>-103.91290352551</v>
      </c>
      <c r="P163" s="116" t="n">
        <f aca="false">O163+P53+P56+P58+P118+P119+P60+P113+P101-P115-P162</f>
        <v>-111.726728071293</v>
      </c>
      <c r="Q163" s="116" t="n">
        <f aca="false">P163+Q53+Q56+Q58+Q118+Q119+Q60+Q113+Q101-Q115-Q162</f>
        <v>-118.46959398674</v>
      </c>
      <c r="R163" s="116" t="n">
        <f aca="false">Q163+R53+R56+R58+R118+R119+R60+R113+R101-R115-R162</f>
        <v>-124.483057180593</v>
      </c>
      <c r="S163" s="116" t="n">
        <f aca="false">R163+S53+S56+S58+S118+S119+S60+S113+S101-S115-S162</f>
        <v>-130.044845414328</v>
      </c>
      <c r="T163" s="116" t="n">
        <f aca="false">S163+T53+T56+T58+T118+T119+T60+T113+T101-T115-T162</f>
        <v>-135.386529266449</v>
      </c>
      <c r="U163" s="116" t="n">
        <f aca="false">T163+U53+U56+U58+U118+U119+U60+U113+U101-U115-U162</f>
        <v>-141.050840022976</v>
      </c>
      <c r="V163" s="116" t="n">
        <f aca="false">U163+V53+V56+V58+V118+V119+V60+V113+V101-V115-V162</f>
        <v>-147.077449317329</v>
      </c>
      <c r="W163" s="116" t="n">
        <f aca="false">V163+W53+W56+W58+W118+W119+W60+W113+W101-W115-W162</f>
        <v>-153.30162059864</v>
      </c>
      <c r="X163" s="116" t="n">
        <f aca="false">W163+X53+X56+X58+X118+X119+X60+X113+X101-X115-X162</f>
        <v>-159.713559783787</v>
      </c>
      <c r="Y163" s="116" t="n">
        <f aca="false">X163+Y53+Y56+Y58+Y118+Y119+Y60+Y113+Y101-Y115-Y162</f>
        <v>-166.307303230959</v>
      </c>
      <c r="Z163" s="116" t="n">
        <f aca="false">Y163+Z53+Z56+Z58+Z118+Z119+Z60+Z113+Z101-Z115-Z162</f>
        <v>-173.07728164156</v>
      </c>
      <c r="AA163" s="116" t="n">
        <f aca="false">Z163+AA53+AA56+AA58+AA118+AA119+AA60+AA113+AA101-AA115-AA162</f>
        <v>-180.018299415581</v>
      </c>
      <c r="AB163" s="116" t="n">
        <f aca="false">AA163+AB53+AB56+AB58+AB118+AB119+AB60+AB113+AB101-AB115-AB162</f>
        <v>-185.107209251598</v>
      </c>
      <c r="AC163" s="116" t="n">
        <f aca="false">AB163+AC53+AC56+AC58+AC118+AC119+AC60+AC113+AC101-AC115-AC162</f>
        <v>-189.45232784684</v>
      </c>
      <c r="AD163" s="116" t="n">
        <f aca="false">AC163+AD53+AD56+AD58+AD118+AD119+AD60+AD113+AD101-AD115-AD162</f>
        <v>-192.978189254933</v>
      </c>
      <c r="AE163" s="116" t="n">
        <f aca="false">AD163+AE53+AE56+AE58+AE118+AE119+AE60+AE113+AE101-AE115-AE162</f>
        <v>-195.605624525858</v>
      </c>
      <c r="AF163" s="116" t="n">
        <f aca="false">AE163+AF53+AF56+AF58+AF118+AF119+AF60+AF113+AF101-AF115-AF162</f>
        <v>-197.251550278561</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352</v>
      </c>
      <c r="D167" s="83" t="s">
        <v>1359</v>
      </c>
    </row>
    <row r="168" customFormat="false" ht="15" hidden="false" customHeight="true" outlineLevel="0" collapsed="false">
      <c r="B168" s="103" t="s">
        <v>1360</v>
      </c>
      <c r="C168" s="141" t="n">
        <v>0</v>
      </c>
      <c r="D168" s="83" t="s">
        <v>1361</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0.19</v>
      </c>
      <c r="D170" s="83" t="s">
        <v>1362</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1363</v>
      </c>
      <c r="C172" s="141" t="n">
        <v>0.3</v>
      </c>
      <c r="D172" s="83" t="s">
        <v>1364</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1365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IF($C$173="Sí",MAX(0,MAX(0,C74-0)-$C$172*MAX(0,(C83-0)))/$C$172+MAX(0,-(C83-0)),MAX(0,0+C76-C83))</f>
        <v>0</v>
      </c>
      <c r="D179" s="142" t="n">
        <f aca="false">IF($C$173="Sí",MAX(0,MAX(0,D74-C96)-$C$172*MAX(0,(D83-C83)))/$C$172+MAX(0,-(D83-C83)),MAX(0,C83+D76-D83))</f>
        <v>0</v>
      </c>
      <c r="E179" s="142" t="n">
        <f aca="false">IF($C$173="Sí",MAX(0,MAX(0,E74-D96)-$C$172*MAX(0,(E83-D83)))/$C$172+MAX(0,-(E83-D83)),MAX(0,D83+E76-E83))</f>
        <v>0</v>
      </c>
      <c r="F179" s="142" t="n">
        <f aca="false">IF($C$173="Sí",MAX(0,MAX(0,F74-E96)-$C$172*MAX(0,(F83-E83)))/$C$172+MAX(0,-(F83-E83)),MAX(0,E83+F76-F83))</f>
        <v>0</v>
      </c>
      <c r="G179" s="142" t="n">
        <f aca="false">IF($C$173="Sí",MAX(0,MAX(0,G74-F96)-$C$172*MAX(0,(G83-F83)))/$C$172+MAX(0,-(G83-F83)),MAX(0,F83+G76-G83))</f>
        <v>0</v>
      </c>
      <c r="H179" s="142" t="n">
        <f aca="false">IF($C$173="Sí",MAX(0,MAX(0,H74-G96)-$C$172*MAX(0,(H83-G83)))/$C$172+MAX(0,-(H83-G83)),MAX(0,G83+H76-H83))</f>
        <v>0</v>
      </c>
      <c r="I179" s="142" t="n">
        <f aca="false">IF($C$173="Sí",MAX(0,MAX(0,I74-H96)-$C$172*MAX(0,(I83-H83)))/$C$172+MAX(0,-(I83-H83)),MAX(0,H83+I76-I83))</f>
        <v>0</v>
      </c>
      <c r="J179" s="142" t="n">
        <f aca="false">IF($C$173="Sí",MAX(0,MAX(0,J74-I96)-$C$172*MAX(0,(J83-I83)))/$C$172+MAX(0,-(J83-I83)),MAX(0,I83+J76-J83))</f>
        <v>0</v>
      </c>
      <c r="K179" s="142" t="n">
        <f aca="false">IF($C$173="Sí",MAX(0,MAX(0,K74-J96)-$C$172*MAX(0,(K83-J83)))/$C$172+MAX(0,-(K83-J83)),MAX(0,J83+K76-K83))</f>
        <v>0</v>
      </c>
      <c r="L179" s="142" t="n">
        <f aca="false">IF($C$173="Sí",MAX(0,MAX(0,L74-K96)-$C$172*MAX(0,(L83-K83)))/$C$172+MAX(0,-(L83-K83)),MAX(0,K83+L76-L83))</f>
        <v>0</v>
      </c>
      <c r="M179" s="142" t="n">
        <f aca="false">IF($C$173="Sí",MAX(0,MAX(0,M74-L96)-$C$172*MAX(0,(M83-L83)))/$C$172+MAX(0,-(M83-L83)),MAX(0,L83+M76-M83))</f>
        <v>0</v>
      </c>
      <c r="N179" s="142" t="n">
        <f aca="false">IF($C$173="Sí",MAX(0,MAX(0,N74-M96)-$C$172*MAX(0,(N83-M83)))/$C$172+MAX(0,-(N83-M83)),MAX(0,M83+N76-N83))</f>
        <v>0</v>
      </c>
      <c r="O179" s="142" t="n">
        <f aca="false">IF($C$173="Sí",MAX(0,MAX(0,O74-N96)-$C$172*MAX(0,(O83-N83)))/$C$172+MAX(0,-(O83-N83)),MAX(0,N83+O76-O83))</f>
        <v>0</v>
      </c>
      <c r="P179" s="142" t="n">
        <f aca="false">IF($C$173="Sí",MAX(0,MAX(0,P74-O96)-$C$172*MAX(0,(P83-O83)))/$C$172+MAX(0,-(P83-O83)),MAX(0,O83+P76-P83))</f>
        <v>0</v>
      </c>
      <c r="Q179" s="142" t="n">
        <f aca="false">IF($C$173="Sí",MAX(0,MAX(0,Q74-P96)-$C$172*MAX(0,(Q83-P83)))/$C$172+MAX(0,-(Q83-P83)),MAX(0,P83+Q76-Q83))</f>
        <v>0</v>
      </c>
      <c r="R179" s="142" t="n">
        <f aca="false">IF($C$173="Sí",MAX(0,MAX(0,R74-Q96)-$C$172*MAX(0,(R83-Q83)))/$C$172+MAX(0,-(R83-Q83)),MAX(0,Q83+R76-R83))</f>
        <v>0</v>
      </c>
      <c r="S179" s="142" t="n">
        <f aca="false">IF($C$173="Sí",MAX(0,MAX(0,S74-R96)-$C$172*MAX(0,(S83-R83)))/$C$172+MAX(0,-(S83-R83)),MAX(0,R83+S76-S83))</f>
        <v>0</v>
      </c>
      <c r="T179" s="142" t="n">
        <f aca="false">IF($C$173="Sí",MAX(0,MAX(0,T74-S96)-$C$172*MAX(0,(T83-S83)))/$C$172+MAX(0,-(T83-S83)),MAX(0,S83+T76-T83))</f>
        <v>0</v>
      </c>
      <c r="U179" s="142" t="n">
        <f aca="false">IF($C$173="Sí",MAX(0,MAX(0,U74-T96)-$C$172*MAX(0,(U83-T83)))/$C$172+MAX(0,-(U83-T83)),MAX(0,T83+U76-U83))</f>
        <v>0</v>
      </c>
      <c r="V179" s="142" t="n">
        <f aca="false">IF($C$173="Sí",MAX(0,MAX(0,V74-U96)-$C$172*MAX(0,(V83-U83)))/$C$172+MAX(0,-(V83-U83)),MAX(0,U83+V76-V83))</f>
        <v>0</v>
      </c>
      <c r="W179" s="142" t="n">
        <f aca="false">IF($C$173="Sí",MAX(0,MAX(0,W74-V96)-$C$172*MAX(0,(W83-V83)))/$C$172+MAX(0,-(W83-V83)),MAX(0,V83+W76-W83))</f>
        <v>0</v>
      </c>
      <c r="X179" s="142" t="n">
        <f aca="false">IF($C$173="Sí",MAX(0,MAX(0,X74-W96)-$C$172*MAX(0,(X83-W83)))/$C$172+MAX(0,-(X83-W83)),MAX(0,W83+X76-X83))</f>
        <v>0</v>
      </c>
      <c r="Y179" s="142" t="n">
        <f aca="false">IF($C$173="Sí",MAX(0,MAX(0,Y74-X96)-$C$172*MAX(0,(Y83-X83)))/$C$172+MAX(0,-(Y83-X83)),MAX(0,X83+Y76-Y83))</f>
        <v>0</v>
      </c>
      <c r="Z179" s="142" t="n">
        <f aca="false">IF($C$173="Sí",MAX(0,MAX(0,Z74-Y96)-$C$172*MAX(0,(Z83-Y83)))/$C$172+MAX(0,-(Z83-Y83)),MAX(0,Y83+Z76-Z83))</f>
        <v>0</v>
      </c>
      <c r="AA179" s="142" t="n">
        <f aca="false">IF($C$173="Sí",MAX(0,MAX(0,AA74-Z96)-$C$172*MAX(0,(AA83-Z83)))/$C$172+MAX(0,-(AA83-Z83)),MAX(0,Z83+AA76-AA83))</f>
        <v>0</v>
      </c>
      <c r="AB179" s="142" t="n">
        <f aca="false">IF($C$173="Sí",MAX(0,MAX(0,AB74-AA96)-$C$172*MAX(0,(AB83-AA83)))/$C$172+MAX(0,-(AB83-AA83)),MAX(0,AA83+AB76-AB83))</f>
        <v>0</v>
      </c>
      <c r="AC179" s="142" t="n">
        <f aca="false">IF($C$173="Sí",MAX(0,MAX(0,AC74-AB96)-$C$172*MAX(0,(AC83-AB83)))/$C$172+MAX(0,-(AC83-AB83)),MAX(0,AB83+AC76-AC83))</f>
        <v>0</v>
      </c>
      <c r="AD179" s="142" t="n">
        <f aca="false">IF($C$173="Sí",MAX(0,MAX(0,AD74-AC96)-$C$172*MAX(0,(AD83-AC83)))/$C$172+MAX(0,-(AD83-AC83)),MAX(0,AC83+AD76-AD83))</f>
        <v>0</v>
      </c>
      <c r="AE179" s="142" t="n">
        <f aca="false">IF($C$173="Sí",MAX(0,MAX(0,AE74-AD96)-$C$172*MAX(0,(AE83-AD83)))/$C$172+MAX(0,-(AE83-AD83)),MAX(0,AD83+AE76-AE83))</f>
        <v>0</v>
      </c>
      <c r="AF179" s="142" t="n">
        <f aca="false">IF($C$173="Sí",MAX(0,MAX(0,AF74-AE96)-$C$172*MAX(0,(AF83-AE83)))/$C$172+MAX(0,-(AF83-AE83)),MAX(0,AE83+AF76-AF83))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0</v>
      </c>
      <c r="D180" s="142" t="n">
        <f aca="false">IF($C$167="Sí",MAX(0,MIN(D84,($C$168+$C$170)*D41*MIN(1,D$39/MAX(1,01_Supuestos!$C$170)))),0)</f>
        <v>0</v>
      </c>
      <c r="E180" s="142" t="n">
        <f aca="false">IF($C$167="Sí",MAX(0,MIN(E84,($C$168+$C$170)*E41*MIN(1,E$39/MAX(1,01_Supuestos!$C$170)))),0)</f>
        <v>0</v>
      </c>
      <c r="F180" s="142" t="n">
        <f aca="false">IF($C$167="Sí",MAX(0,MIN(F84,($C$168+$C$170)*F41*MIN(1,F$39/MAX(1,01_Supuestos!$C$170)))),0)</f>
        <v>0</v>
      </c>
      <c r="G180" s="142" t="n">
        <f aca="false">IF($C$167="Sí",MAX(0,MIN(G84,($C$168+$C$170)*G41*MIN(1,G$39/MAX(1,01_Supuestos!$C$170)))),0)</f>
        <v>0</v>
      </c>
      <c r="H180" s="142" t="n">
        <f aca="false">IF($C$167="Sí",MAX(0,MIN(H84,($C$168+$C$170)*H41*MIN(1,H$39/MAX(1,01_Supuestos!$C$170)))),0)</f>
        <v>0</v>
      </c>
      <c r="I180" s="142" t="n">
        <f aca="false">IF($C$167="Sí",MAX(0,MIN(I84,($C$168+$C$170)*I41*MIN(1,I$39/MAX(1,01_Supuestos!$C$170)))),0)</f>
        <v>0</v>
      </c>
      <c r="J180" s="142" t="n">
        <f aca="false">IF($C$167="Sí",MAX(0,MIN(J84,($C$168+$C$170)*J41*MIN(1,J$39/MAX(1,01_Supuestos!$C$170)))),0)</f>
        <v>0</v>
      </c>
      <c r="K180" s="142" t="n">
        <f aca="false">IF($C$167="Sí",MAX(0,MIN(K84,($C$168+$C$170)*K41*MIN(1,K$39/MAX(1,01_Supuestos!$C$170)))),0)</f>
        <v>0</v>
      </c>
      <c r="L180" s="142" t="n">
        <f aca="false">IF($C$167="Sí",MAX(0,MIN(L84,($C$168+$C$170)*L41*MIN(1,L$39/MAX(1,01_Supuestos!$C$170)))),0)</f>
        <v>0</v>
      </c>
      <c r="M180" s="142" t="n">
        <f aca="false">IF($C$167="Sí",MAX(0,MIN(M84,($C$168+$C$170)*M41*MIN(1,M$39/MAX(1,01_Supuestos!$C$170)))),0)</f>
        <v>0</v>
      </c>
      <c r="N180" s="142" t="n">
        <f aca="false">IF($C$167="Sí",MAX(0,MIN(N84,($C$168+$C$170)*N41*MIN(1,N$39/MAX(1,01_Supuestos!$C$170)))),0)</f>
        <v>0</v>
      </c>
      <c r="O180" s="142" t="n">
        <f aca="false">IF($C$167="Sí",MAX(0,MIN(O84,($C$168+$C$170)*O41*MIN(1,O$39/MAX(1,01_Supuestos!$C$170)))),0)</f>
        <v>0</v>
      </c>
      <c r="P180" s="142" t="n">
        <f aca="false">IF($C$167="Sí",MAX(0,MIN(P84,($C$168+$C$170)*P41*MIN(1,P$39/MAX(1,01_Supuestos!$C$170)))),0)</f>
        <v>0</v>
      </c>
      <c r="Q180" s="142" t="n">
        <f aca="false">IF($C$167="Sí",MAX(0,MIN(Q84,($C$168+$C$170)*Q41*MIN(1,Q$39/MAX(1,01_Supuestos!$C$170)))),0)</f>
        <v>0</v>
      </c>
      <c r="R180" s="142" t="n">
        <f aca="false">IF($C$167="Sí",MAX(0,MIN(R84,($C$168+$C$170)*R41*MIN(1,R$39/MAX(1,01_Supuestos!$C$170)))),0)</f>
        <v>0</v>
      </c>
      <c r="S180" s="142" t="n">
        <f aca="false">IF($C$167="Sí",MAX(0,MIN(S84,($C$168+$C$170)*S41*MIN(1,S$39/MAX(1,01_Supuestos!$C$170)))),0)</f>
        <v>0</v>
      </c>
      <c r="T180" s="142" t="n">
        <f aca="false">IF($C$167="Sí",MAX(0,MIN(T84,($C$168+$C$170)*T41*MIN(1,T$39/MAX(1,01_Supuestos!$C$170)))),0)</f>
        <v>0</v>
      </c>
      <c r="U180" s="142" t="n">
        <f aca="false">IF($C$167="Sí",MAX(0,MIN(U84,($C$168+$C$170)*U41*MIN(1,U$39/MAX(1,01_Supuestos!$C$170)))),0)</f>
        <v>0</v>
      </c>
      <c r="V180" s="142" t="n">
        <f aca="false">IF($C$167="Sí",MAX(0,MIN(V84,($C$168+$C$170)*V41*MIN(1,V$39/MAX(1,01_Supuestos!$C$170)))),0)</f>
        <v>0</v>
      </c>
      <c r="W180" s="142" t="n">
        <f aca="false">IF($C$167="Sí",MAX(0,MIN(W84,($C$168+$C$170)*W41*MIN(1,W$39/MAX(1,01_Supuestos!$C$170)))),0)</f>
        <v>0</v>
      </c>
      <c r="X180" s="142" t="n">
        <f aca="false">IF($C$167="Sí",MAX(0,MIN(X84,($C$168+$C$170)*X41*MIN(1,X$39/MAX(1,01_Supuestos!$C$170)))),0)</f>
        <v>0</v>
      </c>
      <c r="Y180" s="142" t="n">
        <f aca="false">IF($C$167="Sí",MAX(0,MIN(Y84,($C$168+$C$170)*Y41*MIN(1,Y$39/MAX(1,01_Supuestos!$C$170)))),0)</f>
        <v>0</v>
      </c>
      <c r="Z180" s="142" t="n">
        <f aca="false">IF($C$167="Sí",MAX(0,MIN(Z84,($C$168+$C$170)*Z41*MIN(1,Z$39/MAX(1,01_Supuestos!$C$170)))),0)</f>
        <v>0</v>
      </c>
      <c r="AA180" s="142" t="n">
        <f aca="false">IF($C$167="Sí",MAX(0,MIN(AA84,($C$168+$C$170)*AA41*MIN(1,AA$39/MAX(1,01_Supuestos!$C$170)))),0)</f>
        <v>0</v>
      </c>
      <c r="AB180" s="142" t="n">
        <f aca="false">IF($C$167="Sí",MAX(0,MIN(AB84,($C$168+$C$170)*AB41*MIN(1,AB$39/MAX(1,01_Supuestos!$C$170)))),0)</f>
        <v>0</v>
      </c>
      <c r="AC180" s="142" t="n">
        <f aca="false">IF($C$167="Sí",MAX(0,MIN(AC84,($C$168+$C$170)*AC41*MIN(1,AC$39/MAX(1,01_Supuestos!$C$170)))),0)</f>
        <v>0</v>
      </c>
      <c r="AD180" s="142" t="n">
        <f aca="false">IF($C$167="Sí",MAX(0,MIN(AD84,($C$168+$C$170)*AD41*MIN(1,AD$39/MAX(1,01_Supuestos!$C$170)))),0)</f>
        <v>0</v>
      </c>
      <c r="AE180" s="142" t="n">
        <f aca="false">IF($C$167="Sí",MAX(0,MIN(AE84,($C$168+$C$170)*AE41*MIN(1,AE$39/MAX(1,01_Supuestos!$C$170)))),0)</f>
        <v>0</v>
      </c>
      <c r="AF180" s="142" t="n">
        <f aca="false">IF($C$167="Sí",MAX(0,MIN(AF84,($C$168+$C$170)*AF41*MIN(1,AF$39/MAX(1,01_Supuestos!$C$170)))),0)</f>
        <v>0</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1366</v>
      </c>
      <c r="C181" s="142" t="n">
        <f aca="false">MIN(C180,0+C179)</f>
        <v>0</v>
      </c>
      <c r="D181" s="142" t="n">
        <f aca="false">MIN(D180,C181+D179)</f>
        <v>0</v>
      </c>
      <c r="E181" s="142" t="n">
        <f aca="false">MIN(E180,D181+E179)</f>
        <v>0</v>
      </c>
      <c r="F181" s="142" t="n">
        <f aca="false">MIN(F180,E181+F179)</f>
        <v>0</v>
      </c>
      <c r="G181" s="142" t="n">
        <f aca="false">MIN(G180,F181+G179)</f>
        <v>0</v>
      </c>
      <c r="H181" s="142" t="n">
        <f aca="false">MIN(H180,G181+H179)</f>
        <v>0</v>
      </c>
      <c r="I181" s="142" t="n">
        <f aca="false">MIN(I180,H181+I179)</f>
        <v>0</v>
      </c>
      <c r="J181" s="142" t="n">
        <f aca="false">MIN(J180,I181+J179)</f>
        <v>0</v>
      </c>
      <c r="K181" s="142" t="n">
        <f aca="false">MIN(K180,J181+K179)</f>
        <v>0</v>
      </c>
      <c r="L181" s="142" t="n">
        <f aca="false">MIN(L180,K181+L179)</f>
        <v>0</v>
      </c>
      <c r="M181" s="142" t="n">
        <f aca="false">MIN(M180,L181+M179)</f>
        <v>0</v>
      </c>
      <c r="N181" s="142" t="n">
        <f aca="false">MIN(N180,M181+N179)</f>
        <v>0</v>
      </c>
      <c r="O181" s="142" t="n">
        <f aca="false">MIN(O180,N181+O179)</f>
        <v>0</v>
      </c>
      <c r="P181" s="142" t="n">
        <f aca="false">MIN(P180,O181+P179)</f>
        <v>0</v>
      </c>
      <c r="Q181" s="142" t="n">
        <f aca="false">MIN(Q180,P181+Q179)</f>
        <v>0</v>
      </c>
      <c r="R181" s="142" t="n">
        <f aca="false">MIN(R180,Q181+R179)</f>
        <v>0</v>
      </c>
      <c r="S181" s="142" t="n">
        <f aca="false">MIN(S180,R181+S179)</f>
        <v>0</v>
      </c>
      <c r="T181" s="142" t="n">
        <f aca="false">MIN(T180,S181+T179)</f>
        <v>0</v>
      </c>
      <c r="U181" s="142" t="n">
        <f aca="false">MIN(U180,T181+U179)</f>
        <v>0</v>
      </c>
      <c r="V181" s="142" t="n">
        <f aca="false">MIN(V180,U181+V179)</f>
        <v>0</v>
      </c>
      <c r="W181" s="142" t="n">
        <f aca="false">MIN(W180,V181+W179)</f>
        <v>0</v>
      </c>
      <c r="X181" s="142" t="n">
        <f aca="false">MIN(X180,W181+X179)</f>
        <v>0</v>
      </c>
      <c r="Y181" s="142" t="n">
        <f aca="false">MIN(Y180,X181+Y179)</f>
        <v>0</v>
      </c>
      <c r="Z181" s="142" t="n">
        <f aca="false">MIN(Z180,Y181+Z179)</f>
        <v>0</v>
      </c>
      <c r="AA181" s="142" t="n">
        <f aca="false">MIN(AA180,Z181+AA179)</f>
        <v>0</v>
      </c>
      <c r="AB181" s="142" t="n">
        <f aca="false">MIN(AB180,AA181+AB179)</f>
        <v>0</v>
      </c>
      <c r="AC181" s="142" t="n">
        <f aca="false">MIN(AC180,AB181+AC179)</f>
        <v>0</v>
      </c>
      <c r="AD181" s="142" t="n">
        <f aca="false">MIN(AD180,AC181+AD179)</f>
        <v>0</v>
      </c>
      <c r="AE181" s="142" t="n">
        <f aca="false">MIN(AE180,AD181+AE179)</f>
        <v>0</v>
      </c>
      <c r="AF181" s="142" t="n">
        <f aca="false">MIN(AF180,AE181+AF179)</f>
        <v>0</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0</v>
      </c>
      <c r="D182" s="142" t="n">
        <f aca="false">MIN(D181,$C$168*D41)</f>
        <v>0</v>
      </c>
      <c r="E182" s="142" t="n">
        <f aca="false">MIN(E181,$C$168*E41)</f>
        <v>0</v>
      </c>
      <c r="F182" s="142" t="n">
        <f aca="false">MIN(F181,$C$168*F41)</f>
        <v>0</v>
      </c>
      <c r="G182" s="142" t="n">
        <f aca="false">MIN(G181,$C$168*G41)</f>
        <v>0</v>
      </c>
      <c r="H182" s="142" t="n">
        <f aca="false">MIN(H181,$C$168*H41)</f>
        <v>0</v>
      </c>
      <c r="I182" s="142" t="n">
        <f aca="false">MIN(I181,$C$168*I41)</f>
        <v>0</v>
      </c>
      <c r="J182" s="142" t="n">
        <f aca="false">MIN(J181,$C$168*J41)</f>
        <v>0</v>
      </c>
      <c r="K182" s="142" t="n">
        <f aca="false">MIN(K181,$C$168*K41)</f>
        <v>0</v>
      </c>
      <c r="L182" s="142" t="n">
        <f aca="false">MIN(L181,$C$168*L41)</f>
        <v>0</v>
      </c>
      <c r="M182" s="142" t="n">
        <f aca="false">MIN(M181,$C$168*M41)</f>
        <v>0</v>
      </c>
      <c r="N182" s="142" t="n">
        <f aca="false">MIN(N181,$C$168*N41)</f>
        <v>0</v>
      </c>
      <c r="O182" s="142" t="n">
        <f aca="false">MIN(O181,$C$168*O41)</f>
        <v>0</v>
      </c>
      <c r="P182" s="142" t="n">
        <f aca="false">MIN(P181,$C$168*P41)</f>
        <v>0</v>
      </c>
      <c r="Q182" s="142" t="n">
        <f aca="false">MIN(Q181,$C$168*Q41)</f>
        <v>0</v>
      </c>
      <c r="R182" s="142" t="n">
        <f aca="false">MIN(R181,$C$168*R41)</f>
        <v>0</v>
      </c>
      <c r="S182" s="142" t="n">
        <f aca="false">MIN(S181,$C$168*S41)</f>
        <v>0</v>
      </c>
      <c r="T182" s="142" t="n">
        <f aca="false">MIN(T181,$C$168*T41)</f>
        <v>0</v>
      </c>
      <c r="U182" s="142" t="n">
        <f aca="false">MIN(U181,$C$168*U41)</f>
        <v>0</v>
      </c>
      <c r="V182" s="142" t="n">
        <f aca="false">MIN(V181,$C$168*V41)</f>
        <v>0</v>
      </c>
      <c r="W182" s="142" t="n">
        <f aca="false">MIN(W181,$C$168*W41)</f>
        <v>0</v>
      </c>
      <c r="X182" s="142" t="n">
        <f aca="false">MIN(X181,$C$168*X41)</f>
        <v>0</v>
      </c>
      <c r="Y182" s="142" t="n">
        <f aca="false">MIN(Y181,$C$168*Y41)</f>
        <v>0</v>
      </c>
      <c r="Z182" s="142" t="n">
        <f aca="false">MIN(Z181,$C$168*Z41)</f>
        <v>0</v>
      </c>
      <c r="AA182" s="142" t="n">
        <f aca="false">MIN(AA181,$C$168*AA41)</f>
        <v>0</v>
      </c>
      <c r="AB182" s="142" t="n">
        <f aca="false">MIN(AB181,$C$168*AB41)</f>
        <v>0</v>
      </c>
      <c r="AC182" s="142" t="n">
        <f aca="false">MIN(AC181,$C$168*AC41)</f>
        <v>0</v>
      </c>
      <c r="AD182" s="142" t="n">
        <f aca="false">MIN(AD181,$C$168*AD41)</f>
        <v>0</v>
      </c>
      <c r="AE182" s="142" t="n">
        <f aca="false">MIN(AE181,$C$168*AE41)</f>
        <v>0</v>
      </c>
      <c r="AF182" s="142" t="n">
        <f aca="false">MIN(AF181,$C$168*AF41)</f>
        <v>0</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v>
      </c>
      <c r="D184" s="142" t="n">
        <f aca="false">D182*$C$169+D183*$C$171</f>
        <v>0</v>
      </c>
      <c r="E184" s="142" t="n">
        <f aca="false">E182*$C$169+E183*$C$171</f>
        <v>0</v>
      </c>
      <c r="F184" s="142" t="n">
        <f aca="false">F182*$C$169+F183*$C$171</f>
        <v>0</v>
      </c>
      <c r="G184" s="142" t="n">
        <f aca="false">G182*$C$169+G183*$C$171</f>
        <v>0</v>
      </c>
      <c r="H184" s="142" t="n">
        <f aca="false">H182*$C$169+H183*$C$171</f>
        <v>0</v>
      </c>
      <c r="I184" s="142" t="n">
        <f aca="false">I182*$C$169+I183*$C$171</f>
        <v>0</v>
      </c>
      <c r="J184" s="142" t="n">
        <f aca="false">J182*$C$169+J183*$C$171</f>
        <v>0</v>
      </c>
      <c r="K184" s="142" t="n">
        <f aca="false">K182*$C$169+K183*$C$171</f>
        <v>0</v>
      </c>
      <c r="L184" s="142" t="n">
        <f aca="false">L182*$C$169+L183*$C$171</f>
        <v>0</v>
      </c>
      <c r="M184" s="142" t="n">
        <f aca="false">M182*$C$169+M183*$C$171</f>
        <v>0</v>
      </c>
      <c r="N184" s="142" t="n">
        <f aca="false">N182*$C$169+N183*$C$171</f>
        <v>0</v>
      </c>
      <c r="O184" s="142" t="n">
        <f aca="false">O182*$C$169+O183*$C$171</f>
        <v>0</v>
      </c>
      <c r="P184" s="142" t="n">
        <f aca="false">P182*$C$169+P183*$C$171</f>
        <v>0</v>
      </c>
      <c r="Q184" s="142" t="n">
        <f aca="false">Q182*$C$169+Q183*$C$171</f>
        <v>0</v>
      </c>
      <c r="R184" s="142" t="n">
        <f aca="false">R182*$C$169+R183*$C$171</f>
        <v>0</v>
      </c>
      <c r="S184" s="142" t="n">
        <f aca="false">S182*$C$169+S183*$C$171</f>
        <v>0</v>
      </c>
      <c r="T184" s="142" t="n">
        <f aca="false">T182*$C$169+T183*$C$171</f>
        <v>0</v>
      </c>
      <c r="U184" s="142" t="n">
        <f aca="false">U182*$C$169+U183*$C$171</f>
        <v>0</v>
      </c>
      <c r="V184" s="142" t="n">
        <f aca="false">V182*$C$169+V183*$C$171</f>
        <v>0</v>
      </c>
      <c r="W184" s="142" t="n">
        <f aca="false">W182*$C$169+W183*$C$171</f>
        <v>0</v>
      </c>
      <c r="X184" s="142" t="n">
        <f aca="false">X182*$C$169+X183*$C$171</f>
        <v>0</v>
      </c>
      <c r="Y184" s="142" t="n">
        <f aca="false">Y182*$C$169+Y183*$C$171</f>
        <v>0</v>
      </c>
      <c r="Z184" s="142" t="n">
        <f aca="false">Z182*$C$169+Z183*$C$171</f>
        <v>0</v>
      </c>
      <c r="AA184" s="142" t="n">
        <f aca="false">AA182*$C$169+AA183*$C$171</f>
        <v>0</v>
      </c>
      <c r="AB184" s="142" t="n">
        <f aca="false">AB182*$C$169+AB183*$C$171</f>
        <v>0</v>
      </c>
      <c r="AC184" s="142" t="n">
        <f aca="false">AC182*$C$169+AC183*$C$171</f>
        <v>0</v>
      </c>
      <c r="AD184" s="142" t="n">
        <f aca="false">AD182*$C$169+AD183*$C$171</f>
        <v>0</v>
      </c>
      <c r="AE184" s="142" t="n">
        <f aca="false">AE182*$C$169+AE183*$C$171</f>
        <v>0</v>
      </c>
      <c r="AF184" s="142" t="n">
        <f aca="false">AF182*$C$169+AF183*$C$171</f>
        <v>0</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0</v>
      </c>
      <c r="D185" s="142" t="n">
        <f aca="false">D181-C181</f>
        <v>0</v>
      </c>
      <c r="E185" s="142" t="n">
        <f aca="false">E181-D181</f>
        <v>0</v>
      </c>
      <c r="F185" s="142" t="n">
        <f aca="false">F181-E181</f>
        <v>0</v>
      </c>
      <c r="G185" s="142" t="n">
        <f aca="false">G181-F181</f>
        <v>0</v>
      </c>
      <c r="H185" s="142" t="n">
        <f aca="false">H181-G181</f>
        <v>0</v>
      </c>
      <c r="I185" s="142" t="n">
        <f aca="false">I181-H181</f>
        <v>0</v>
      </c>
      <c r="J185" s="142" t="n">
        <f aca="false">J181-I181</f>
        <v>0</v>
      </c>
      <c r="K185" s="142" t="n">
        <f aca="false">K181-J181</f>
        <v>0</v>
      </c>
      <c r="L185" s="142" t="n">
        <f aca="false">L181-K181</f>
        <v>0</v>
      </c>
      <c r="M185" s="142" t="n">
        <f aca="false">M181-L181</f>
        <v>0</v>
      </c>
      <c r="N185" s="142" t="n">
        <f aca="false">N181-M181</f>
        <v>0</v>
      </c>
      <c r="O185" s="142" t="n">
        <f aca="false">O181-N181</f>
        <v>0</v>
      </c>
      <c r="P185" s="142" t="n">
        <f aca="false">P181-O181</f>
        <v>0</v>
      </c>
      <c r="Q185" s="142" t="n">
        <f aca="false">Q181-P181</f>
        <v>0</v>
      </c>
      <c r="R185" s="142" t="n">
        <f aca="false">R181-Q181</f>
        <v>0</v>
      </c>
      <c r="S185" s="142" t="n">
        <f aca="false">S181-R181</f>
        <v>0</v>
      </c>
      <c r="T185" s="142" t="n">
        <f aca="false">T181-S181</f>
        <v>0</v>
      </c>
      <c r="U185" s="142" t="n">
        <f aca="false">U181-T181</f>
        <v>0</v>
      </c>
      <c r="V185" s="142" t="n">
        <f aca="false">V181-U181</f>
        <v>0</v>
      </c>
      <c r="W185" s="142" t="n">
        <f aca="false">W181-V181</f>
        <v>0</v>
      </c>
      <c r="X185" s="142" t="n">
        <f aca="false">X181-W181</f>
        <v>0</v>
      </c>
      <c r="Y185" s="142" t="n">
        <f aca="false">Y181-X181</f>
        <v>0</v>
      </c>
      <c r="Z185" s="142" t="n">
        <f aca="false">Z181-Y181</f>
        <v>0</v>
      </c>
      <c r="AA185" s="142" t="n">
        <f aca="false">AA181-Z181</f>
        <v>0</v>
      </c>
      <c r="AB185" s="142" t="n">
        <f aca="false">AB181-AA181</f>
        <v>0</v>
      </c>
      <c r="AC185" s="142" t="n">
        <f aca="false">AC181-AB181</f>
        <v>0</v>
      </c>
      <c r="AD185" s="142" t="n">
        <f aca="false">AD181-AC181</f>
        <v>0</v>
      </c>
      <c r="AE185" s="142" t="n">
        <f aca="false">AE181-AD181</f>
        <v>0</v>
      </c>
      <c r="AF185" s="142" t="n">
        <f aca="false">AF181-AE181</f>
        <v>0</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4.86035289641877</v>
      </c>
      <c r="D186" s="142" t="n">
        <f aca="false">D84-D181</f>
        <v>13.1185582870288</v>
      </c>
      <c r="E186" s="142" t="n">
        <f aca="false">E84-E181</f>
        <v>25.6449908146638</v>
      </c>
      <c r="F186" s="142" t="n">
        <f aca="false">F84-F181</f>
        <v>55.6490387944737</v>
      </c>
      <c r="G186" s="142" t="n">
        <f aca="false">G84-G181</f>
        <v>85.3292828636681</v>
      </c>
      <c r="H186" s="142" t="n">
        <f aca="false">H84-H181</f>
        <v>104.245522524906</v>
      </c>
      <c r="I186" s="142" t="n">
        <f aca="false">I84-I181</f>
        <v>116.598812950161</v>
      </c>
      <c r="J186" s="142" t="n">
        <f aca="false">J84-J181</f>
        <v>123.224497940575</v>
      </c>
      <c r="K186" s="142" t="n">
        <f aca="false">K84-K181</f>
        <v>113.202596219319</v>
      </c>
      <c r="L186" s="142" t="n">
        <f aca="false">L84-L181</f>
        <v>102.832214355314</v>
      </c>
      <c r="M186" s="142" t="n">
        <f aca="false">M84-M181</f>
        <v>96.0801109030485</v>
      </c>
      <c r="N186" s="142" t="n">
        <f aca="false">N84-N181</f>
        <v>95.4114691247594</v>
      </c>
      <c r="O186" s="142" t="n">
        <f aca="false">O84-O181</f>
        <v>100.096909053269</v>
      </c>
      <c r="P186" s="142" t="n">
        <f aca="false">P84-P181</f>
        <v>103.459753353371</v>
      </c>
      <c r="Q186" s="142" t="n">
        <f aca="false">Q84-Q181</f>
        <v>105.497420251141</v>
      </c>
      <c r="R186" s="142" t="n">
        <f aca="false">R84-R181</f>
        <v>106.492768167189</v>
      </c>
      <c r="S186" s="142" t="n">
        <f aca="false">S84-S181</f>
        <v>106.677516594566</v>
      </c>
      <c r="T186" s="142" t="n">
        <f aca="false">T84-T181</f>
        <v>106.247782066784</v>
      </c>
      <c r="U186" s="142" t="n">
        <f aca="false">U84-U181</f>
        <v>105.751778987156</v>
      </c>
      <c r="V186" s="142" t="n">
        <f aca="false">V84-V181</f>
        <v>106.446792254835</v>
      </c>
      <c r="W186" s="142" t="n">
        <f aca="false">W84-W181</f>
        <v>107.255280312878</v>
      </c>
      <c r="X186" s="142" t="n">
        <f aca="false">X84-X181</f>
        <v>107.996789459593</v>
      </c>
      <c r="Y186" s="142" t="n">
        <f aca="false">Y84-Y181</f>
        <v>108.667537800473</v>
      </c>
      <c r="Z186" s="142" t="n">
        <f aca="false">Z84-Z181</f>
        <v>109.263742976734</v>
      </c>
      <c r="AA186" s="142" t="n">
        <f aca="false">AA84-AA181</f>
        <v>109.781621504097</v>
      </c>
      <c r="AB186" s="142" t="n">
        <f aca="false">AB84-AB181</f>
        <v>109.731828057328</v>
      </c>
      <c r="AC186" s="142" t="n">
        <f aca="false">AC84-AC181</f>
        <v>109.595567661675</v>
      </c>
      <c r="AD186" s="142" t="n">
        <f aca="false">AD84-AD181</f>
        <v>109.370893056251</v>
      </c>
      <c r="AE186" s="142" t="n">
        <f aca="false">AE84-AE181</f>
        <v>109.055931281936</v>
      </c>
      <c r="AF186" s="142" t="n">
        <f aca="false">AF84-AF181</f>
        <v>108.648879152221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0</v>
      </c>
      <c r="D187" s="142" t="n">
        <f aca="false">D181</f>
        <v>0</v>
      </c>
      <c r="E187" s="142" t="n">
        <f aca="false">E181</f>
        <v>0</v>
      </c>
      <c r="F187" s="142" t="n">
        <f aca="false">F181</f>
        <v>0</v>
      </c>
      <c r="G187" s="142" t="n">
        <f aca="false">G181</f>
        <v>0</v>
      </c>
      <c r="H187" s="142" t="n">
        <f aca="false">H181</f>
        <v>0</v>
      </c>
      <c r="I187" s="142" t="n">
        <f aca="false">I181</f>
        <v>0</v>
      </c>
      <c r="J187" s="142" t="n">
        <f aca="false">J181</f>
        <v>0</v>
      </c>
      <c r="K187" s="142" t="n">
        <f aca="false">K181</f>
        <v>0</v>
      </c>
      <c r="L187" s="142" t="n">
        <f aca="false">L181</f>
        <v>0</v>
      </c>
      <c r="M187" s="142" t="n">
        <f aca="false">M181</f>
        <v>0</v>
      </c>
      <c r="N187" s="142" t="n">
        <f aca="false">N181</f>
        <v>0</v>
      </c>
      <c r="O187" s="142" t="n">
        <f aca="false">O181</f>
        <v>0</v>
      </c>
      <c r="P187" s="142" t="n">
        <f aca="false">P181</f>
        <v>0</v>
      </c>
      <c r="Q187" s="142" t="n">
        <f aca="false">Q181</f>
        <v>0</v>
      </c>
      <c r="R187" s="142" t="n">
        <f aca="false">R181</f>
        <v>0</v>
      </c>
      <c r="S187" s="142" t="n">
        <f aca="false">S181</f>
        <v>0</v>
      </c>
      <c r="T187" s="142" t="n">
        <f aca="false">T181</f>
        <v>0</v>
      </c>
      <c r="U187" s="142" t="n">
        <f aca="false">U181</f>
        <v>0</v>
      </c>
      <c r="V187" s="142" t="n">
        <f aca="false">V181</f>
        <v>0</v>
      </c>
      <c r="W187" s="142" t="n">
        <f aca="false">W181</f>
        <v>0</v>
      </c>
      <c r="X187" s="142" t="n">
        <f aca="false">X181</f>
        <v>0</v>
      </c>
      <c r="Y187" s="142" t="n">
        <f aca="false">Y181</f>
        <v>0</v>
      </c>
      <c r="Z187" s="142" t="n">
        <f aca="false">Z181</f>
        <v>0</v>
      </c>
      <c r="AA187" s="142" t="n">
        <f aca="false">AA181</f>
        <v>0</v>
      </c>
      <c r="AB187" s="142" t="n">
        <f aca="false">AB181</f>
        <v>0</v>
      </c>
      <c r="AC187" s="142" t="n">
        <f aca="false">AC181</f>
        <v>0</v>
      </c>
      <c r="AD187" s="142" t="n">
        <f aca="false">AD181</f>
        <v>0</v>
      </c>
      <c r="AE187" s="142" t="n">
        <f aca="false">AE181</f>
        <v>0</v>
      </c>
      <c r="AF187" s="142" t="n">
        <f aca="false">AF181</f>
        <v>0</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3.86255216886864</v>
      </c>
      <c r="D189" s="142" t="n">
        <f aca="false">D68-C68</f>
        <v>6.23929264748464</v>
      </c>
      <c r="E189" s="142" t="n">
        <f aca="false">E68-D68</f>
        <v>8.26033125303664</v>
      </c>
      <c r="F189" s="142" t="n">
        <f aca="false">F68-E68</f>
        <v>13.8385983026268</v>
      </c>
      <c r="G189" s="142" t="n">
        <f aca="false">G68-F68</f>
        <v>13.8375328301109</v>
      </c>
      <c r="H189" s="142" t="n">
        <f aca="false">H68-G68</f>
        <v>9.94667757754663</v>
      </c>
      <c r="I189" s="142" t="n">
        <f aca="false">I68-H68</f>
        <v>7.56783491638051</v>
      </c>
      <c r="J189" s="142" t="n">
        <f aca="false">J68-I68</f>
        <v>5.54461992123436</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0.647870628656861</v>
      </c>
      <c r="AC189" s="142" t="n">
        <f aca="false">AC68-AB68</f>
        <v>0.611551006852679</v>
      </c>
      <c r="AD189" s="142" t="n">
        <f aca="false">AD68-AC68</f>
        <v>0.575150703603995</v>
      </c>
      <c r="AE189" s="142" t="n">
        <f aca="false">AE68-AD68</f>
        <v>0.53866687085582</v>
      </c>
      <c r="AF189" s="142" t="n">
        <f aca="false">AF68-AE68</f>
        <v>0.502096560016824</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-18.8323185832014</v>
      </c>
      <c r="D192" s="142" t="n">
        <f aca="false">D149-SUM($C$191:D191)</f>
        <v>-38.181778645978</v>
      </c>
      <c r="E192" s="142" t="n">
        <f aca="false">E149-SUM($C$191:E191)</f>
        <v>-58.1233598298965</v>
      </c>
      <c r="F192" s="142" t="n">
        <f aca="false">F149-SUM($C$191:F191)</f>
        <v>-78.5684276585098</v>
      </c>
      <c r="G192" s="142" t="n">
        <f aca="false">G149-SUM($C$191:G191)</f>
        <v>-99.4163000367511</v>
      </c>
      <c r="H192" s="142" t="n">
        <f aca="false">H149-SUM($C$191:H191)</f>
        <v>-120.708363096658</v>
      </c>
      <c r="I192" s="142" t="n">
        <f aca="false">I149-SUM($C$191:I191)</f>
        <v>-142.473079325335</v>
      </c>
      <c r="J192" s="142" t="n">
        <f aca="false">J149-SUM($C$191:J191)</f>
        <v>-164.733824192268</v>
      </c>
      <c r="K192" s="142" t="n">
        <f aca="false">K149-SUM($C$191:K191)</f>
        <v>-187.576243960343</v>
      </c>
      <c r="L192" s="142" t="n">
        <f aca="false">L149-SUM($C$191:L191)</f>
        <v>-210.998270856136</v>
      </c>
      <c r="M192" s="142" t="n">
        <f aca="false">M149-SUM($C$191:M191)</f>
        <v>-214.272153487366</v>
      </c>
      <c r="N192" s="142" t="n">
        <f aca="false">N149-SUM($C$191:N191)</f>
        <v>-217.49124003122</v>
      </c>
      <c r="O192" s="142" t="n">
        <f aca="false">O149-SUM($C$191:O191)</f>
        <v>-220.744972136832</v>
      </c>
      <c r="P192" s="142" t="n">
        <f aca="false">P149-SUM($C$191:P191)</f>
        <v>-224.02379360994</v>
      </c>
      <c r="Q192" s="142" t="n">
        <f aca="false">Q149-SUM($C$191:Q191)</f>
        <v>-227.318747750558</v>
      </c>
      <c r="R192" s="142" t="n">
        <f aca="false">R149-SUM($C$191:R191)</f>
        <v>-230.624063577755</v>
      </c>
      <c r="S192" s="142" t="n">
        <f aca="false">S149-SUM($C$191:S191)</f>
        <v>-233.935734759478</v>
      </c>
      <c r="T192" s="142" t="n">
        <f aca="false">T149-SUM($C$191:T191)</f>
        <v>-237.251218762561</v>
      </c>
      <c r="U192" s="142" t="n">
        <f aca="false">U149-SUM($C$191:U191)</f>
        <v>-240.572858529294</v>
      </c>
      <c r="V192" s="142" t="n">
        <f aca="false">V149-SUM($C$191:V191)</f>
        <v>-243.906143992034</v>
      </c>
      <c r="W192" s="142" t="n">
        <f aca="false">W149-SUM($C$191:W191)</f>
        <v>-247.254030147079</v>
      </c>
      <c r="X192" s="142" t="n">
        <f aca="false">X149-SUM($C$191:X191)</f>
        <v>-250.618989035892</v>
      </c>
      <c r="Y192" s="142" t="n">
        <f aca="false">Y149-SUM($C$191:Y191)</f>
        <v>-254.003461340844</v>
      </c>
      <c r="Z192" s="142" t="n">
        <f aca="false">Z149-SUM($C$191:Z191)</f>
        <v>-257.409860556417</v>
      </c>
      <c r="AA192" s="142" t="n">
        <f aca="false">AA149-SUM($C$191:AA191)</f>
        <v>-260.84057695177</v>
      </c>
      <c r="AB192" s="142" t="n">
        <f aca="false">AB149-SUM($C$191:AB191)</f>
        <v>-265.121225756667</v>
      </c>
      <c r="AC192" s="142" t="n">
        <f aca="false">AC149-SUM($C$191:AC191)</f>
        <v>-270.293930704634</v>
      </c>
      <c r="AD192" s="142" t="n">
        <f aca="false">AD149-SUM($C$191:AD191)</f>
        <v>-276.40229690677</v>
      </c>
      <c r="AE192" s="142" t="n">
        <f aca="false">AE149-SUM($C$191:AE191)</f>
        <v>-283.491462377668</v>
      </c>
      <c r="AF192" s="142" t="n">
        <f aca="false">AF149-SUM($C$191:AF191)</f>
        <v>-291.608151041119</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11.440447555496</v>
      </c>
      <c r="D216" s="88" t="n">
        <f aca="false">SUM($C$48:D48)+SUM($C$49:D49)</f>
        <v>29.874132283392</v>
      </c>
      <c r="E216" s="88" t="n">
        <f aca="false">SUM($C$48:E48)+SUM($C$49:E49)</f>
        <v>54.254971891288</v>
      </c>
      <c r="F216" s="88" t="n">
        <f aca="false">SUM($C$48:F48)+SUM($C$49:F49)</f>
        <v>104.173587785454</v>
      </c>
      <c r="G216" s="88" t="n">
        <f aca="false">SUM($C$48:G48)+SUM($C$49:G49)</f>
        <v>154.092203679621</v>
      </c>
      <c r="H216" s="88" t="n">
        <f aca="false">SUM($C$48:H48)+SUM($C$49:H49)</f>
        <v>192.570372018291</v>
      </c>
      <c r="I216" s="88" t="n">
        <f aca="false">SUM($C$48:I48)+SUM($C$49:I49)</f>
        <v>224.055303184562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0.0437990462328718</v>
      </c>
      <c r="E217" s="87" t="n">
        <f aca="false">IF(E216*01_Supuestos!$I$107&gt;0,E218/(E216*01_Supuestos!$I$107),0)</f>
        <v>0.0548079801876766</v>
      </c>
      <c r="F217" s="87" t="n">
        <f aca="false">IF(F216*01_Supuestos!$I$107&gt;0,F218/(F216*01_Supuestos!$I$107),0)</f>
        <v>0.0589502882071654</v>
      </c>
      <c r="G217" s="87" t="n">
        <f aca="false">IF(G216*01_Supuestos!$I$107&gt;0,G218/(G216*01_Supuestos!$I$107),0)</f>
        <v>0.0695294278191715</v>
      </c>
      <c r="H217" s="87" t="n">
        <f aca="false">IF(H216*01_Supuestos!$I$107&gt;0,H218/(H216*01_Supuestos!$I$107),0)</f>
        <v>0.0842948479315586</v>
      </c>
      <c r="I217" s="87" t="n">
        <f aca="false">IF(I216*01_Supuestos!$I$107&gt;0,I218/(I216*01_Supuestos!$I$107),0)</f>
        <v>0.1000235021631</v>
      </c>
      <c r="J217" s="87" t="n">
        <f aca="false">IF(J216*01_Supuestos!$I$107&gt;0,J218/(J216*01_Supuestos!$I$107),0)</f>
        <v>0.11624505559569</v>
      </c>
      <c r="K217" s="87" t="n">
        <f aca="false">IF(K216*01_Supuestos!$I$107&gt;0,K218/(K216*01_Supuestos!$I$107),0)</f>
        <v>0.140994568969348</v>
      </c>
      <c r="L217" s="87" t="n">
        <f aca="false">IF(L216*01_Supuestos!$I$107&gt;0,L218/(L216*01_Supuestos!$I$107),0)</f>
        <v>0.164147911606539</v>
      </c>
      <c r="M217" s="87" t="n">
        <f aca="false">IF(M216*01_Supuestos!$I$107&gt;0,M218/(M216*01_Supuestos!$I$107),0)</f>
        <v>0.184329961641679</v>
      </c>
      <c r="N217" s="87" t="n">
        <f aca="false">IF(N216*01_Supuestos!$I$107&gt;0,N218/(N216*01_Supuestos!$I$107),0)</f>
        <v>0.20082884618213</v>
      </c>
      <c r="O217" s="87" t="n">
        <f aca="false">IF(O216*01_Supuestos!$I$107&gt;0,O218/(O216*01_Supuestos!$I$107),0)</f>
        <v>0.213113753147469</v>
      </c>
      <c r="P217" s="87" t="n">
        <f aca="false">IF(P216*01_Supuestos!$I$107&gt;0,P218/(P216*01_Supuestos!$I$107),0)</f>
        <v>0.218157067927169</v>
      </c>
      <c r="Q217" s="87" t="n">
        <f aca="false">IF(Q216*01_Supuestos!$I$107&gt;0,Q218/(Q216*01_Supuestos!$I$107),0)</f>
        <v>0.216425822634453</v>
      </c>
      <c r="R217" s="87" t="n">
        <f aca="false">IF(R216*01_Supuestos!$I$107&gt;0,R218/(R216*01_Supuestos!$I$107),0)</f>
        <v>0.209834992802257</v>
      </c>
      <c r="S217" s="87" t="n">
        <f aca="false">IF(S216*01_Supuestos!$I$107&gt;0,S218/(S216*01_Supuestos!$I$107),0)</f>
        <v>0.199601488199926</v>
      </c>
      <c r="T217" s="87" t="n">
        <f aca="false">IF(T216*01_Supuestos!$I$107&gt;0,T218/(T216*01_Supuestos!$I$107),0)</f>
        <v>0.186728586433736</v>
      </c>
      <c r="U217" s="87" t="n">
        <f aca="false">IF(U216*01_Supuestos!$I$107&gt;0,U218/(U216*01_Supuestos!$I$107),0)</f>
        <v>0.174685896913841</v>
      </c>
      <c r="V217" s="87" t="n">
        <f aca="false">IF(V216*01_Supuestos!$I$107&gt;0,V218/(V216*01_Supuestos!$I$107),0)</f>
        <v>0.163419876749411</v>
      </c>
      <c r="W217" s="87" t="n">
        <f aca="false">IF(W216*01_Supuestos!$I$107&gt;0,W218/(W216*01_Supuestos!$I$107),0)</f>
        <v>0.15288043619208</v>
      </c>
      <c r="X217" s="87" t="n">
        <f aca="false">IF(X216*01_Supuestos!$I$107&gt;0,X218/(X216*01_Supuestos!$I$107),0)</f>
        <v>0.143020715932371</v>
      </c>
      <c r="Y217" s="87" t="n">
        <f aca="false">IF(Y216*01_Supuestos!$I$107&gt;0,Y218/(Y216*01_Supuestos!$I$107),0)</f>
        <v>0.133796878758956</v>
      </c>
      <c r="Z217" s="87" t="n">
        <f aca="false">IF(Z216*01_Supuestos!$I$107&gt;0,Z218/(Z216*01_Supuestos!$I$107),0)</f>
        <v>0.125167914654432</v>
      </c>
      <c r="AA217" s="87" t="n">
        <f aca="false">IF(AA216*01_Supuestos!$I$107&gt;0,AA218/(AA216*01_Supuestos!$I$107),0)</f>
        <v>0.117095458461063</v>
      </c>
      <c r="AB217" s="87" t="n">
        <f aca="false">IF(AB216*01_Supuestos!$I$107&gt;0,AB218/(AB216*01_Supuestos!$I$107),0)</f>
        <v>0.109543619305804</v>
      </c>
      <c r="AC217" s="87" t="n">
        <f aca="false">IF(AC216*01_Supuestos!$I$107&gt;0,AC218/(AC216*01_Supuestos!$I$107),0)</f>
        <v>0.102478821026224</v>
      </c>
      <c r="AD217" s="87" t="n">
        <f aca="false">IF(AD216*01_Supuestos!$I$107&gt;0,AD218/(AD216*01_Supuestos!$I$107),0)</f>
        <v>0.0958696528878373</v>
      </c>
      <c r="AE217" s="87" t="n">
        <f aca="false">IF(AE216*01_Supuestos!$I$107&gt;0,AE218/(AE216*01_Supuestos!$I$107),0)</f>
        <v>0.0896867299291284</v>
      </c>
      <c r="AF217" s="87" t="n">
        <f aca="false">IF(AF216*01_Supuestos!$I$107&gt;0,AF218/(AF216*01_Supuestos!$I$107),0)</f>
        <v>0.0839025623133439</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0.0184457238860399</v>
      </c>
      <c r="D218" s="88" t="n">
        <f aca="false">(1-01_Supuestos!$C$157)*SUMPRODUCT(($C$48:D48+$C$49:D49)*(EXP(-(((D$39-$C$39:D$39+1)-01_Supuestos!$C$156)+ABS((D$39-$C$39:D$39+1)-01_Supuestos!$C$156))/2/01_Supuestos!$C$155)-EXP(-(D$39-$C$39:D$39+1)/01_Supuestos!$C$155)))*01_Supuestos!$I$107</f>
        <v>0.0654229250523607</v>
      </c>
      <c r="E218" s="88" t="n">
        <f aca="false">(1-01_Supuestos!$C$157)*SUMPRODUCT(($C$48:E48+$C$49:E49)*(EXP(-(((E$39-$C$39:E$39+1)-01_Supuestos!$C$156)+ABS((E$39-$C$39:E$39+1)-01_Supuestos!$C$156))/2/01_Supuestos!$C$155)-EXP(-(E$39-$C$39:E$39+1)/01_Supuestos!$C$155)))*01_Supuestos!$I$107</f>
        <v>0.148680271225033</v>
      </c>
      <c r="F218" s="88" t="n">
        <f aca="false">(1-01_Supuestos!$C$157)*SUMPRODUCT(($C$48:F48+$C$49:F49)*(EXP(-(((F$39-$C$39:F$39+1)-01_Supuestos!$C$156)+ABS((F$39-$C$39:F$39+1)-01_Supuestos!$C$156))/2/01_Supuestos!$C$155)-EXP(-(F$39-$C$39:F$39+1)/01_Supuestos!$C$155)))*01_Supuestos!$I$107</f>
        <v>0.307053151176349</v>
      </c>
      <c r="G218" s="88" t="n">
        <f aca="false">(1-01_Supuestos!$C$157)*SUMPRODUCT(($C$48:G48+$C$49:G49)*(EXP(-(((G$39-$C$39:G$39+1)-01_Supuestos!$C$156)+ABS((G$39-$C$39:G$39+1)-01_Supuestos!$C$156))/2/01_Supuestos!$C$155)-EXP(-(G$39-$C$39:G$39+1)/01_Supuestos!$C$155)))*01_Supuestos!$I$107</f>
        <v>0.535697137661964</v>
      </c>
      <c r="H218" s="88" t="n">
        <f aca="false">(1-01_Supuestos!$C$157)*SUMPRODUCT(($C$48:H48+$C$49:H49)*(EXP(-(((H$39-$C$39:H$39+1)-01_Supuestos!$C$156)+ABS((H$39-$C$39:H$39+1)-01_Supuestos!$C$156))/2/01_Supuestos!$C$155)-EXP(-(H$39-$C$39:H$39+1)/01_Supuestos!$C$155)))*01_Supuestos!$I$107</f>
        <v>0.811634511270276</v>
      </c>
      <c r="I218" s="88" t="n">
        <f aca="false">(1-01_Supuestos!$C$157)*SUMPRODUCT(($C$48:I48+$C$49:I49)*(EXP(-(((I$39-$C$39:I$39+1)-01_Supuestos!$C$156)+ABS((I$39-$C$39:I$39+1)-01_Supuestos!$C$156))/2/01_Supuestos!$C$155)-EXP(-(I$39-$C$39:I$39+1)/01_Supuestos!$C$155)))*01_Supuestos!$I$107</f>
        <v>1.12053980513675</v>
      </c>
      <c r="J218" s="88" t="n">
        <f aca="false">(1-01_Supuestos!$C$157)*SUMPRODUCT(($C$48:J48+$C$49:J49)*(EXP(-(((J$39-$C$39:J$39+1)-01_Supuestos!$C$156)+ABS((J$39-$C$39:J$39+1)-01_Supuestos!$C$156))/2/01_Supuestos!$C$155)-EXP(-(J$39-$C$39:J$39+1)/01_Supuestos!$C$155)))*01_Supuestos!$I$107</f>
        <v>1.45069806996932</v>
      </c>
      <c r="K218" s="88" t="n">
        <f aca="false">(1-01_Supuestos!$C$157)*SUMPRODUCT(($C$48:K48+$C$49:K49)*(EXP(-(((K$39-$C$39:K$39+1)-01_Supuestos!$C$156)+ABS((K$39-$C$39:K$39+1)-01_Supuestos!$C$156))/2/01_Supuestos!$C$155)-EXP(-(K$39-$C$39:K$39+1)/01_Supuestos!$C$155)))*01_Supuestos!$I$107</f>
        <v>1.75956343288611</v>
      </c>
      <c r="L218" s="88" t="n">
        <f aca="false">(1-01_Supuestos!$C$157)*SUMPRODUCT(($C$48:L48+$C$49:L49)*(EXP(-(((L$39-$C$39:L$39+1)-01_Supuestos!$C$156)+ABS((L$39-$C$39:L$39+1)-01_Supuestos!$C$156))/2/01_Supuestos!$C$155)-EXP(-(L$39-$C$39:L$39+1)/01_Supuestos!$C$155)))*01_Supuestos!$I$107</f>
        <v>2.0485091373291</v>
      </c>
      <c r="M218" s="88" t="n">
        <f aca="false">(1-01_Supuestos!$C$157)*SUMPRODUCT(($C$48:M48+$C$49:M49)*(EXP(-(((M$39-$C$39:M$39+1)-01_Supuestos!$C$156)+ABS((M$39-$C$39:M$39+1)-01_Supuestos!$C$156))/2/01_Supuestos!$C$155)-EXP(-(M$39-$C$39:M$39+1)/01_Supuestos!$C$155)))*01_Supuestos!$I$107</f>
        <v>2.30037413824435</v>
      </c>
      <c r="N218" s="88" t="n">
        <f aca="false">(1-01_Supuestos!$C$157)*SUMPRODUCT(($C$48:N48+$C$49:N49)*(EXP(-(((N$39-$C$39:N$39+1)-01_Supuestos!$C$156)+ABS((N$39-$C$39:N$39+1)-01_Supuestos!$C$156))/2/01_Supuestos!$C$155)-EXP(-(N$39-$C$39:N$39+1)/01_Supuestos!$C$155)))*01_Supuestos!$I$107</f>
        <v>2.50627450825859</v>
      </c>
      <c r="O218" s="88" t="n">
        <f aca="false">(1-01_Supuestos!$C$157)*SUMPRODUCT(($C$48:O48+$C$49:O49)*(EXP(-(((O$39-$C$39:O$39+1)-01_Supuestos!$C$156)+ABS((O$39-$C$39:O$39+1)-01_Supuestos!$C$156))/2/01_Supuestos!$C$155)-EXP(-(O$39-$C$39:O$39+1)/01_Supuestos!$C$155)))*01_Supuestos!$I$107</f>
        <v>2.65958589628317</v>
      </c>
      <c r="P218" s="88" t="n">
        <f aca="false">(1-01_Supuestos!$C$157)*SUMPRODUCT(($C$48:P48+$C$49:P49)*(EXP(-(((P$39-$C$39:P$39+1)-01_Supuestos!$C$156)+ABS((P$39-$C$39:P$39+1)-01_Supuestos!$C$156))/2/01_Supuestos!$C$155)-EXP(-(P$39-$C$39:P$39+1)/01_Supuestos!$C$155)))*01_Supuestos!$I$107</f>
        <v>2.72252471961347</v>
      </c>
      <c r="Q218" s="88" t="n">
        <f aca="false">(1-01_Supuestos!$C$157)*SUMPRODUCT(($C$48:Q48+$C$49:Q49)*(EXP(-(((Q$39-$C$39:Q$39+1)-01_Supuestos!$C$156)+ABS((Q$39-$C$39:Q$39+1)-01_Supuestos!$C$156))/2/01_Supuestos!$C$155)-EXP(-(Q$39-$C$39:Q$39+1)/01_Supuestos!$C$155)))*01_Supuestos!$I$107</f>
        <v>2.70091937741706</v>
      </c>
      <c r="R218" s="88" t="n">
        <f aca="false">(1-01_Supuestos!$C$157)*SUMPRODUCT(($C$48:R48+$C$49:R49)*(EXP(-(((R$39-$C$39:R$39+1)-01_Supuestos!$C$156)+ABS((R$39-$C$39:R$39+1)-01_Supuestos!$C$156))/2/01_Supuestos!$C$155)-EXP(-(R$39-$C$39:R$39+1)/01_Supuestos!$C$155)))*01_Supuestos!$I$107</f>
        <v>2.61866810171276</v>
      </c>
      <c r="S218" s="88" t="n">
        <f aca="false">(1-01_Supuestos!$C$157)*SUMPRODUCT(($C$48:S48+$C$49:S49)*(EXP(-(((S$39-$C$39:S$39+1)-01_Supuestos!$C$156)+ABS((S$39-$C$39:S$39+1)-01_Supuestos!$C$156))/2/01_Supuestos!$C$155)-EXP(-(S$39-$C$39:S$39+1)/01_Supuestos!$C$155)))*01_Supuestos!$I$107</f>
        <v>2.49095750533902</v>
      </c>
      <c r="T218" s="88" t="n">
        <f aca="false">(1-01_Supuestos!$C$157)*SUMPRODUCT(($C$48:T48+$C$49:T49)*(EXP(-(((T$39-$C$39:T$39+1)-01_Supuestos!$C$156)+ABS((T$39-$C$39:T$39+1)-01_Supuestos!$C$156))/2/01_Supuestos!$C$155)-EXP(-(T$39-$C$39:T$39+1)/01_Supuestos!$C$155)))*01_Supuestos!$I$107</f>
        <v>2.33030814566159</v>
      </c>
      <c r="U218" s="88" t="n">
        <f aca="false">(1-01_Supuestos!$C$157)*SUMPRODUCT(($C$48:U48+$C$49:U49)*(EXP(-(((U$39-$C$39:U$39+1)-01_Supuestos!$C$156)+ABS((U$39-$C$39:U$39+1)-01_Supuestos!$C$156))/2/01_Supuestos!$C$155)-EXP(-(U$39-$C$39:U$39+1)/01_Supuestos!$C$155)))*01_Supuestos!$I$107</f>
        <v>2.18001954754249</v>
      </c>
      <c r="V218" s="88" t="n">
        <f aca="false">(1-01_Supuestos!$C$157)*SUMPRODUCT(($C$48:V48+$C$49:V49)*(EXP(-(((V$39-$C$39:V$39+1)-01_Supuestos!$C$156)+ABS((V$39-$C$39:V$39+1)-01_Supuestos!$C$156))/2/01_Supuestos!$C$155)-EXP(-(V$39-$C$39:V$39+1)/01_Supuestos!$C$155)))*01_Supuestos!$I$107</f>
        <v>2.03942351423147</v>
      </c>
      <c r="W218" s="88" t="n">
        <f aca="false">(1-01_Supuestos!$C$157)*SUMPRODUCT(($C$48:W48+$C$49:W49)*(EXP(-(((W$39-$C$39:W$39+1)-01_Supuestos!$C$156)+ABS((W$39-$C$39:W$39+1)-01_Supuestos!$C$156))/2/01_Supuestos!$C$155)-EXP(-(W$39-$C$39:W$39+1)/01_Supuestos!$C$155)))*01_Supuestos!$I$107</f>
        <v>1.90789494300127</v>
      </c>
      <c r="X218" s="88" t="n">
        <f aca="false">(1-01_Supuestos!$C$157)*SUMPRODUCT(($C$48:X48+$C$49:X49)*(EXP(-(((X$39-$C$39:X$39+1)-01_Supuestos!$C$156)+ABS((X$39-$C$39:X$39+1)-01_Supuestos!$C$156))/2/01_Supuestos!$C$155)-EXP(-(X$39-$C$39:X$39+1)/01_Supuestos!$C$155)))*01_Supuestos!$I$107</f>
        <v>1.78484904588418</v>
      </c>
      <c r="Y218" s="88" t="n">
        <f aca="false">(1-01_Supuestos!$C$157)*SUMPRODUCT(($C$48:Y48+$C$49:Y49)*(EXP(-(((Y$39-$C$39:Y$39+1)-01_Supuestos!$C$156)+ABS((Y$39-$C$39:Y$39+1)-01_Supuestos!$C$156))/2/01_Supuestos!$C$155)-EXP(-(Y$39-$C$39:Y$39+1)/01_Supuestos!$C$155)))*01_Supuestos!$I$107</f>
        <v>1.66973874965167</v>
      </c>
      <c r="Z218" s="88" t="n">
        <f aca="false">(1-01_Supuestos!$C$157)*SUMPRODUCT(($C$48:Z48+$C$49:Z49)*(EXP(-(((Z$39-$C$39:Z$39+1)-01_Supuestos!$C$156)+ABS((Z$39-$C$39:Z$39+1)-01_Supuestos!$C$156))/2/01_Supuestos!$C$155)-EXP(-(Z$39-$C$39:Z$39+1)/01_Supuestos!$C$155)))*01_Supuestos!$I$107</f>
        <v>1.5620522634771</v>
      </c>
      <c r="AA218" s="88" t="n">
        <f aca="false">(1-01_Supuestos!$C$157)*SUMPRODUCT(($C$48:AA48+$C$49:AA49)*(EXP(-(((AA$39-$C$39:AA$39+1)-01_Supuestos!$C$156)+ABS((AA$39-$C$39:AA$39+1)-01_Supuestos!$C$156))/2/01_Supuestos!$C$155)-EXP(-(AA$39-$C$39:AA$39+1)/01_Supuestos!$C$155)))*01_Supuestos!$I$107</f>
        <v>1.46131080346727</v>
      </c>
      <c r="AB218" s="88" t="n">
        <f aca="false">(1-01_Supuestos!$C$157)*SUMPRODUCT(($C$48:AB48+$C$49:AB49)*(EXP(-(((AB$39-$C$39:AB$39+1)-01_Supuestos!$C$156)+ABS((AB$39-$C$39:AB$39+1)-01_Supuestos!$C$156))/2/01_Supuestos!$C$155)-EXP(-(AB$39-$C$39:AB$39+1)/01_Supuestos!$C$155)))*01_Supuestos!$I$107</f>
        <v>1.3670664639458</v>
      </c>
      <c r="AC218" s="88" t="n">
        <f aca="false">(1-01_Supuestos!$C$157)*SUMPRODUCT(($C$48:AC48+$C$49:AC49)*(EXP(-(((AC$39-$C$39:AC$39+1)-01_Supuestos!$C$156)+ABS((AC$39-$C$39:AC$39+1)-01_Supuestos!$C$156))/2/01_Supuestos!$C$155)-EXP(-(AC$39-$C$39:AC$39+1)/01_Supuestos!$C$155)))*01_Supuestos!$I$107</f>
        <v>1.27890022602377</v>
      </c>
      <c r="AD218" s="88" t="n">
        <f aca="false">(1-01_Supuestos!$C$157)*SUMPRODUCT(($C$48:AD48+$C$49:AD49)*(EXP(-(((AD$39-$C$39:AD$39+1)-01_Supuestos!$C$156)+ABS((AD$39-$C$39:AD$39+1)-01_Supuestos!$C$156))/2/01_Supuestos!$C$155)-EXP(-(AD$39-$C$39:AD$39+1)/01_Supuestos!$C$155)))*01_Supuestos!$I$107</f>
        <v>1.19642009460375</v>
      </c>
      <c r="AE218" s="88" t="n">
        <f aca="false">(1-01_Supuestos!$C$157)*SUMPRODUCT(($C$48:AE48+$C$49:AE49)*(EXP(-(((AE$39-$C$39:AE$39+1)-01_Supuestos!$C$156)+ABS((AE$39-$C$39:AE$39+1)-01_Supuestos!$C$156))/2/01_Supuestos!$C$155)-EXP(-(AE$39-$C$39:AE$39+1)/01_Supuestos!$C$155)))*01_Supuestos!$I$107</f>
        <v>1.119259355534</v>
      </c>
      <c r="AF218" s="88" t="n">
        <f aca="false">(1-01_Supuestos!$C$157)*SUMPRODUCT(($C$48:AF48+$C$49:AF49)*(EXP(-(((AF$39-$C$39:AF$39+1)-01_Supuestos!$C$156)+ABS((AF$39-$C$39:AF$39+1)-01_Supuestos!$C$156))/2/01_Supuestos!$C$155)-EXP(-(AF$39-$C$39:AF$39+1)/01_Supuestos!$C$155)))*01_Supuestos!$I$107</f>
        <v>1.04707494516404</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0.0184457238860399</v>
      </c>
      <c r="D220" s="88" t="n">
        <f aca="false">D218</f>
        <v>0.0654229250523607</v>
      </c>
      <c r="E220" s="88" t="n">
        <f aca="false">E218</f>
        <v>0.148680271225033</v>
      </c>
      <c r="F220" s="88" t="n">
        <f aca="false">F218</f>
        <v>0.307053151176349</v>
      </c>
      <c r="G220" s="88" t="n">
        <f aca="false">G218</f>
        <v>0.535697137661964</v>
      </c>
      <c r="H220" s="88" t="n">
        <f aca="false">H218</f>
        <v>0.811634511270276</v>
      </c>
      <c r="I220" s="88" t="n">
        <f aca="false">I218</f>
        <v>1.12053980513675</v>
      </c>
      <c r="J220" s="88" t="n">
        <f aca="false">J218</f>
        <v>1.45069806996932</v>
      </c>
      <c r="K220" s="88" t="n">
        <f aca="false">K218</f>
        <v>1.75956343288611</v>
      </c>
      <c r="L220" s="88" t="n">
        <f aca="false">L218</f>
        <v>2.0485091373291</v>
      </c>
      <c r="M220" s="88" t="n">
        <f aca="false">M218</f>
        <v>2.30037413824435</v>
      </c>
      <c r="N220" s="88" t="n">
        <f aca="false">N218</f>
        <v>2.50627450825859</v>
      </c>
      <c r="O220" s="88" t="n">
        <f aca="false">O218</f>
        <v>2.65958589628317</v>
      </c>
      <c r="P220" s="88" t="n">
        <f aca="false">P218</f>
        <v>2.72252471961347</v>
      </c>
      <c r="Q220" s="88" t="n">
        <f aca="false">Q218</f>
        <v>2.70091937741706</v>
      </c>
      <c r="R220" s="88" t="n">
        <f aca="false">R218</f>
        <v>2.61866810171276</v>
      </c>
      <c r="S220" s="88" t="n">
        <f aca="false">S218</f>
        <v>2.49095750533902</v>
      </c>
      <c r="T220" s="88" t="n">
        <f aca="false">T218</f>
        <v>2.33030814566159</v>
      </c>
      <c r="U220" s="88" t="n">
        <f aca="false">U218</f>
        <v>2.18001954754249</v>
      </c>
      <c r="V220" s="88" t="n">
        <f aca="false">V218</f>
        <v>2.03942351423147</v>
      </c>
      <c r="W220" s="88" t="n">
        <f aca="false">W218</f>
        <v>1.90789494300127</v>
      </c>
      <c r="X220" s="88" t="n">
        <f aca="false">X218</f>
        <v>1.78484904588418</v>
      </c>
      <c r="Y220" s="88" t="n">
        <f aca="false">Y218</f>
        <v>1.66973874965167</v>
      </c>
      <c r="Z220" s="88" t="n">
        <f aca="false">Z218</f>
        <v>1.5620522634771</v>
      </c>
      <c r="AA220" s="88" t="n">
        <f aca="false">AA218</f>
        <v>1.46131080346727</v>
      </c>
      <c r="AB220" s="88" t="n">
        <f aca="false">AB218</f>
        <v>1.3670664639458</v>
      </c>
      <c r="AC220" s="88" t="n">
        <f aca="false">AC218</f>
        <v>1.27890022602377</v>
      </c>
      <c r="AD220" s="88" t="n">
        <f aca="false">AD218</f>
        <v>1.19642009460375</v>
      </c>
      <c r="AE220" s="88" t="n">
        <f aca="false">AE218</f>
        <v>1.119259355534</v>
      </c>
      <c r="AF220" s="88" t="n">
        <f aca="false">AF218</f>
        <v>1.04707494516404</v>
      </c>
    </row>
    <row r="221" customFormat="false" ht="14.25" hidden="false" customHeight="true" outlineLevel="0" collapsed="false">
      <c r="B221" s="1" t="s">
        <v>1346</v>
      </c>
      <c r="C221" s="116" t="n">
        <f aca="false">C112</f>
        <v>0.0236534055447657</v>
      </c>
      <c r="D221" s="116" t="n">
        <f aca="false">D112</f>
        <v>0.0625411439638284</v>
      </c>
      <c r="E221" s="116" t="n">
        <f aca="false">E112</f>
        <v>0.114975258393498</v>
      </c>
      <c r="F221" s="116" t="n">
        <f aca="false">F112</f>
        <v>0.235280488140055</v>
      </c>
      <c r="G221" s="116" t="n">
        <f aca="false">G112</f>
        <v>0.355584595852633</v>
      </c>
      <c r="H221" s="116" t="n">
        <f aca="false">H112</f>
        <v>0.455022126799729</v>
      </c>
      <c r="I221" s="116" t="n">
        <f aca="false">I112</f>
        <v>0.5420104840738</v>
      </c>
      <c r="J221" s="116" t="n">
        <f aca="false">J112</f>
        <v>0.618236002576194</v>
      </c>
      <c r="K221" s="116" t="n">
        <f aca="false">K112</f>
        <v>0.643407388159918</v>
      </c>
      <c r="L221" s="116" t="n">
        <f aca="false">L112</f>
        <v>0.66859912241482</v>
      </c>
      <c r="M221" s="116" t="n">
        <f aca="false">M112</f>
        <v>0.69332452511844</v>
      </c>
      <c r="N221" s="116" t="n">
        <f aca="false">N112</f>
        <v>0.717107009946887</v>
      </c>
      <c r="O221" s="116" t="n">
        <f aca="false">O112</f>
        <v>0.73954116968916</v>
      </c>
      <c r="P221" s="116" t="n">
        <f aca="false">P112</f>
        <v>0.759510187428796</v>
      </c>
      <c r="Q221" s="116" t="n">
        <f aca="false">Q112</f>
        <v>0.777013146091049</v>
      </c>
      <c r="R221" s="116" t="n">
        <f aca="false">R112</f>
        <v>0.792620110377628</v>
      </c>
      <c r="S221" s="116" t="n">
        <f aca="false">S112</f>
        <v>0.806798970985701</v>
      </c>
      <c r="T221" s="116" t="n">
        <f aca="false">T112</f>
        <v>0.819946519068373</v>
      </c>
      <c r="U221" s="116" t="n">
        <f aca="false">U112</f>
        <v>0.833163850480704</v>
      </c>
      <c r="V221" s="116" t="n">
        <f aca="false">V112</f>
        <v>0.846443158617113</v>
      </c>
      <c r="W221" s="116" t="n">
        <f aca="false">W112</f>
        <v>0.859489808631714</v>
      </c>
      <c r="X221" s="116" t="n">
        <f aca="false">X112</f>
        <v>0.872296302344462</v>
      </c>
      <c r="Y221" s="116" t="n">
        <f aca="false">Y112</f>
        <v>0.884855166534295</v>
      </c>
      <c r="Z221" s="116" t="n">
        <f aca="false">Z112</f>
        <v>0.897158951351965</v>
      </c>
      <c r="AA221" s="116" t="n">
        <f aca="false">AA112</f>
        <v>0.909200228800247</v>
      </c>
      <c r="AB221" s="116" t="n">
        <f aca="false">AB112</f>
        <v>0.918632281035441</v>
      </c>
      <c r="AC221" s="116" t="n">
        <f aca="false">AC112</f>
        <v>0.927836946861452</v>
      </c>
      <c r="AD221" s="116" t="n">
        <f aca="false">AD112</f>
        <v>0.936807989712091</v>
      </c>
      <c r="AE221" s="116" t="n">
        <f aca="false">AE112</f>
        <v>0.945539473016109</v>
      </c>
      <c r="AF221" s="116" t="n">
        <f aca="false">AF112</f>
        <v>0.954025744779725</v>
      </c>
    </row>
    <row r="222" customFormat="false" ht="14.25" hidden="false" customHeight="true" outlineLevel="0" collapsed="false">
      <c r="B222" s="1" t="s">
        <v>1218</v>
      </c>
      <c r="C222" s="87" t="n">
        <f aca="false">IF(C221&gt;0,C220/C221,0)</f>
        <v>0.779833747454677</v>
      </c>
      <c r="D222" s="87" t="n">
        <f aca="false">IF(D221&gt;0,D220/D221,0)</f>
        <v>1.04607816400351</v>
      </c>
      <c r="E222" s="87" t="n">
        <f aca="false">IF(E221&gt;0,E220/E221,0)</f>
        <v>1.29315013771207</v>
      </c>
      <c r="F222" s="87" t="n">
        <f aca="false">IF(F221&gt;0,F220/F221,0)</f>
        <v>1.30505148813518</v>
      </c>
      <c r="G222" s="87" t="n">
        <f aca="false">IF(G221&gt;0,G220/G221,0)</f>
        <v>1.50652515297366</v>
      </c>
      <c r="H222" s="87" t="n">
        <f aca="false">IF(H221&gt;0,H220/H221,0)</f>
        <v>1.78372536953023</v>
      </c>
      <c r="I222" s="87" t="n">
        <f aca="false">IF(I221&gt;0,I220/I221,0)</f>
        <v>2.06737662473735</v>
      </c>
      <c r="J222" s="87" t="n">
        <f aca="false">IF(J221&gt;0,J220/J221,0)</f>
        <v>2.34651179149104</v>
      </c>
      <c r="K222" s="87" t="n">
        <f aca="false">IF(K221&gt;0,K220/K221,0)</f>
        <v>2.73475789253569</v>
      </c>
      <c r="L222" s="87" t="n">
        <f aca="false">IF(L221&gt;0,L220/L221,0)</f>
        <v>3.06388248002835</v>
      </c>
      <c r="M222" s="87" t="n">
        <f aca="false">IF(M221&gt;0,M220/M221,0)</f>
        <v>3.31788946576119</v>
      </c>
      <c r="N222" s="87" t="n">
        <f aca="false">IF(N221&gt;0,N220/N221,0)</f>
        <v>3.49497979171089</v>
      </c>
      <c r="O222" s="87" t="n">
        <f aca="false">IF(O221&gt;0,O220/O221,0)</f>
        <v>3.59626482647482</v>
      </c>
      <c r="P222" s="87" t="n">
        <f aca="false">IF(P221&gt;0,P220/P221,0)</f>
        <v>3.58457959442277</v>
      </c>
      <c r="Q222" s="87" t="n">
        <f aca="false">IF(Q221&gt;0,Q220/Q221,0)</f>
        <v>3.47602790378088</v>
      </c>
      <c r="R222" s="87" t="n">
        <f aca="false">IF(R221&gt;0,R220/R221,0)</f>
        <v>3.30381234014508</v>
      </c>
      <c r="S222" s="87" t="n">
        <f aca="false">IF(S221&gt;0,S220/S221,0)</f>
        <v>3.08745746452268</v>
      </c>
      <c r="T222" s="87" t="n">
        <f aca="false">IF(T221&gt;0,T220/T221,0)</f>
        <v>2.84202456071073</v>
      </c>
      <c r="U222" s="87" t="n">
        <f aca="false">IF(U221&gt;0,U220/U221,0)</f>
        <v>2.61655561062173</v>
      </c>
      <c r="V222" s="87" t="n">
        <f aca="false">IF(V221&gt;0,V220/V221,0)</f>
        <v>2.40940397883704</v>
      </c>
      <c r="W222" s="87" t="n">
        <f aca="false">IF(W221&gt;0,W220/W221,0)</f>
        <v>2.21979937846917</v>
      </c>
      <c r="X222" s="87" t="n">
        <f aca="false">IF(X221&gt;0,X220/X221,0)</f>
        <v>2.04614996198776</v>
      </c>
      <c r="Y222" s="87" t="n">
        <f aca="false">IF(Y221&gt;0,Y220/Y221,0)</f>
        <v>1.88701926914381</v>
      </c>
      <c r="Z222" s="87" t="n">
        <f aca="false">IF(Z221&gt;0,Z220/Z221,0)</f>
        <v>1.7411098235415</v>
      </c>
      <c r="AA222" s="87" t="n">
        <f aca="false">IF(AA221&gt;0,AA220/AA221,0)</f>
        <v>1.6072486094681</v>
      </c>
      <c r="AB222" s="87" t="n">
        <f aca="false">IF(AB221&gt;0,AB220/AB221,0)</f>
        <v>1.48815417460064</v>
      </c>
      <c r="AC222" s="87" t="n">
        <f aca="false">IF(AC221&gt;0,AC220/AC221,0)</f>
        <v>1.37836742797303</v>
      </c>
      <c r="AD222" s="87" t="n">
        <f aca="false">IF(AD221&gt;0,AD220/AD221,0)</f>
        <v>1.27712413615457</v>
      </c>
      <c r="AE222" s="87" t="n">
        <f aca="false">IF(AE221&gt;0,AE220/AE221,0)</f>
        <v>1.18372567986374</v>
      </c>
      <c r="AF222" s="87" t="n">
        <f aca="false">IF(AF221&gt;0,AF220/AF221,0)</f>
        <v>1.09753321741417</v>
      </c>
    </row>
    <row r="223" customFormat="false" ht="14.25" hidden="false" customHeight="true" outlineLevel="0" collapsed="false">
      <c r="B223" s="1" t="s">
        <v>1219</v>
      </c>
      <c r="C223" s="88" t="n">
        <f aca="false">C220-C221</f>
        <v>-0.00520768165872584</v>
      </c>
      <c r="D223" s="88" t="n">
        <f aca="false">D220-D221</f>
        <v>0.00288178108853226</v>
      </c>
      <c r="E223" s="88" t="n">
        <f aca="false">E220-E221</f>
        <v>0.0337050128315349</v>
      </c>
      <c r="F223" s="88" t="n">
        <f aca="false">F220-F221</f>
        <v>0.0717726630362945</v>
      </c>
      <c r="G223" s="88" t="n">
        <f aca="false">G220-G221</f>
        <v>0.180112541809331</v>
      </c>
      <c r="H223" s="88" t="n">
        <f aca="false">H220-H221</f>
        <v>0.356612384470547</v>
      </c>
      <c r="I223" s="88" t="n">
        <f aca="false">I220-I221</f>
        <v>0.57852932106295</v>
      </c>
      <c r="J223" s="88" t="n">
        <f aca="false">J220-J221</f>
        <v>0.832462067393129</v>
      </c>
      <c r="K223" s="88" t="n">
        <f aca="false">K220-K221</f>
        <v>1.1161560447262</v>
      </c>
      <c r="L223" s="88" t="n">
        <f aca="false">L220-L221</f>
        <v>1.37991001491428</v>
      </c>
      <c r="M223" s="88" t="n">
        <f aca="false">M220-M221</f>
        <v>1.60704961312591</v>
      </c>
      <c r="N223" s="88" t="n">
        <f aca="false">N220-N221</f>
        <v>1.78916749831171</v>
      </c>
      <c r="O223" s="88" t="n">
        <f aca="false">O220-O221</f>
        <v>1.92004472659401</v>
      </c>
      <c r="P223" s="88" t="n">
        <f aca="false">P220-P221</f>
        <v>1.96301453218468</v>
      </c>
      <c r="Q223" s="88" t="n">
        <f aca="false">Q220-Q221</f>
        <v>1.92390623132601</v>
      </c>
      <c r="R223" s="88" t="n">
        <f aca="false">R220-R221</f>
        <v>1.82604799133514</v>
      </c>
      <c r="S223" s="88" t="n">
        <f aca="false">S220-S221</f>
        <v>1.68415853435332</v>
      </c>
      <c r="T223" s="88" t="n">
        <f aca="false">T220-T221</f>
        <v>1.51036162659321</v>
      </c>
      <c r="U223" s="88" t="n">
        <f aca="false">U220-U221</f>
        <v>1.34685569706179</v>
      </c>
      <c r="V223" s="88" t="n">
        <f aca="false">V220-V221</f>
        <v>1.19298035561435</v>
      </c>
      <c r="W223" s="88" t="n">
        <f aca="false">W220-W221</f>
        <v>1.04840513436955</v>
      </c>
      <c r="X223" s="88" t="n">
        <f aca="false">X220-X221</f>
        <v>0.912552743539721</v>
      </c>
      <c r="Y223" s="88" t="n">
        <f aca="false">Y220-Y221</f>
        <v>0.784883583117377</v>
      </c>
      <c r="Z223" s="88" t="n">
        <f aca="false">Z220-Z221</f>
        <v>0.664893312125134</v>
      </c>
      <c r="AA223" s="88" t="n">
        <f aca="false">AA220-AA221</f>
        <v>0.552110574667028</v>
      </c>
      <c r="AB223" s="88" t="n">
        <f aca="false">AB220-AB221</f>
        <v>0.44843418291036</v>
      </c>
      <c r="AC223" s="88" t="n">
        <f aca="false">AC220-AC221</f>
        <v>0.35106327916232</v>
      </c>
      <c r="AD223" s="88" t="n">
        <f aca="false">AD220-AD221</f>
        <v>0.259612104891662</v>
      </c>
      <c r="AE223" s="88" t="n">
        <f aca="false">AE220-AE221</f>
        <v>0.173719882517891</v>
      </c>
      <c r="AF223" s="88" t="n">
        <f aca="false">AF220-AF221</f>
        <v>0.0930492003843186</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MIN($C$226*(C70+0)*0.3/0.55,$C$172*C83)</f>
        <v>0</v>
      </c>
      <c r="D227" s="1" t="n">
        <f aca="false">MIN($C$226*(D70+C121)*0.3/0.55,$C$172*D83)</f>
        <v>0</v>
      </c>
      <c r="E227" s="1" t="n">
        <f aca="false">MIN($C$226*(E70+D121)*0.3/0.55,$C$172*E83)</f>
        <v>0</v>
      </c>
      <c r="F227" s="1" t="n">
        <f aca="false">MIN($C$226*(F70+E121)*0.3/0.55,$C$172*F83)</f>
        <v>0</v>
      </c>
      <c r="G227" s="1" t="n">
        <f aca="false">MIN($C$226*(G70+F121)*0.3/0.55,$C$172*G83)</f>
        <v>0</v>
      </c>
      <c r="H227" s="1" t="n">
        <f aca="false">MIN($C$226*(H70+G121)*0.3/0.55,$C$172*H83)</f>
        <v>0</v>
      </c>
      <c r="I227" s="1" t="n">
        <f aca="false">MIN($C$226*(I70+H121)*0.3/0.55,$C$172*I83)</f>
        <v>0</v>
      </c>
      <c r="J227" s="1" t="n">
        <f aca="false">MIN($C$226*(J70+I121)*0.3/0.55,$C$172*J83)</f>
        <v>0</v>
      </c>
      <c r="K227" s="1" t="n">
        <f aca="false">MIN($C$226*(K70+J121)*0.3/0.55,$C$172*K83)</f>
        <v>0</v>
      </c>
      <c r="L227" s="1" t="n">
        <f aca="false">MIN($C$226*(L70+K121)*0.3/0.55,$C$172*L83)</f>
        <v>0</v>
      </c>
      <c r="M227" s="1" t="n">
        <f aca="false">MIN($C$226*(M70+L121)*0.3/0.55,$C$172*M83)</f>
        <v>0</v>
      </c>
      <c r="N227" s="1" t="n">
        <f aca="false">MIN($C$226*(N70+M121)*0.3/0.55,$C$172*N83)</f>
        <v>0</v>
      </c>
      <c r="O227" s="1" t="n">
        <f aca="false">MIN($C$226*(O70+N121)*0.3/0.55,$C$172*O83)</f>
        <v>0</v>
      </c>
      <c r="P227" s="1" t="n">
        <f aca="false">MIN($C$226*(P70+O121)*0.3/0.55,$C$172*P83)</f>
        <v>0</v>
      </c>
      <c r="Q227" s="1" t="n">
        <f aca="false">MIN($C$226*(Q70+P121)*0.3/0.55,$C$172*Q83)</f>
        <v>0</v>
      </c>
      <c r="R227" s="1" t="n">
        <f aca="false">MIN($C$226*(R70+Q121)*0.3/0.55,$C$172*R83)</f>
        <v>0</v>
      </c>
      <c r="S227" s="1" t="n">
        <f aca="false">MIN($C$226*(S70+R121)*0.3/0.55,$C$172*S83)</f>
        <v>0</v>
      </c>
      <c r="T227" s="1" t="n">
        <f aca="false">MIN($C$226*(T70+S121)*0.3/0.55,$C$172*T83)</f>
        <v>0</v>
      </c>
      <c r="U227" s="1" t="n">
        <f aca="false">MIN($C$226*(U70+T121)*0.3/0.55,$C$172*U83)</f>
        <v>0</v>
      </c>
      <c r="V227" s="1" t="n">
        <f aca="false">MIN($C$226*(V70+U121)*0.3/0.55,$C$172*V83)</f>
        <v>0</v>
      </c>
      <c r="W227" s="1" t="n">
        <f aca="false">MIN($C$226*(W70+V121)*0.3/0.55,$C$172*W83)</f>
        <v>0</v>
      </c>
      <c r="X227" s="1" t="n">
        <f aca="false">MIN($C$226*(X70+W121)*0.3/0.55,$C$172*X83)</f>
        <v>0</v>
      </c>
      <c r="Y227" s="1" t="n">
        <f aca="false">MIN($C$226*(Y70+X121)*0.3/0.55,$C$172*Y83)</f>
        <v>0</v>
      </c>
      <c r="Z227" s="1" t="n">
        <f aca="false">MIN($C$226*(Z70+Y121)*0.3/0.55,$C$172*Z83)</f>
        <v>0</v>
      </c>
      <c r="AA227" s="1" t="n">
        <f aca="false">MIN($C$226*(AA70+Z121)*0.3/0.55,$C$172*AA83)</f>
        <v>0</v>
      </c>
      <c r="AB227" s="1" t="n">
        <f aca="false">MIN($C$226*(AB70+AA121)*0.3/0.55,$C$172*AB83)</f>
        <v>0</v>
      </c>
      <c r="AC227" s="1" t="n">
        <f aca="false">MIN($C$226*(AC70+AB121)*0.3/0.55,$C$172*AC83)</f>
        <v>0</v>
      </c>
      <c r="AD227" s="1" t="n">
        <f aca="false">MIN($C$226*(AD70+AC121)*0.3/0.55,$C$172*AD83)</f>
        <v>0</v>
      </c>
      <c r="AE227" s="1" t="n">
        <f aca="false">MIN($C$226*(AE70+AD121)*0.3/0.55,$C$172*AE83)</f>
        <v>0</v>
      </c>
      <c r="AF227" s="1" t="n">
        <f aca="false">MIN($C$226*(AF70+AE121)*0.3/0.55,$C$172*AF83)</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0.368914477720798</v>
      </c>
      <c r="D232" s="1" t="n">
        <f aca="false">D216*D217</f>
        <v>1.30845850104721</v>
      </c>
      <c r="E232" s="1" t="n">
        <f aca="false">E216*E217</f>
        <v>2.97360542450067</v>
      </c>
      <c r="F232" s="1" t="n">
        <f aca="false">F216*F217</f>
        <v>6.14106302352698</v>
      </c>
      <c r="G232" s="1" t="n">
        <f aca="false">G216*G217</f>
        <v>10.7139427532393</v>
      </c>
      <c r="H232" s="1" t="n">
        <f aca="false">H216*H217</f>
        <v>16.2326902254055</v>
      </c>
      <c r="I232" s="1" t="n">
        <f aca="false">I216*I217</f>
        <v>22.410796102735</v>
      </c>
      <c r="J232" s="1" t="n">
        <f aca="false">J216*J217</f>
        <v>29.0139613993865</v>
      </c>
      <c r="K232" s="1" t="n">
        <f aca="false">K216*K217</f>
        <v>35.1912686577223</v>
      </c>
      <c r="L232" s="1" t="n">
        <f aca="false">L216*L217</f>
        <v>40.9701827465819</v>
      </c>
      <c r="M232" s="1" t="n">
        <f aca="false">M216*M217</f>
        <v>46.0074827648869</v>
      </c>
      <c r="N232" s="1" t="n">
        <f aca="false">N216*N217</f>
        <v>50.1254901651719</v>
      </c>
      <c r="O232" s="1" t="n">
        <f aca="false">O216*O217</f>
        <v>53.1917179256634</v>
      </c>
      <c r="P232" s="1" t="n">
        <f aca="false">P216*P217</f>
        <v>54.4504943922695</v>
      </c>
      <c r="Q232" s="1" t="n">
        <f aca="false">Q216*Q217</f>
        <v>54.0183875483411</v>
      </c>
      <c r="R232" s="1" t="n">
        <f aca="false">R216*R217</f>
        <v>52.3733620342553</v>
      </c>
      <c r="S232" s="1" t="n">
        <f aca="false">S216*S217</f>
        <v>49.8191501067804</v>
      </c>
      <c r="T232" s="1" t="n">
        <f aca="false">T216*T217</f>
        <v>46.6061629132317</v>
      </c>
      <c r="U232" s="1" t="n">
        <f aca="false">U216*U217</f>
        <v>43.6003909508498</v>
      </c>
      <c r="V232" s="1" t="n">
        <f aca="false">V216*V217</f>
        <v>40.7884702846293</v>
      </c>
      <c r="W232" s="1" t="n">
        <f aca="false">W216*W217</f>
        <v>38.1578988600253</v>
      </c>
      <c r="X232" s="1" t="n">
        <f aca="false">X216*X217</f>
        <v>35.6969809176837</v>
      </c>
      <c r="Y232" s="1" t="n">
        <f aca="false">Y216*Y217</f>
        <v>33.3947749930334</v>
      </c>
      <c r="Z232" s="1" t="n">
        <f aca="false">Z216*Z217</f>
        <v>31.241045269542</v>
      </c>
      <c r="AA232" s="1" t="n">
        <f aca="false">AA216*AA217</f>
        <v>29.2262160693455</v>
      </c>
      <c r="AB232" s="1" t="n">
        <f aca="false">AB216*AB217</f>
        <v>27.341329278916</v>
      </c>
      <c r="AC232" s="1" t="n">
        <f aca="false">AC216*AC217</f>
        <v>25.5780045204754</v>
      </c>
      <c r="AD232" s="1" t="n">
        <f aca="false">AD216*AD217</f>
        <v>23.9284018920751</v>
      </c>
      <c r="AE232" s="1" t="n">
        <f aca="false">AE216*AE217</f>
        <v>22.38518711068</v>
      </c>
      <c r="AF232" s="1" t="n">
        <f aca="false">AF216*AF217</f>
        <v>20.9414989032809</v>
      </c>
    </row>
    <row r="233" customFormat="false" ht="14.25" hidden="false" customHeight="true" outlineLevel="0" collapsed="false">
      <c r="B233" s="1" t="s">
        <v>1229</v>
      </c>
      <c r="C233" s="1" t="n">
        <f aca="false">IF(C81&gt;0,(C107+C109+C110+C184-C108-C229)/C81,0)</f>
        <v>0.0235631742617283</v>
      </c>
      <c r="D233" s="1" t="n">
        <f aca="false">IF(C81&gt;0,(D107+D109+D110+D184-D108-D229)/C81,0)</f>
        <v>0.114237063933846</v>
      </c>
      <c r="E233" s="1" t="n">
        <f aca="false">IF(D81&gt;0,(E107+E109+E110+E184-E108-E229)/D81,0)</f>
        <v>0.0776039163324285</v>
      </c>
      <c r="F233" s="1" t="n">
        <f aca="false">IF(E81&gt;0,(F107+F109+F110+F184-F108-F229)/E81,0)</f>
        <v>0.0668879462075545</v>
      </c>
      <c r="G233" s="1" t="n">
        <f aca="false">IF(F81&gt;0,(G107+G109+G110+G184-G108-G229)/F81,0)</f>
        <v>0.0432082131047788</v>
      </c>
      <c r="H233" s="1" t="n">
        <f aca="false">IF(G81&gt;0,(H107+H109+H110+H184-H108-H229)/G81,0)</f>
        <v>0.0353318682451217</v>
      </c>
      <c r="I233" s="1" t="n">
        <f aca="false">IF(H81&gt;0,(I107+I109+I110+I184-I108-I229)/H81,0)</f>
        <v>0.0327802461540203</v>
      </c>
      <c r="J233" s="1" t="n">
        <f aca="false">IF(I81&gt;0,(J107+J109+J110+J184-J108-J229)/I81,0)</f>
        <v>0.0318287203377096</v>
      </c>
      <c r="K233" s="1" t="n">
        <f aca="false">IF(J81&gt;0,(K107+K109+K110+K184-K108-K229)/J81,0)</f>
        <v>0.0310076790939651</v>
      </c>
      <c r="L233" s="1" t="n">
        <f aca="false">IF(K81&gt;0,(L107+L109+L110+L184-L108-L229)/K81,0)</f>
        <v>0.032892886377808</v>
      </c>
      <c r="M233" s="1" t="n">
        <f aca="false">IF(L81&gt;0,(M107+M109+M110+M184-M108-M229)/L81,0)</f>
        <v>0.034538766996298</v>
      </c>
      <c r="N233" s="1" t="n">
        <f aca="false">IF(M81&gt;0,(N107+N109+N110+N184-N108-N229)/M81,0)</f>
        <v>0.0334434054942648</v>
      </c>
      <c r="O233" s="1" t="n">
        <f aca="false">IF(N81&gt;0,(O107+O109+O110+O184-O108-O229)/N81,0)</f>
        <v>0.0321811810593435</v>
      </c>
      <c r="P233" s="1" t="n">
        <f aca="false">IF(O81&gt;0,(P107+P109+P110+P184-P108-P229)/O81,0)</f>
        <v>0.0315414760375562</v>
      </c>
      <c r="Q233" s="1" t="n">
        <f aca="false">IF(P81&gt;0,(Q107+Q109+Q110+Q184-Q108-Q229)/P81,0)</f>
        <v>0.0310382848858427</v>
      </c>
      <c r="R233" s="1" t="n">
        <f aca="false">IF(Q81&gt;0,(R107+R109+R110+R184-R108-R229)/Q81,0)</f>
        <v>0.0306489050454196</v>
      </c>
      <c r="S233" s="1" t="n">
        <f aca="false">IF(R81&gt;0,(S107+S109+S110+S184-S108-S229)/R81,0)</f>
        <v>0.0303352280106078</v>
      </c>
      <c r="T233" s="1" t="n">
        <f aca="false">IF(S81&gt;0,(T107+T109+T110+T184-T108-T229)/S81,0)</f>
        <v>0.0300693352610389</v>
      </c>
      <c r="U233" s="1" t="n">
        <f aca="false">IF(T81&gt;0,(U107+U109+U110+U184-U108-U229)/T81,0)</f>
        <v>0.0298298685639364</v>
      </c>
      <c r="V233" s="1" t="n">
        <f aca="false">IF(U81&gt;0,(V107+V109+V110+V184-V108-V229)/U81,0)</f>
        <v>0.0294526273955874</v>
      </c>
      <c r="W233" s="1" t="n">
        <f aca="false">IF(V81&gt;0,(W107+W109+W110+W184-W108-W229)/V81,0)</f>
        <v>0.0290899832125201</v>
      </c>
      <c r="X233" s="1" t="n">
        <f aca="false">IF(W81&gt;0,(X107+X109+X110+X184-X108-X229)/W81,0)</f>
        <v>0.0287260923865438</v>
      </c>
      <c r="Y233" s="1" t="n">
        <f aca="false">IF(X81&gt;0,(Y107+Y109+Y110+Y184-Y108-Y229)/X81,0)</f>
        <v>0.0283533381188655</v>
      </c>
      <c r="Z233" s="1" t="n">
        <f aca="false">IF(Y81&gt;0,(Z107+Z109+Z110+Z184-Z108-Z229)/Y81,0)</f>
        <v>0.0279722053416924</v>
      </c>
      <c r="AA233" s="1" t="n">
        <f aca="false">IF(Z81&gt;0,(AA107+AA109+AA110+AA184-AA108-AA229)/Z81,0)</f>
        <v>0.0275830945953168</v>
      </c>
      <c r="AB233" s="1" t="n">
        <f aca="false">IF(AA81&gt;0,(AB107+AB109+AB110+AB184-AB108-AB229)/AA81,0)</f>
        <v>0.027177222837201</v>
      </c>
      <c r="AC233" s="1" t="n">
        <f aca="false">IF(AB81&gt;0,(AC107+AC109+AC110+AC184-AC108-AC229)/AB81,0)</f>
        <v>0.0269302762476743</v>
      </c>
      <c r="AD233" s="1" t="n">
        <f aca="false">IF(AC81&gt;0,(AD107+AD109+AD110+AD184-AD108-AD229)/AC81,0)</f>
        <v>0.0267415894533852</v>
      </c>
      <c r="AE233" s="1" t="n">
        <f aca="false">IF(AD81&gt;0,(AE107+AE109+AE110+AE184-AE108-AE229)/AD81,0)</f>
        <v>0.0266148043602767</v>
      </c>
      <c r="AF233" s="1" t="n">
        <f aca="false">IF(AE81&gt;0,(AF107+AF109+AF110+AF184-AF108-AF229)/AE81,0)</f>
        <v>0.0265537885014246</v>
      </c>
    </row>
    <row r="234" customFormat="false" ht="14.25" hidden="false" customHeight="true" outlineLevel="0" collapsed="false">
      <c r="B234" s="1" t="s">
        <v>1230</v>
      </c>
      <c r="C234" s="1" t="n">
        <f aca="false">(C232+0)/2*C233</f>
        <v>0.00434639806310482</v>
      </c>
      <c r="D234" s="1" t="n">
        <f aca="false">(D232+C232)/2*D233</f>
        <v>0.0958090821082137</v>
      </c>
      <c r="E234" s="1" t="n">
        <f aca="false">(E232+D232)/2*E233</f>
        <v>0.166152465304164</v>
      </c>
      <c r="F234" s="1" t="n">
        <f aca="false">(F232+E232)/2*F233</f>
        <v>0.304830726425684</v>
      </c>
      <c r="G234" s="1" t="n">
        <f aca="false">(G232+F232)/2*G233</f>
        <v>0.364137340742397</v>
      </c>
      <c r="H234" s="1" t="n">
        <f aca="false">(H232+G232)/2*H233</f>
        <v>0.476037443025564</v>
      </c>
      <c r="I234" s="1" t="n">
        <f aca="false">(I232+H232)/2*I233</f>
        <v>0.633371497042982</v>
      </c>
      <c r="J234" s="1" t="n">
        <f aca="false">(J232+I232)/2*J233</f>
        <v>0.818392112484779</v>
      </c>
      <c r="K234" s="1" t="n">
        <f aca="false">(K232+J232)/2*K233</f>
        <v>0.995427584882514</v>
      </c>
      <c r="L234" s="1" t="n">
        <f aca="false">(L232+K232)/2*L233</f>
        <v>1.25258498370536</v>
      </c>
      <c r="M234" s="1" t="n">
        <f aca="false">(M232+L232)/2*M233</f>
        <v>1.50205066149128</v>
      </c>
      <c r="N234" s="1" t="n">
        <f aca="false">(N232+M232)/2*N233</f>
        <v>1.60750699753457</v>
      </c>
      <c r="O234" s="1" t="n">
        <f aca="false">(O232+N232)/2*O233</f>
        <v>1.66243489005852</v>
      </c>
      <c r="P234" s="1" t="n">
        <f aca="false">(P232+O232)/2*P233</f>
        <v>1.69759713022781</v>
      </c>
      <c r="Q234" s="1" t="n">
        <f aca="false">(Q232+P232)/2*Q233</f>
        <v>1.68334402946075</v>
      </c>
      <c r="R234" s="1" t="n">
        <f aca="false">(R232+Q232)/2*R233</f>
        <v>1.63039531528653</v>
      </c>
      <c r="S234" s="1" t="n">
        <f aca="false">(S232+R232)/2*S233</f>
        <v>1.55001657838756</v>
      </c>
      <c r="T234" s="1" t="n">
        <f aca="false">(T232+S232)/2*T233</f>
        <v>1.44972253242468</v>
      </c>
      <c r="U234" s="1" t="n">
        <f aca="false">(U232+T232)/2*U233</f>
        <v>1.3454248226856</v>
      </c>
      <c r="V234" s="1" t="n">
        <f aca="false">(V232+U232)/2*V233</f>
        <v>1.24273684315325</v>
      </c>
      <c r="W234" s="1" t="n">
        <f aca="false">(W232+V232)/2*W233</f>
        <v>1.14827427655371</v>
      </c>
      <c r="X234" s="1" t="n">
        <f aca="false">(X232+W232)/2*X233</f>
        <v>1.06078104984578</v>
      </c>
      <c r="Y234" s="1" t="n">
        <f aca="false">(Y232+X232)/2*Y233</f>
        <v>0.979490958281344</v>
      </c>
      <c r="Z234" s="1" t="n">
        <f aca="false">(Z232+Y232)/2*Z233</f>
        <v>0.90400321840674</v>
      </c>
      <c r="AA234" s="1" t="n">
        <f aca="false">(AA232+Z232)/2*AA233</f>
        <v>0.833937094715138</v>
      </c>
      <c r="AB234" s="1" t="n">
        <f aca="false">(AB232+AA232)/2*AB233</f>
        <v>0.768674392641588</v>
      </c>
      <c r="AC234" s="1" t="n">
        <f aca="false">(AC232+AB232)/2*AC233</f>
        <v>0.712566139030248</v>
      </c>
      <c r="AD234" s="1" t="n">
        <f aca="false">(AD232+AC232)/2*AD233</f>
        <v>0.66193999779843</v>
      </c>
      <c r="AE234" s="1" t="n">
        <f aca="false">(AE232+AD232)/2*AE233</f>
        <v>0.616313555265294</v>
      </c>
      <c r="AF234" s="1" t="n">
        <f aca="false">(AF232+AE232)/2*AF233</f>
        <v>0.575243828441174</v>
      </c>
    </row>
    <row r="235" customFormat="false" ht="14.25" hidden="false" customHeight="true" outlineLevel="0" collapsed="false">
      <c r="B235" s="1" t="s">
        <v>1231</v>
      </c>
      <c r="C235" s="1" t="n">
        <f aca="false">MAX(0,MIN(C234,$C$231*C232))</f>
        <v>0.00184457238860399</v>
      </c>
      <c r="D235" s="1" t="n">
        <f aca="false">MAX(0,MIN(D234,$C$231*D232))</f>
        <v>0.00654229250523607</v>
      </c>
      <c r="E235" s="1" t="n">
        <f aca="false">MAX(0,MIN(E234,$C$231*E232))</f>
        <v>0.0148680271225033</v>
      </c>
      <c r="F235" s="1" t="n">
        <f aca="false">MAX(0,MIN(F234,$C$231*F232))</f>
        <v>0.0307053151176349</v>
      </c>
      <c r="G235" s="1" t="n">
        <f aca="false">MAX(0,MIN(G234,$C$231*G232))</f>
        <v>0.0535697137661963</v>
      </c>
      <c r="H235" s="1" t="n">
        <f aca="false">MAX(0,MIN(H234,$C$231*H232))</f>
        <v>0.0811634511270276</v>
      </c>
      <c r="I235" s="1" t="n">
        <f aca="false">MAX(0,MIN(I234,$C$231*I232))</f>
        <v>0.112053980513675</v>
      </c>
      <c r="J235" s="1" t="n">
        <f aca="false">MAX(0,MIN(J234,$C$231*J232))</f>
        <v>0.145069806996932</v>
      </c>
      <c r="K235" s="1" t="n">
        <f aca="false">MAX(0,MIN(K234,$C$231*K232))</f>
        <v>0.175956343288611</v>
      </c>
      <c r="L235" s="1" t="n">
        <f aca="false">MAX(0,MIN(L234,$C$231*L232))</f>
        <v>0.20485091373291</v>
      </c>
      <c r="M235" s="1" t="n">
        <f aca="false">MAX(0,MIN(M234,$C$231*M232))</f>
        <v>0.230037413824435</v>
      </c>
      <c r="N235" s="1" t="n">
        <f aca="false">MAX(0,MIN(N234,$C$231*N232))</f>
        <v>0.250627450825859</v>
      </c>
      <c r="O235" s="1" t="n">
        <f aca="false">MAX(0,MIN(O234,$C$231*O232))</f>
        <v>0.265958589628317</v>
      </c>
      <c r="P235" s="1" t="n">
        <f aca="false">MAX(0,MIN(P234,$C$231*P232))</f>
        <v>0.272252471961347</v>
      </c>
      <c r="Q235" s="1" t="n">
        <f aca="false">MAX(0,MIN(Q234,$C$231*Q232))</f>
        <v>0.270091937741706</v>
      </c>
      <c r="R235" s="1" t="n">
        <f aca="false">MAX(0,MIN(R234,$C$231*R232))</f>
        <v>0.261866810171276</v>
      </c>
      <c r="S235" s="1" t="n">
        <f aca="false">MAX(0,MIN(S234,$C$231*S232))</f>
        <v>0.249095750533902</v>
      </c>
      <c r="T235" s="1" t="n">
        <f aca="false">MAX(0,MIN(T234,$C$231*T232))</f>
        <v>0.233030814566158</v>
      </c>
      <c r="U235" s="1" t="n">
        <f aca="false">MAX(0,MIN(U234,$C$231*U232))</f>
        <v>0.218001954754249</v>
      </c>
      <c r="V235" s="1" t="n">
        <f aca="false">MAX(0,MIN(V234,$C$231*V232))</f>
        <v>0.203942351423147</v>
      </c>
      <c r="W235" s="1" t="n">
        <f aca="false">MAX(0,MIN(W234,$C$231*W232))</f>
        <v>0.190789494300126</v>
      </c>
      <c r="X235" s="1" t="n">
        <f aca="false">MAX(0,MIN(X234,$C$231*X232))</f>
        <v>0.178484904588418</v>
      </c>
      <c r="Y235" s="1" t="n">
        <f aca="false">MAX(0,MIN(Y234,$C$231*Y232))</f>
        <v>0.166973874965167</v>
      </c>
      <c r="Z235" s="1" t="n">
        <f aca="false">MAX(0,MIN(Z234,$C$231*Z232))</f>
        <v>0.15620522634771</v>
      </c>
      <c r="AA235" s="1" t="n">
        <f aca="false">MAX(0,MIN(AA234,$C$231*AA232))</f>
        <v>0.146131080346727</v>
      </c>
      <c r="AB235" s="1" t="n">
        <f aca="false">MAX(0,MIN(AB234,$C$231*AB232))</f>
        <v>0.13670664639458</v>
      </c>
      <c r="AC235" s="1" t="n">
        <f aca="false">MAX(0,MIN(AC234,$C$231*AC232))</f>
        <v>0.127890022602377</v>
      </c>
      <c r="AD235" s="1" t="n">
        <f aca="false">MAX(0,MIN(AD234,$C$231*AD232))</f>
        <v>0.119642009460375</v>
      </c>
      <c r="AE235" s="1" t="n">
        <f aca="false">MAX(0,MIN(AE234,$C$231*AE232))</f>
        <v>0.1119259355534</v>
      </c>
      <c r="AF235" s="1" t="n">
        <f aca="false">MAX(0,MIN(AF234,$C$231*AF232))</f>
        <v>0.104707494516404</v>
      </c>
    </row>
    <row r="236" customFormat="false" ht="14.25" hidden="false" customHeight="true" outlineLevel="0" collapsed="false">
      <c r="B236" s="1" t="s">
        <v>1232</v>
      </c>
      <c r="C236" s="1" t="n">
        <f aca="false">MAX(0,C234-C235)</f>
        <v>0.00250182567450083</v>
      </c>
      <c r="D236" s="1" t="n">
        <f aca="false">MAX(0,D234-D235)</f>
        <v>0.0892667896029777</v>
      </c>
      <c r="E236" s="1" t="n">
        <f aca="false">MAX(0,E234-E235)</f>
        <v>0.151284438181661</v>
      </c>
      <c r="F236" s="1" t="n">
        <f aca="false">MAX(0,F234-F235)</f>
        <v>0.274125411308049</v>
      </c>
      <c r="G236" s="1" t="n">
        <f aca="false">MAX(0,G234-G235)</f>
        <v>0.310567626976201</v>
      </c>
      <c r="H236" s="1" t="n">
        <f aca="false">MAX(0,H234-H235)</f>
        <v>0.394873991898537</v>
      </c>
      <c r="I236" s="1" t="n">
        <f aca="false">MAX(0,I234-I235)</f>
        <v>0.521317516529307</v>
      </c>
      <c r="J236" s="1" t="n">
        <f aca="false">MAX(0,J234-J235)</f>
        <v>0.673322305487847</v>
      </c>
      <c r="K236" s="1" t="n">
        <f aca="false">MAX(0,K234-K235)</f>
        <v>0.819471241593903</v>
      </c>
      <c r="L236" s="1" t="n">
        <f aca="false">MAX(0,L234-L235)</f>
        <v>1.04773406997245</v>
      </c>
      <c r="M236" s="1" t="n">
        <f aca="false">MAX(0,M234-M235)</f>
        <v>1.27201324766685</v>
      </c>
      <c r="N236" s="1" t="n">
        <f aca="false">MAX(0,N234-N235)</f>
        <v>1.35687954670871</v>
      </c>
      <c r="O236" s="1" t="n">
        <f aca="false">MAX(0,O234-O235)</f>
        <v>1.3964763004302</v>
      </c>
      <c r="P236" s="1" t="n">
        <f aca="false">MAX(0,P234-P235)</f>
        <v>1.42534465826646</v>
      </c>
      <c r="Q236" s="1" t="n">
        <f aca="false">MAX(0,Q234-Q235)</f>
        <v>1.41325209171905</v>
      </c>
      <c r="R236" s="1" t="n">
        <f aca="false">MAX(0,R234-R235)</f>
        <v>1.36852850511525</v>
      </c>
      <c r="S236" s="1" t="n">
        <f aca="false">MAX(0,S234-S235)</f>
        <v>1.30092082785366</v>
      </c>
      <c r="T236" s="1" t="n">
        <f aca="false">MAX(0,T234-T235)</f>
        <v>1.21669171785852</v>
      </c>
      <c r="U236" s="1" t="n">
        <f aca="false">MAX(0,U234-U235)</f>
        <v>1.12742286793135</v>
      </c>
      <c r="V236" s="1" t="n">
        <f aca="false">MAX(0,V234-V235)</f>
        <v>1.0387944917301</v>
      </c>
      <c r="W236" s="1" t="n">
        <f aca="false">MAX(0,W234-W235)</f>
        <v>0.957484782253582</v>
      </c>
      <c r="X236" s="1" t="n">
        <f aca="false">MAX(0,X234-X235)</f>
        <v>0.882296145257358</v>
      </c>
      <c r="Y236" s="1" t="n">
        <f aca="false">MAX(0,Y234-Y235)</f>
        <v>0.812517083316177</v>
      </c>
      <c r="Z236" s="1" t="n">
        <f aca="false">MAX(0,Z234-Z235)</f>
        <v>0.74779799205903</v>
      </c>
      <c r="AA236" s="1" t="n">
        <f aca="false">MAX(0,AA234-AA235)</f>
        <v>0.687806014368411</v>
      </c>
      <c r="AB236" s="1" t="n">
        <f aca="false">MAX(0,AB234-AB235)</f>
        <v>0.631967746247008</v>
      </c>
      <c r="AC236" s="1" t="n">
        <f aca="false">MAX(0,AC234-AC235)</f>
        <v>0.584676116427871</v>
      </c>
      <c r="AD236" s="1" t="n">
        <f aca="false">MAX(0,AD234-AD235)</f>
        <v>0.542297988338055</v>
      </c>
      <c r="AE236" s="1" t="n">
        <f aca="false">MAX(0,AE234-AE235)</f>
        <v>0.504387619711894</v>
      </c>
      <c r="AF236" s="1" t="n">
        <f aca="false">MAX(0,AF234-AF235)</f>
        <v>0.47053633392477</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0.0779833747454677</v>
      </c>
      <c r="D238" s="1" t="n">
        <f aca="false">IF(D112&gt;0,D235/D112,0)</f>
        <v>0.104607816400351</v>
      </c>
      <c r="E238" s="1" t="n">
        <f aca="false">IF(E112&gt;0,E235/E112,0)</f>
        <v>0.129315013771207</v>
      </c>
      <c r="F238" s="1" t="n">
        <f aca="false">IF(F112&gt;0,F235/F112,0)</f>
        <v>0.130505148813518</v>
      </c>
      <c r="G238" s="1" t="n">
        <f aca="false">IF(G112&gt;0,G235/G112,0)</f>
        <v>0.150652515297366</v>
      </c>
      <c r="H238" s="1" t="n">
        <f aca="false">IF(H112&gt;0,H235/H112,0)</f>
        <v>0.178372536953023</v>
      </c>
      <c r="I238" s="1" t="n">
        <f aca="false">IF(I112&gt;0,I235/I112,0)</f>
        <v>0.206737662473735</v>
      </c>
      <c r="J238" s="1" t="n">
        <f aca="false">IF(J112&gt;0,J235/J112,0)</f>
        <v>0.234651179149104</v>
      </c>
      <c r="K238" s="1" t="n">
        <f aca="false">IF(K112&gt;0,K235/K112,0)</f>
        <v>0.273475789253569</v>
      </c>
      <c r="L238" s="1" t="n">
        <f aca="false">IF(L112&gt;0,L235/L112,0)</f>
        <v>0.306388248002835</v>
      </c>
      <c r="M238" s="1" t="n">
        <f aca="false">IF(M112&gt;0,M235/M112,0)</f>
        <v>0.331788946576118</v>
      </c>
      <c r="N238" s="1" t="n">
        <f aca="false">IF(N112&gt;0,N235/N112,0)</f>
        <v>0.349497979171089</v>
      </c>
      <c r="O238" s="1" t="n">
        <f aca="false">IF(O112&gt;0,O235/O112,0)</f>
        <v>0.359626482647482</v>
      </c>
      <c r="P238" s="1" t="n">
        <f aca="false">IF(P112&gt;0,P235/P112,0)</f>
        <v>0.358457959442277</v>
      </c>
      <c r="Q238" s="1" t="n">
        <f aca="false">IF(Q112&gt;0,Q235/Q112,0)</f>
        <v>0.347602790378088</v>
      </c>
      <c r="R238" s="1" t="n">
        <f aca="false">IF(R112&gt;0,R235/R112,0)</f>
        <v>0.330381234014508</v>
      </c>
      <c r="S238" s="1" t="n">
        <f aca="false">IF(S112&gt;0,S235/S112,0)</f>
        <v>0.308745746452268</v>
      </c>
      <c r="T238" s="1" t="n">
        <f aca="false">IF(T112&gt;0,T235/T112,0)</f>
        <v>0.284202456071073</v>
      </c>
      <c r="U238" s="1" t="n">
        <f aca="false">IF(U112&gt;0,U235/U112,0)</f>
        <v>0.261655561062173</v>
      </c>
      <c r="V238" s="1" t="n">
        <f aca="false">IF(V112&gt;0,V235/V112,0)</f>
        <v>0.240940397883704</v>
      </c>
      <c r="W238" s="1" t="n">
        <f aca="false">IF(W112&gt;0,W235/W112,0)</f>
        <v>0.221979937846917</v>
      </c>
      <c r="X238" s="1" t="n">
        <f aca="false">IF(X112&gt;0,X235/X112,0)</f>
        <v>0.204614996198776</v>
      </c>
      <c r="Y238" s="1" t="n">
        <f aca="false">IF(Y112&gt;0,Y235/Y112,0)</f>
        <v>0.188701926914381</v>
      </c>
      <c r="Z238" s="1" t="n">
        <f aca="false">IF(Z112&gt;0,Z235/Z112,0)</f>
        <v>0.17411098235415</v>
      </c>
      <c r="AA238" s="1" t="n">
        <f aca="false">IF(AA112&gt;0,AA235/AA112,0)</f>
        <v>0.16072486094681</v>
      </c>
      <c r="AB238" s="1" t="n">
        <f aca="false">IF(AB112&gt;0,AB235/AB112,0)</f>
        <v>0.148815417460064</v>
      </c>
      <c r="AC238" s="1" t="n">
        <f aca="false">IF(AC112&gt;0,AC235/AC112,0)</f>
        <v>0.137836742797303</v>
      </c>
      <c r="AD238" s="1" t="n">
        <f aca="false">IF(AD112&gt;0,AD235/AD112,0)</f>
        <v>0.127712413615457</v>
      </c>
      <c r="AE238" s="1" t="n">
        <f aca="false">IF(AE112&gt;0,AE235/AE112,0)</f>
        <v>0.118372567986374</v>
      </c>
      <c r="AF238" s="1" t="n">
        <f aca="false">IF(AF112&gt;0,AF235/AF112,0)</f>
        <v>0.109753321741417</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0.00250182567450083</v>
      </c>
      <c r="D243" s="1" t="n">
        <f aca="false">D236</f>
        <v>0.0892667896029777</v>
      </c>
      <c r="E243" s="1" t="n">
        <f aca="false">E236</f>
        <v>0.151284438181661</v>
      </c>
      <c r="F243" s="1" t="n">
        <f aca="false">F236</f>
        <v>0.274125411308049</v>
      </c>
      <c r="G243" s="1" t="n">
        <f aca="false">G236</f>
        <v>0.310567626976201</v>
      </c>
      <c r="H243" s="1" t="n">
        <f aca="false">H236</f>
        <v>0.394873991898537</v>
      </c>
      <c r="I243" s="1" t="n">
        <f aca="false">I236</f>
        <v>0.521317516529307</v>
      </c>
      <c r="J243" s="1" t="n">
        <f aca="false">J236</f>
        <v>0.673322305487847</v>
      </c>
      <c r="K243" s="1" t="n">
        <f aca="false">K236</f>
        <v>0.819471241593903</v>
      </c>
      <c r="L243" s="1" t="n">
        <f aca="false">L236</f>
        <v>1.04773406997245</v>
      </c>
      <c r="M243" s="1" t="n">
        <f aca="false">M236</f>
        <v>1.27201324766685</v>
      </c>
      <c r="N243" s="1" t="n">
        <f aca="false">N236</f>
        <v>1.35687954670871</v>
      </c>
      <c r="O243" s="1" t="n">
        <f aca="false">O236</f>
        <v>1.3964763004302</v>
      </c>
      <c r="P243" s="1" t="n">
        <f aca="false">P236</f>
        <v>1.42534465826646</v>
      </c>
      <c r="Q243" s="1" t="n">
        <f aca="false">Q236</f>
        <v>1.41325209171905</v>
      </c>
      <c r="R243" s="1" t="n">
        <f aca="false">R236</f>
        <v>1.36852850511525</v>
      </c>
      <c r="S243" s="1" t="n">
        <f aca="false">S236</f>
        <v>1.30092082785366</v>
      </c>
      <c r="T243" s="1" t="n">
        <f aca="false">T236</f>
        <v>1.21669171785852</v>
      </c>
      <c r="U243" s="1" t="n">
        <f aca="false">U236</f>
        <v>1.12742286793135</v>
      </c>
      <c r="V243" s="1" t="n">
        <f aca="false">V236</f>
        <v>1.0387944917301</v>
      </c>
      <c r="W243" s="1" t="n">
        <f aca="false">W236</f>
        <v>0.957484782253582</v>
      </c>
      <c r="X243" s="1" t="n">
        <f aca="false">X236</f>
        <v>0.882296145257358</v>
      </c>
      <c r="Y243" s="1" t="n">
        <f aca="false">Y236</f>
        <v>0.812517083316177</v>
      </c>
      <c r="Z243" s="1" t="n">
        <f aca="false">Z236</f>
        <v>0.74779799205903</v>
      </c>
      <c r="AA243" s="1" t="n">
        <f aca="false">AA236</f>
        <v>0.687806014368411</v>
      </c>
      <c r="AB243" s="1" t="n">
        <f aca="false">AB236</f>
        <v>0.631967746247008</v>
      </c>
      <c r="AC243" s="1" t="n">
        <f aca="false">AC236</f>
        <v>0.584676116427871</v>
      </c>
      <c r="AD243" s="1" t="n">
        <f aca="false">AD236</f>
        <v>0.542297988338055</v>
      </c>
      <c r="AE243" s="1" t="n">
        <f aca="false">AE236</f>
        <v>0.504387619711894</v>
      </c>
      <c r="AF243" s="1" t="n">
        <f aca="false">AF236</f>
        <v>0.47053633392477</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0.00250182567450083</v>
      </c>
      <c r="D247" s="1" t="n">
        <f aca="false">MAX(0,C248+D243-D244-D245-D246)</f>
        <v>0.0917686152774785</v>
      </c>
      <c r="E247" s="1" t="n">
        <f aca="false">MAX(0,D248+E243-E244-E245-E246)</f>
        <v>0.243053053459139</v>
      </c>
      <c r="F247" s="1" t="n">
        <f aca="false">MAX(0,E248+F243-F244-F245-F246)</f>
        <v>0.517178464767188</v>
      </c>
      <c r="G247" s="1" t="n">
        <f aca="false">MAX(0,F248+G243-G244-G245-G246)</f>
        <v>0.827746091743388</v>
      </c>
      <c r="H247" s="1" t="n">
        <f aca="false">MAX(0,G248+H243-H244-H245-H246)</f>
        <v>1.22262008364193</v>
      </c>
      <c r="I247" s="1" t="n">
        <f aca="false">MAX(0,H248+I243-I244-I245-I246)</f>
        <v>1.74393760017123</v>
      </c>
      <c r="J247" s="1" t="n">
        <f aca="false">MAX(0,I248+J243-J244-J245-J246)</f>
        <v>2.41725990565908</v>
      </c>
      <c r="K247" s="1" t="n">
        <f aca="false">MAX(0,J248+K243-K244-K245-K246)</f>
        <v>3.23673114725298</v>
      </c>
      <c r="L247" s="1" t="n">
        <f aca="false">MAX(0,K248+L243-L244-L245-L246)</f>
        <v>4.28446521722543</v>
      </c>
      <c r="M247" s="1" t="n">
        <f aca="false">MAX(0,L248+M243-M244-M245-M246)</f>
        <v>5.55647846489228</v>
      </c>
      <c r="N247" s="1" t="n">
        <f aca="false">MAX(0,M248+N243-N244-N245-N246)</f>
        <v>6.91335801160099</v>
      </c>
      <c r="O247" s="1" t="n">
        <f aca="false">MAX(0,N248+O243-O244-O245-O246)</f>
        <v>8.30983431203119</v>
      </c>
      <c r="P247" s="1" t="n">
        <f aca="false">MAX(0,O248+P243-P244-P245-P246)</f>
        <v>9.73517897029765</v>
      </c>
      <c r="Q247" s="1" t="n">
        <f aca="false">MAX(0,P248+Q243-Q244-Q245-Q246)</f>
        <v>11.1484310620167</v>
      </c>
      <c r="R247" s="1" t="n">
        <f aca="false">MAX(0,Q248+R243-R244-R245-R246)</f>
        <v>12.516959567132</v>
      </c>
      <c r="S247" s="1" t="n">
        <f aca="false">MAX(0,R248+S243-S244-S245-S246)</f>
        <v>13.8178803949856</v>
      </c>
      <c r="T247" s="1" t="n">
        <f aca="false">MAX(0,S248+T243-T244-T245-T246)</f>
        <v>15.0345721128441</v>
      </c>
      <c r="U247" s="1" t="n">
        <f aca="false">MAX(0,T248+U243-U244-U245-U246)</f>
        <v>16.1619949807755</v>
      </c>
      <c r="V247" s="1" t="n">
        <f aca="false">MAX(0,U248+V243-V244-V245-V246)</f>
        <v>17.2007894725056</v>
      </c>
      <c r="W247" s="1" t="n">
        <f aca="false">MAX(0,V248+W243-W244-W245-W246)</f>
        <v>18.1582742547592</v>
      </c>
      <c r="X247" s="1" t="n">
        <f aca="false">MAX(0,W248+X243-X244-X245-X246)</f>
        <v>19.0405704000165</v>
      </c>
      <c r="Y247" s="1" t="n">
        <f aca="false">MAX(0,X248+Y243-Y244-Y245-Y246)</f>
        <v>19.8530874833327</v>
      </c>
      <c r="Z247" s="1" t="n">
        <f aca="false">MAX(0,Y248+Z243-Z244-Z245-Z246)</f>
        <v>20.6008854753917</v>
      </c>
      <c r="AA247" s="1" t="n">
        <f aca="false">MAX(0,Z248+AA243-AA244-AA245-AA246)</f>
        <v>21.2886914897601</v>
      </c>
      <c r="AB247" s="1" t="n">
        <f aca="false">MAX(0,AA248+AB243-AB244-AB245-AB246)</f>
        <v>21.9206592360071</v>
      </c>
      <c r="AC247" s="1" t="n">
        <f aca="false">MAX(0,AB248+AC243-AC244-AC245-AC246)</f>
        <v>22.505335352435</v>
      </c>
      <c r="AD247" s="1" t="n">
        <f aca="false">MAX(0,AC248+AD243-AD244-AD245-AD246)</f>
        <v>23.0476333407731</v>
      </c>
      <c r="AE247" s="1" t="n">
        <f aca="false">MAX(0,AD248+AE243-AE244-AE245-AE246)</f>
        <v>23.552020960485</v>
      </c>
      <c r="AF247" s="1" t="n">
        <f aca="false">MAX(0,AE248+AF243-AF244-AF245-AF246)</f>
        <v>24.0225572944097</v>
      </c>
    </row>
    <row r="248" customFormat="false" ht="14.25" hidden="false" customHeight="true" outlineLevel="0" collapsed="false">
      <c r="B248" s="1" t="s">
        <v>1244</v>
      </c>
      <c r="C248" s="1" t="n">
        <f aca="false">MIN(C247,MAX(0,C276))</f>
        <v>0.00250182567450083</v>
      </c>
      <c r="D248" s="1" t="n">
        <f aca="false">MIN(D247,MAX(0,D276))</f>
        <v>0.0917686152774785</v>
      </c>
      <c r="E248" s="1" t="n">
        <f aca="false">MIN(E247,MAX(0,E276))</f>
        <v>0.243053053459139</v>
      </c>
      <c r="F248" s="1" t="n">
        <f aca="false">MIN(F247,MAX(0,F276))</f>
        <v>0.517178464767188</v>
      </c>
      <c r="G248" s="1" t="n">
        <f aca="false">MIN(G247,MAX(0,G276))</f>
        <v>0.827746091743388</v>
      </c>
      <c r="H248" s="1" t="n">
        <f aca="false">MIN(H247,MAX(0,H276))</f>
        <v>1.22262008364193</v>
      </c>
      <c r="I248" s="1" t="n">
        <f aca="false">MIN(I247,MAX(0,I276))</f>
        <v>1.74393760017123</v>
      </c>
      <c r="J248" s="1" t="n">
        <f aca="false">MIN(J247,MAX(0,J276))</f>
        <v>2.41725990565908</v>
      </c>
      <c r="K248" s="1" t="n">
        <f aca="false">MIN(K247,MAX(0,K276))</f>
        <v>3.23673114725298</v>
      </c>
      <c r="L248" s="1" t="n">
        <f aca="false">MIN(L247,MAX(0,L276))</f>
        <v>4.28446521722543</v>
      </c>
      <c r="M248" s="1" t="n">
        <f aca="false">MIN(M247,MAX(0,M276))</f>
        <v>5.55647846489228</v>
      </c>
      <c r="N248" s="1" t="n">
        <f aca="false">MIN(N247,MAX(0,N276))</f>
        <v>6.91335801160099</v>
      </c>
      <c r="O248" s="1" t="n">
        <f aca="false">MIN(O247,MAX(0,O276))</f>
        <v>8.30983431203119</v>
      </c>
      <c r="P248" s="1" t="n">
        <f aca="false">MIN(P247,MAX(0,P276))</f>
        <v>9.73517897029765</v>
      </c>
      <c r="Q248" s="1" t="n">
        <f aca="false">MIN(Q247,MAX(0,Q276))</f>
        <v>11.1484310620167</v>
      </c>
      <c r="R248" s="1" t="n">
        <f aca="false">MIN(R247,MAX(0,R276))</f>
        <v>12.516959567132</v>
      </c>
      <c r="S248" s="1" t="n">
        <f aca="false">MIN(S247,MAX(0,S276))</f>
        <v>13.8178803949856</v>
      </c>
      <c r="T248" s="1" t="n">
        <f aca="false">MIN(T247,MAX(0,T276))</f>
        <v>15.0345721128441</v>
      </c>
      <c r="U248" s="1" t="n">
        <f aca="false">MIN(U247,MAX(0,U276))</f>
        <v>16.1619949807755</v>
      </c>
      <c r="V248" s="1" t="n">
        <f aca="false">MIN(V247,MAX(0,V276))</f>
        <v>17.2007894725056</v>
      </c>
      <c r="W248" s="1" t="n">
        <f aca="false">MIN(W247,MAX(0,W276))</f>
        <v>18.1582742547592</v>
      </c>
      <c r="X248" s="1" t="n">
        <f aca="false">MIN(X247,MAX(0,X276))</f>
        <v>19.0405704000165</v>
      </c>
      <c r="Y248" s="1" t="n">
        <f aca="false">MIN(Y247,MAX(0,Y276))</f>
        <v>19.8530874833327</v>
      </c>
      <c r="Z248" s="1" t="n">
        <f aca="false">MIN(Z247,MAX(0,Z276))</f>
        <v>20.6008854753917</v>
      </c>
      <c r="AA248" s="1" t="n">
        <f aca="false">MIN(AA247,MAX(0,AA276))</f>
        <v>21.2886914897601</v>
      </c>
      <c r="AB248" s="1" t="n">
        <f aca="false">MIN(AB247,MAX(0,AB276))</f>
        <v>21.9206592360071</v>
      </c>
      <c r="AC248" s="1" t="n">
        <f aca="false">MIN(AC247,MAX(0,AC276))</f>
        <v>22.505335352435</v>
      </c>
      <c r="AD248" s="1" t="n">
        <f aca="false">MIN(AD247,MAX(0,AD276))</f>
        <v>23.0476333407731</v>
      </c>
      <c r="AE248" s="1" t="n">
        <f aca="false">MIN(AE247,MAX(0,AE276))</f>
        <v>23.552020960485</v>
      </c>
      <c r="AF248" s="1" t="n">
        <f aca="false">MIN(AF247,MAX(0,AF276))</f>
        <v>24.0225572944097</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19.2975577088741</v>
      </c>
      <c r="D250" s="1" t="n">
        <f aca="false">D120-D248</f>
        <v>36.6324611570521</v>
      </c>
      <c r="E250" s="1" t="n">
        <f aca="false">E120-E248</f>
        <v>53.1794713907812</v>
      </c>
      <c r="F250" s="1" t="n">
        <f aca="false">F120-F248</f>
        <v>62.9872039888783</v>
      </c>
      <c r="G250" s="1" t="n">
        <f aca="false">G120-G248</f>
        <v>71.2535194040195</v>
      </c>
      <c r="H250" s="1" t="n">
        <f aca="false">H120-H248</f>
        <v>78.7902402821054</v>
      </c>
      <c r="I250" s="1" t="n">
        <f aca="false">I120-I248</f>
        <v>85.8205450423252</v>
      </c>
      <c r="J250" s="1" t="n">
        <f aca="false">J120-J248</f>
        <v>92.6168306665652</v>
      </c>
      <c r="K250" s="1" t="n">
        <f aca="false">K120-K248</f>
        <v>100.890121000824</v>
      </c>
      <c r="L250" s="1" t="n">
        <f aca="false">L120-L248</f>
        <v>109.833898508354</v>
      </c>
      <c r="M250" s="1" t="n">
        <f aca="false">M120-M248</f>
        <v>103.005623726802</v>
      </c>
      <c r="N250" s="1" t="n">
        <f aca="false">N120-N248</f>
        <v>98.0466022084107</v>
      </c>
      <c r="O250" s="1" t="n">
        <f aca="false">O120-O248</f>
        <v>94.6983495282181</v>
      </c>
      <c r="P250" s="1" t="n">
        <f aca="false">P120-P248</f>
        <v>91.2419860899979</v>
      </c>
      <c r="Q250" s="1" t="n">
        <f aca="false">Q120-Q248</f>
        <v>87.6357223911085</v>
      </c>
      <c r="R250" s="1" t="n">
        <f aca="false">R120-R248</f>
        <v>83.8477783594476</v>
      </c>
      <c r="S250" s="1" t="n">
        <f aca="false">S120-S248</f>
        <v>79.8506258689894</v>
      </c>
      <c r="T250" s="1" t="n">
        <f aca="false">T120-T248</f>
        <v>75.621950331278</v>
      </c>
      <c r="U250" s="1" t="n">
        <f aca="false">U120-U248</f>
        <v>71.1600228105772</v>
      </c>
      <c r="V250" s="1" t="n">
        <f aca="false">V120-V248</f>
        <v>66.7989560872452</v>
      </c>
      <c r="W250" s="1" t="n">
        <f aca="false">W120-W248</f>
        <v>62.2733360223957</v>
      </c>
      <c r="X250" s="1" t="n">
        <f aca="false">X120-X248</f>
        <v>57.5300339855055</v>
      </c>
      <c r="Y250" s="1" t="n">
        <f aca="false">Y120-Y248</f>
        <v>52.5658076061877</v>
      </c>
      <c r="Z250" s="1" t="n">
        <f aca="false">Z120-Z248</f>
        <v>47.3773725940364</v>
      </c>
      <c r="AA250" s="1" t="n">
        <f aca="false">AA120-AA248</f>
        <v>41.961405750679</v>
      </c>
      <c r="AB250" s="1" t="n">
        <f aca="false">AB120-AB248</f>
        <v>37.3979248236087</v>
      </c>
      <c r="AC250" s="1" t="n">
        <f aca="false">AC120-AC248</f>
        <v>33.5181381360453</v>
      </c>
      <c r="AD250" s="1" t="n">
        <f aca="false">AD120-AD248</f>
        <v>30.3897430044215</v>
      </c>
      <c r="AE250" s="1" t="n">
        <f aca="false">AE120-AE248</f>
        <v>28.0847031662611</v>
      </c>
      <c r="AF250" s="1" t="n">
        <f aca="false">AF120-AF248</f>
        <v>26.6794163727976</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0.000129627873428182</v>
      </c>
      <c r="D252" s="1" t="n">
        <f aca="false">IF(D120&gt;0,D248/D120,0)</f>
        <v>0.00249885745314182</v>
      </c>
      <c r="E252" s="1" t="n">
        <f aca="false">IF(E120&gt;0,E248/E120,0)</f>
        <v>0.00454963624403083</v>
      </c>
      <c r="F252" s="1" t="n">
        <f aca="false">IF(F120&gt;0,F248/F120,0)</f>
        <v>0.00814398069526458</v>
      </c>
      <c r="G252" s="1" t="n">
        <f aca="false">IF(G120&gt;0,G248/G120,0)</f>
        <v>0.011483512200435</v>
      </c>
      <c r="H252" s="1" t="n">
        <f aca="false">IF(H120&gt;0,H248/H120,0)</f>
        <v>0.015280294668297</v>
      </c>
      <c r="I252" s="1" t="n">
        <f aca="false">IF(I120&gt;0,I248/I120,0)</f>
        <v>0.0199160384158414</v>
      </c>
      <c r="J252" s="1" t="n">
        <f aca="false">IF(J120&gt;0,J248/J120,0)</f>
        <v>0.0254357135539904</v>
      </c>
      <c r="K252" s="1" t="n">
        <f aca="false">IF(K120&gt;0,K248/K120,0)</f>
        <v>0.0310845001119411</v>
      </c>
      <c r="L252" s="1" t="n">
        <f aca="false">IF(L120&gt;0,L248/L120,0)</f>
        <v>0.0375440470521317</v>
      </c>
      <c r="M252" s="1" t="n">
        <f aca="false">IF(M120&gt;0,M248/M120,0)</f>
        <v>0.0511824877440277</v>
      </c>
      <c r="N252" s="1" t="n">
        <f aca="false">IF(N120&gt;0,N248/N120,0)</f>
        <v>0.065866621872851</v>
      </c>
      <c r="O252" s="1" t="n">
        <f aca="false">IF(O120&gt;0,O248/O120,0)</f>
        <v>0.0806715932873696</v>
      </c>
      <c r="P252" s="1" t="n">
        <f aca="false">IF(P120&gt;0,P248/P120,0)</f>
        <v>0.096409707724361</v>
      </c>
      <c r="Q252" s="1" t="n">
        <f aca="false">IF(Q120&gt;0,Q248/Q120,0)</f>
        <v>0.112856472139601</v>
      </c>
      <c r="R252" s="1" t="n">
        <f aca="false">IF(R120&gt;0,R248/R120,0)</f>
        <v>0.129891491809677</v>
      </c>
      <c r="S252" s="1" t="n">
        <f aca="false">IF(S120&gt;0,S248/S120,0)</f>
        <v>0.147518957503649</v>
      </c>
      <c r="T252" s="1" t="n">
        <f aca="false">IF(T120&gt;0,T248/T120,0)</f>
        <v>0.165841041631737</v>
      </c>
      <c r="U252" s="1" t="n">
        <f aca="false">IF(U120&gt;0,U248/U120,0)</f>
        <v>0.185084992188259</v>
      </c>
      <c r="V252" s="1" t="n">
        <f aca="false">IF(V120&gt;0,V248/V120,0)</f>
        <v>0.204771923508629</v>
      </c>
      <c r="W252" s="1" t="n">
        <f aca="false">IF(W120&gt;0,W248/W120,0)</f>
        <v>0.225760421707194</v>
      </c>
      <c r="X252" s="1" t="n">
        <f aca="false">IF(X120&gt;0,X248/X120,0)</f>
        <v>0.24866684222773</v>
      </c>
      <c r="Y252" s="1" t="n">
        <f aca="false">IF(Y120&gt;0,Y248/Y120,0)</f>
        <v>0.27414236931938</v>
      </c>
      <c r="Z252" s="1" t="n">
        <f aca="false">IF(Z120&gt;0,Z248/Z120,0)</f>
        <v>0.303051093988779</v>
      </c>
      <c r="AA252" s="1" t="n">
        <f aca="false">IF(AA120&gt;0,AA248/AA120,0)</f>
        <v>0.336579585148039</v>
      </c>
      <c r="AB252" s="1" t="n">
        <f aca="false">IF(AB120&gt;0,AB248/AB120,0)</f>
        <v>0.369541174718139</v>
      </c>
      <c r="AC252" s="1" t="n">
        <f aca="false">IF(AC120&gt;0,AC248/AC120,0)</f>
        <v>0.401712602790732</v>
      </c>
      <c r="AD252" s="1" t="n">
        <f aca="false">IF(AD120&gt;0,AD248/AD120,0)</f>
        <v>0.431301738915662</v>
      </c>
      <c r="AE252" s="1" t="n">
        <f aca="false">IF(AE120&gt;0,AE248/AE120,0)</f>
        <v>0.456109897728501</v>
      </c>
      <c r="AF252" s="1" t="n">
        <f aca="false">IF(AF120&gt;0,AF248/AF120,0)</f>
        <v>0.473799253892691</v>
      </c>
    </row>
    <row r="253" customFormat="false" ht="14.25" hidden="false" customHeight="true" outlineLevel="0" collapsed="false">
      <c r="B253" s="1" t="s">
        <v>1249</v>
      </c>
    </row>
    <row r="254" customFormat="false" ht="14.25" hidden="false" customHeight="true" outlineLevel="0" collapsed="false">
      <c r="B254" s="1" t="s">
        <v>1250</v>
      </c>
      <c r="C254" s="116" t="n">
        <f aca="false">C112</f>
        <v>0.0236534055447657</v>
      </c>
      <c r="D254" s="116" t="n">
        <f aca="false">D112</f>
        <v>0.0625411439638284</v>
      </c>
      <c r="E254" s="116" t="n">
        <f aca="false">E112</f>
        <v>0.114975258393498</v>
      </c>
      <c r="F254" s="116" t="n">
        <f aca="false">F112</f>
        <v>0.235280488140055</v>
      </c>
      <c r="G254" s="116" t="n">
        <f aca="false">G112</f>
        <v>0.355584595852633</v>
      </c>
      <c r="H254" s="116" t="n">
        <f aca="false">H112</f>
        <v>0.455022126799729</v>
      </c>
      <c r="I254" s="116" t="n">
        <f aca="false">I112</f>
        <v>0.5420104840738</v>
      </c>
      <c r="J254" s="116" t="n">
        <f aca="false">J112</f>
        <v>0.618236002576194</v>
      </c>
      <c r="K254" s="116" t="n">
        <f aca="false">K112</f>
        <v>0.643407388159918</v>
      </c>
      <c r="L254" s="116" t="n">
        <f aca="false">L112</f>
        <v>0.66859912241482</v>
      </c>
      <c r="M254" s="116" t="n">
        <f aca="false">M112</f>
        <v>0.69332452511844</v>
      </c>
      <c r="N254" s="116" t="n">
        <f aca="false">N112</f>
        <v>0.717107009946887</v>
      </c>
      <c r="O254" s="116" t="n">
        <f aca="false">O112</f>
        <v>0.73954116968916</v>
      </c>
      <c r="P254" s="116" t="n">
        <f aca="false">P112</f>
        <v>0.759510187428796</v>
      </c>
      <c r="Q254" s="116" t="n">
        <f aca="false">Q112</f>
        <v>0.777013146091049</v>
      </c>
      <c r="R254" s="116" t="n">
        <f aca="false">R112</f>
        <v>0.792620110377628</v>
      </c>
      <c r="S254" s="116" t="n">
        <f aca="false">S112</f>
        <v>0.806798970985701</v>
      </c>
      <c r="T254" s="116" t="n">
        <f aca="false">T112</f>
        <v>0.819946519068373</v>
      </c>
      <c r="U254" s="116" t="n">
        <f aca="false">U112</f>
        <v>0.833163850480704</v>
      </c>
      <c r="V254" s="116" t="n">
        <f aca="false">V112</f>
        <v>0.846443158617113</v>
      </c>
      <c r="W254" s="116" t="n">
        <f aca="false">W112</f>
        <v>0.859489808631714</v>
      </c>
      <c r="X254" s="116" t="n">
        <f aca="false">X112</f>
        <v>0.872296302344462</v>
      </c>
      <c r="Y254" s="116" t="n">
        <f aca="false">Y112</f>
        <v>0.884855166534295</v>
      </c>
      <c r="Z254" s="116" t="n">
        <f aca="false">Z112</f>
        <v>0.897158951351965</v>
      </c>
      <c r="AA254" s="116" t="n">
        <f aca="false">AA112</f>
        <v>0.909200228800247</v>
      </c>
      <c r="AB254" s="116" t="n">
        <f aca="false">AB112</f>
        <v>0.918632281035441</v>
      </c>
      <c r="AC254" s="116" t="n">
        <f aca="false">AC112</f>
        <v>0.927836946861452</v>
      </c>
      <c r="AD254" s="116" t="n">
        <f aca="false">AD112</f>
        <v>0.936807989712091</v>
      </c>
      <c r="AE254" s="116" t="n">
        <f aca="false">AE112</f>
        <v>0.945539473016109</v>
      </c>
      <c r="AF254" s="116" t="n">
        <f aca="false">AF112</f>
        <v>0.954025744779725</v>
      </c>
    </row>
    <row r="255" customFormat="false" ht="14.25" hidden="false" customHeight="true" outlineLevel="0" collapsed="false">
      <c r="B255" s="1" t="s">
        <v>1251</v>
      </c>
      <c r="C255" s="1" t="n">
        <f aca="false">MIN(C235,C254)</f>
        <v>0.00184457238860399</v>
      </c>
      <c r="D255" s="1" t="n">
        <f aca="false">MIN(D235,D254)</f>
        <v>0.00654229250523607</v>
      </c>
      <c r="E255" s="1" t="n">
        <f aca="false">MIN(E235,E254)</f>
        <v>0.0148680271225033</v>
      </c>
      <c r="F255" s="1" t="n">
        <f aca="false">MIN(F235,F254)</f>
        <v>0.0307053151176349</v>
      </c>
      <c r="G255" s="1" t="n">
        <f aca="false">MIN(G235,G254)</f>
        <v>0.0535697137661963</v>
      </c>
      <c r="H255" s="1" t="n">
        <f aca="false">MIN(H235,H254)</f>
        <v>0.0811634511270276</v>
      </c>
      <c r="I255" s="1" t="n">
        <f aca="false">MIN(I235,I254)</f>
        <v>0.112053980513675</v>
      </c>
      <c r="J255" s="1" t="n">
        <f aca="false">MIN(J235,J254)</f>
        <v>0.145069806996932</v>
      </c>
      <c r="K255" s="1" t="n">
        <f aca="false">MIN(K235,K254)</f>
        <v>0.175956343288611</v>
      </c>
      <c r="L255" s="1" t="n">
        <f aca="false">MIN(L235,L254)</f>
        <v>0.20485091373291</v>
      </c>
      <c r="M255" s="1" t="n">
        <f aca="false">MIN(M235,M254)</f>
        <v>0.230037413824435</v>
      </c>
      <c r="N255" s="1" t="n">
        <f aca="false">MIN(N235,N254)</f>
        <v>0.250627450825859</v>
      </c>
      <c r="O255" s="1" t="n">
        <f aca="false">MIN(O235,O254)</f>
        <v>0.265958589628317</v>
      </c>
      <c r="P255" s="1" t="n">
        <f aca="false">MIN(P235,P254)</f>
        <v>0.272252471961347</v>
      </c>
      <c r="Q255" s="1" t="n">
        <f aca="false">MIN(Q235,Q254)</f>
        <v>0.270091937741706</v>
      </c>
      <c r="R255" s="1" t="n">
        <f aca="false">MIN(R235,R254)</f>
        <v>0.261866810171276</v>
      </c>
      <c r="S255" s="1" t="n">
        <f aca="false">MIN(S235,S254)</f>
        <v>0.249095750533902</v>
      </c>
      <c r="T255" s="1" t="n">
        <f aca="false">MIN(T235,T254)</f>
        <v>0.233030814566158</v>
      </c>
      <c r="U255" s="1" t="n">
        <f aca="false">MIN(U235,U254)</f>
        <v>0.218001954754249</v>
      </c>
      <c r="V255" s="1" t="n">
        <f aca="false">MIN(V235,V254)</f>
        <v>0.203942351423147</v>
      </c>
      <c r="W255" s="1" t="n">
        <f aca="false">MIN(W235,W254)</f>
        <v>0.190789494300126</v>
      </c>
      <c r="X255" s="1" t="n">
        <f aca="false">MIN(X235,X254)</f>
        <v>0.178484904588418</v>
      </c>
      <c r="Y255" s="1" t="n">
        <f aca="false">MIN(Y235,Y254)</f>
        <v>0.166973874965167</v>
      </c>
      <c r="Z255" s="1" t="n">
        <f aca="false">MIN(Z235,Z254)</f>
        <v>0.15620522634771</v>
      </c>
      <c r="AA255" s="1" t="n">
        <f aca="false">MIN(AA235,AA254)</f>
        <v>0.146131080346727</v>
      </c>
      <c r="AB255" s="1" t="n">
        <f aca="false">MIN(AB235,AB254)</f>
        <v>0.13670664639458</v>
      </c>
      <c r="AC255" s="1" t="n">
        <f aca="false">MIN(AC235,AC254)</f>
        <v>0.127890022602377</v>
      </c>
      <c r="AD255" s="1" t="n">
        <f aca="false">MIN(AD235,AD254)</f>
        <v>0.119642009460375</v>
      </c>
      <c r="AE255" s="1" t="n">
        <f aca="false">MIN(AE235,AE254)</f>
        <v>0.1119259355534</v>
      </c>
      <c r="AF255" s="1" t="n">
        <f aca="false">MIN(AF235,AF254)</f>
        <v>0.104707494516404</v>
      </c>
    </row>
    <row r="256" customFormat="false" ht="14.25" hidden="false" customHeight="true" outlineLevel="0" collapsed="false">
      <c r="B256" s="1" t="s">
        <v>1252</v>
      </c>
      <c r="C256" s="1" t="n">
        <f aca="false">MIN(C254-C255,MAX(0,C107-C108+C109+C110+C184-C229-C235))</f>
        <v>0.0218088331561617</v>
      </c>
      <c r="D256" s="1" t="n">
        <f aca="false">MIN(D254-D255,MAX(0,D107-D108+D109+D110+D184-D229-D235))</f>
        <v>0.0559988514585923</v>
      </c>
      <c r="E256" s="1" t="n">
        <f aca="false">MIN(E254-E255,MAX(0,E107-E108+E109+E110+E184-E229-E235))</f>
        <v>0.100107231270995</v>
      </c>
      <c r="F256" s="1" t="n">
        <f aca="false">MIN(F254-F255,MAX(0,F107-F108+F109+F110+F184-F229-F235))</f>
        <v>0.20457517302242</v>
      </c>
      <c r="G256" s="1" t="n">
        <f aca="false">MIN(G254-G255,MAX(0,G107-G108+G109+G110+G184-G229-G235))</f>
        <v>0.302014882086437</v>
      </c>
      <c r="H256" s="1" t="n">
        <f aca="false">MIN(H254-H255,MAX(0,H107-H108+H109+H110+H184-H229-H235))</f>
        <v>0.373858675672701</v>
      </c>
      <c r="I256" s="1" t="n">
        <f aca="false">MIN(I254-I255,MAX(0,I107-I108+I109+I110+I184-I229-I235))</f>
        <v>0.429956503560125</v>
      </c>
      <c r="J256" s="1" t="n">
        <f aca="false">MIN(J254-J255,MAX(0,J107-J108+J109+J110+J184-J229-J235))</f>
        <v>0.473166195579262</v>
      </c>
      <c r="K256" s="1" t="n">
        <f aca="false">MIN(K254-K255,MAX(0,K107-K108+K109+K110+K184-K229-K235))</f>
        <v>0.467451044871307</v>
      </c>
      <c r="L256" s="1" t="n">
        <f aca="false">MIN(L254-L255,MAX(0,L107-L108+L109+L110+L184-L229-L235))</f>
        <v>0.46374820868191</v>
      </c>
      <c r="M256" s="1" t="n">
        <f aca="false">MIN(M254-M255,MAX(0,M107-M108+M109+M110+M184-M229-M235))</f>
        <v>0.463287111294005</v>
      </c>
      <c r="N256" s="1" t="n">
        <f aca="false">MIN(N254-N255,MAX(0,N107-N108+N109+N110+N184-N229-N235))</f>
        <v>0.466479559121028</v>
      </c>
      <c r="O256" s="1" t="n">
        <f aca="false">MIN(O254-O255,MAX(0,O107-O108+O109+O110+O184-O229-O235))</f>
        <v>0.473582580060843</v>
      </c>
      <c r="P256" s="1" t="n">
        <f aca="false">MIN(P254-P255,MAX(0,P107-P108+P109+P110+P184-P229-P235))</f>
        <v>0.487257715467449</v>
      </c>
      <c r="Q256" s="1" t="n">
        <f aca="false">MIN(Q254-Q255,MAX(0,Q107-Q108+Q109+Q110+Q184-Q229-Q235))</f>
        <v>0.506921208349343</v>
      </c>
      <c r="R256" s="1" t="n">
        <f aca="false">MIN(R254-R255,MAX(0,R107-R108+R109+R110+R184-R229-R235))</f>
        <v>0.530753300206352</v>
      </c>
      <c r="S256" s="1" t="n">
        <f aca="false">MIN(S254-S255,MAX(0,S107-S108+S109+S110+S184-S229-S235))</f>
        <v>0.557703220451799</v>
      </c>
      <c r="T256" s="1" t="n">
        <f aca="false">MIN(T254-T255,MAX(0,T107-T108+T109+T110+T184-T229-T235))</f>
        <v>0.586915704502214</v>
      </c>
      <c r="U256" s="1" t="n">
        <f aca="false">MIN(U254-U255,MAX(0,U107-U108+U109+U110+U184-U229-U235))</f>
        <v>0.615161895726455</v>
      </c>
      <c r="V256" s="1" t="n">
        <f aca="false">MIN(V254-V255,MAX(0,V107-V108+V109+V110+V184-V229-V235))</f>
        <v>0.642500807193966</v>
      </c>
      <c r="W256" s="1" t="n">
        <f aca="false">MIN(W254-W255,MAX(0,W107-W108+W109+W110+W184-W229-W235))</f>
        <v>0.668700314331588</v>
      </c>
      <c r="X256" s="1" t="n">
        <f aca="false">MIN(X254-X255,MAX(0,X107-X108+X109+X110+X184-X229-X235))</f>
        <v>0.693811397756044</v>
      </c>
      <c r="Y256" s="1" t="n">
        <f aca="false">MIN(Y254-Y255,MAX(0,Y107-Y108+Y109+Y110+Y184-Y229-Y235))</f>
        <v>0.717881291569128</v>
      </c>
      <c r="Z256" s="1" t="n">
        <f aca="false">MIN(Z254-Z255,MAX(0,Z107-Z108+Z109+Z110+Z184-Z229-Z235))</f>
        <v>0.740953725004255</v>
      </c>
      <c r="AA256" s="1" t="n">
        <f aca="false">MIN(AA254-AA255,MAX(0,AA107-AA108+AA109+AA110+AA184-AA229-AA235))</f>
        <v>0.76306914845352</v>
      </c>
      <c r="AB256" s="1" t="n">
        <f aca="false">MIN(AB254-AB255,MAX(0,AB107-AB108+AB109+AB110+AB184-AB229-AB235))</f>
        <v>0.781925634640861</v>
      </c>
      <c r="AC256" s="1" t="n">
        <f aca="false">MIN(AC254-AC255,MAX(0,AC107-AC108+AC109+AC110+AC184-AC229-AC235))</f>
        <v>0.799946924259075</v>
      </c>
      <c r="AD256" s="1" t="n">
        <f aca="false">MIN(AD254-AD255,MAX(0,AD107-AD108+AD109+AD110+AD184-AD229-AD235))</f>
        <v>0.817165980251716</v>
      </c>
      <c r="AE256" s="1" t="n">
        <f aca="false">MIN(AE254-AE255,MAX(0,AE107-AE108+AE109+AE110+AE184-AE229-AE235))</f>
        <v>0.833613537462709</v>
      </c>
      <c r="AF256" s="1" t="n">
        <f aca="false">MIN(AF254-AF255,MAX(0,AF107-AF108+AF109+AF110+AF184-AF229-AF235))</f>
        <v>0.849318250263321</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1367</v>
      </c>
      <c r="C261" s="1" t="n">
        <f aca="false">(1-$C$172)*C83+C181</f>
        <v>4.82044491317486</v>
      </c>
      <c r="D261" s="1" t="n">
        <f aca="false">(1-$C$172)*D83+D181</f>
        <v>12.5924327864198</v>
      </c>
      <c r="E261" s="1" t="n">
        <f aca="false">(1-$C$172)*E83+E181</f>
        <v>22.1158466864198</v>
      </c>
      <c r="F261" s="1" t="n">
        <f aca="false">(1-$C$172)*F83+F181</f>
        <v>31.8582991061198</v>
      </c>
      <c r="G261" s="1" t="n">
        <f aca="false">(1-$C$172)*G83+G181</f>
        <v>41.8248279314729</v>
      </c>
      <c r="H261" s="1" t="n">
        <f aca="false">(1-$C$172)*H83+H181</f>
        <v>52.0205869198091</v>
      </c>
      <c r="I261" s="1" t="n">
        <f aca="false">(1-$C$172)*I83+I181</f>
        <v>62.450848364877</v>
      </c>
      <c r="J261" s="1" t="n">
        <f aca="false">(1-$C$172)*J83+J181</f>
        <v>73.1210058231815</v>
      </c>
      <c r="K261" s="1" t="n">
        <f aca="false">(1-$C$172)*K83+K181</f>
        <v>84.036576903027</v>
      </c>
      <c r="L261" s="1" t="n">
        <f aca="false">(1-$C$172)*L83+L181</f>
        <v>95.203206117709</v>
      </c>
      <c r="M261" s="1" t="n">
        <f aca="false">(1-$C$172)*M83+M181</f>
        <v>106.626667804329</v>
      </c>
      <c r="N261" s="1" t="n">
        <f aca="false">(1-$C$172)*N83+N181</f>
        <v>113.458888498147</v>
      </c>
      <c r="O261" s="1" t="n">
        <f aca="false">(1-$C$172)*O83+O181</f>
        <v>116.068442933605</v>
      </c>
      <c r="P261" s="1" t="n">
        <f aca="false">(1-$C$172)*P83+P181</f>
        <v>118.738017121078</v>
      </c>
      <c r="Q261" s="1" t="n">
        <f aca="false">(1-$C$172)*Q83+Q181</f>
        <v>121.468991514862</v>
      </c>
      <c r="R261" s="1" t="n">
        <f aca="false">(1-$C$172)*R83+R181</f>
        <v>124.262778319704</v>
      </c>
      <c r="S261" s="1" t="n">
        <f aca="false">(1-$C$172)*S83+S181</f>
        <v>127.120822221057</v>
      </c>
      <c r="T261" s="1" t="n">
        <f aca="false">(1-$C$172)*T83+T181</f>
        <v>130.044601132142</v>
      </c>
      <c r="U261" s="1" t="n">
        <f aca="false">(1-$C$172)*U83+U181</f>
        <v>133.035626958181</v>
      </c>
      <c r="V261" s="1" t="n">
        <f aca="false">(1-$C$172)*V83+V181</f>
        <v>135.210942104959</v>
      </c>
      <c r="W261" s="1" t="n">
        <f aca="false">(1-$C$172)*W83+W181</f>
        <v>137.221573170814</v>
      </c>
      <c r="X261" s="1" t="n">
        <f aca="false">(1-$C$172)*X83+X181</f>
        <v>139.191078489022</v>
      </c>
      <c r="Y261" s="1" t="n">
        <f aca="false">(1-$C$172)*Y83+Y181</f>
        <v>141.119350101685</v>
      </c>
      <c r="Z261" s="1" t="n">
        <f aca="false">(1-$C$172)*Z83+Z181</f>
        <v>143.006283626154</v>
      </c>
      <c r="AA261" s="1" t="n">
        <f aca="false">(1-$C$172)*AA83+AA181</f>
        <v>144.851778011926</v>
      </c>
      <c r="AB261" s="1" t="n">
        <f aca="false">(1-$C$172)*AB83+AB181</f>
        <v>146.176868766829</v>
      </c>
      <c r="AC261" s="1" t="n">
        <f aca="false">(1-$C$172)*AC83+AC181</f>
        <v>147.478195509414</v>
      </c>
      <c r="AD261" s="1" t="n">
        <f aca="false">(1-$C$172)*AD83+AD181</f>
        <v>148.754772415278</v>
      </c>
      <c r="AE261" s="1" t="n">
        <f aca="false">(1-$C$172)*AE83+AE181</f>
        <v>150.00566078337</v>
      </c>
      <c r="AF261" s="1" t="n">
        <f aca="false">(1-$C$172)*AF83+AF181</f>
        <v>151.229966603294</v>
      </c>
    </row>
    <row r="262" customFormat="false" ht="14.25" hidden="false" customHeight="true" outlineLevel="0" collapsed="false">
      <c r="B262" s="1" t="s">
        <v>1257</v>
      </c>
      <c r="C262" s="1" t="n">
        <f aca="false">$C$260*C261</f>
        <v>0.241022245658743</v>
      </c>
      <c r="D262" s="1" t="n">
        <f aca="false">$C$260*D261</f>
        <v>0.629621639320988</v>
      </c>
      <c r="E262" s="1" t="n">
        <f aca="false">$C$260*E261</f>
        <v>1.10579233432099</v>
      </c>
      <c r="F262" s="1" t="n">
        <f aca="false">$C$260*F261</f>
        <v>1.59291495530599</v>
      </c>
      <c r="G262" s="1" t="n">
        <f aca="false">$C$260*G261</f>
        <v>2.09124139657364</v>
      </c>
      <c r="H262" s="1" t="n">
        <f aca="false">$C$260*H261</f>
        <v>2.60102934599045</v>
      </c>
      <c r="I262" s="1" t="n">
        <f aca="false">$C$260*I261</f>
        <v>3.12254241824385</v>
      </c>
      <c r="J262" s="1" t="n">
        <f aca="false">$C$260*J261</f>
        <v>3.65605029115908</v>
      </c>
      <c r="K262" s="1" t="n">
        <f aca="false">$C$260*K261</f>
        <v>4.20182884515135</v>
      </c>
      <c r="L262" s="1" t="n">
        <f aca="false">$C$260*L261</f>
        <v>4.76016030588545</v>
      </c>
      <c r="M262" s="1" t="n">
        <f aca="false">$C$260*M261</f>
        <v>5.33133339021643</v>
      </c>
      <c r="N262" s="1" t="n">
        <f aca="false">$C$260*N261</f>
        <v>5.67294442490737</v>
      </c>
      <c r="O262" s="1" t="n">
        <f aca="false">$C$260*O261</f>
        <v>5.80342214668024</v>
      </c>
      <c r="P262" s="1" t="n">
        <f aca="false">$C$260*P261</f>
        <v>5.93690085605388</v>
      </c>
      <c r="Q262" s="1" t="n">
        <f aca="false">$C$260*Q261</f>
        <v>6.07344957574312</v>
      </c>
      <c r="R262" s="1" t="n">
        <f aca="false">$C$260*R261</f>
        <v>6.21313891598521</v>
      </c>
      <c r="S262" s="1" t="n">
        <f aca="false">$C$260*S261</f>
        <v>6.35604111105287</v>
      </c>
      <c r="T262" s="1" t="n">
        <f aca="false">$C$260*T261</f>
        <v>6.50223005660709</v>
      </c>
      <c r="U262" s="1" t="n">
        <f aca="false">$C$260*U261</f>
        <v>6.65178134790905</v>
      </c>
      <c r="V262" s="1" t="n">
        <f aca="false">$C$260*V261</f>
        <v>6.76054710524795</v>
      </c>
      <c r="W262" s="1" t="n">
        <f aca="false">$C$260*W261</f>
        <v>6.86107865854069</v>
      </c>
      <c r="X262" s="1" t="n">
        <f aca="false">$C$260*X261</f>
        <v>6.95955392445111</v>
      </c>
      <c r="Y262" s="1" t="n">
        <f aca="false">$C$260*Y261</f>
        <v>7.05596750508426</v>
      </c>
      <c r="Z262" s="1" t="n">
        <f aca="false">$C$260*Z261</f>
        <v>7.15031418130768</v>
      </c>
      <c r="AA262" s="1" t="n">
        <f aca="false">$C$260*AA261</f>
        <v>7.24258890059628</v>
      </c>
      <c r="AB262" s="1" t="n">
        <f aca="false">$C$260*AB261</f>
        <v>7.30884343834146</v>
      </c>
      <c r="AC262" s="1" t="n">
        <f aca="false">$C$260*AC261</f>
        <v>7.37390977547068</v>
      </c>
      <c r="AD262" s="1" t="n">
        <f aca="false">$C$260*AD261</f>
        <v>7.43773862076388</v>
      </c>
      <c r="AE262" s="1" t="n">
        <f aca="false">$C$260*AE261</f>
        <v>7.50028303916848</v>
      </c>
      <c r="AF262" s="1" t="n">
        <f aca="false">$C$260*AF261</f>
        <v>7.56149833016472</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7.49061336803098</v>
      </c>
      <c r="G263" s="1" t="n">
        <f aca="false">MAX(0,(G70+F121-F227)*0.25/0.55)</f>
        <v>14.8696640340136</v>
      </c>
      <c r="H263" s="1" t="n">
        <f aca="false">MAX(0,(H70+G121-G227)*0.25/0.55)</f>
        <v>22.2501894108194</v>
      </c>
      <c r="I263" s="1" t="n">
        <f aca="false">MAX(0,(I70+H121-H227)*0.25/0.55)</f>
        <v>29.6322415557403</v>
      </c>
      <c r="J263" s="1" t="n">
        <f aca="false">MAX(0,(J70+I121-I227)*0.25/0.55)</f>
        <v>37.0158743636908</v>
      </c>
      <c r="K263" s="1" t="n">
        <f aca="false">MAX(0,(K70+J121-J227)*0.25/0.55)</f>
        <v>40.2040205191044</v>
      </c>
      <c r="L263" s="1" t="n">
        <f aca="false">MAX(0,(L70+K121-K227)*0.25/0.55)</f>
        <v>43.3921666745181</v>
      </c>
      <c r="M263" s="1" t="n">
        <f aca="false">MAX(0,(M70+L121-L227)*0.25/0.55)</f>
        <v>44.6628820486956</v>
      </c>
      <c r="N263" s="1" t="n">
        <f aca="false">MAX(0,(N70+M121-M227)*0.25/0.55)</f>
        <v>45.9354133739816</v>
      </c>
      <c r="O263" s="1" t="n">
        <f aca="false">MAX(0,(O70+N121-N227)*0.25/0.55)</f>
        <v>47.2098247534501</v>
      </c>
      <c r="P263" s="1" t="n">
        <f aca="false">MAX(0,(P70+O121-O227)*0.25/0.55)</f>
        <v>48.486182553014</v>
      </c>
      <c r="Q263" s="1" t="n">
        <f aca="false">MAX(0,(Q70+P121-P227)*0.25/0.55)</f>
        <v>49.7645554813024</v>
      </c>
      <c r="R263" s="1" t="n">
        <f aca="false">MAX(0,(R70+Q121-Q227)*0.25/0.55)</f>
        <v>51.0450146723594</v>
      </c>
      <c r="S263" s="1" t="n">
        <f aca="false">MAX(0,(S70+R121-R227)*0.25/0.55)</f>
        <v>52.3276337712607</v>
      </c>
      <c r="T263" s="1" t="n">
        <f aca="false">MAX(0,(T70+S121-S227)*0.25/0.55)</f>
        <v>53.6124890227532</v>
      </c>
      <c r="U263" s="1" t="n">
        <f aca="false">MAX(0,(U70+T121-T227)*0.25/0.55)</f>
        <v>54.8996593630235</v>
      </c>
      <c r="V263" s="1" t="n">
        <f aca="false">MAX(0,(V70+U121-U227)*0.25/0.55)</f>
        <v>56.1892265147052</v>
      </c>
      <c r="W263" s="1" t="n">
        <f aca="false">MAX(0,(W70+V121-V227)*0.25/0.55)</f>
        <v>57.4812750852413</v>
      </c>
      <c r="X263" s="1" t="n">
        <f aca="false">MAX(0,(X70+W121-W227)*0.25/0.55)</f>
        <v>58.7758926687174</v>
      </c>
      <c r="Y263" s="1" t="n">
        <f aca="false">MAX(0,(Y70+X121-X227)*0.25/0.55)</f>
        <v>60.0731699512902</v>
      </c>
      <c r="Z263" s="1" t="n">
        <f aca="false">MAX(0,(Z70+Y121-Y227)*0.25/0.55)</f>
        <v>61.3732008203377</v>
      </c>
      <c r="AA263" s="1" t="n">
        <f aca="false">MAX(0,(AA70+Z121-Z227)*0.25/0.55)</f>
        <v>62.6760824774627</v>
      </c>
      <c r="AB263" s="1" t="n">
        <f aca="false">MAX(0,(AB70+AA121-AA227)*0.25/0.55)</f>
        <v>63.9819155554842</v>
      </c>
      <c r="AC263" s="1" t="n">
        <f aca="false">MAX(0,(AC70+AB121-AB227)*0.25/0.55)</f>
        <v>65.2908042395598</v>
      </c>
      <c r="AD263" s="1" t="n">
        <f aca="false">MAX(0,(AD70+AC121-AC227)*0.25/0.55)</f>
        <v>66.6028563925833</v>
      </c>
      <c r="AE263" s="1" t="n">
        <f aca="false">MAX(0,(AE70+AD121-AD227)*0.25/0.55)</f>
        <v>67.9181836850085</v>
      </c>
      <c r="AF263" s="1" t="n">
        <f aca="false">MAX(0,(AF70+AE121-AE227)*0.25/0.55)</f>
        <v>69.2369017292564</v>
      </c>
    </row>
    <row r="264" customFormat="false" ht="14.25" hidden="false" customHeight="true" outlineLevel="0" collapsed="false">
      <c r="B264" s="1" t="s">
        <v>1259</v>
      </c>
      <c r="C264" s="1" t="n">
        <f aca="false">MAX(0,C262-C263)</f>
        <v>0.204658609295107</v>
      </c>
      <c r="D264" s="1" t="n">
        <f aca="false">MAX(0,D262-D263)</f>
        <v>0.555610730230079</v>
      </c>
      <c r="E264" s="1" t="n">
        <f aca="false">MAX(0,E262-E263)</f>
        <v>0.992805203775533</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0.00511646523237767</v>
      </c>
      <c r="D265" s="1" t="n">
        <f aca="false">D264*MAX(0,$C$10-01_Supuestos!$I$134)</f>
        <v>0.013890268255752</v>
      </c>
      <c r="E265" s="1" t="n">
        <f aca="false">E264*MAX(0,$C$10-01_Supuestos!$I$134)</f>
        <v>0.0248201300943883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6.62811175561544</v>
      </c>
      <c r="D266" s="1" t="n">
        <f aca="false">IF(D263&gt;0,D262/D263,0)</f>
        <v>8.50714640658732</v>
      </c>
      <c r="E266" s="1" t="n">
        <f aca="false">IF(E263&gt;0,E262/E263,0)</f>
        <v>9.78688748871386</v>
      </c>
      <c r="F266" s="1" t="n">
        <f aca="false">IF(F263&gt;0,F262/F263,0)</f>
        <v>0.212654809031308</v>
      </c>
      <c r="G266" s="1" t="n">
        <f aca="false">IF(G263&gt;0,G262/G263,0)</f>
        <v>0.140638106670738</v>
      </c>
      <c r="H266" s="1" t="n">
        <f aca="false">IF(H263&gt;0,H262/H263,0)</f>
        <v>0.116899200180547</v>
      </c>
      <c r="I266" s="1" t="n">
        <f aca="false">IF(I263&gt;0,I262/I263,0)</f>
        <v>0.105376517411622</v>
      </c>
      <c r="J266" s="1" t="n">
        <f aca="false">IF(J263&gt;0,J262/J263,0)</f>
        <v>0.0987697941493266</v>
      </c>
      <c r="K266" s="1" t="n">
        <f aca="false">IF(K263&gt;0,K262/K263,0)</f>
        <v>0.104512652985905</v>
      </c>
      <c r="L266" s="1" t="n">
        <f aca="false">IF(L263&gt;0,L262/L263,0)</f>
        <v>0.109700913106993</v>
      </c>
      <c r="M266" s="1" t="n">
        <f aca="false">IF(M263&gt;0,M262/M263,0)</f>
        <v>0.119368324337057</v>
      </c>
      <c r="N266" s="1" t="n">
        <f aca="false">IF(N263&gt;0,N262/N263,0)</f>
        <v>0.123498277434042</v>
      </c>
      <c r="O266" s="1" t="n">
        <f aca="false">IF(O263&gt;0,O262/O263,0)</f>
        <v>0.122928271328864</v>
      </c>
      <c r="P266" s="1" t="n">
        <f aca="false">IF(P263&gt;0,P262/P263,0)</f>
        <v>0.122445211057038</v>
      </c>
      <c r="Q266" s="1" t="n">
        <f aca="false">IF(Q263&gt;0,Q262/Q263,0)</f>
        <v>0.12204368183345</v>
      </c>
      <c r="R266" s="1" t="n">
        <f aca="false">IF(R263&gt;0,R262/R263,0)</f>
        <v>0.121718819278733</v>
      </c>
      <c r="S266" s="1" t="n">
        <f aca="false">IF(S263&gt;0,S262/S263,0)</f>
        <v>0.121466243607287</v>
      </c>
      <c r="T266" s="1" t="n">
        <f aca="false">IF(T263&gt;0,T262/T263,0)</f>
        <v>0.121282003039395</v>
      </c>
      <c r="U266" s="1" t="n">
        <f aca="false">IF(U263&gt;0,U262/U263,0)</f>
        <v>0.121162524960751</v>
      </c>
      <c r="V266" s="1" t="n">
        <f aca="false">IF(V263&gt;0,V262/V263,0)</f>
        <v>0.120317497224822</v>
      </c>
      <c r="W266" s="1" t="n">
        <f aca="false">IF(W263&gt;0,W262/W263,0)</f>
        <v>0.119361977415534</v>
      </c>
      <c r="X266" s="1" t="n">
        <f aca="false">IF(X263&gt;0,X262/X263,0)</f>
        <v>0.118408306679028</v>
      </c>
      <c r="Y266" s="1" t="n">
        <f aca="false">IF(Y263&gt;0,Y262/Y263,0)</f>
        <v>0.11745622065234</v>
      </c>
      <c r="Z266" s="1" t="n">
        <f aca="false">IF(Z263&gt;0,Z262/Z263,0)</f>
        <v>0.116505479357991</v>
      </c>
      <c r="AA266" s="1" t="n">
        <f aca="false">IF(AA263&gt;0,AA262/AA263,0)</f>
        <v>0.115555864602747</v>
      </c>
      <c r="AB266" s="1" t="n">
        <f aca="false">IF(AB263&gt;0,AB262/AB263,0)</f>
        <v>0.114232957467542</v>
      </c>
      <c r="AC266" s="1" t="n">
        <f aca="false">IF(AC263&gt;0,AC262/AC263,0)</f>
        <v>0.112939484531618</v>
      </c>
      <c r="AD266" s="1" t="n">
        <f aca="false">IF(AD263&gt;0,AD262/AD263,0)</f>
        <v>0.111672967551466</v>
      </c>
      <c r="AE266" s="1" t="n">
        <f aca="false">IF(AE263&gt;0,AE262/AE263,0)</f>
        <v>0.110431148659</v>
      </c>
      <c r="AF266" s="1" t="n">
        <f aca="false">IF(AF263&gt;0,AF262/AF263,0)</f>
        <v>0.109211968492368</v>
      </c>
    </row>
    <row r="267" customFormat="false" ht="14.25" hidden="false" customHeight="true" outlineLevel="0" collapsed="false">
      <c r="B267" s="1" t="s">
        <v>1262</v>
      </c>
      <c r="C267" s="1" t="n">
        <f aca="false">C120-C264</f>
        <v>19.0954009252535</v>
      </c>
      <c r="D267" s="1" t="n">
        <f aca="false">D120-D264</f>
        <v>36.1686190420995</v>
      </c>
      <c r="E267" s="1" t="n">
        <f aca="false">E120-E264</f>
        <v>52.4297192404648</v>
      </c>
      <c r="F267" s="1" t="n">
        <f aca="false">F120-F264</f>
        <v>63.5043824536455</v>
      </c>
      <c r="G267" s="1" t="n">
        <f aca="false">G120-G264</f>
        <v>72.0812654957629</v>
      </c>
      <c r="H267" s="1" t="n">
        <f aca="false">H120-H264</f>
        <v>80.0128603657474</v>
      </c>
      <c r="I267" s="1" t="n">
        <f aca="false">I120-I264</f>
        <v>87.5644826424964</v>
      </c>
      <c r="J267" s="1" t="n">
        <f aca="false">J120-J264</f>
        <v>95.0340905722243</v>
      </c>
      <c r="K267" s="1" t="n">
        <f aca="false">K120-K264</f>
        <v>104.126852148077</v>
      </c>
      <c r="L267" s="1" t="n">
        <f aca="false">L120-L264</f>
        <v>114.11836372558</v>
      </c>
      <c r="M267" s="1" t="n">
        <f aca="false">M120-M264</f>
        <v>108.562102191694</v>
      </c>
      <c r="N267" s="1" t="n">
        <f aca="false">N120-N264</f>
        <v>104.959960220012</v>
      </c>
      <c r="O267" s="1" t="n">
        <f aca="false">O120-O264</f>
        <v>103.008183840249</v>
      </c>
      <c r="P267" s="1" t="n">
        <f aca="false">P120-P264</f>
        <v>100.977165060296</v>
      </c>
      <c r="Q267" s="1" t="n">
        <f aca="false">Q120-Q264</f>
        <v>98.7841534531252</v>
      </c>
      <c r="R267" s="1" t="n">
        <f aca="false">R120-R264</f>
        <v>96.3647379265796</v>
      </c>
      <c r="S267" s="1" t="n">
        <f aca="false">S120-S264</f>
        <v>93.668506263975</v>
      </c>
      <c r="T267" s="1" t="n">
        <f aca="false">T120-T264</f>
        <v>90.6565224441221</v>
      </c>
      <c r="U267" s="1" t="n">
        <f aca="false">U120-U264</f>
        <v>87.3220177913526</v>
      </c>
      <c r="V267" s="1" t="n">
        <f aca="false">V120-V264</f>
        <v>83.9997455597508</v>
      </c>
      <c r="W267" s="1" t="n">
        <f aca="false">W120-W264</f>
        <v>80.4316102771548</v>
      </c>
      <c r="X267" s="1" t="n">
        <f aca="false">X120-X264</f>
        <v>76.5706043855221</v>
      </c>
      <c r="Y267" s="1" t="n">
        <f aca="false">Y120-Y264</f>
        <v>72.4188950895204</v>
      </c>
      <c r="Z267" s="1" t="n">
        <f aca="false">Z120-Z264</f>
        <v>67.9782580694281</v>
      </c>
      <c r="AA267" s="1" t="n">
        <f aca="false">AA120-AA264</f>
        <v>63.2500972404391</v>
      </c>
      <c r="AB267" s="1" t="n">
        <f aca="false">AB120-AB264</f>
        <v>59.3185840596159</v>
      </c>
      <c r="AC267" s="1" t="n">
        <f aca="false">AC120-AC264</f>
        <v>56.0234734884803</v>
      </c>
      <c r="AD267" s="1" t="n">
        <f aca="false">AD120-AD264</f>
        <v>53.4373763451946</v>
      </c>
      <c r="AE267" s="1" t="n">
        <f aca="false">AE120-AE264</f>
        <v>51.6367241267461</v>
      </c>
      <c r="AF267" s="1" t="n">
        <f aca="false">AF120-AF264</f>
        <v>50.7019736672074</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0.241022245658743</v>
      </c>
      <c r="D270" s="1" t="n">
        <f aca="false">01_Supuestos!$C$173*D261</f>
        <v>0.629621639320988</v>
      </c>
      <c r="E270" s="1" t="n">
        <f aca="false">01_Supuestos!$C$173*E261</f>
        <v>1.10579233432099</v>
      </c>
      <c r="F270" s="1" t="n">
        <f aca="false">01_Supuestos!$C$173*F261</f>
        <v>1.59291495530599</v>
      </c>
      <c r="G270" s="1" t="n">
        <f aca="false">01_Supuestos!$C$173*G261</f>
        <v>2.09124139657364</v>
      </c>
      <c r="H270" s="1" t="n">
        <f aca="false">01_Supuestos!$C$173*H261</f>
        <v>2.60102934599045</v>
      </c>
      <c r="I270" s="1" t="n">
        <f aca="false">01_Supuestos!$C$173*I261</f>
        <v>3.12254241824385</v>
      </c>
      <c r="J270" s="1" t="n">
        <f aca="false">01_Supuestos!$C$173*J261</f>
        <v>3.65605029115908</v>
      </c>
      <c r="K270" s="1" t="n">
        <f aca="false">01_Supuestos!$C$173*K261</f>
        <v>4.20182884515135</v>
      </c>
      <c r="L270" s="1" t="n">
        <f aca="false">01_Supuestos!$C$173*L261</f>
        <v>4.76016030588545</v>
      </c>
      <c r="M270" s="1" t="n">
        <f aca="false">01_Supuestos!$C$173*M261</f>
        <v>5.33133339021643</v>
      </c>
      <c r="N270" s="1" t="n">
        <f aca="false">01_Supuestos!$C$173*N261</f>
        <v>5.67294442490737</v>
      </c>
      <c r="O270" s="1" t="n">
        <f aca="false">01_Supuestos!$C$173*O261</f>
        <v>5.80342214668024</v>
      </c>
      <c r="P270" s="1" t="n">
        <f aca="false">01_Supuestos!$C$173*P261</f>
        <v>5.93690085605388</v>
      </c>
      <c r="Q270" s="1" t="n">
        <f aca="false">01_Supuestos!$C$173*Q261</f>
        <v>6.07344957574312</v>
      </c>
      <c r="R270" s="1" t="n">
        <f aca="false">01_Supuestos!$C$173*R261</f>
        <v>6.21313891598521</v>
      </c>
      <c r="S270" s="1" t="n">
        <f aca="false">01_Supuestos!$C$173*S261</f>
        <v>6.35604111105287</v>
      </c>
      <c r="T270" s="1" t="n">
        <f aca="false">01_Supuestos!$C$173*T261</f>
        <v>6.50223005660709</v>
      </c>
      <c r="U270" s="1" t="n">
        <f aca="false">01_Supuestos!$C$173*U261</f>
        <v>6.65178134790905</v>
      </c>
      <c r="V270" s="1" t="n">
        <f aca="false">01_Supuestos!$C$173*V261</f>
        <v>6.76054710524795</v>
      </c>
      <c r="W270" s="1" t="n">
        <f aca="false">01_Supuestos!$C$173*W261</f>
        <v>6.86107865854069</v>
      </c>
      <c r="X270" s="1" t="n">
        <f aca="false">01_Supuestos!$C$173*X261</f>
        <v>6.95955392445111</v>
      </c>
      <c r="Y270" s="1" t="n">
        <f aca="false">01_Supuestos!$C$173*Y261</f>
        <v>7.05596750508426</v>
      </c>
      <c r="Z270" s="1" t="n">
        <f aca="false">01_Supuestos!$C$173*Z261</f>
        <v>7.15031418130768</v>
      </c>
      <c r="AA270" s="1" t="n">
        <f aca="false">01_Supuestos!$C$173*AA261</f>
        <v>7.24258890059628</v>
      </c>
      <c r="AB270" s="1" t="n">
        <f aca="false">01_Supuestos!$C$173*AB261</f>
        <v>7.30884343834146</v>
      </c>
      <c r="AC270" s="1" t="n">
        <f aca="false">01_Supuestos!$C$173*AC261</f>
        <v>7.37390977547068</v>
      </c>
      <c r="AD270" s="1" t="n">
        <f aca="false">01_Supuestos!$C$173*AD261</f>
        <v>7.43773862076388</v>
      </c>
      <c r="AE270" s="1" t="n">
        <f aca="false">01_Supuestos!$C$173*AE261</f>
        <v>7.50028303916848</v>
      </c>
      <c r="AF270" s="1" t="n">
        <f aca="false">01_Supuestos!$C$173*AF261</f>
        <v>7.56149833016472</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1.59291495530599</v>
      </c>
      <c r="G271" s="1" t="n">
        <f aca="false">MIN(G270,G263)</f>
        <v>2.09124139657364</v>
      </c>
      <c r="H271" s="1" t="n">
        <f aca="false">MIN(H270,H263)</f>
        <v>2.60102934599045</v>
      </c>
      <c r="I271" s="1" t="n">
        <f aca="false">MIN(I270,I263)</f>
        <v>3.12254241824385</v>
      </c>
      <c r="J271" s="1" t="n">
        <f aca="false">MIN(J270,J263)</f>
        <v>3.65605029115908</v>
      </c>
      <c r="K271" s="1" t="n">
        <f aca="false">MIN(K270,K263)</f>
        <v>4.20182884515135</v>
      </c>
      <c r="L271" s="1" t="n">
        <f aca="false">MIN(L270,L263)</f>
        <v>4.76016030588545</v>
      </c>
      <c r="M271" s="1" t="n">
        <f aca="false">MIN(M270,M263)</f>
        <v>5.33133339021643</v>
      </c>
      <c r="N271" s="1" t="n">
        <f aca="false">MIN(N270,N263)</f>
        <v>5.67294442490737</v>
      </c>
      <c r="O271" s="1" t="n">
        <f aca="false">MIN(O270,O263)</f>
        <v>5.80342214668024</v>
      </c>
      <c r="P271" s="1" t="n">
        <f aca="false">MIN(P270,P263)</f>
        <v>5.93690085605388</v>
      </c>
      <c r="Q271" s="1" t="n">
        <f aca="false">MIN(Q270,Q263)</f>
        <v>6.07344957574312</v>
      </c>
      <c r="R271" s="1" t="n">
        <f aca="false">MIN(R270,R263)</f>
        <v>6.21313891598521</v>
      </c>
      <c r="S271" s="1" t="n">
        <f aca="false">MIN(S270,S263)</f>
        <v>6.35604111105287</v>
      </c>
      <c r="T271" s="1" t="n">
        <f aca="false">MIN(T270,T263)</f>
        <v>6.50223005660709</v>
      </c>
      <c r="U271" s="1" t="n">
        <f aca="false">MIN(U270,U263)</f>
        <v>6.65178134790905</v>
      </c>
      <c r="V271" s="1" t="n">
        <f aca="false">MIN(V270,V263)</f>
        <v>6.76054710524795</v>
      </c>
      <c r="W271" s="1" t="n">
        <f aca="false">MIN(W270,W263)</f>
        <v>6.86107865854069</v>
      </c>
      <c r="X271" s="1" t="n">
        <f aca="false">MIN(X270,X263)</f>
        <v>6.95955392445111</v>
      </c>
      <c r="Y271" s="1" t="n">
        <f aca="false">MIN(Y270,Y263)</f>
        <v>7.05596750508426</v>
      </c>
      <c r="Z271" s="1" t="n">
        <f aca="false">MIN(Z270,Z263)</f>
        <v>7.15031418130768</v>
      </c>
      <c r="AA271" s="1" t="n">
        <f aca="false">MIN(AA270,AA263)</f>
        <v>7.24258890059628</v>
      </c>
      <c r="AB271" s="1" t="n">
        <f aca="false">MIN(AB270,AB263)</f>
        <v>7.30884343834146</v>
      </c>
      <c r="AC271" s="1" t="n">
        <f aca="false">MIN(AC270,AC263)</f>
        <v>7.37390977547068</v>
      </c>
      <c r="AD271" s="1" t="n">
        <f aca="false">MIN(AD270,AD263)</f>
        <v>7.43773862076388</v>
      </c>
      <c r="AE271" s="1" t="n">
        <f aca="false">MIN(AE270,AE263)</f>
        <v>7.50028303916848</v>
      </c>
      <c r="AF271" s="1" t="n">
        <f aca="false">MIN(AF270,AF263)</f>
        <v>7.56149833016472</v>
      </c>
    </row>
    <row r="272" customFormat="false" ht="14.25" hidden="false" customHeight="true" outlineLevel="0" collapsed="false">
      <c r="B272" s="1" t="s">
        <v>1267</v>
      </c>
      <c r="C272" s="1" t="n">
        <f aca="false">MIN(C270-C271,MAX(0,C120))</f>
        <v>0.204658609295107</v>
      </c>
      <c r="D272" s="1" t="n">
        <f aca="false">MIN(D270-D271,MAX(0,D120))</f>
        <v>0.555610730230079</v>
      </c>
      <c r="E272" s="1" t="n">
        <f aca="false">MIN(E270-E271,MAX(0,E120))</f>
        <v>0.992805203775533</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0.00629621639320988</v>
      </c>
      <c r="E274" s="1" t="n">
        <f aca="false">IF(01_Supuestos!$C$174="Sí",01_Supuestos!$C$172*E271,01_Supuestos!$I$134*(E271+MIN(MIN(E270-E271,MAX(0,D120)),E264))+$C$10*MAX(0,MIN(E270-E271,MAX(0,D120))-E264))</f>
        <v>0.0110579233432099</v>
      </c>
      <c r="F274" s="1" t="n">
        <f aca="false">IF(01_Supuestos!$C$174="Sí",01_Supuestos!$C$172*F271,01_Supuestos!$I$134*(F271+MIN(MIN(F270-F271,MAX(0,E120)),F264))+$C$10*MAX(0,MIN(F270-F271,MAX(0,E120))-F264))</f>
        <v>0.0159291495530599</v>
      </c>
      <c r="G274" s="1" t="n">
        <f aca="false">IF(01_Supuestos!$C$174="Sí",01_Supuestos!$C$172*G271,01_Supuestos!$I$134*(G271+MIN(MIN(G270-G271,MAX(0,F120)),G264))+$C$10*MAX(0,MIN(G270-G271,MAX(0,F120))-G264))</f>
        <v>0.0209124139657364</v>
      </c>
      <c r="H274" s="1" t="n">
        <f aca="false">IF(01_Supuestos!$C$174="Sí",01_Supuestos!$C$172*H271,01_Supuestos!$I$134*(H271+MIN(MIN(H270-H271,MAX(0,G120)),H264))+$C$10*MAX(0,MIN(H270-H271,MAX(0,G120))-H264))</f>
        <v>0.0260102934599045</v>
      </c>
      <c r="I274" s="1" t="n">
        <f aca="false">IF(01_Supuestos!$C$174="Sí",01_Supuestos!$C$172*I271,01_Supuestos!$I$134*(I271+MIN(MIN(I270-I271,MAX(0,H120)),I264))+$C$10*MAX(0,MIN(I270-I271,MAX(0,H120))-I264))</f>
        <v>0.0312254241824385</v>
      </c>
      <c r="J274" s="1" t="n">
        <f aca="false">IF(01_Supuestos!$C$174="Sí",01_Supuestos!$C$172*J271,01_Supuestos!$I$134*(J271+MIN(MIN(J270-J271,MAX(0,I120)),J264))+$C$10*MAX(0,MIN(J270-J271,MAX(0,I120))-J264))</f>
        <v>0.0365605029115908</v>
      </c>
      <c r="K274" s="1" t="n">
        <f aca="false">IF(01_Supuestos!$C$174="Sí",01_Supuestos!$C$172*K271,01_Supuestos!$I$134*(K271+MIN(MIN(K270-K271,MAX(0,J120)),K264))+$C$10*MAX(0,MIN(K270-K271,MAX(0,J120))-K264))</f>
        <v>0.0420182884515135</v>
      </c>
      <c r="L274" s="1" t="n">
        <f aca="false">IF(01_Supuestos!$C$174="Sí",01_Supuestos!$C$172*L271,01_Supuestos!$I$134*(L271+MIN(MIN(L270-L271,MAX(0,K120)),L264))+$C$10*MAX(0,MIN(L270-L271,MAX(0,K120))-L264))</f>
        <v>0.0476016030588545</v>
      </c>
      <c r="M274" s="1" t="n">
        <f aca="false">IF(01_Supuestos!$C$174="Sí",01_Supuestos!$C$172*M271,01_Supuestos!$I$134*(M271+MIN(MIN(M270-M271,MAX(0,L120)),M264))+$C$10*MAX(0,MIN(M270-M271,MAX(0,L120))-M264))</f>
        <v>0.0533133339021643</v>
      </c>
      <c r="N274" s="1" t="n">
        <f aca="false">IF(01_Supuestos!$C$174="Sí",01_Supuestos!$C$172*N271,01_Supuestos!$I$134*(N271+MIN(MIN(N270-N271,MAX(0,M120)),N264))+$C$10*MAX(0,MIN(N270-N271,MAX(0,M120))-N264))</f>
        <v>0.0567294442490737</v>
      </c>
      <c r="O274" s="1" t="n">
        <f aca="false">IF(01_Supuestos!$C$174="Sí",01_Supuestos!$C$172*O271,01_Supuestos!$I$134*(O271+MIN(MIN(O270-O271,MAX(0,N120)),O264))+$C$10*MAX(0,MIN(O270-O271,MAX(0,N120))-O264))</f>
        <v>0.0580342214668024</v>
      </c>
      <c r="P274" s="1" t="n">
        <f aca="false">IF(01_Supuestos!$C$174="Sí",01_Supuestos!$C$172*P271,01_Supuestos!$I$134*(P271+MIN(MIN(P270-P271,MAX(0,O120)),P264))+$C$10*MAX(0,MIN(P270-P271,MAX(0,O120))-P264))</f>
        <v>0.0593690085605388</v>
      </c>
      <c r="Q274" s="1" t="n">
        <f aca="false">IF(01_Supuestos!$C$174="Sí",01_Supuestos!$C$172*Q271,01_Supuestos!$I$134*(Q271+MIN(MIN(Q270-Q271,MAX(0,P120)),Q264))+$C$10*MAX(0,MIN(Q270-Q271,MAX(0,P120))-Q264))</f>
        <v>0.0607344957574312</v>
      </c>
      <c r="R274" s="1" t="n">
        <f aca="false">IF(01_Supuestos!$C$174="Sí",01_Supuestos!$C$172*R271,01_Supuestos!$I$134*(R271+MIN(MIN(R270-R271,MAX(0,Q120)),R264))+$C$10*MAX(0,MIN(R270-R271,MAX(0,Q120))-R264))</f>
        <v>0.0621313891598521</v>
      </c>
      <c r="S274" s="1" t="n">
        <f aca="false">IF(01_Supuestos!$C$174="Sí",01_Supuestos!$C$172*S271,01_Supuestos!$I$134*(S271+MIN(MIN(S270-S271,MAX(0,R120)),S264))+$C$10*MAX(0,MIN(S270-S271,MAX(0,R120))-S264))</f>
        <v>0.0635604111105287</v>
      </c>
      <c r="T274" s="1" t="n">
        <f aca="false">IF(01_Supuestos!$C$174="Sí",01_Supuestos!$C$172*T271,01_Supuestos!$I$134*(T271+MIN(MIN(T270-T271,MAX(0,S120)),T264))+$C$10*MAX(0,MIN(T270-T271,MAX(0,S120))-T264))</f>
        <v>0.0650223005660709</v>
      </c>
      <c r="U274" s="1" t="n">
        <f aca="false">IF(01_Supuestos!$C$174="Sí",01_Supuestos!$C$172*U271,01_Supuestos!$I$134*(U271+MIN(MIN(U270-U271,MAX(0,T120)),U264))+$C$10*MAX(0,MIN(U270-U271,MAX(0,T120))-U264))</f>
        <v>0.0665178134790905</v>
      </c>
      <c r="V274" s="1" t="n">
        <f aca="false">IF(01_Supuestos!$C$174="Sí",01_Supuestos!$C$172*V271,01_Supuestos!$I$134*(V271+MIN(MIN(V270-V271,MAX(0,U120)),V264))+$C$10*MAX(0,MIN(V270-V271,MAX(0,U120))-V264))</f>
        <v>0.0676054710524795</v>
      </c>
      <c r="W274" s="1" t="n">
        <f aca="false">IF(01_Supuestos!$C$174="Sí",01_Supuestos!$C$172*W271,01_Supuestos!$I$134*(W271+MIN(MIN(W270-W271,MAX(0,V120)),W264))+$C$10*MAX(0,MIN(W270-W271,MAX(0,V120))-W264))</f>
        <v>0.0686107865854069</v>
      </c>
      <c r="X274" s="1" t="n">
        <f aca="false">IF(01_Supuestos!$C$174="Sí",01_Supuestos!$C$172*X271,01_Supuestos!$I$134*(X271+MIN(MIN(X270-X271,MAX(0,W120)),X264))+$C$10*MAX(0,MIN(X270-X271,MAX(0,W120))-X264))</f>
        <v>0.0695955392445111</v>
      </c>
      <c r="Y274" s="1" t="n">
        <f aca="false">IF(01_Supuestos!$C$174="Sí",01_Supuestos!$C$172*Y271,01_Supuestos!$I$134*(Y271+MIN(MIN(Y270-Y271,MAX(0,X120)),Y264))+$C$10*MAX(0,MIN(Y270-Y271,MAX(0,X120))-Y264))</f>
        <v>0.0705596750508426</v>
      </c>
      <c r="Z274" s="1" t="n">
        <f aca="false">IF(01_Supuestos!$C$174="Sí",01_Supuestos!$C$172*Z271,01_Supuestos!$I$134*(Z271+MIN(MIN(Z270-Z271,MAX(0,Y120)),Z264))+$C$10*MAX(0,MIN(Z270-Z271,MAX(0,Y120))-Z264))</f>
        <v>0.0715031418130768</v>
      </c>
      <c r="AA274" s="1" t="n">
        <f aca="false">IF(01_Supuestos!$C$174="Sí",01_Supuestos!$C$172*AA271,01_Supuestos!$I$134*(AA271+MIN(MIN(AA270-AA271,MAX(0,Z120)),AA264))+$C$10*MAX(0,MIN(AA270-AA271,MAX(0,Z120))-AA264))</f>
        <v>0.0724258890059628</v>
      </c>
      <c r="AB274" s="1" t="n">
        <f aca="false">IF(01_Supuestos!$C$174="Sí",01_Supuestos!$C$172*AB271,01_Supuestos!$I$134*(AB271+MIN(MIN(AB270-AB271,MAX(0,AA120)),AB264))+$C$10*MAX(0,MIN(AB270-AB271,MAX(0,AA120))-AB264))</f>
        <v>0.0730884343834146</v>
      </c>
      <c r="AC274" s="1" t="n">
        <f aca="false">IF(01_Supuestos!$C$174="Sí",01_Supuestos!$C$172*AC271,01_Supuestos!$I$134*(AC271+MIN(MIN(AC270-AC271,MAX(0,AB120)),AC264))+$C$10*MAX(0,MIN(AC270-AC271,MAX(0,AB120))-AC264))</f>
        <v>0.0737390977547068</v>
      </c>
      <c r="AD274" s="1" t="n">
        <f aca="false">IF(01_Supuestos!$C$174="Sí",01_Supuestos!$C$172*AD271,01_Supuestos!$I$134*(AD271+MIN(MIN(AD270-AD271,MAX(0,AC120)),AD264))+$C$10*MAX(0,MIN(AD270-AD271,MAX(0,AC120))-AD264))</f>
        <v>0.0743773862076388</v>
      </c>
      <c r="AE274" s="1" t="n">
        <f aca="false">IF(01_Supuestos!$C$174="Sí",01_Supuestos!$C$172*AE271,01_Supuestos!$I$134*(AE271+MIN(MIN(AE270-AE271,MAX(0,AD120)),AE264))+$C$10*MAX(0,MIN(AE270-AE271,MAX(0,AD120))-AE264))</f>
        <v>0.0750028303916848</v>
      </c>
      <c r="AF274" s="1" t="n">
        <f aca="false">IF(01_Supuestos!$C$174="Sí",01_Supuestos!$C$172*AF271,01_Supuestos!$I$134*(AF271+MIN(MIN(AF270-AF271,MAX(0,AE120)),AF264))+$C$10*MAX(0,MIN(AF270-AF271,MAX(0,AE120))-AF264))</f>
        <v>0.0756149833016472</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19.0954009252535</v>
      </c>
      <c r="D276" s="1" t="n">
        <f aca="false">D120-MAX(D264,D272)</f>
        <v>36.1686190420995</v>
      </c>
      <c r="E276" s="1" t="n">
        <f aca="false">E120-MAX(E264,E272)</f>
        <v>52.4297192404648</v>
      </c>
      <c r="F276" s="1" t="n">
        <f aca="false">F120-MAX(F264,F272)</f>
        <v>63.5043824536455</v>
      </c>
      <c r="G276" s="1" t="n">
        <f aca="false">G120-MAX(G264,G272)</f>
        <v>72.0812654957629</v>
      </c>
      <c r="H276" s="1" t="n">
        <f aca="false">H120-MAX(H264,H272)</f>
        <v>80.0128603657474</v>
      </c>
      <c r="I276" s="1" t="n">
        <f aca="false">I120-MAX(I264,I272)</f>
        <v>87.5644826424964</v>
      </c>
      <c r="J276" s="1" t="n">
        <f aca="false">J120-MAX(J264,J272)</f>
        <v>95.0340905722243</v>
      </c>
      <c r="K276" s="1" t="n">
        <f aca="false">K120-MAX(K264,K272)</f>
        <v>104.126852148077</v>
      </c>
      <c r="L276" s="1" t="n">
        <f aca="false">L120-MAX(L264,L272)</f>
        <v>114.11836372558</v>
      </c>
      <c r="M276" s="1" t="n">
        <f aca="false">M120-MAX(M264,M272)</f>
        <v>108.562102191694</v>
      </c>
      <c r="N276" s="1" t="n">
        <f aca="false">N120-MAX(N264,N272)</f>
        <v>104.959960220012</v>
      </c>
      <c r="O276" s="1" t="n">
        <f aca="false">O120-MAX(O264,O272)</f>
        <v>103.008183840249</v>
      </c>
      <c r="P276" s="1" t="n">
        <f aca="false">P120-MAX(P264,P272)</f>
        <v>100.977165060296</v>
      </c>
      <c r="Q276" s="1" t="n">
        <f aca="false">Q120-MAX(Q264,Q272)</f>
        <v>98.7841534531252</v>
      </c>
      <c r="R276" s="1" t="n">
        <f aca="false">R120-MAX(R264,R272)</f>
        <v>96.3647379265796</v>
      </c>
      <c r="S276" s="1" t="n">
        <f aca="false">S120-MAX(S264,S272)</f>
        <v>93.668506263975</v>
      </c>
      <c r="T276" s="1" t="n">
        <f aca="false">T120-MAX(T264,T272)</f>
        <v>90.6565224441221</v>
      </c>
      <c r="U276" s="1" t="n">
        <f aca="false">U120-MAX(U264,U272)</f>
        <v>87.3220177913526</v>
      </c>
      <c r="V276" s="1" t="n">
        <f aca="false">V120-MAX(V264,V272)</f>
        <v>83.9997455597508</v>
      </c>
      <c r="W276" s="1" t="n">
        <f aca="false">W120-MAX(W264,W272)</f>
        <v>80.4316102771548</v>
      </c>
      <c r="X276" s="1" t="n">
        <f aca="false">X120-MAX(X264,X272)</f>
        <v>76.5706043855221</v>
      </c>
      <c r="Y276" s="1" t="n">
        <f aca="false">Y120-MAX(Y264,Y272)</f>
        <v>72.4188950895204</v>
      </c>
      <c r="Z276" s="1" t="n">
        <f aca="false">Z120-MAX(Z264,Z272)</f>
        <v>67.9782580694281</v>
      </c>
      <c r="AA276" s="1" t="n">
        <f aca="false">AA120-MAX(AA264,AA272)</f>
        <v>63.2500972404391</v>
      </c>
      <c r="AB276" s="1" t="n">
        <f aca="false">AB120-MAX(AB264,AB272)</f>
        <v>59.3185840596159</v>
      </c>
      <c r="AC276" s="1" t="n">
        <f aca="false">AC120-MAX(AC264,AC272)</f>
        <v>56.0234734884803</v>
      </c>
      <c r="AD276" s="1" t="n">
        <f aca="false">AD120-MAX(AD264,AD272)</f>
        <v>53.4373763451946</v>
      </c>
      <c r="AE276" s="1" t="n">
        <f aca="false">AE120-MAX(AE264,AE272)</f>
        <v>51.6367241267461</v>
      </c>
      <c r="AF276" s="1" t="n">
        <f aca="false">AF120-MAX(AF264,AF272)</f>
        <v>50.7019736672074</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2.15158778078157</v>
      </c>
      <c r="D284" s="1" t="n">
        <f aca="false">$C$279*D87</f>
        <v>5.60164986037079</v>
      </c>
      <c r="E284" s="1" t="n">
        <f aca="false">$C$279*E87</f>
        <v>9.7086560997431</v>
      </c>
      <c r="F284" s="1" t="n">
        <f aca="false">$C$279*F87</f>
        <v>12.2301621893589</v>
      </c>
      <c r="G284" s="1" t="n">
        <f aca="false">$C$279*G87</f>
        <v>14.8794201054532</v>
      </c>
      <c r="H284" s="1" t="n">
        <f aca="false">$C$279*H87</f>
        <v>18.185176948938</v>
      </c>
      <c r="I284" s="1" t="n">
        <f aca="false">$C$279*I87</f>
        <v>21.9383193693201</v>
      </c>
      <c r="J284" s="1" t="n">
        <f aca="false">$C$279*J87</f>
        <v>26.0994260542934</v>
      </c>
      <c r="K284" s="1" t="n">
        <f aca="false">$C$279*K87</f>
        <v>31.6869826530955</v>
      </c>
      <c r="L284" s="1" t="n">
        <f aca="false">$C$279*L87</f>
        <v>37.4171296022407</v>
      </c>
      <c r="M284" s="1" t="n">
        <f aca="false">$C$279*M87</f>
        <v>47.2982423405846</v>
      </c>
      <c r="N284" s="1" t="n">
        <f aca="false">$C$279*N87</f>
        <v>53.3771310372805</v>
      </c>
      <c r="O284" s="1" t="n">
        <f aca="false">$C$279*O87</f>
        <v>54.5112390495504</v>
      </c>
      <c r="P284" s="1" t="n">
        <f aca="false">$C$279*P87</f>
        <v>55.7183843070107</v>
      </c>
      <c r="Q284" s="1" t="n">
        <f aca="false">$C$279*Q87</f>
        <v>56.9993681125375</v>
      </c>
      <c r="R284" s="1" t="n">
        <f aca="false">$C$279*R87</f>
        <v>58.3460169037838</v>
      </c>
      <c r="S284" s="1" t="n">
        <f aca="false">$C$279*S87</f>
        <v>59.7517848729779</v>
      </c>
      <c r="T284" s="1" t="n">
        <f aca="false">$C$279*T87</f>
        <v>61.2112649699939</v>
      </c>
      <c r="U284" s="1" t="n">
        <f aca="false">$C$279*U87</f>
        <v>62.7079767210921</v>
      </c>
      <c r="V284" s="1" t="n">
        <f aca="false">$C$279*V87</f>
        <v>63.7387572516071</v>
      </c>
      <c r="W284" s="1" t="n">
        <f aca="false">$C$279*W87</f>
        <v>64.6793322214143</v>
      </c>
      <c r="X284" s="1" t="n">
        <f aca="false">$C$279*X87</f>
        <v>65.6002479768173</v>
      </c>
      <c r="Y284" s="1" t="n">
        <f aca="false">$C$279*Y87</f>
        <v>66.5015606850455</v>
      </c>
      <c r="Z284" s="1" t="n">
        <f aca="false">$C$279*Z87</f>
        <v>67.3833281831141</v>
      </c>
      <c r="AA284" s="1" t="n">
        <f aca="false">$C$279*AA87</f>
        <v>68.2456098631937</v>
      </c>
      <c r="AB284" s="1" t="n">
        <f aca="false">$C$279*AB87</f>
        <v>68.8523567707844</v>
      </c>
      <c r="AC284" s="1" t="n">
        <f aca="false">$C$279*AC87</f>
        <v>69.4491395272979</v>
      </c>
      <c r="AD284" s="1" t="n">
        <f aca="false">$C$279*AD87</f>
        <v>70.0354944387428</v>
      </c>
      <c r="AE284" s="1" t="n">
        <f aca="false">$C$279*AE87</f>
        <v>70.6109799465169</v>
      </c>
      <c r="AF284" s="1" t="n">
        <f aca="false">$C$279*AF87</f>
        <v>71.1751754835971</v>
      </c>
    </row>
    <row r="285" customFormat="false" ht="14.25" hidden="false" customHeight="true" outlineLevel="0" collapsed="false">
      <c r="B285" s="84" t="s">
        <v>1280</v>
      </c>
      <c r="C285" s="1" t="n">
        <f aca="false">MAX(0/$C$280,0-C284)</f>
        <v>0</v>
      </c>
      <c r="D285" s="1" t="n">
        <f aca="false">MAX(C284*(1-$C$340)/$C$280,C284-D341-D284)</f>
        <v>0.106503595148688</v>
      </c>
      <c r="E285" s="1" t="n">
        <f aca="false">MAX(D284*(1-$C$340)/$C$280,D284-E341-E284)</f>
        <v>0.277281668088354</v>
      </c>
      <c r="F285" s="1" t="n">
        <f aca="false">MAX(E284*(1-$C$340)/$C$280,E284-F341-F284)</f>
        <v>0.480578476937284</v>
      </c>
      <c r="G285" s="1" t="n">
        <f aca="false">MAX(F284*(1-$C$340)/$C$280,F284-G341-G284)</f>
        <v>0.605393028373265</v>
      </c>
      <c r="H285" s="1" t="n">
        <f aca="false">MAX(G284*(1-$C$340)/$C$280,G284-H341-H284)</f>
        <v>0.736531295219932</v>
      </c>
      <c r="I285" s="1" t="n">
        <f aca="false">MAX(H284*(1-$C$340)/$C$280,H284-I341-I284)</f>
        <v>0.900166258972432</v>
      </c>
      <c r="J285" s="1" t="n">
        <f aca="false">MAX(I284*(1-$C$340)/$C$280,I284-J341-J284)</f>
        <v>1.08594680878135</v>
      </c>
      <c r="K285" s="1" t="n">
        <f aca="false">MAX(J284*(1-$C$340)/$C$280,J284-K341-K284)</f>
        <v>1.29192158968752</v>
      </c>
      <c r="L285" s="1" t="n">
        <f aca="false">MAX(K284*(1-$C$340)/$C$280,K284-L341-L284)</f>
        <v>1.56850564132823</v>
      </c>
      <c r="M285" s="1" t="n">
        <f aca="false">MAX(L284*(1-$C$340)/$C$280,L284-M341-M284)</f>
        <v>1.85214791531091</v>
      </c>
      <c r="N285" s="1" t="n">
        <f aca="false">MAX(M284*(1-$C$340)/$C$280,M284-N341-N284)</f>
        <v>2.34126299585894</v>
      </c>
      <c r="O285" s="1" t="n">
        <f aca="false">MAX(N284*(1-$C$340)/$C$280,N284-O341-O284)</f>
        <v>2.64216798634539</v>
      </c>
      <c r="P285" s="1" t="n">
        <f aca="false">MAX(O284*(1-$C$340)/$C$280,O284-P341-P284)</f>
        <v>2.69830633295275</v>
      </c>
      <c r="Q285" s="1" t="n">
        <f aca="false">MAX(P284*(1-$C$340)/$C$280,P284-Q341-Q284)</f>
        <v>2.75806002319703</v>
      </c>
      <c r="R285" s="1" t="n">
        <f aca="false">MAX(Q284*(1-$C$340)/$C$280,Q284-R341-R284)</f>
        <v>2.82146872157061</v>
      </c>
      <c r="S285" s="1" t="n">
        <f aca="false">MAX(R284*(1-$C$340)/$C$280,R284-S341-S284)</f>
        <v>2.8881278367373</v>
      </c>
      <c r="T285" s="1" t="n">
        <f aca="false">MAX(S284*(1-$C$340)/$C$280,S284-T341-T284)</f>
        <v>2.95771335121241</v>
      </c>
      <c r="U285" s="1" t="n">
        <f aca="false">MAX(T284*(1-$C$340)/$C$280,T284-U341-U284)</f>
        <v>3.0299576160147</v>
      </c>
      <c r="V285" s="1" t="n">
        <f aca="false">MAX(U284*(1-$C$340)/$C$280,U284-V341-V284)</f>
        <v>3.10404484769406</v>
      </c>
      <c r="W285" s="1" t="n">
        <f aca="false">MAX(V284*(1-$C$340)/$C$280,V284-W341-W284)</f>
        <v>3.15506848395455</v>
      </c>
      <c r="X285" s="1" t="n">
        <f aca="false">MAX(W284*(1-$C$340)/$C$280,W284-X341-X284)</f>
        <v>3.20162694496001</v>
      </c>
      <c r="Y285" s="1" t="n">
        <f aca="false">MAX(X284*(1-$C$340)/$C$280,X284-Y341-Y284)</f>
        <v>3.24721227485246</v>
      </c>
      <c r="Z285" s="1" t="n">
        <f aca="false">MAX(Y284*(1-$C$340)/$C$280,Y284-Z341-Z284)</f>
        <v>3.29182725390975</v>
      </c>
      <c r="AA285" s="1" t="n">
        <f aca="false">MAX(Z284*(1-$C$340)/$C$280,Z284-AA341-AA284)</f>
        <v>3.33547474506415</v>
      </c>
      <c r="AB285" s="1" t="n">
        <f aca="false">MAX(AA284*(1-$C$340)/$C$280,AA284-AB341-AB284)</f>
        <v>3.37815768822809</v>
      </c>
      <c r="AC285" s="1" t="n">
        <f aca="false">MAX(AB284*(1-$C$340)/$C$280,AB284-AC341-AC284)</f>
        <v>3.40819166015383</v>
      </c>
      <c r="AD285" s="1" t="n">
        <f aca="false">MAX(AC284*(1-$C$340)/$C$280,AC284-AD341-AD284)</f>
        <v>3.43773240660125</v>
      </c>
      <c r="AE285" s="1" t="n">
        <f aca="false">MAX(AD284*(1-$C$340)/$C$280,AD284-AE341-AE284)</f>
        <v>3.46675697471777</v>
      </c>
      <c r="AF285" s="1" t="n">
        <f aca="false">MAX(AE284*(1-$C$340)/$C$280,AE284-AF341-AF284)</f>
        <v>3.49524350735259</v>
      </c>
    </row>
    <row r="286" customFormat="false" ht="14.25" hidden="false" customHeight="true" outlineLevel="0" collapsed="false">
      <c r="B286" s="84" t="s">
        <v>1281</v>
      </c>
      <c r="C286" s="1" t="n">
        <f aca="false">C284-0+C285</f>
        <v>2.15158778078157</v>
      </c>
      <c r="D286" s="1" t="n">
        <f aca="false">D284-C284+D285+D341</f>
        <v>3.57808155254572</v>
      </c>
      <c r="E286" s="1" t="n">
        <f aca="false">E284-D284+E285+E341</f>
        <v>4.44030440606438</v>
      </c>
      <c r="F286" s="1" t="n">
        <f aca="false">F284-E284+F285+F341</f>
        <v>3.0991711275505</v>
      </c>
      <c r="G286" s="1" t="n">
        <f aca="false">G284-F284+G285+G341</f>
        <v>3.37695256636115</v>
      </c>
      <c r="H286" s="1" t="n">
        <f aca="false">H284-G284+H285+H341</f>
        <v>4.1910823397593</v>
      </c>
      <c r="I286" s="1" t="n">
        <f aca="false">I284-H284+I285+I341</f>
        <v>4.83516044884394</v>
      </c>
      <c r="J286" s="1" t="n">
        <f aca="false">J284-I284+J285+J341</f>
        <v>5.4664366874478</v>
      </c>
      <c r="K286" s="1" t="n">
        <f aca="false">K284-J284+K285+K341</f>
        <v>7.14047244903256</v>
      </c>
      <c r="L286" s="1" t="n">
        <f aca="false">L284-K284+L285+L341</f>
        <v>7.61552241700437</v>
      </c>
      <c r="M286" s="1" t="n">
        <f aca="false">M284-L284+M285+M341</f>
        <v>12.1074319496772</v>
      </c>
      <c r="N286" s="1" t="n">
        <f aca="false">N284-M284+N285+N341</f>
        <v>8.89313411596073</v>
      </c>
      <c r="O286" s="1" t="n">
        <f aca="false">O284-N284+O285+O341</f>
        <v>4.31004730898809</v>
      </c>
      <c r="P286" s="1" t="n">
        <f aca="false">P284-O284+P285+P341</f>
        <v>4.45056398090855</v>
      </c>
      <c r="Q286" s="1" t="n">
        <f aca="false">Q284-P284+Q285+Q341</f>
        <v>4.59622767179396</v>
      </c>
      <c r="R286" s="1" t="n">
        <f aca="false">R284-Q284+R285+R341</f>
        <v>4.7381111939422</v>
      </c>
      <c r="S286" s="1" t="n">
        <f aca="false">S284-R284+S285+S341</f>
        <v>4.87735597496931</v>
      </c>
      <c r="T286" s="1" t="n">
        <f aca="false">T284-S284+T285+T341</f>
        <v>5.01471129695816</v>
      </c>
      <c r="U286" s="1" t="n">
        <f aca="false">U284-T284+U285+U341</f>
        <v>5.13878201681279</v>
      </c>
      <c r="V286" s="1" t="n">
        <f aca="false">V284-U284+V285+V341</f>
        <v>4.76190514542</v>
      </c>
      <c r="W286" s="1" t="n">
        <f aca="false">W284-V284+W285+W341</f>
        <v>4.73303102627787</v>
      </c>
      <c r="X286" s="1" t="n">
        <f aca="false">X284-W284+X285+X341</f>
        <v>4.76933602257717</v>
      </c>
      <c r="Y286" s="1" t="n">
        <f aca="false">Y284-X284+Y285+Y341</f>
        <v>4.80452746284875</v>
      </c>
      <c r="Z286" s="1" t="n">
        <f aca="false">Z284-Y284+Z285+Z341</f>
        <v>4.83861035882886</v>
      </c>
      <c r="AA286" s="1" t="n">
        <f aca="false">AA284-Z284+AA285+AA341</f>
        <v>4.87158970697487</v>
      </c>
      <c r="AB286" s="1" t="n">
        <f aca="false">AB284-AA284+AB285+AB341</f>
        <v>4.66736069445073</v>
      </c>
      <c r="AC286" s="1" t="n">
        <f aca="false">AC284-AB284+AC285+AC341</f>
        <v>4.69349798437521</v>
      </c>
      <c r="AD286" s="1" t="n">
        <f aca="false">AD284-AC284+AD285+AD341</f>
        <v>4.71857871331914</v>
      </c>
      <c r="AE286" s="1" t="n">
        <f aca="false">AE284-AD284+AE285+AE341</f>
        <v>4.74259742687926</v>
      </c>
      <c r="AF286" s="1" t="n">
        <f aca="false">AF284-AE284+AF285+AF341</f>
        <v>4.76554884389798</v>
      </c>
    </row>
    <row r="287" customFormat="false" ht="14.25" hidden="false" customHeight="true" outlineLevel="0" collapsed="false">
      <c r="B287" s="84" t="s">
        <v>1282</v>
      </c>
      <c r="C287" s="1" t="n">
        <f aca="false">C284*(1-$C$340)*$C$175</f>
        <v>0.0915930918278716</v>
      </c>
      <c r="D287" s="1" t="n">
        <f aca="false">D284*(1-$C$340)*$C$175</f>
        <v>0.238462234555984</v>
      </c>
      <c r="E287" s="1" t="n">
        <f aca="false">E284*(1-$C$340)*$C$175</f>
        <v>0.413297490166064</v>
      </c>
      <c r="F287" s="1" t="n">
        <f aca="false">F284*(1-$C$340)*$C$175</f>
        <v>0.520638004401008</v>
      </c>
      <c r="G287" s="1" t="n">
        <f aca="false">G284*(1-$C$340)*$C$175</f>
        <v>0.633416913889142</v>
      </c>
      <c r="H287" s="1" t="n">
        <f aca="false">H284*(1-$C$340)*$C$175</f>
        <v>0.774142982716291</v>
      </c>
      <c r="I287" s="1" t="n">
        <f aca="false">I284*(1-$C$340)*$C$175</f>
        <v>0.933914255551958</v>
      </c>
      <c r="J287" s="1" t="n">
        <f aca="false">J284*(1-$C$340)*$C$175</f>
        <v>1.11105256713127</v>
      </c>
      <c r="K287" s="1" t="n">
        <f aca="false">K284*(1-$C$340)*$C$175</f>
        <v>1.34891485154227</v>
      </c>
      <c r="L287" s="1" t="n">
        <f aca="false">L284*(1-$C$340)*$C$175</f>
        <v>1.59284720716739</v>
      </c>
      <c r="M287" s="1" t="n">
        <f aca="false">M284*(1-$C$340)*$C$175</f>
        <v>2.01348617643869</v>
      </c>
      <c r="N287" s="1" t="n">
        <f aca="false">N284*(1-$C$340)*$C$175</f>
        <v>2.27226446825703</v>
      </c>
      <c r="O287" s="1" t="n">
        <f aca="false">O284*(1-$C$340)*$C$175</f>
        <v>2.32054344633936</v>
      </c>
      <c r="P287" s="1" t="n">
        <f aca="false">P284*(1-$C$340)*$C$175</f>
        <v>2.37193161994945</v>
      </c>
      <c r="Q287" s="1" t="n">
        <f aca="false">Q284*(1-$C$340)*$C$175</f>
        <v>2.42646310055072</v>
      </c>
      <c r="R287" s="1" t="n">
        <f aca="false">R284*(1-$C$340)*$C$175</f>
        <v>2.48378993959407</v>
      </c>
      <c r="S287" s="1" t="n">
        <f aca="false">S284*(1-$C$340)*$C$175</f>
        <v>2.54363348204267</v>
      </c>
      <c r="T287" s="1" t="n">
        <f aca="false">T284*(1-$C$340)*$C$175</f>
        <v>2.60576354977264</v>
      </c>
      <c r="U287" s="1" t="n">
        <f aca="false">U284*(1-$C$340)*$C$175</f>
        <v>2.66947856901689</v>
      </c>
      <c r="V287" s="1" t="n">
        <f aca="false">V284*(1-$C$340)*$C$175</f>
        <v>2.71335889620091</v>
      </c>
      <c r="W287" s="1" t="n">
        <f aca="false">W284*(1-$C$340)*$C$175</f>
        <v>2.75339917266561</v>
      </c>
      <c r="X287" s="1" t="n">
        <f aca="false">X284*(1-$C$340)*$C$175</f>
        <v>2.79260255637311</v>
      </c>
      <c r="Y287" s="1" t="n">
        <f aca="false">Y284*(1-$C$340)*$C$175</f>
        <v>2.83097143836239</v>
      </c>
      <c r="Z287" s="1" t="n">
        <f aca="false">Z284*(1-$C$340)*$C$175</f>
        <v>2.86850828075517</v>
      </c>
      <c r="AA287" s="1" t="n">
        <f aca="false">AA284*(1-$C$340)*$C$175</f>
        <v>2.90521561187616</v>
      </c>
      <c r="AB287" s="1" t="n">
        <f aca="false">AB284*(1-$C$340)*$C$175</f>
        <v>2.93104482773229</v>
      </c>
      <c r="AC287" s="1" t="n">
        <f aca="false">AC284*(1-$C$340)*$C$175</f>
        <v>2.95644986967707</v>
      </c>
      <c r="AD287" s="1" t="n">
        <f aca="false">AD284*(1-$C$340)*$C$175</f>
        <v>2.98141099825728</v>
      </c>
      <c r="AE287" s="1" t="n">
        <f aca="false">AE284*(1-$C$340)*$C$175</f>
        <v>3.00590941632322</v>
      </c>
      <c r="AF287" s="1" t="n">
        <f aca="false">AF284*(1-$C$340)*$C$175</f>
        <v>3.02992722033673</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2.97124026869837</v>
      </c>
      <c r="D289" s="1" t="n">
        <f aca="false">(1-$C$279)*D87</f>
        <v>7.73561171194062</v>
      </c>
      <c r="E289" s="1" t="n">
        <f aca="false">(1-$C$279)*E87</f>
        <v>13.4071917567881</v>
      </c>
      <c r="F289" s="1" t="n">
        <f aca="false">(1-$C$279)*F87</f>
        <v>16.8892715948289</v>
      </c>
      <c r="G289" s="1" t="n">
        <f aca="false">(1-$C$279)*G87</f>
        <v>20.5477706218163</v>
      </c>
      <c r="H289" s="1" t="n">
        <f aca="false">(1-$C$279)*H87</f>
        <v>25.1128634056763</v>
      </c>
      <c r="I289" s="1" t="n">
        <f aca="false">(1-$C$279)*I87</f>
        <v>30.2957743671564</v>
      </c>
      <c r="J289" s="1" t="n">
        <f aca="false">(1-$C$279)*J87</f>
        <v>36.0420645511671</v>
      </c>
      <c r="K289" s="1" t="n">
        <f aca="false">(1-$C$279)*K87</f>
        <v>43.758214139989</v>
      </c>
      <c r="L289" s="1" t="n">
        <f aca="false">(1-$C$279)*L87</f>
        <v>51.6712742126181</v>
      </c>
      <c r="M289" s="1" t="n">
        <f aca="false">(1-$C$279)*M87</f>
        <v>65.316620375093</v>
      </c>
      <c r="N289" s="1" t="n">
        <f aca="false">(1-$C$279)*N87</f>
        <v>73.7112761943398</v>
      </c>
      <c r="O289" s="1" t="n">
        <f aca="false">(1-$C$279)*O87</f>
        <v>75.2774253541411</v>
      </c>
      <c r="P289" s="1" t="n">
        <f aca="false">(1-$C$279)*P87</f>
        <v>76.9444354715862</v>
      </c>
      <c r="Q289" s="1" t="n">
        <f aca="false">(1-$C$279)*Q87</f>
        <v>78.71341310779</v>
      </c>
      <c r="R289" s="1" t="n">
        <f aca="false">(1-$C$279)*R87</f>
        <v>80.5730709623681</v>
      </c>
      <c r="S289" s="1" t="n">
        <f aca="false">(1-$C$279)*S87</f>
        <v>82.5143695864933</v>
      </c>
      <c r="T289" s="1" t="n">
        <f aca="false">(1-$C$279)*T87</f>
        <v>84.5298421014202</v>
      </c>
      <c r="U289" s="1" t="n">
        <f aca="false">(1-$C$279)*U87</f>
        <v>86.5967297576986</v>
      </c>
      <c r="V289" s="1" t="n">
        <f aca="false">(1-$C$279)*V87</f>
        <v>88.0201885855527</v>
      </c>
      <c r="W289" s="1" t="n">
        <f aca="false">(1-$C$279)*W87</f>
        <v>89.3190778295722</v>
      </c>
      <c r="X289" s="1" t="n">
        <f aca="false">(1-$C$279)*X87</f>
        <v>90.5908186346525</v>
      </c>
      <c r="Y289" s="1" t="n">
        <f aca="false">(1-$C$279)*Y87</f>
        <v>91.8354885650628</v>
      </c>
      <c r="Z289" s="1" t="n">
        <f aca="false">(1-$C$279)*Z87</f>
        <v>93.0531674909671</v>
      </c>
      <c r="AA289" s="1" t="n">
        <f aca="false">(1-$C$279)*AA87</f>
        <v>94.2439374301246</v>
      </c>
      <c r="AB289" s="1" t="n">
        <f aca="false">(1-$C$279)*AB87</f>
        <v>95.0818260167975</v>
      </c>
      <c r="AC289" s="1" t="n">
        <f aca="false">(1-$C$279)*AC87</f>
        <v>95.9059545853162</v>
      </c>
      <c r="AD289" s="1" t="n">
        <f aca="false">(1-$C$279)*AD87</f>
        <v>96.7156827963592</v>
      </c>
      <c r="AE289" s="1" t="n">
        <f aca="false">(1-$C$279)*AE87</f>
        <v>97.5104008785234</v>
      </c>
      <c r="AF289" s="1" t="n">
        <f aca="false">(1-$C$279)*AF87</f>
        <v>98.289528048777</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0.588305573202276</v>
      </c>
      <c r="E290" s="1" t="n">
        <f aca="false">MAX(D289*(1-$C$340)/$C$281+IF(AND(01_Supuestos!$C$189&gt;0,E$39=01_Supuestos!$C$189),01_Supuestos!$C$190*D289*(1-$C$340)*(1-1/$C$281),0),D289-E342-E289)</f>
        <v>1.53165111896424</v>
      </c>
      <c r="F290" s="1" t="n">
        <f aca="false">MAX(E289*(1-$C$340)/$C$281+IF(AND(01_Supuestos!$C$189&gt;0,F$39=01_Supuestos!$C$189),01_Supuestos!$C$190*E289*(1-$C$340)*(1-1/$C$281),0),E289-F342-F289)</f>
        <v>2.65462396784404</v>
      </c>
      <c r="G290" s="1" t="n">
        <f aca="false">MAX(F289*(1-$C$340)/$C$281+IF(AND(01_Supuestos!$C$189&gt;0,G$39=01_Supuestos!$C$189),01_Supuestos!$C$190*F289*(1-$C$340)*(1-1/$C$281),0),F289-G342-G289)</f>
        <v>3.34407577577613</v>
      </c>
      <c r="H290" s="1" t="n">
        <f aca="false">MAX(G289*(1-$C$340)/$C$281+IF(AND(01_Supuestos!$C$189&gt;0,H$39=01_Supuestos!$C$189),01_Supuestos!$C$190*G289*(1-$C$340)*(1-1/$C$281),0),G289-H342-H289)</f>
        <v>4.06845858311963</v>
      </c>
      <c r="I290" s="1" t="n">
        <f aca="false">MAX(H289*(1-$C$340)/$C$281+IF(AND(01_Supuestos!$C$189&gt;0,I$39=01_Supuestos!$C$189),01_Supuestos!$C$190*H289*(1-$C$340)*(1-1/$C$281),0),H289-I342-I289)</f>
        <v>4.97234695432391</v>
      </c>
      <c r="J290" s="1" t="n">
        <f aca="false">MAX(I289*(1-$C$340)/$C$281+IF(AND(01_Supuestos!$C$189&gt;0,J$39=01_Supuestos!$C$189),01_Supuestos!$C$190*I289*(1-$C$340)*(1-1/$C$281),0),I289-J342-J289)</f>
        <v>5.99856332469696</v>
      </c>
      <c r="K290" s="1" t="n">
        <f aca="false">MAX(J289*(1-$C$340)/$C$281+IF(AND(01_Supuestos!$C$189&gt;0,K$39=01_Supuestos!$C$189),01_Supuestos!$C$190*J289*(1-$C$340)*(1-1/$C$281),0),J289-K342-K289)</f>
        <v>7.13632878113108</v>
      </c>
      <c r="L290" s="1" t="n">
        <f aca="false">MAX(K289*(1-$C$340)/$C$281+IF(AND(01_Supuestos!$C$189&gt;0,L$39=01_Supuestos!$C$189),01_Supuestos!$C$190*K289*(1-$C$340)*(1-1/$C$281),0),K289-L342-L289)</f>
        <v>8.66412639971782</v>
      </c>
      <c r="M290" s="1" t="n">
        <f aca="false">MAX(L289*(1-$C$340)/$C$281+IF(AND(01_Supuestos!$C$189&gt;0,M$39=01_Supuestos!$C$189),01_Supuestos!$C$190*L289*(1-$C$340)*(1-1/$C$281),0),L289-M342-M289)</f>
        <v>10.2309122940984</v>
      </c>
      <c r="N290" s="1" t="n">
        <f aca="false">MAX(M289*(1-$C$340)/$C$281+IF(AND(01_Supuestos!$C$189&gt;0,N$39=01_Supuestos!$C$189),01_Supuestos!$C$190*M289*(1-$C$340)*(1-1/$C$281),0),M289-N342-N289)</f>
        <v>12.9326908342684</v>
      </c>
      <c r="O290" s="1" t="n">
        <f aca="false">MAX(N289*(1-$C$340)/$C$281+IF(AND(01_Supuestos!$C$189&gt;0,O$39=01_Supuestos!$C$189),01_Supuestos!$C$190*N289*(1-$C$340)*(1-1/$C$281),0),N289-O342-O289)</f>
        <v>14.5948326864793</v>
      </c>
      <c r="P290" s="1" t="n">
        <f aca="false">MAX(O289*(1-$C$340)/$C$281+IF(AND(01_Supuestos!$C$189&gt;0,P$39=01_Supuestos!$C$189),01_Supuestos!$C$190*O289*(1-$C$340)*(1-1/$C$281),0),O289-P342-P289)</f>
        <v>14.9049302201199</v>
      </c>
      <c r="Q290" s="1" t="n">
        <f aca="false">MAX(P289*(1-$C$340)/$C$281+IF(AND(01_Supuestos!$C$189&gt;0,Q$39=01_Supuestos!$C$189),01_Supuestos!$C$190*P289*(1-$C$340)*(1-1/$C$281),0),P289-Q342-Q289)</f>
        <v>15.2349982233741</v>
      </c>
      <c r="R290" s="1" t="n">
        <f aca="false">MAX(Q289*(1-$C$340)/$C$281+IF(AND(01_Supuestos!$C$189&gt;0,R$39=01_Supuestos!$C$189),01_Supuestos!$C$190*Q289*(1-$C$340)*(1-1/$C$281),0),Q289-R342-R289)</f>
        <v>15.5852557953424</v>
      </c>
      <c r="S290" s="1" t="n">
        <f aca="false">MAX(R289*(1-$C$340)/$C$281+IF(AND(01_Supuestos!$C$189&gt;0,S$39=01_Supuestos!$C$189),01_Supuestos!$C$190*R289*(1-$C$340)*(1-1/$C$281),0),R289-S342-S289)</f>
        <v>15.9534680505489</v>
      </c>
      <c r="T290" s="1" t="n">
        <f aca="false">MAX(S289*(1-$C$340)/$C$281+IF(AND(01_Supuestos!$C$189&gt;0,T$39=01_Supuestos!$C$189),01_Supuestos!$C$190*S289*(1-$C$340)*(1-1/$C$281),0),S289-T342-T289)</f>
        <v>16.3378451781257</v>
      </c>
      <c r="U290" s="1" t="n">
        <f aca="false">MAX(T289*(1-$C$340)/$C$281+IF(AND(01_Supuestos!$C$189&gt;0,U$39=01_Supuestos!$C$189),01_Supuestos!$C$190*T289*(1-$C$340)*(1-1/$C$281),0),T289-U342-U289)</f>
        <v>16.7369087360812</v>
      </c>
      <c r="V290" s="1" t="n">
        <f aca="false">MAX(U289*(1-$C$340)/$C$281+IF(AND(01_Supuestos!$C$189&gt;0,V$39=01_Supuestos!$C$189),01_Supuestos!$C$190*U289*(1-$C$340)*(1-1/$C$281),0),U289-V342-V289)</f>
        <v>17.1461524920243</v>
      </c>
      <c r="W290" s="1" t="n">
        <f aca="false">MAX(V289*(1-$C$340)/$C$281+IF(AND(01_Supuestos!$C$189&gt;0,W$39=01_Supuestos!$C$189),01_Supuestos!$C$190*V289*(1-$C$340)*(1-1/$C$281),0),V289-W342-W289)</f>
        <v>17.4279973399394</v>
      </c>
      <c r="X290" s="1" t="n">
        <f aca="false">MAX(W289*(1-$C$340)/$C$281+IF(AND(01_Supuestos!$C$189&gt;0,X$39=01_Supuestos!$C$189),01_Supuestos!$C$190*W289*(1-$C$340)*(1-1/$C$281),0),W289-X342-X289)</f>
        <v>17.6851774102553</v>
      </c>
      <c r="Y290" s="1" t="n">
        <f aca="false">MAX(X289*(1-$C$340)/$C$281+IF(AND(01_Supuestos!$C$189&gt;0,Y$39=01_Supuestos!$C$189),01_Supuestos!$C$190*X289*(1-$C$340)*(1-1/$C$281),0),X289-Y342-Y289)</f>
        <v>17.9369820896612</v>
      </c>
      <c r="Z290" s="1" t="n">
        <f aca="false">MAX(Y289*(1-$C$340)/$C$281+IF(AND(01_Supuestos!$C$189&gt;0,Z$39=01_Supuestos!$C$189),01_Supuestos!$C$190*Y289*(1-$C$340)*(1-1/$C$281),0),Y289-Z342-Z289)</f>
        <v>18.1834267358824</v>
      </c>
      <c r="AA290" s="1" t="n">
        <f aca="false">MAX(Z289*(1-$C$340)/$C$281+IF(AND(01_Supuestos!$C$189&gt;0,AA$39=01_Supuestos!$C$189),01_Supuestos!$C$190*Z289*(1-$C$340)*(1-1/$C$281),0),Z289-AA342-AA289)</f>
        <v>18.4245271632115</v>
      </c>
      <c r="AB290" s="1" t="n">
        <f aca="false">MAX(AA289*(1-$C$340)/$C$281+IF(AND(01_Supuestos!$C$189&gt;0,AB$39=01_Supuestos!$C$189),01_Supuestos!$C$190*AA289*(1-$C$340)*(1-1/$C$281),0),AA289-AB342-AB289)</f>
        <v>18.6602996111647</v>
      </c>
      <c r="AC290" s="1" t="n">
        <f aca="false">MAX(AB289*(1-$C$340)/$C$281+IF(AND(01_Supuestos!$C$189&gt;0,AC$39=01_Supuestos!$C$189),01_Supuestos!$C$190*AB289*(1-$C$340)*(1-1/$C$281),0),AB289-AC342-AC289)</f>
        <v>18.8262015513259</v>
      </c>
      <c r="AD290" s="1" t="n">
        <f aca="false">MAX(AC289*(1-$C$340)/$C$281+IF(AND(01_Supuestos!$C$189&gt;0,AD$39=01_Supuestos!$C$189),01_Supuestos!$C$190*AC289*(1-$C$340)*(1-1/$C$281),0),AC289-AD342-AD289)</f>
        <v>18.9893790078926</v>
      </c>
      <c r="AE290" s="1" t="n">
        <f aca="false">MAX(AD289*(1-$C$340)/$C$281+IF(AND(01_Supuestos!$C$189&gt;0,AE$39=01_Supuestos!$C$189),01_Supuestos!$C$190*AD289*(1-$C$340)*(1-1/$C$281),0),AD289-AE342-AE289)</f>
        <v>19.1497051936791</v>
      </c>
      <c r="AF290" s="1" t="n">
        <f aca="false">MAX(AE289*(1-$C$340)/$C$281+IF(AND(01_Supuestos!$C$189&gt;0,AF$39=01_Supuestos!$C$189),01_Supuestos!$C$190*AE289*(1-$C$340)*(1-1/$C$281),0),AE289-AF342-AF289)</f>
        <v>19.3070593739476</v>
      </c>
    </row>
    <row r="291" customFormat="false" ht="14.25" hidden="false" customHeight="true" outlineLevel="0" collapsed="false">
      <c r="B291" s="84" t="s">
        <v>1281</v>
      </c>
      <c r="C291" s="1" t="n">
        <f aca="false">C289-0+C290</f>
        <v>2.97124026869837</v>
      </c>
      <c r="D291" s="1" t="n">
        <f aca="false">D289-C289+D290+D342</f>
        <v>5.38238941913151</v>
      </c>
      <c r="E291" s="1" t="n">
        <f aca="false">E289-D289+E290+E342</f>
        <v>7.28058728093113</v>
      </c>
      <c r="F291" s="1" t="n">
        <f aca="false">F289-E289+F290+F342</f>
        <v>6.27077572345277</v>
      </c>
      <c r="G291" s="1" t="n">
        <f aca="false">G289-F289+G290+G342</f>
        <v>7.17146751871178</v>
      </c>
      <c r="H291" s="1" t="n">
        <f aca="false">H289-G289+H290+H342</f>
        <v>8.8390290731978</v>
      </c>
      <c r="I291" s="1" t="n">
        <f aca="false">I289-H289+I290+I342</f>
        <v>10.4063865498607</v>
      </c>
      <c r="J291" s="1" t="n">
        <f aca="false">J289-I289+J290+J342</f>
        <v>12.0478112523792</v>
      </c>
      <c r="K291" s="1" t="n">
        <f aca="false">K289-J289+K290+K342</f>
        <v>15.2128990154647</v>
      </c>
      <c r="L291" s="1" t="n">
        <f aca="false">L289-K289+L290+L342</f>
        <v>17.0147686137468</v>
      </c>
      <c r="M291" s="1" t="n">
        <f aca="false">M289-L289+M290+M342</f>
        <v>24.3929711986995</v>
      </c>
      <c r="N291" s="1" t="n">
        <f aca="false">N289-M289+N290+N342</f>
        <v>21.9805128572661</v>
      </c>
      <c r="O291" s="1" t="n">
        <f aca="false">O289-N289+O290+O342</f>
        <v>16.898094608224</v>
      </c>
      <c r="P291" s="1" t="n">
        <f aca="false">P289-O289+P290+P342</f>
        <v>17.3247145911065</v>
      </c>
      <c r="Q291" s="1" t="n">
        <f aca="false">Q289-P289+Q290+Q342</f>
        <v>17.7734202142937</v>
      </c>
      <c r="R291" s="1" t="n">
        <f aca="false">R289-Q289+R290+R342</f>
        <v>18.2320477809984</v>
      </c>
      <c r="S291" s="1" t="n">
        <f aca="false">S289-R289+S290+S342</f>
        <v>18.7004973842978</v>
      </c>
      <c r="T291" s="1" t="n">
        <f aca="false">T289-S289+T290+T342</f>
        <v>19.1784613889174</v>
      </c>
      <c r="U291" s="1" t="n">
        <f aca="false">U289-T289+U290+U342</f>
        <v>19.6490948133738</v>
      </c>
      <c r="V291" s="1" t="n">
        <f aca="false">V289-U289+V290+V342</f>
        <v>19.4355786174554</v>
      </c>
      <c r="W291" s="1" t="n">
        <f aca="false">W289-V289+W290+W342</f>
        <v>19.6070884698145</v>
      </c>
      <c r="X291" s="1" t="n">
        <f aca="false">X289-W289+X290+X342</f>
        <v>19.8501089936314</v>
      </c>
      <c r="Y291" s="1" t="n">
        <f aca="false">Y289-X289+Y290+Y342</f>
        <v>20.087560206418</v>
      </c>
      <c r="Z291" s="1" t="n">
        <f aca="false">Z289-Y289+Z290+Z342</f>
        <v>20.3194605474374</v>
      </c>
      <c r="AA291" s="1" t="n">
        <f aca="false">AA289-Z289+AA290+AA342</f>
        <v>20.5458287772787</v>
      </c>
      <c r="AB291" s="1" t="n">
        <f aca="false">AB289-AA289+AB290+AB342</f>
        <v>20.4406275721388</v>
      </c>
      <c r="AC291" s="1" t="n">
        <f aca="false">AC289-AB289+AC290+AC342</f>
        <v>20.6011483800126</v>
      </c>
      <c r="AD291" s="1" t="n">
        <f aca="false">AD289-AC289+AD290+AD342</f>
        <v>20.7581667647887</v>
      </c>
      <c r="AE291" s="1" t="n">
        <f aca="false">AE289-AD289+AE290+AE342</f>
        <v>20.9115801038069</v>
      </c>
      <c r="AF291" s="1" t="n">
        <f aca="false">AF289-AE289+AF290+AF342</f>
        <v>21.0612905529865</v>
      </c>
    </row>
    <row r="292" customFormat="false" ht="14.25" hidden="false" customHeight="true" outlineLevel="0" collapsed="false">
      <c r="B292" s="84" t="s">
        <v>1282</v>
      </c>
      <c r="C292" s="1" t="n">
        <f aca="false">C289*(1-$C$340)*$C$175</f>
        <v>0.126485698238489</v>
      </c>
      <c r="D292" s="1" t="n">
        <f aca="false">D289*(1-$C$340)*$C$175</f>
        <v>0.329304990577312</v>
      </c>
      <c r="E292" s="1" t="n">
        <f aca="false">E289*(1-$C$340)*$C$175</f>
        <v>0.570744153086469</v>
      </c>
      <c r="F292" s="1" t="n">
        <f aca="false">F289*(1-$C$340)*$C$175</f>
        <v>0.718976291791868</v>
      </c>
      <c r="G292" s="1" t="n">
        <f aca="false">G289*(1-$C$340)*$C$175</f>
        <v>0.87471859537072</v>
      </c>
      <c r="H292" s="1" t="n">
        <f aca="false">H289*(1-$C$340)*$C$175</f>
        <v>1.06905459517964</v>
      </c>
      <c r="I292" s="1" t="n">
        <f aca="false">I289*(1-$C$340)*$C$175</f>
        <v>1.28969111480985</v>
      </c>
      <c r="J292" s="1" t="n">
        <f aca="false">J289*(1-$C$340)*$C$175</f>
        <v>1.53431068794318</v>
      </c>
      <c r="K292" s="1" t="n">
        <f aca="false">K289*(1-$C$340)*$C$175</f>
        <v>1.86278717593933</v>
      </c>
      <c r="L292" s="1" t="n">
        <f aca="false">L289*(1-$C$340)*$C$175</f>
        <v>2.19964614323115</v>
      </c>
      <c r="M292" s="1" t="n">
        <f aca="false">M289*(1-$C$340)*$C$175</f>
        <v>2.78052852936771</v>
      </c>
      <c r="N292" s="1" t="n">
        <f aca="false">N289*(1-$C$340)*$C$175</f>
        <v>3.13788902759304</v>
      </c>
      <c r="O292" s="1" t="n">
        <f aca="false">O289*(1-$C$340)*$C$175</f>
        <v>3.20455999732578</v>
      </c>
      <c r="P292" s="1" t="n">
        <f aca="false">P289*(1-$C$340)*$C$175</f>
        <v>3.27552461802543</v>
      </c>
      <c r="Q292" s="1" t="n">
        <f aca="false">Q289*(1-$C$340)*$C$175</f>
        <v>3.35082999599862</v>
      </c>
      <c r="R292" s="1" t="n">
        <f aca="false">R289*(1-$C$340)*$C$175</f>
        <v>3.42999563086801</v>
      </c>
      <c r="S292" s="1" t="n">
        <f aca="false">S289*(1-$C$340)*$C$175</f>
        <v>3.51263671329702</v>
      </c>
      <c r="T292" s="1" t="n">
        <f aca="false">T289*(1-$C$340)*$C$175</f>
        <v>3.59843537825746</v>
      </c>
      <c r="U292" s="1" t="n">
        <f aca="false">U289*(1-$C$340)*$C$175</f>
        <v>3.68642278578523</v>
      </c>
      <c r="V292" s="1" t="n">
        <f aca="false">V289*(1-$C$340)*$C$175</f>
        <v>3.74701942808698</v>
      </c>
      <c r="W292" s="1" t="n">
        <f aca="false">W289*(1-$C$340)*$C$175</f>
        <v>3.80231314320489</v>
      </c>
      <c r="X292" s="1" t="n">
        <f aca="false">X289*(1-$C$340)*$C$175</f>
        <v>3.85645114927716</v>
      </c>
      <c r="Y292" s="1" t="n">
        <f aca="false">Y289*(1-$C$340)*$C$175</f>
        <v>3.90943674821472</v>
      </c>
      <c r="Z292" s="1" t="n">
        <f aca="false">Z289*(1-$C$340)*$C$175</f>
        <v>3.96127334009047</v>
      </c>
      <c r="AA292" s="1" t="n">
        <f aca="false">AA289*(1-$C$340)*$C$175</f>
        <v>4.01196441640041</v>
      </c>
      <c r="AB292" s="1" t="n">
        <f aca="false">AB289*(1-$C$340)*$C$175</f>
        <v>4.04763333353507</v>
      </c>
      <c r="AC292" s="1" t="n">
        <f aca="false">AC289*(1-$C$340)*$C$175</f>
        <v>4.08271648669691</v>
      </c>
      <c r="AD292" s="1" t="n">
        <f aca="false">AD289*(1-$C$340)*$C$175</f>
        <v>4.11718661664101</v>
      </c>
      <c r="AE292" s="1" t="n">
        <f aca="false">AE289*(1-$C$340)*$C$175</f>
        <v>4.15101776539874</v>
      </c>
      <c r="AF292" s="1" t="n">
        <f aca="false">AF289*(1-$C$340)*$C$175</f>
        <v>4.18418520903644</v>
      </c>
    </row>
    <row r="293" customFormat="false" ht="14.25" hidden="false" customHeight="true" outlineLevel="0" collapsed="false">
      <c r="B293" s="144" t="s">
        <v>1285</v>
      </c>
    </row>
    <row r="294" customFormat="false" ht="14.25" hidden="false" customHeight="true" outlineLevel="0" collapsed="false">
      <c r="B294" s="84" t="s">
        <v>1286</v>
      </c>
      <c r="C294" s="116" t="n">
        <f aca="false">C85</f>
        <v>1.41920433268594</v>
      </c>
      <c r="D294" s="116" t="n">
        <f aca="false">D85</f>
        <v>3.7524686378297</v>
      </c>
      <c r="E294" s="116" t="n">
        <f aca="false">E85</f>
        <v>6.8985155036099</v>
      </c>
      <c r="F294" s="116" t="n">
        <f aca="false">F85</f>
        <v>14.1168292884033</v>
      </c>
      <c r="G294" s="116" t="n">
        <f aca="false">G85</f>
        <v>21.335075751158</v>
      </c>
      <c r="H294" s="116" t="n">
        <f aca="false">H85</f>
        <v>27.3013276079837</v>
      </c>
      <c r="I294" s="116" t="n">
        <f aca="false">I85</f>
        <v>32.520629044428</v>
      </c>
      <c r="J294" s="116" t="n">
        <f aca="false">J85</f>
        <v>37.0941601545716</v>
      </c>
      <c r="K294" s="116" t="n">
        <f aca="false">K85</f>
        <v>38.6044432895951</v>
      </c>
      <c r="L294" s="116" t="n">
        <f aca="false">L85</f>
        <v>40.1159473448892</v>
      </c>
      <c r="M294" s="116" t="n">
        <f aca="false">M85</f>
        <v>32.0927578759113</v>
      </c>
      <c r="N294" s="116" t="n">
        <f aca="false">N85</f>
        <v>26.8915128730083</v>
      </c>
      <c r="O294" s="116" t="n">
        <f aca="false">O85</f>
        <v>27.7327938633435</v>
      </c>
      <c r="P294" s="116" t="n">
        <f aca="false">P85</f>
        <v>28.4816320285799</v>
      </c>
      <c r="Q294" s="116" t="n">
        <f aca="false">Q85</f>
        <v>29.1379929784143</v>
      </c>
      <c r="R294" s="116" t="n">
        <f aca="false">R85</f>
        <v>29.7232541391611</v>
      </c>
      <c r="S294" s="116" t="n">
        <f aca="false">S85</f>
        <v>30.2549614119638</v>
      </c>
      <c r="T294" s="116" t="n">
        <f aca="false">T85</f>
        <v>30.747994465064</v>
      </c>
      <c r="U294" s="116" t="n">
        <f aca="false">U85</f>
        <v>31.2436443930264</v>
      </c>
      <c r="V294" s="116" t="n">
        <f aca="false">V85</f>
        <v>31.7416184481417</v>
      </c>
      <c r="W294" s="116" t="n">
        <f aca="false">W85</f>
        <v>32.2308678236893</v>
      </c>
      <c r="X294" s="116" t="n">
        <f aca="false">X85</f>
        <v>32.7111113379173</v>
      </c>
      <c r="Y294" s="116" t="n">
        <f aca="false">Y85</f>
        <v>33.1820687450361</v>
      </c>
      <c r="Z294" s="116" t="n">
        <f aca="false">Z85</f>
        <v>33.6434606756987</v>
      </c>
      <c r="AA294" s="116" t="n">
        <f aca="false">AA85</f>
        <v>34.0950085800093</v>
      </c>
      <c r="AB294" s="116" t="n">
        <f aca="false">AB85</f>
        <v>34.448710538829</v>
      </c>
      <c r="AC294" s="116" t="n">
        <f aca="false">AC85</f>
        <v>34.7938855073044</v>
      </c>
      <c r="AD294" s="116" t="n">
        <f aca="false">AD85</f>
        <v>35.1302996142034</v>
      </c>
      <c r="AE294" s="116" t="n">
        <f aca="false">AE85</f>
        <v>35.4577302381041</v>
      </c>
      <c r="AF294" s="116" t="n">
        <f aca="false">AF85</f>
        <v>35.7759654292397</v>
      </c>
    </row>
    <row r="295" customFormat="false" ht="14.25" hidden="false" customHeight="true" outlineLevel="0" collapsed="false">
      <c r="B295" s="84" t="s">
        <v>1287</v>
      </c>
      <c r="C295" s="1" t="n">
        <f aca="false">MAX(0/$C$282,0-C294)</f>
        <v>0</v>
      </c>
      <c r="D295" s="1" t="n">
        <f aca="false">MAX(C294/$C$282,C294-D294)</f>
        <v>0.141920433268594</v>
      </c>
      <c r="E295" s="1" t="n">
        <f aca="false">MAX(D294/$C$282,D294-E294)</f>
        <v>0.37524686378297</v>
      </c>
      <c r="F295" s="1" t="n">
        <f aca="false">MAX(E294/$C$282,E294-F294)</f>
        <v>0.68985155036099</v>
      </c>
      <c r="G295" s="1" t="n">
        <f aca="false">MAX(F294/$C$282,F294-G294)</f>
        <v>1.41168292884033</v>
      </c>
      <c r="H295" s="1" t="n">
        <f aca="false">MAX(G294/$C$282,G294-H294)</f>
        <v>2.1335075751158</v>
      </c>
      <c r="I295" s="1" t="n">
        <f aca="false">MAX(H294/$C$282,H294-I294)</f>
        <v>2.73013276079837</v>
      </c>
      <c r="J295" s="1" t="n">
        <f aca="false">MAX(I294/$C$282,I294-J294)</f>
        <v>3.2520629044428</v>
      </c>
      <c r="K295" s="1" t="n">
        <f aca="false">MAX(J294/$C$282,J294-K294)</f>
        <v>3.70941601545716</v>
      </c>
      <c r="L295" s="1" t="n">
        <f aca="false">MAX(K294/$C$282,K294-L294)</f>
        <v>3.86044432895951</v>
      </c>
      <c r="M295" s="1" t="n">
        <f aca="false">MAX(L294/$C$282,L294-M294)</f>
        <v>8.02318946897783</v>
      </c>
      <c r="N295" s="1" t="n">
        <f aca="false">MAX(M294/$C$282,M294-N294)</f>
        <v>5.20124500290308</v>
      </c>
      <c r="O295" s="1" t="n">
        <f aca="false">MAX(N294/$C$282,N294-O294)</f>
        <v>2.68915128730083</v>
      </c>
      <c r="P295" s="1" t="n">
        <f aca="false">MAX(O294/$C$282,O294-P294)</f>
        <v>2.77327938633435</v>
      </c>
      <c r="Q295" s="1" t="n">
        <f aca="false">MAX(P294/$C$282,P294-Q294)</f>
        <v>2.84816320285799</v>
      </c>
      <c r="R295" s="1" t="n">
        <f aca="false">MAX(Q294/$C$282,Q294-R294)</f>
        <v>2.91379929784143</v>
      </c>
      <c r="S295" s="1" t="n">
        <f aca="false">MAX(R294/$C$282,R294-S294)</f>
        <v>2.97232541391611</v>
      </c>
      <c r="T295" s="1" t="n">
        <f aca="false">MAX(S294/$C$282,S294-T294)</f>
        <v>3.02549614119638</v>
      </c>
      <c r="U295" s="1" t="n">
        <f aca="false">MAX(T294/$C$282,T294-U294)</f>
        <v>3.0747994465064</v>
      </c>
      <c r="V295" s="1" t="n">
        <f aca="false">MAX(U294/$C$282,U294-V294)</f>
        <v>3.12436443930264</v>
      </c>
      <c r="W295" s="1" t="n">
        <f aca="false">MAX(V294/$C$282,V294-W294)</f>
        <v>3.17416184481417</v>
      </c>
      <c r="X295" s="1" t="n">
        <f aca="false">MAX(W294/$C$282,W294-X294)</f>
        <v>3.22308678236893</v>
      </c>
      <c r="Y295" s="1" t="n">
        <f aca="false">MAX(X294/$C$282,X294-Y294)</f>
        <v>3.27111113379173</v>
      </c>
      <c r="Z295" s="1" t="n">
        <f aca="false">MAX(Y294/$C$282,Y294-Z294)</f>
        <v>3.31820687450361</v>
      </c>
      <c r="AA295" s="1" t="n">
        <f aca="false">MAX(Z294/$C$282,Z294-AA294)</f>
        <v>3.36434606756987</v>
      </c>
      <c r="AB295" s="1" t="n">
        <f aca="false">MAX(AA294/$C$282,AA294-AB294)</f>
        <v>3.40950085800093</v>
      </c>
      <c r="AC295" s="1" t="n">
        <f aca="false">MAX(AB294/$C$282,AB294-AC294)</f>
        <v>3.4448710538829</v>
      </c>
      <c r="AD295" s="1" t="n">
        <f aca="false">MAX(AC294/$C$282,AC294-AD294)</f>
        <v>3.47938855073044</v>
      </c>
      <c r="AE295" s="1" t="n">
        <f aca="false">MAX(AD294/$C$282,AD294-AE294)</f>
        <v>3.51302996142034</v>
      </c>
      <c r="AF295" s="1" t="n">
        <f aca="false">MAX(AE294/$C$282,AE294-AF294)</f>
        <v>3.54577302381041</v>
      </c>
    </row>
    <row r="296" customFormat="false" ht="14.25" hidden="false" customHeight="true" outlineLevel="0" collapsed="false">
      <c r="B296" s="84" t="s">
        <v>1288</v>
      </c>
      <c r="C296" s="1" t="n">
        <f aca="false">C294-0+C295</f>
        <v>1.41920433268594</v>
      </c>
      <c r="D296" s="1" t="n">
        <f aca="false">D294-C294+D295</f>
        <v>2.47518473841235</v>
      </c>
      <c r="E296" s="1" t="n">
        <f aca="false">E294-D294+E295</f>
        <v>3.52129372956317</v>
      </c>
      <c r="F296" s="1" t="n">
        <f aca="false">F294-E294+F295</f>
        <v>7.90816533515436</v>
      </c>
      <c r="G296" s="1" t="n">
        <f aca="false">G294-F294+G295</f>
        <v>8.62992939159503</v>
      </c>
      <c r="H296" s="1" t="n">
        <f aca="false">H294-G294+H295</f>
        <v>8.09975943194154</v>
      </c>
      <c r="I296" s="1" t="n">
        <f aca="false">I294-H294+I295</f>
        <v>7.94943419724267</v>
      </c>
      <c r="J296" s="1" t="n">
        <f aca="false">J294-I294+J295</f>
        <v>7.82559401458642</v>
      </c>
      <c r="K296" s="1" t="n">
        <f aca="false">K294-J294+K295</f>
        <v>5.21969915048061</v>
      </c>
      <c r="L296" s="1" t="n">
        <f aca="false">L294-K294+L295</f>
        <v>5.37194838425361</v>
      </c>
      <c r="M296" s="1" t="n">
        <f aca="false">M294-L294+M295</f>
        <v>0</v>
      </c>
      <c r="N296" s="1" t="n">
        <f aca="false">N294-M294+N295</f>
        <v>0</v>
      </c>
      <c r="O296" s="1" t="n">
        <f aca="false">O294-N294+O295</f>
        <v>3.53043227763606</v>
      </c>
      <c r="P296" s="1" t="n">
        <f aca="false">P294-O294+P295</f>
        <v>3.5221175515707</v>
      </c>
      <c r="Q296" s="1" t="n">
        <f aca="false">Q294-P294+Q295</f>
        <v>3.50452415269245</v>
      </c>
      <c r="R296" s="1" t="n">
        <f aca="false">R294-Q294+R295</f>
        <v>3.49906045858817</v>
      </c>
      <c r="S296" s="1" t="n">
        <f aca="false">S294-R294+S295</f>
        <v>3.50403268671883</v>
      </c>
      <c r="T296" s="1" t="n">
        <f aca="false">T294-S294+T295</f>
        <v>3.51852919429658</v>
      </c>
      <c r="U296" s="1" t="n">
        <f aca="false">U294-T294+U295</f>
        <v>3.57044937446882</v>
      </c>
      <c r="V296" s="1" t="n">
        <f aca="false">V294-U294+V295</f>
        <v>3.62233849441795</v>
      </c>
      <c r="W296" s="1" t="n">
        <f aca="false">W294-V294+W295</f>
        <v>3.66341122036174</v>
      </c>
      <c r="X296" s="1" t="n">
        <f aca="false">X294-W294+X295</f>
        <v>3.70333029659698</v>
      </c>
      <c r="Y296" s="1" t="n">
        <f aca="false">Y294-X294+Y295</f>
        <v>3.74206854091047</v>
      </c>
      <c r="Z296" s="1" t="n">
        <f aca="false">Z294-Y294+Z295</f>
        <v>3.77959880516622</v>
      </c>
      <c r="AA296" s="1" t="n">
        <f aca="false">AA294-Z294+AA295</f>
        <v>3.81589397188045</v>
      </c>
      <c r="AB296" s="1" t="n">
        <f aca="false">AB294-AA294+AB295</f>
        <v>3.7632028168207</v>
      </c>
      <c r="AC296" s="1" t="n">
        <f aca="false">AC294-AB294+AC295</f>
        <v>3.7900460223583</v>
      </c>
      <c r="AD296" s="1" t="n">
        <f aca="false">AD294-AC294+AD295</f>
        <v>3.81580265762943</v>
      </c>
      <c r="AE296" s="1" t="n">
        <f aca="false">AE294-AD294+AE295</f>
        <v>3.840460585321</v>
      </c>
      <c r="AF296" s="1" t="n">
        <f aca="false">AF294-AE294+AF295</f>
        <v>3.86400821494601</v>
      </c>
    </row>
    <row r="297" customFormat="false" ht="14.25" hidden="false" customHeight="true" outlineLevel="0" collapsed="false">
      <c r="B297" s="84" t="s">
        <v>1289</v>
      </c>
      <c r="C297" s="1" t="n">
        <f aca="false">C294*01_Supuestos!$I$126</f>
        <v>0.0567681733074377</v>
      </c>
      <c r="D297" s="1" t="n">
        <f aca="false">D294*01_Supuestos!$I$126</f>
        <v>0.150098745513188</v>
      </c>
      <c r="E297" s="1" t="n">
        <f aca="false">E294*01_Supuestos!$I$126</f>
        <v>0.275940620144396</v>
      </c>
      <c r="F297" s="1" t="n">
        <f aca="false">F294*01_Supuestos!$I$126</f>
        <v>0.564673171536131</v>
      </c>
      <c r="G297" s="1" t="n">
        <f aca="false">G294*01_Supuestos!$I$126</f>
        <v>0.853403030046319</v>
      </c>
      <c r="H297" s="1" t="n">
        <f aca="false">H294*01_Supuestos!$I$126</f>
        <v>1.09205310431935</v>
      </c>
      <c r="I297" s="1" t="n">
        <f aca="false">I294*01_Supuestos!$I$126</f>
        <v>1.30082516177712</v>
      </c>
      <c r="J297" s="1" t="n">
        <f aca="false">J294*01_Supuestos!$I$126</f>
        <v>1.48376640618287</v>
      </c>
      <c r="K297" s="1" t="n">
        <f aca="false">K294*01_Supuestos!$I$126</f>
        <v>1.5441777315838</v>
      </c>
      <c r="L297" s="1" t="n">
        <f aca="false">L294*01_Supuestos!$I$126</f>
        <v>1.60463789379557</v>
      </c>
      <c r="M297" s="1" t="n">
        <f aca="false">M294*01_Supuestos!$I$126</f>
        <v>1.28371031503645</v>
      </c>
      <c r="N297" s="1" t="n">
        <f aca="false">N294*01_Supuestos!$I$126</f>
        <v>1.07566051492033</v>
      </c>
      <c r="O297" s="1" t="n">
        <f aca="false">O294*01_Supuestos!$I$126</f>
        <v>1.10931175453374</v>
      </c>
      <c r="P297" s="1" t="n">
        <f aca="false">P294*01_Supuestos!$I$126</f>
        <v>1.13926528114319</v>
      </c>
      <c r="Q297" s="1" t="n">
        <f aca="false">Q294*01_Supuestos!$I$126</f>
        <v>1.16551971913657</v>
      </c>
      <c r="R297" s="1" t="n">
        <f aca="false">R294*01_Supuestos!$I$126</f>
        <v>1.18893016556644</v>
      </c>
      <c r="S297" s="1" t="n">
        <f aca="false">S294*01_Supuestos!$I$126</f>
        <v>1.21019845647855</v>
      </c>
      <c r="T297" s="1" t="n">
        <f aca="false">T294*01_Supuestos!$I$126</f>
        <v>1.22991977860256</v>
      </c>
      <c r="U297" s="1" t="n">
        <f aca="false">U294*01_Supuestos!$I$126</f>
        <v>1.24974577572106</v>
      </c>
      <c r="V297" s="1" t="n">
        <f aca="false">V294*01_Supuestos!$I$126</f>
        <v>1.26966473792567</v>
      </c>
      <c r="W297" s="1" t="n">
        <f aca="false">W294*01_Supuestos!$I$126</f>
        <v>1.28923471294757</v>
      </c>
      <c r="X297" s="1" t="n">
        <f aca="false">X294*01_Supuestos!$I$126</f>
        <v>1.30844445351669</v>
      </c>
      <c r="Y297" s="1" t="n">
        <f aca="false">Y294*01_Supuestos!$I$126</f>
        <v>1.32728274980144</v>
      </c>
      <c r="Z297" s="1" t="n">
        <f aca="false">Z294*01_Supuestos!$I$126</f>
        <v>1.34573842702795</v>
      </c>
      <c r="AA297" s="1" t="n">
        <f aca="false">AA294*01_Supuestos!$I$126</f>
        <v>1.36380034320037</v>
      </c>
      <c r="AB297" s="1" t="n">
        <f aca="false">AB294*01_Supuestos!$I$126</f>
        <v>1.37794842155316</v>
      </c>
      <c r="AC297" s="1" t="n">
        <f aca="false">AC294*01_Supuestos!$I$126</f>
        <v>1.39175542029218</v>
      </c>
      <c r="AD297" s="1" t="n">
        <f aca="false">AD294*01_Supuestos!$I$126</f>
        <v>1.40521198456814</v>
      </c>
      <c r="AE297" s="1" t="n">
        <f aca="false">AE294*01_Supuestos!$I$126</f>
        <v>1.41830920952416</v>
      </c>
      <c r="AF297" s="1" t="n">
        <f aca="false">AF294*01_Supuestos!$I$126</f>
        <v>1.43103861716959</v>
      </c>
    </row>
    <row r="298" customFormat="false" ht="14.25" hidden="false" customHeight="true" outlineLevel="0" collapsed="false">
      <c r="B298" s="84" t="s">
        <v>1290</v>
      </c>
      <c r="C298" s="116" t="n">
        <f aca="false">C86</f>
        <v>0.344317493798204</v>
      </c>
      <c r="D298" s="116" t="n">
        <f aca="false">D86</f>
        <v>0.899459484744269</v>
      </c>
      <c r="E298" s="116" t="n">
        <f aca="false">E86</f>
        <v>1.57970333474427</v>
      </c>
      <c r="F298" s="116" t="n">
        <f aca="false">F86</f>
        <v>2.27559279329427</v>
      </c>
      <c r="G298" s="116" t="n">
        <f aca="false">G86</f>
        <v>2.98748770939092</v>
      </c>
      <c r="H298" s="116" t="n">
        <f aca="false">H86</f>
        <v>3.71575620855779</v>
      </c>
      <c r="I298" s="116" t="n">
        <f aca="false">I86</f>
        <v>4.4607748832055</v>
      </c>
      <c r="J298" s="116" t="n">
        <f aca="false">J86</f>
        <v>5.22292898737011</v>
      </c>
      <c r="K298" s="116" t="n">
        <f aca="false">K86</f>
        <v>6.0026126359305</v>
      </c>
      <c r="L298" s="116" t="n">
        <f aca="false">L86</f>
        <v>6.80022900840779</v>
      </c>
      <c r="M298" s="116" t="n">
        <f aca="false">M86</f>
        <v>7.61619055745205</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9.6579244360685</v>
      </c>
      <c r="W298" s="116" t="n">
        <f aca="false">W86</f>
        <v>9.80154094077241</v>
      </c>
      <c r="X298" s="116" t="n">
        <f aca="false">X86</f>
        <v>9.94221989207301</v>
      </c>
      <c r="Y298" s="116" t="n">
        <f aca="false">Y86</f>
        <v>10.0799535786918</v>
      </c>
      <c r="Z298" s="116" t="n">
        <f aca="false">Z86</f>
        <v>10.2147345447253</v>
      </c>
      <c r="AA298" s="116" t="n">
        <f aca="false">AA86</f>
        <v>10.3465555722804</v>
      </c>
      <c r="AB298" s="116" t="n">
        <f aca="false">AB86</f>
        <v>10.4412049119164</v>
      </c>
      <c r="AC298" s="116" t="n">
        <f aca="false">AC86</f>
        <v>10.534156822101</v>
      </c>
      <c r="AD298" s="116" t="n">
        <f aca="false">AD86</f>
        <v>10.6253408868056</v>
      </c>
      <c r="AE298" s="116" t="n">
        <f aca="false">AE86</f>
        <v>10.714690055955</v>
      </c>
      <c r="AF298" s="116" t="n">
        <f aca="false">AF86</f>
        <v>10.8021404716639</v>
      </c>
    </row>
    <row r="299" customFormat="false" ht="14.25" hidden="false" customHeight="true" outlineLevel="0" collapsed="false">
      <c r="B299" s="144" t="s">
        <v>1291</v>
      </c>
      <c r="C299" s="1" t="n">
        <f aca="false">C286+C291+C296</f>
        <v>6.54203238216588</v>
      </c>
      <c r="D299" s="1" t="n">
        <f aca="false">D286+D291+D296</f>
        <v>11.4356557100896</v>
      </c>
      <c r="E299" s="1" t="n">
        <f aca="false">E286+E291+E296</f>
        <v>15.2421854165587</v>
      </c>
      <c r="F299" s="1" t="n">
        <f aca="false">F286+F291+F296</f>
        <v>17.2781121861576</v>
      </c>
      <c r="G299" s="1" t="n">
        <f aca="false">G286+G291+G296</f>
        <v>19.178349476668</v>
      </c>
      <c r="H299" s="1" t="n">
        <f aca="false">H286+H291+H296</f>
        <v>21.1298708448986</v>
      </c>
      <c r="I299" s="1" t="n">
        <f aca="false">I286+I291+I296</f>
        <v>23.1909811959474</v>
      </c>
      <c r="J299" s="1" t="n">
        <f aca="false">J286+J291+J296</f>
        <v>25.3398419544134</v>
      </c>
      <c r="K299" s="1" t="n">
        <f aca="false">K286+K291+K296</f>
        <v>27.5730706149779</v>
      </c>
      <c r="L299" s="1" t="n">
        <f aca="false">L286+L291+L296</f>
        <v>30.0022394150048</v>
      </c>
      <c r="M299" s="1" t="n">
        <f aca="false">M286+M291+M296</f>
        <v>36.5004031483767</v>
      </c>
      <c r="N299" s="1" t="n">
        <f aca="false">N286+N291+N296</f>
        <v>30.8736469732269</v>
      </c>
      <c r="O299" s="1" t="n">
        <f aca="false">O286+O291+O296</f>
        <v>24.7385741948481</v>
      </c>
      <c r="P299" s="1" t="n">
        <f aca="false">P286+P291+P296</f>
        <v>25.2973961235858</v>
      </c>
      <c r="Q299" s="1" t="n">
        <f aca="false">Q286+Q291+Q296</f>
        <v>25.8741720387801</v>
      </c>
      <c r="R299" s="1" t="n">
        <f aca="false">R286+R291+R296</f>
        <v>26.4692194335288</v>
      </c>
      <c r="S299" s="1" t="n">
        <f aca="false">S286+S291+S296</f>
        <v>27.081886045986</v>
      </c>
      <c r="T299" s="1" t="n">
        <f aca="false">T286+T291+T296</f>
        <v>27.7117018801722</v>
      </c>
      <c r="U299" s="1" t="n">
        <f aca="false">U286+U291+U296</f>
        <v>28.3583262046554</v>
      </c>
      <c r="V299" s="1" t="n">
        <f aca="false">V286+V291+V296</f>
        <v>27.8198222572933</v>
      </c>
      <c r="W299" s="1" t="n">
        <f aca="false">W286+W291+W296</f>
        <v>28.0035307164541</v>
      </c>
      <c r="X299" s="1" t="n">
        <f aca="false">X286+X291+X296</f>
        <v>28.3227753128055</v>
      </c>
      <c r="Y299" s="1" t="n">
        <f aca="false">Y286+Y291+Y296</f>
        <v>28.6341562101772</v>
      </c>
      <c r="Z299" s="1" t="n">
        <f aca="false">Z286+Z291+Z296</f>
        <v>28.9376697114325</v>
      </c>
      <c r="AA299" s="1" t="n">
        <f aca="false">AA286+AA291+AA296</f>
        <v>29.233312456134</v>
      </c>
      <c r="AB299" s="1" t="n">
        <f aca="false">AB286+AB291+AB296</f>
        <v>28.8711910834102</v>
      </c>
      <c r="AC299" s="1" t="n">
        <f aca="false">AC286+AC291+AC296</f>
        <v>29.0846923867461</v>
      </c>
      <c r="AD299" s="1" t="n">
        <f aca="false">AD286+AD291+AD296</f>
        <v>29.2925481357373</v>
      </c>
      <c r="AE299" s="1" t="n">
        <f aca="false">AE286+AE291+AE296</f>
        <v>29.4946381160072</v>
      </c>
      <c r="AF299" s="1" t="n">
        <f aca="false">AF286+AF291+AF296</f>
        <v>29.6908476118305</v>
      </c>
    </row>
    <row r="300" customFormat="false" ht="14.25" hidden="false" customHeight="true" outlineLevel="0" collapsed="false">
      <c r="B300" s="144" t="s">
        <v>1292</v>
      </c>
      <c r="C300" s="1" t="n">
        <f aca="false">C285+C290+C295</f>
        <v>0</v>
      </c>
      <c r="D300" s="1" t="n">
        <f aca="false">D285+D290+D295</f>
        <v>0.836729601619559</v>
      </c>
      <c r="E300" s="1" t="n">
        <f aca="false">E285+E290+E295</f>
        <v>2.18417965083557</v>
      </c>
      <c r="F300" s="1" t="n">
        <f aca="false">F285+F290+F295</f>
        <v>3.82505399514232</v>
      </c>
      <c r="G300" s="1" t="n">
        <f aca="false">G285+G290+G295</f>
        <v>5.36115173298972</v>
      </c>
      <c r="H300" s="1" t="n">
        <f aca="false">H285+H290+H295</f>
        <v>6.93849745345536</v>
      </c>
      <c r="I300" s="1" t="n">
        <f aca="false">I285+I290+I295</f>
        <v>8.60264597409471</v>
      </c>
      <c r="J300" s="1" t="n">
        <f aca="false">J285+J290+J295</f>
        <v>10.3365730379211</v>
      </c>
      <c r="K300" s="1" t="n">
        <f aca="false">K285+K290+K295</f>
        <v>12.1376663862758</v>
      </c>
      <c r="L300" s="1" t="n">
        <f aca="false">L285+L290+L295</f>
        <v>14.0930763700056</v>
      </c>
      <c r="M300" s="1" t="n">
        <f aca="false">M285+M290+M295</f>
        <v>20.1062496783871</v>
      </c>
      <c r="N300" s="1" t="n">
        <f aca="false">N285+N290+N295</f>
        <v>20.4751988330304</v>
      </c>
      <c r="O300" s="1" t="n">
        <f aca="false">O285+O290+O295</f>
        <v>19.9261519601255</v>
      </c>
      <c r="P300" s="1" t="n">
        <f aca="false">P285+P290+P295</f>
        <v>20.376515939407</v>
      </c>
      <c r="Q300" s="1" t="n">
        <f aca="false">Q285+Q290+Q295</f>
        <v>20.8412214494291</v>
      </c>
      <c r="R300" s="1" t="n">
        <f aca="false">R285+R290+R295</f>
        <v>21.3205238147545</v>
      </c>
      <c r="S300" s="1" t="n">
        <f aca="false">S285+S290+S295</f>
        <v>21.8139213012023</v>
      </c>
      <c r="T300" s="1" t="n">
        <f aca="false">T285+T290+T295</f>
        <v>22.3210546705345</v>
      </c>
      <c r="U300" s="1" t="n">
        <f aca="false">U285+U290+U295</f>
        <v>22.8416657986023</v>
      </c>
      <c r="V300" s="1" t="n">
        <f aca="false">V285+V290+V295</f>
        <v>23.374561779021</v>
      </c>
      <c r="W300" s="1" t="n">
        <f aca="false">W285+W290+W295</f>
        <v>23.7572276687082</v>
      </c>
      <c r="X300" s="1" t="n">
        <f aca="false">X285+X290+X295</f>
        <v>24.1098911375842</v>
      </c>
      <c r="Y300" s="1" t="n">
        <f aca="false">Y285+Y290+Y295</f>
        <v>24.4553054983054</v>
      </c>
      <c r="Z300" s="1" t="n">
        <f aca="false">Z285+Z290+Z295</f>
        <v>24.7934608642958</v>
      </c>
      <c r="AA300" s="1" t="n">
        <f aca="false">AA285+AA290+AA295</f>
        <v>25.1243479758455</v>
      </c>
      <c r="AB300" s="1" t="n">
        <f aca="false">AB285+AB290+AB295</f>
        <v>25.4479581573937</v>
      </c>
      <c r="AC300" s="1" t="n">
        <f aca="false">AC285+AC290+AC295</f>
        <v>25.6792642653626</v>
      </c>
      <c r="AD300" s="1" t="n">
        <f aca="false">AD285+AD290+AD295</f>
        <v>25.9064999652243</v>
      </c>
      <c r="AE300" s="1" t="n">
        <f aca="false">AE285+AE290+AE295</f>
        <v>26.1294921298172</v>
      </c>
      <c r="AF300" s="1" t="n">
        <f aca="false">AF285+AF290+AF295</f>
        <v>26.3480759051106</v>
      </c>
    </row>
    <row r="301" customFormat="false" ht="14.25" hidden="false" customHeight="true" outlineLevel="0" collapsed="false">
      <c r="B301" s="144" t="s">
        <v>1293</v>
      </c>
      <c r="C301" s="1" t="n">
        <f aca="false">C284+C289+C294</f>
        <v>6.54203238216588</v>
      </c>
      <c r="D301" s="1" t="n">
        <f aca="false">D284+D289+D294</f>
        <v>17.0897302101411</v>
      </c>
      <c r="E301" s="1" t="n">
        <f aca="false">E284+E289+E294</f>
        <v>30.0143633601411</v>
      </c>
      <c r="F301" s="1" t="n">
        <f aca="false">F284+F289+F294</f>
        <v>43.2362630725911</v>
      </c>
      <c r="G301" s="1" t="n">
        <f aca="false">G284+G289+G294</f>
        <v>56.7622664784275</v>
      </c>
      <c r="H301" s="1" t="n">
        <f aca="false">H284+H289+H294</f>
        <v>70.599367962598</v>
      </c>
      <c r="I301" s="1" t="n">
        <f aca="false">I284+I289+I294</f>
        <v>84.7547227809045</v>
      </c>
      <c r="J301" s="1" t="n">
        <f aca="false">J284+J289+J294</f>
        <v>99.2356507600321</v>
      </c>
      <c r="K301" s="1" t="n">
        <f aca="false">K284+K289+K294</f>
        <v>114.04964008268</v>
      </c>
      <c r="L301" s="1" t="n">
        <f aca="false">L284+L289+L294</f>
        <v>129.204351159748</v>
      </c>
      <c r="M301" s="1" t="n">
        <f aca="false">M284+M289+M294</f>
        <v>144.707620591589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183.500564285301</v>
      </c>
      <c r="W301" s="1" t="n">
        <f aca="false">W284+W289+W294</f>
        <v>186.229277874676</v>
      </c>
      <c r="X301" s="1" t="n">
        <f aca="false">X284+X289+X294</f>
        <v>188.902177949387</v>
      </c>
      <c r="Y301" s="1" t="n">
        <f aca="false">Y284+Y289+Y294</f>
        <v>191.519117995144</v>
      </c>
      <c r="Z301" s="1" t="n">
        <f aca="false">Z284+Z289+Z294</f>
        <v>194.07995634978</v>
      </c>
      <c r="AA301" s="1" t="n">
        <f aca="false">AA284+AA289+AA294</f>
        <v>196.584555873328</v>
      </c>
      <c r="AB301" s="1" t="n">
        <f aca="false">AB284+AB289+AB294</f>
        <v>198.382893326411</v>
      </c>
      <c r="AC301" s="1" t="n">
        <f aca="false">AC284+AC289+AC294</f>
        <v>200.148979619919</v>
      </c>
      <c r="AD301" s="1" t="n">
        <f aca="false">AD284+AD289+AD294</f>
        <v>201.881476849305</v>
      </c>
      <c r="AE301" s="1" t="n">
        <f aca="false">AE284+AE289+AE294</f>
        <v>203.579111063144</v>
      </c>
      <c r="AF301" s="1" t="n">
        <f aca="false">AF284+AF289+AF294</f>
        <v>205.240668961614</v>
      </c>
    </row>
    <row r="302" customFormat="false" ht="14.25" hidden="false" customHeight="true" outlineLevel="0" collapsed="false">
      <c r="B302" s="144" t="s">
        <v>1294</v>
      </c>
      <c r="C302" s="1" t="n">
        <f aca="false">C287+C292+C297</f>
        <v>0.274846963373799</v>
      </c>
      <c r="D302" s="1" t="n">
        <f aca="false">D287+D292+D297</f>
        <v>0.717865970646485</v>
      </c>
      <c r="E302" s="1" t="n">
        <f aca="false">E287+E292+E297</f>
        <v>1.25998226339693</v>
      </c>
      <c r="F302" s="1" t="n">
        <f aca="false">F287+F292+F297</f>
        <v>1.80428746772901</v>
      </c>
      <c r="G302" s="1" t="n">
        <f aca="false">G287+G292+G297</f>
        <v>2.36153853930618</v>
      </c>
      <c r="H302" s="1" t="n">
        <f aca="false">H287+H292+H297</f>
        <v>2.93525068221528</v>
      </c>
      <c r="I302" s="1" t="n">
        <f aca="false">I287+I292+I297</f>
        <v>3.52443053213893</v>
      </c>
      <c r="J302" s="1" t="n">
        <f aca="false">J287+J292+J297</f>
        <v>4.12912966125732</v>
      </c>
      <c r="K302" s="1" t="n">
        <f aca="false">K287+K292+K297</f>
        <v>4.75587975906541</v>
      </c>
      <c r="L302" s="1" t="n">
        <f aca="false">L287+L292+L297</f>
        <v>5.3971312441941</v>
      </c>
      <c r="M302" s="1" t="n">
        <f aca="false">M287+M292+M297</f>
        <v>6.07772502084285</v>
      </c>
      <c r="N302" s="1" t="n">
        <f aca="false">N287+N292+N297</f>
        <v>6.48581401077041</v>
      </c>
      <c r="O302" s="1" t="n">
        <f aca="false">O287+O292+O297</f>
        <v>6.63441519819889</v>
      </c>
      <c r="P302" s="1" t="n">
        <f aca="false">P287+P292+P297</f>
        <v>6.78672151911807</v>
      </c>
      <c r="Q302" s="1" t="n">
        <f aca="false">Q287+Q292+Q297</f>
        <v>6.94281281568591</v>
      </c>
      <c r="R302" s="1" t="n">
        <f aca="false">R287+R292+R297</f>
        <v>7.10271573602852</v>
      </c>
      <c r="S302" s="1" t="n">
        <f aca="false">S287+S292+S297</f>
        <v>7.26646865181824</v>
      </c>
      <c r="T302" s="1" t="n">
        <f aca="false">T287+T292+T297</f>
        <v>7.43411870663266</v>
      </c>
      <c r="U302" s="1" t="n">
        <f aca="false">U287+U292+U297</f>
        <v>7.60564713052317</v>
      </c>
      <c r="V302" s="1" t="n">
        <f aca="false">V287+V292+V297</f>
        <v>7.73004306221356</v>
      </c>
      <c r="W302" s="1" t="n">
        <f aca="false">W287+W292+W297</f>
        <v>7.84494702881807</v>
      </c>
      <c r="X302" s="1" t="n">
        <f aca="false">X287+X292+X297</f>
        <v>7.95749815916697</v>
      </c>
      <c r="Y302" s="1" t="n">
        <f aca="false">Y287+Y292+Y297</f>
        <v>8.06769093637855</v>
      </c>
      <c r="Z302" s="1" t="n">
        <f aca="false">Z287+Z292+Z297</f>
        <v>8.17552004787359</v>
      </c>
      <c r="AA302" s="1" t="n">
        <f aca="false">AA287+AA292+AA297</f>
        <v>8.28098037147693</v>
      </c>
      <c r="AB302" s="1" t="n">
        <f aca="false">AB287+AB292+AB297</f>
        <v>8.35662658282052</v>
      </c>
      <c r="AC302" s="1" t="n">
        <f aca="false">AC287+AC292+AC297</f>
        <v>8.43092177666616</v>
      </c>
      <c r="AD302" s="1" t="n">
        <f aca="false">AD287+AD292+AD297</f>
        <v>8.50380959946643</v>
      </c>
      <c r="AE302" s="1" t="n">
        <f aca="false">AE287+AE292+AE297</f>
        <v>8.57523639124613</v>
      </c>
      <c r="AF302" s="1" t="n">
        <f aca="false">AF287+AF292+AF297</f>
        <v>8.64515104654275</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11.8267027723829</v>
      </c>
      <c r="D307" s="116" t="n">
        <f aca="false">D81</f>
        <v>31.2705719819142</v>
      </c>
      <c r="E307" s="116" t="n">
        <f aca="false">E81</f>
        <v>57.4876291967492</v>
      </c>
      <c r="F307" s="116" t="n">
        <f aca="false">F81</f>
        <v>117.640244070027</v>
      </c>
      <c r="G307" s="116" t="n">
        <f aca="false">G81</f>
        <v>177.792297926316</v>
      </c>
      <c r="H307" s="116" t="n">
        <f aca="false">H81</f>
        <v>227.511063399864</v>
      </c>
      <c r="I307" s="116" t="n">
        <f aca="false">I81</f>
        <v>271.0052420369</v>
      </c>
      <c r="J307" s="116" t="n">
        <f aca="false">J81</f>
        <v>309.118001288097</v>
      </c>
      <c r="K307" s="116" t="n">
        <f aca="false">K81</f>
        <v>321.703694079959</v>
      </c>
      <c r="L307" s="116" t="n">
        <f aca="false">L81</f>
        <v>334.29956120741</v>
      </c>
      <c r="M307" s="116" t="n">
        <f aca="false">M81</f>
        <v>346.66226255922</v>
      </c>
      <c r="N307" s="116" t="n">
        <f aca="false">N81</f>
        <v>358.553504973444</v>
      </c>
      <c r="O307" s="116" t="n">
        <f aca="false">O81</f>
        <v>369.77058484458</v>
      </c>
      <c r="P307" s="116" t="n">
        <f aca="false">P81</f>
        <v>379.755093714398</v>
      </c>
      <c r="Q307" s="116" t="n">
        <f aca="false">Q81</f>
        <v>388.506573045524</v>
      </c>
      <c r="R307" s="116" t="n">
        <f aca="false">R81</f>
        <v>396.310055188814</v>
      </c>
      <c r="S307" s="116" t="n">
        <f aca="false">S81</f>
        <v>403.39948549285</v>
      </c>
      <c r="T307" s="116" t="n">
        <f aca="false">T81</f>
        <v>409.973259534186</v>
      </c>
      <c r="U307" s="116" t="n">
        <f aca="false">U81</f>
        <v>416.581925240352</v>
      </c>
      <c r="V307" s="116" t="n">
        <f aca="false">V81</f>
        <v>423.221579308556</v>
      </c>
      <c r="W307" s="116" t="n">
        <f aca="false">W81</f>
        <v>429.744904315857</v>
      </c>
      <c r="X307" s="116" t="n">
        <f aca="false">X81</f>
        <v>436.148151172231</v>
      </c>
      <c r="Y307" s="116" t="n">
        <f aca="false">Y81</f>
        <v>442.427583267148</v>
      </c>
      <c r="Z307" s="116" t="n">
        <f aca="false">Z81</f>
        <v>448.579475675982</v>
      </c>
      <c r="AA307" s="116" t="n">
        <f aca="false">AA81</f>
        <v>454.600114400124</v>
      </c>
      <c r="AB307" s="116" t="n">
        <f aca="false">AB81</f>
        <v>459.316140517721</v>
      </c>
      <c r="AC307" s="116" t="n">
        <f aca="false">AC81</f>
        <v>463.918473430726</v>
      </c>
      <c r="AD307" s="116" t="n">
        <f aca="false">AD81</f>
        <v>468.403994856046</v>
      </c>
      <c r="AE307" s="116" t="n">
        <f aca="false">AE81</f>
        <v>472.769736508054</v>
      </c>
      <c r="AF307" s="116" t="n">
        <f aca="false">AF81</f>
        <v>477.012872389862</v>
      </c>
    </row>
    <row r="308" customFormat="false" ht="14.25" hidden="false" customHeight="true" outlineLevel="0" collapsed="false">
      <c r="B308" s="84" t="s">
        <v>1300</v>
      </c>
      <c r="C308" s="1" t="n">
        <f aca="false">C301</f>
        <v>6.54203238216588</v>
      </c>
      <c r="D308" s="1" t="n">
        <f aca="false">D301</f>
        <v>17.0897302101411</v>
      </c>
      <c r="E308" s="1" t="n">
        <f aca="false">E301</f>
        <v>30.0143633601411</v>
      </c>
      <c r="F308" s="1" t="n">
        <f aca="false">F301</f>
        <v>43.2362630725911</v>
      </c>
      <c r="G308" s="1" t="n">
        <f aca="false">G301</f>
        <v>56.7622664784275</v>
      </c>
      <c r="H308" s="1" t="n">
        <f aca="false">H301</f>
        <v>70.599367962598</v>
      </c>
      <c r="I308" s="1" t="n">
        <f aca="false">I301</f>
        <v>84.7547227809045</v>
      </c>
      <c r="J308" s="1" t="n">
        <f aca="false">J301</f>
        <v>99.2356507600321</v>
      </c>
      <c r="K308" s="1" t="n">
        <f aca="false">K301</f>
        <v>114.04964008268</v>
      </c>
      <c r="L308" s="1" t="n">
        <f aca="false">L301</f>
        <v>129.204351159748</v>
      </c>
      <c r="M308" s="1" t="n">
        <f aca="false">M301</f>
        <v>144.707620591589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183.500564285301</v>
      </c>
      <c r="W308" s="1" t="n">
        <f aca="false">W301</f>
        <v>186.229277874676</v>
      </c>
      <c r="X308" s="1" t="n">
        <f aca="false">X301</f>
        <v>188.902177949387</v>
      </c>
      <c r="Y308" s="1" t="n">
        <f aca="false">Y301</f>
        <v>191.519117995144</v>
      </c>
      <c r="Z308" s="1" t="n">
        <f aca="false">Z301</f>
        <v>194.07995634978</v>
      </c>
      <c r="AA308" s="1" t="n">
        <f aca="false">AA301</f>
        <v>196.584555873328</v>
      </c>
      <c r="AB308" s="1" t="n">
        <f aca="false">AB301</f>
        <v>198.382893326411</v>
      </c>
      <c r="AC308" s="1" t="n">
        <f aca="false">AC301</f>
        <v>200.148979619919</v>
      </c>
      <c r="AD308" s="1" t="n">
        <f aca="false">AD301</f>
        <v>201.881476849305</v>
      </c>
      <c r="AE308" s="1" t="n">
        <f aca="false">AE301</f>
        <v>203.579111063144</v>
      </c>
      <c r="AF308" s="1" t="n">
        <f aca="false">AF301</f>
        <v>205.240668961614</v>
      </c>
    </row>
    <row r="309" customFormat="false" ht="14.25" hidden="false" customHeight="true" outlineLevel="0" collapsed="false">
      <c r="B309" s="84" t="s">
        <v>1301</v>
      </c>
      <c r="C309" s="1" t="n">
        <f aca="false">C307-C308</f>
        <v>5.28467039021698</v>
      </c>
      <c r="D309" s="1" t="n">
        <f aca="false">D307-D308</f>
        <v>14.1808417717731</v>
      </c>
      <c r="E309" s="1" t="n">
        <f aca="false">E307-E308</f>
        <v>27.4732658366081</v>
      </c>
      <c r="F309" s="1" t="n">
        <f aca="false">F307-F308</f>
        <v>74.4039809974362</v>
      </c>
      <c r="G309" s="1" t="n">
        <f aca="false">G307-G308</f>
        <v>121.030031447889</v>
      </c>
      <c r="H309" s="1" t="n">
        <f aca="false">H307-H308</f>
        <v>156.911695437266</v>
      </c>
      <c r="I309" s="1" t="n">
        <f aca="false">I307-I308</f>
        <v>186.250519255996</v>
      </c>
      <c r="J309" s="1" t="n">
        <f aca="false">J307-J308</f>
        <v>209.882350528065</v>
      </c>
      <c r="K309" s="1" t="n">
        <f aca="false">K307-K308</f>
        <v>207.654053997279</v>
      </c>
      <c r="L309" s="1" t="n">
        <f aca="false">L307-L308</f>
        <v>205.095210047662</v>
      </c>
      <c r="M309" s="1" t="n">
        <f aca="false">M307-M308</f>
        <v>201.954641967631</v>
      </c>
      <c r="N309" s="1" t="n">
        <f aca="false">N307-N308</f>
        <v>204.573584868815</v>
      </c>
      <c r="O309" s="1" t="n">
        <f aca="false">O307-O308</f>
        <v>212.249126577545</v>
      </c>
      <c r="P309" s="1" t="n">
        <f aca="false">P307-P308</f>
        <v>218.610641907221</v>
      </c>
      <c r="Q309" s="1" t="n">
        <f aca="false">Q307-Q308</f>
        <v>223.655798846783</v>
      </c>
      <c r="R309" s="1" t="n">
        <f aca="false">R307-R308</f>
        <v>227.667713183501</v>
      </c>
      <c r="S309" s="1" t="n">
        <f aca="false">S307-S308</f>
        <v>230.878369621415</v>
      </c>
      <c r="T309" s="1" t="n">
        <f aca="false">T307-T308</f>
        <v>233.484157997708</v>
      </c>
      <c r="U309" s="1" t="n">
        <f aca="false">U307-U308</f>
        <v>236.033574368535</v>
      </c>
      <c r="V309" s="1" t="n">
        <f aca="false">V307-V308</f>
        <v>239.721015023255</v>
      </c>
      <c r="W309" s="1" t="n">
        <f aca="false">W307-W308</f>
        <v>243.515626441181</v>
      </c>
      <c r="X309" s="1" t="n">
        <f aca="false">X307-X308</f>
        <v>247.245973222844</v>
      </c>
      <c r="Y309" s="1" t="n">
        <f aca="false">Y307-Y308</f>
        <v>250.908465272003</v>
      </c>
      <c r="Z309" s="1" t="n">
        <f aca="false">Z307-Z308</f>
        <v>254.499519326203</v>
      </c>
      <c r="AA309" s="1" t="n">
        <f aca="false">AA307-AA308</f>
        <v>258.015558526796</v>
      </c>
      <c r="AB309" s="1" t="n">
        <f aca="false">AB307-AB308</f>
        <v>260.93324719131</v>
      </c>
      <c r="AC309" s="1" t="n">
        <f aca="false">AC307-AC308</f>
        <v>263.769493810807</v>
      </c>
      <c r="AD309" s="1" t="n">
        <f aca="false">AD307-AD308</f>
        <v>266.52251800674</v>
      </c>
      <c r="AE309" s="1" t="n">
        <f aca="false">AE307-AE308</f>
        <v>269.19062544491</v>
      </c>
      <c r="AF309" s="1" t="n">
        <f aca="false">AF307-AF308</f>
        <v>271.772203428249</v>
      </c>
    </row>
    <row r="310" customFormat="false" ht="14.25" hidden="false" customHeight="true" outlineLevel="0" collapsed="false">
      <c r="B310" s="84" t="s">
        <v>1302</v>
      </c>
      <c r="C310" s="1" t="n">
        <f aca="false">IF(C307&gt;0,100*C308/C307,0)</f>
        <v>55.3157757328824</v>
      </c>
      <c r="D310" s="1" t="n">
        <f aca="false">IF(D307&gt;0,100*D308/D307,0)</f>
        <v>54.6511596270935</v>
      </c>
      <c r="E310" s="1" t="n">
        <f aca="false">IF(E307&gt;0,100*E308/E307,0)</f>
        <v>52.2101255166013</v>
      </c>
      <c r="F310" s="1" t="n">
        <f aca="false">IF(F307&gt;0,100*F308/F307,0)</f>
        <v>36.7529525413548</v>
      </c>
      <c r="G310" s="1" t="n">
        <f aca="false">IF(G307&gt;0,100*G308/G307,0)</f>
        <v>31.9261672977261</v>
      </c>
      <c r="H310" s="1" t="n">
        <f aca="false">IF(H307&gt;0,100*H308/H307,0)</f>
        <v>31.0311801578262</v>
      </c>
      <c r="I310" s="1" t="n">
        <f aca="false">IF(I307&gt;0,100*I308/I307,0)</f>
        <v>31.2742005076656</v>
      </c>
      <c r="J310" s="1" t="n">
        <f aca="false">IF(J307&gt;0,100*J308/J307,0)</f>
        <v>32.1028378633779</v>
      </c>
      <c r="K310" s="1" t="n">
        <f aca="false">IF(K307&gt;0,100*K308/K307,0)</f>
        <v>35.4517657650312</v>
      </c>
      <c r="L310" s="1" t="n">
        <f aca="false">IF(L307&gt;0,100*L308/L307,0)</f>
        <v>38.649273332305</v>
      </c>
      <c r="M310" s="1" t="n">
        <f aca="false">IF(M307&gt;0,100*M308/M307,0)</f>
        <v>41.7431131739841</v>
      </c>
      <c r="N310" s="1" t="n">
        <f aca="false">IF(N307&gt;0,100*N308/N307,0)</f>
        <v>42.9447538425355</v>
      </c>
      <c r="O310" s="1" t="n">
        <f aca="false">IF(O307&gt;0,100*O308/O307,0)</f>
        <v>42.59978070815</v>
      </c>
      <c r="P310" s="1" t="n">
        <f aca="false">IF(P307&gt;0,100*P308/P307,0)</f>
        <v>42.4337828443635</v>
      </c>
      <c r="Q310" s="1" t="n">
        <f aca="false">IF(Q307&gt;0,100*Q308/Q307,0)</f>
        <v>42.4319138043065</v>
      </c>
      <c r="R310" s="1" t="n">
        <f aca="false">IF(R307&gt;0,100*R308/R307,0)</f>
        <v>42.5531322754268</v>
      </c>
      <c r="S310" s="1" t="n">
        <f aca="false">IF(S307&gt;0,100*S308/S307,0)</f>
        <v>42.766816041091</v>
      </c>
      <c r="T310" s="1" t="n">
        <f aca="false">IF(T307&gt;0,100*T308/T307,0)</f>
        <v>43.0489300050949</v>
      </c>
      <c r="U310" s="1" t="n">
        <f aca="false">IF(U307&gt;0,100*U308/U307,0)</f>
        <v>43.3404187586025</v>
      </c>
      <c r="V310" s="1" t="n">
        <f aca="false">IF(V307&gt;0,100*V308/V307,0)</f>
        <v>43.3580358981453</v>
      </c>
      <c r="W310" s="1" t="n">
        <f aca="false">IF(W307&gt;0,100*W308/W307,0)</f>
        <v>43.3348426018333</v>
      </c>
      <c r="X310" s="1" t="n">
        <f aca="false">IF(X307&gt;0,100*X308/X307,0)</f>
        <v>43.311470527085</v>
      </c>
      <c r="Y310" s="1" t="n">
        <f aca="false">IF(Y307&gt;0,100*Y308/Y307,0)</f>
        <v>43.2882408869839</v>
      </c>
      <c r="Z310" s="1" t="n">
        <f aca="false">IF(Z307&gt;0,100*Z308/Z307,0)</f>
        <v>43.2654561507329</v>
      </c>
      <c r="AA310" s="1" t="n">
        <f aca="false">IF(AA307&gt;0,100*AA308/AA307,0)</f>
        <v>43.2434022003568</v>
      </c>
      <c r="AB310" s="1" t="n">
        <f aca="false">IF(AB307&gt;0,100*AB308/AB307,0)</f>
        <v>43.1909257756112</v>
      </c>
      <c r="AC310" s="1" t="n">
        <f aca="false">IF(AC307&gt;0,100*AC308/AC307,0)</f>
        <v>43.1431363661369</v>
      </c>
      <c r="AD310" s="1" t="n">
        <f aca="false">IF(AD307&gt;0,100*AD308/AD307,0)</f>
        <v>43.0998623125214</v>
      </c>
      <c r="AE310" s="1" t="n">
        <f aca="false">IF(AE307&gt;0,100*AE308/AE307,0)</f>
        <v>43.0609439104138</v>
      </c>
      <c r="AF310" s="1" t="n">
        <f aca="false">IF(AF307&gt;0,100*AF308/AF307,0)</f>
        <v>43.0262328002484</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0.55357665388876</v>
      </c>
      <c r="D313" s="116" t="n">
        <f aca="false">D111</f>
        <v>1.42828368911724</v>
      </c>
      <c r="E313" s="116" t="n">
        <f aca="false">E111</f>
        <v>2.56406832333937</v>
      </c>
      <c r="F313" s="116" t="n">
        <f aca="false">F111</f>
        <v>5.25232231519187</v>
      </c>
      <c r="G313" s="116" t="n">
        <f aca="false">G111</f>
        <v>7.80108948551008</v>
      </c>
      <c r="H313" s="116" t="n">
        <f aca="false">H111</f>
        <v>9.73116546168079</v>
      </c>
      <c r="I313" s="116" t="n">
        <f aca="false">I111</f>
        <v>11.2792050011858</v>
      </c>
      <c r="J313" s="116" t="n">
        <f aca="false">J111</f>
        <v>12.5091975008267</v>
      </c>
      <c r="K313" s="116" t="n">
        <f aca="false">K111</f>
        <v>12.4841295794165</v>
      </c>
      <c r="L313" s="116" t="n">
        <f aca="false">L111</f>
        <v>12.4794900332596</v>
      </c>
      <c r="M313" s="116" t="n">
        <f aca="false">M111</f>
        <v>12.512414471571</v>
      </c>
      <c r="N313" s="116" t="n">
        <f aca="false">N111</f>
        <v>12.5917626576767</v>
      </c>
      <c r="O313" s="116" t="n">
        <f aca="false">O111</f>
        <v>12.7241359868209</v>
      </c>
      <c r="P313" s="116" t="n">
        <f aca="false">P111</f>
        <v>12.9472962336558</v>
      </c>
      <c r="Q313" s="116" t="n">
        <f aca="false">Q111</f>
        <v>13.2553942813638</v>
      </c>
      <c r="R313" s="116" t="n">
        <f aca="false">R111</f>
        <v>13.6195072119713</v>
      </c>
      <c r="S313" s="116" t="n">
        <f aca="false">S111</f>
        <v>14.024429714961</v>
      </c>
      <c r="T313" s="116" t="n">
        <f aca="false">T111</f>
        <v>14.4576234701719</v>
      </c>
      <c r="U313" s="116" t="n">
        <f aca="false">U111</f>
        <v>14.8757720780868</v>
      </c>
      <c r="V313" s="116" t="n">
        <f aca="false">V111</f>
        <v>15.2795277045336</v>
      </c>
      <c r="W313" s="116" t="n">
        <f aca="false">W111</f>
        <v>15.669500222863</v>
      </c>
      <c r="X313" s="116" t="n">
        <f aca="false">X111</f>
        <v>16.0462599531352</v>
      </c>
      <c r="Y313" s="116" t="n">
        <f aca="false">Y111</f>
        <v>16.4103402240666</v>
      </c>
      <c r="Z313" s="116" t="n">
        <f aca="false">Z111</f>
        <v>16.7622397691973</v>
      </c>
      <c r="AA313" s="116" t="n">
        <f aca="false">AA111</f>
        <v>17.1024249679981</v>
      </c>
      <c r="AB313" s="116" t="n">
        <f aca="false">AB111</f>
        <v>17.3746076419445</v>
      </c>
      <c r="AC313" s="116" t="n">
        <f aca="false">AC111</f>
        <v>17.6387561299341</v>
      </c>
      <c r="AD313" s="116" t="n">
        <f aca="false">AD111</f>
        <v>17.895109981073</v>
      </c>
      <c r="AE313" s="116" t="n">
        <f aca="false">AE111</f>
        <v>18.1438910858209</v>
      </c>
      <c r="AF313" s="116" t="n">
        <f aca="false">AF111</f>
        <v>18.3853049253209</v>
      </c>
    </row>
    <row r="314" customFormat="false" ht="14.25" hidden="false" customHeight="true" outlineLevel="0" collapsed="false">
      <c r="B314" s="84" t="s">
        <v>1306</v>
      </c>
      <c r="C314" s="1" t="n">
        <f aca="false">C302</f>
        <v>0.274846963373799</v>
      </c>
      <c r="D314" s="1" t="n">
        <f aca="false">D302</f>
        <v>0.717865970646485</v>
      </c>
      <c r="E314" s="1" t="n">
        <f aca="false">E302</f>
        <v>1.25998226339693</v>
      </c>
      <c r="F314" s="1" t="n">
        <f aca="false">F302</f>
        <v>1.80428746772901</v>
      </c>
      <c r="G314" s="1" t="n">
        <f aca="false">G302</f>
        <v>2.36153853930618</v>
      </c>
      <c r="H314" s="1" t="n">
        <f aca="false">H302</f>
        <v>2.93525068221528</v>
      </c>
      <c r="I314" s="1" t="n">
        <f aca="false">I302</f>
        <v>3.52443053213893</v>
      </c>
      <c r="J314" s="1" t="n">
        <f aca="false">J302</f>
        <v>4.12912966125732</v>
      </c>
      <c r="K314" s="1" t="n">
        <f aca="false">K302</f>
        <v>4.75587975906541</v>
      </c>
      <c r="L314" s="1" t="n">
        <f aca="false">L302</f>
        <v>5.3971312441941</v>
      </c>
      <c r="M314" s="1" t="n">
        <f aca="false">M302</f>
        <v>6.07772502084285</v>
      </c>
      <c r="N314" s="1" t="n">
        <f aca="false">N302</f>
        <v>6.48581401077041</v>
      </c>
      <c r="O314" s="1" t="n">
        <f aca="false">O302</f>
        <v>6.63441519819889</v>
      </c>
      <c r="P314" s="1" t="n">
        <f aca="false">P302</f>
        <v>6.78672151911807</v>
      </c>
      <c r="Q314" s="1" t="n">
        <f aca="false">Q302</f>
        <v>6.94281281568591</v>
      </c>
      <c r="R314" s="1" t="n">
        <f aca="false">R302</f>
        <v>7.10271573602852</v>
      </c>
      <c r="S314" s="1" t="n">
        <f aca="false">S302</f>
        <v>7.26646865181824</v>
      </c>
      <c r="T314" s="1" t="n">
        <f aca="false">T302</f>
        <v>7.43411870663266</v>
      </c>
      <c r="U314" s="1" t="n">
        <f aca="false">U302</f>
        <v>7.60564713052317</v>
      </c>
      <c r="V314" s="1" t="n">
        <f aca="false">V302</f>
        <v>7.73004306221356</v>
      </c>
      <c r="W314" s="1" t="n">
        <f aca="false">W302</f>
        <v>7.84494702881807</v>
      </c>
      <c r="X314" s="1" t="n">
        <f aca="false">X302</f>
        <v>7.95749815916697</v>
      </c>
      <c r="Y314" s="1" t="n">
        <f aca="false">Y302</f>
        <v>8.06769093637855</v>
      </c>
      <c r="Z314" s="1" t="n">
        <f aca="false">Z302</f>
        <v>8.17552004787359</v>
      </c>
      <c r="AA314" s="1" t="n">
        <f aca="false">AA302</f>
        <v>8.28098037147693</v>
      </c>
      <c r="AB314" s="1" t="n">
        <f aca="false">AB302</f>
        <v>8.35662658282052</v>
      </c>
      <c r="AC314" s="1" t="n">
        <f aca="false">AC302</f>
        <v>8.43092177666616</v>
      </c>
      <c r="AD314" s="1" t="n">
        <f aca="false">AD302</f>
        <v>8.50380959946643</v>
      </c>
      <c r="AE314" s="1" t="n">
        <f aca="false">AE302</f>
        <v>8.57523639124613</v>
      </c>
      <c r="AF314" s="1" t="n">
        <f aca="false">AF302</f>
        <v>8.64515104654275</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2.77720825928658</v>
      </c>
      <c r="AC315" s="116" t="n">
        <f aca="false">AC56</f>
        <v>3.65996374170268</v>
      </c>
      <c r="AD315" s="116" t="n">
        <f aca="false">AD56</f>
        <v>4.58512124307752</v>
      </c>
      <c r="AE315" s="116" t="n">
        <f aca="false">AE56</f>
        <v>5.55424914218254</v>
      </c>
      <c r="AF315" s="116" t="n">
        <f aca="false">AF56</f>
        <v>6.56896773546589</v>
      </c>
    </row>
    <row r="316" customFormat="false" ht="14.25" hidden="false" customHeight="true" outlineLevel="0" collapsed="false">
      <c r="B316" s="84" t="s">
        <v>1308</v>
      </c>
      <c r="C316" s="1" t="n">
        <f aca="false">IF(C313&gt;0,100*(C314+C315)/C313,0)</f>
        <v>242.937803450801</v>
      </c>
      <c r="D316" s="1" t="n">
        <f aca="false">IF(D313&gt;0,100*(D314+D315)/D313,0)</f>
        <v>127.048707793339</v>
      </c>
      <c r="E316" s="1" t="n">
        <f aca="false">IF(E313&gt;0,100*(E314+E315)/E313,0)</f>
        <v>92.9831312096973</v>
      </c>
      <c r="F316" s="1" t="n">
        <f aca="false">IF(F313&gt;0,100*(F314+F315)/F313,0)</f>
        <v>56.290537005458</v>
      </c>
      <c r="G316" s="1" t="n">
        <f aca="false">IF(G313&gt;0,100*(G314+G315)/G313,0)</f>
        <v>45.4118407288504</v>
      </c>
      <c r="H316" s="1" t="n">
        <f aca="false">IF(H313&gt;0,100*(H314+H315)/H313,0)</f>
        <v>42.6039150843106</v>
      </c>
      <c r="I316" s="1" t="n">
        <f aca="false">IF(I313&gt;0,100*(I314+I315)/I313,0)</f>
        <v>42.2485670676765</v>
      </c>
      <c r="J316" s="1" t="n">
        <f aca="false">IF(J313&gt;0,100*(J314+J315)/J313,0)</f>
        <v>43.1764181301429</v>
      </c>
      <c r="K316" s="1" t="n">
        <f aca="false">IF(K313&gt;0,100*(K314+K315)/K313,0)</f>
        <v>48.5381925976792</v>
      </c>
      <c r="L316" s="1" t="n">
        <f aca="false">IF(L313&gt;0,100*(L314+L315)/L313,0)</f>
        <v>53.9558475874622</v>
      </c>
      <c r="M316" s="1" t="n">
        <f aca="false">IF(M313&gt;0,100*(M314+M315)/M313,0)</f>
        <v>59.5202109077667</v>
      </c>
      <c r="N316" s="1" t="n">
        <f aca="false">IF(N313&gt;0,100*(N314+N315)/N313,0)</f>
        <v>62.6580007034018</v>
      </c>
      <c r="O316" s="1" t="n">
        <f aca="false">IF(O313&gt;0,100*(O314+O315)/O313,0)</f>
        <v>63.4498581947295</v>
      </c>
      <c r="P316" s="1" t="n">
        <f aca="false">IF(P313&gt;0,100*(P314+P315)/P313,0)</f>
        <v>63.8104526845868</v>
      </c>
      <c r="Q316" s="1" t="n">
        <f aca="false">IF(Q313&gt;0,100*(Q314+Q315)/Q313,0)</f>
        <v>63.783050316463</v>
      </c>
      <c r="R316" s="1" t="n">
        <f aca="false">IF(R313&gt;0,100*(R314+R315)/R313,0)</f>
        <v>63.5294261350086</v>
      </c>
      <c r="S316" s="1" t="n">
        <f aca="false">IF(S313&gt;0,100*(S314+S315)/S313,0)</f>
        <v>63.139035567905</v>
      </c>
      <c r="T316" s="1" t="n">
        <f aca="false">IF(T313&gt;0,100*(T314+T315)/T313,0)</f>
        <v>62.6814653514032</v>
      </c>
      <c r="U316" s="1" t="n">
        <f aca="false">IF(U313&gt;0,100*(U314+U315)/U313,0)</f>
        <v>62.3462225004856</v>
      </c>
      <c r="V316" s="1" t="n">
        <f aca="false">IF(V313&gt;0,100*(V314+V315)/V313,0)</f>
        <v>61.7859330694957</v>
      </c>
      <c r="W316" s="1" t="n">
        <f aca="false">IF(W313&gt;0,100*(W314+W315)/W313,0)</f>
        <v>61.2544528122486</v>
      </c>
      <c r="X316" s="1" t="n">
        <f aca="false">IF(X313&gt;0,100*(X314+X315)/X313,0)</f>
        <v>60.7908058858883</v>
      </c>
      <c r="Y316" s="1" t="n">
        <f aca="false">IF(Y313&gt;0,100*(Y314+Y315)/Y313,0)</f>
        <v>60.3873667241589</v>
      </c>
      <c r="Z316" s="1" t="n">
        <f aca="false">IF(Z313&gt;0,100*(Z314+Z315)/Z313,0)</f>
        <v>60.0376418470209</v>
      </c>
      <c r="AA316" s="1" t="n">
        <f aca="false">IF(AA313&gt;0,100*(AA314+AA315)/AA313,0)</f>
        <v>59.7360734319663</v>
      </c>
      <c r="AB316" s="1" t="n">
        <f aca="false">IF(AB313&gt;0,100*(AB314+AB315)/AB313,0)</f>
        <v>64.0810720538439</v>
      </c>
      <c r="AC316" s="1" t="n">
        <f aca="false">IF(AC313&gt;0,100*(AC314+AC315)/AC313,0)</f>
        <v>68.5472684655457</v>
      </c>
      <c r="AD316" s="1" t="n">
        <f aca="false">IF(AD313&gt;0,100*(AD314+AD315)/AD313,0)</f>
        <v>73.1425001376781</v>
      </c>
      <c r="AE316" s="1" t="n">
        <f aca="false">IF(AE313&gt;0,100*(AE314+AE315)/AE313,0)</f>
        <v>77.874616126144</v>
      </c>
      <c r="AF316" s="1" t="n">
        <f aca="false">IF(AF313&gt;0,100*(AF314+AF315)/AF313,0)</f>
        <v>82.7515172786458</v>
      </c>
    </row>
    <row r="318" customFormat="false" ht="14.25" hidden="false" customHeight="true" outlineLevel="0" collapsed="false">
      <c r="B318" s="146"/>
    </row>
    <row r="319" customFormat="false" ht="14.25" hidden="false" customHeight="true" outlineLevel="0" collapsed="false"/>
    <row r="320" customFormat="false" ht="14.25" hidden="false" customHeight="true" outlineLevel="0" collapsed="false"/>
    <row r="321" customFormat="false" ht="14.25" hidden="false" customHeight="true" outlineLevel="0" collapsed="false"/>
    <row r="322" customFormat="false" ht="14.25" hidden="false" customHeight="true" outlineLevel="0" collapsed="false"/>
    <row r="323" customFormat="false" ht="14.25" hidden="false" customHeight="true" outlineLevel="0" collapsed="false"/>
    <row r="330" customFormat="false" ht="14.25" hidden="false" customHeight="true" outlineLevel="0" collapsed="false">
      <c r="B330" s="1" t="s">
        <v>1323</v>
      </c>
      <c r="C330" s="1" t="n">
        <f aca="false">C343</f>
        <v>0</v>
      </c>
      <c r="D330" s="1" t="n">
        <f aca="false">D343</f>
        <v>0.0512282804947994</v>
      </c>
      <c r="E330" s="1" t="n">
        <f aca="false">E343</f>
        <v>0.133372615723114</v>
      </c>
      <c r="F330" s="1" t="n">
        <f aca="false">F343</f>
        <v>0.231158478565312</v>
      </c>
      <c r="G330" s="1" t="n">
        <f aca="false">G343</f>
        <v>0.291194337841878</v>
      </c>
      <c r="H330" s="1" t="n">
        <f aca="false">H343</f>
        <v>0.354271907272695</v>
      </c>
      <c r="I330" s="1" t="n">
        <f aca="false">I343</f>
        <v>0.432980403546143</v>
      </c>
      <c r="J330" s="1" t="n">
        <f aca="false">J343</f>
        <v>0.522340937364765</v>
      </c>
      <c r="K330" s="1" t="n">
        <f aca="false">K343</f>
        <v>0.621414906054605</v>
      </c>
      <c r="L330" s="1" t="n">
        <f aca="false">L343</f>
        <v>0.754451967930845</v>
      </c>
      <c r="M330" s="1" t="n">
        <f aca="false">M343</f>
        <v>0.890884038148588</v>
      </c>
      <c r="N330" s="1" t="n">
        <f aca="false">N343</f>
        <v>1.12614862715678</v>
      </c>
      <c r="O330" s="1" t="n">
        <f aca="false">O343</f>
        <v>1.2708840723162</v>
      </c>
      <c r="P330" s="1" t="n">
        <f aca="false">P343</f>
        <v>1.29788664403691</v>
      </c>
      <c r="Q330" s="1" t="n">
        <f aca="false">Q343</f>
        <v>1.32662819778597</v>
      </c>
      <c r="R330" s="1" t="n">
        <f aca="false">R343</f>
        <v>1.35712781220328</v>
      </c>
      <c r="S330" s="1" t="n">
        <f aca="false">S343</f>
        <v>1.38919087866152</v>
      </c>
      <c r="T330" s="1" t="n">
        <f aca="false">T343</f>
        <v>1.42266154459471</v>
      </c>
      <c r="U330" s="1" t="n">
        <f aca="false">U343</f>
        <v>1.45741107071414</v>
      </c>
      <c r="V330" s="1" t="n">
        <f aca="false">V343</f>
        <v>1.49304706478791</v>
      </c>
      <c r="W330" s="1" t="n">
        <f aca="false">W343</f>
        <v>1.5175894583716</v>
      </c>
      <c r="X330" s="1" t="n">
        <f aca="false">X343</f>
        <v>1.53998410050987</v>
      </c>
      <c r="Y330" s="1" t="n">
        <f aca="false">Y343</f>
        <v>1.5619106661147</v>
      </c>
      <c r="Z330" s="1" t="n">
        <f aca="false">Z343</f>
        <v>1.58337049250108</v>
      </c>
      <c r="AA330" s="1" t="n">
        <f aca="false">AA343</f>
        <v>1.60436495674081</v>
      </c>
      <c r="AB330" s="1" t="n">
        <f aca="false">AB343</f>
        <v>1.62489547293318</v>
      </c>
      <c r="AC330" s="1" t="n">
        <f aca="false">AC343</f>
        <v>1.63934182787582</v>
      </c>
      <c r="AD330" s="1" t="n">
        <f aca="false">AD343</f>
        <v>1.65355094112614</v>
      </c>
      <c r="AE330" s="1" t="n">
        <f aca="false">AE343</f>
        <v>1.66751177235102</v>
      </c>
      <c r="AF330" s="1" t="n">
        <f aca="false">AF343</f>
        <v>1.6812138082504</v>
      </c>
    </row>
    <row r="331" customFormat="false" ht="14.25" hidden="false" customHeight="true" outlineLevel="0" collapsed="false">
      <c r="B331" s="1" t="s">
        <v>1324</v>
      </c>
      <c r="C331" s="1" t="n">
        <f aca="false">C330*$C$338</f>
        <v>0</v>
      </c>
      <c r="D331" s="1" t="n">
        <f aca="false">D330*$C$338</f>
        <v>0</v>
      </c>
      <c r="E331" s="1" t="n">
        <f aca="false">E330*$C$338</f>
        <v>0</v>
      </c>
      <c r="F331" s="1" t="n">
        <f aca="false">F330*$C$338</f>
        <v>0</v>
      </c>
      <c r="G331" s="1" t="n">
        <f aca="false">G330*$C$338</f>
        <v>0</v>
      </c>
      <c r="H331" s="1" t="n">
        <f aca="false">H330*$C$338</f>
        <v>0</v>
      </c>
      <c r="I331" s="1" t="n">
        <f aca="false">I330*$C$338</f>
        <v>0</v>
      </c>
      <c r="J331" s="1" t="n">
        <f aca="false">J330*$C$338</f>
        <v>0</v>
      </c>
      <c r="K331" s="1" t="n">
        <f aca="false">K330*$C$338</f>
        <v>0</v>
      </c>
      <c r="L331" s="1" t="n">
        <f aca="false">L330*$C$338</f>
        <v>0</v>
      </c>
      <c r="M331" s="1" t="n">
        <f aca="false">M330*$C$338</f>
        <v>0</v>
      </c>
      <c r="N331" s="1" t="n">
        <f aca="false">N330*$C$338</f>
        <v>0</v>
      </c>
      <c r="O331" s="1" t="n">
        <f aca="false">O330*$C$338</f>
        <v>0</v>
      </c>
      <c r="P331" s="1" t="n">
        <f aca="false">P330*$C$338</f>
        <v>0</v>
      </c>
      <c r="Q331" s="1" t="n">
        <f aca="false">Q330*$C$338</f>
        <v>0</v>
      </c>
      <c r="R331" s="1" t="n">
        <f aca="false">R330*$C$338</f>
        <v>0</v>
      </c>
      <c r="S331" s="1" t="n">
        <f aca="false">S330*$C$338</f>
        <v>0</v>
      </c>
      <c r="T331" s="1" t="n">
        <f aca="false">T330*$C$338</f>
        <v>0</v>
      </c>
      <c r="U331" s="1" t="n">
        <f aca="false">U330*$C$338</f>
        <v>0</v>
      </c>
      <c r="V331" s="1" t="n">
        <f aca="false">V330*$C$338</f>
        <v>0</v>
      </c>
      <c r="W331" s="1" t="n">
        <f aca="false">W330*$C$338</f>
        <v>0</v>
      </c>
      <c r="X331" s="1" t="n">
        <f aca="false">X330*$C$338</f>
        <v>0</v>
      </c>
      <c r="Y331" s="1" t="n">
        <f aca="false">Y330*$C$338</f>
        <v>0</v>
      </c>
      <c r="Z331" s="1" t="n">
        <f aca="false">Z330*$C$338</f>
        <v>0</v>
      </c>
      <c r="AA331" s="1" t="n">
        <f aca="false">AA330*$C$338</f>
        <v>0</v>
      </c>
      <c r="AB331" s="1" t="n">
        <f aca="false">AB330*$C$338</f>
        <v>0</v>
      </c>
      <c r="AC331" s="1" t="n">
        <f aca="false">AC330*$C$338</f>
        <v>0</v>
      </c>
      <c r="AD331" s="1" t="n">
        <f aca="false">AD330*$C$338</f>
        <v>0</v>
      </c>
      <c r="AE331" s="1" t="n">
        <f aca="false">AE330*$C$338</f>
        <v>0</v>
      </c>
      <c r="AF331" s="1" t="n">
        <f aca="false">AF330*$C$338</f>
        <v>0</v>
      </c>
    </row>
    <row r="332" customFormat="false" ht="14.25" hidden="false" customHeight="true" outlineLevel="0" collapsed="false">
      <c r="B332" s="1" t="s">
        <v>1325</v>
      </c>
      <c r="C332" s="1" t="n">
        <f aca="false">IF($C$339&lt;=0,C331,IF($C$339=1,0,0))</f>
        <v>0</v>
      </c>
      <c r="D332" s="1" t="n">
        <f aca="false">IF($C$339&lt;=0,D331,IF($C$339=1,C331,0))</f>
        <v>0</v>
      </c>
      <c r="E332" s="1" t="n">
        <f aca="false">IF($C$339&lt;=0,E331,IF($C$339=1,D331,C331))</f>
        <v>0</v>
      </c>
      <c r="F332" s="1" t="n">
        <f aca="false">IF($C$339&lt;=0,F331,IF($C$339=1,E331,D331))</f>
        <v>0</v>
      </c>
      <c r="G332" s="1" t="n">
        <f aca="false">IF($C$339&lt;=0,G331,IF($C$339=1,F331,E331))</f>
        <v>0</v>
      </c>
      <c r="H332" s="1" t="n">
        <f aca="false">IF($C$339&lt;=0,H331,IF($C$339=1,G331,F331))</f>
        <v>0</v>
      </c>
      <c r="I332" s="1" t="n">
        <f aca="false">IF($C$339&lt;=0,I331,IF($C$339=1,H331,G331))</f>
        <v>0</v>
      </c>
      <c r="J332" s="1" t="n">
        <f aca="false">IF($C$339&lt;=0,J331,IF($C$339=1,I331,H331))</f>
        <v>0</v>
      </c>
      <c r="K332" s="1" t="n">
        <f aca="false">IF($C$339&lt;=0,K331,IF($C$339=1,J331,I331))</f>
        <v>0</v>
      </c>
      <c r="L332" s="1" t="n">
        <f aca="false">IF($C$339&lt;=0,L331,IF($C$339=1,K331,J331))</f>
        <v>0</v>
      </c>
      <c r="M332" s="1" t="n">
        <f aca="false">IF($C$339&lt;=0,M331,IF($C$339=1,L331,K331))</f>
        <v>0</v>
      </c>
      <c r="N332" s="1" t="n">
        <f aca="false">IF($C$339&lt;=0,N331,IF($C$339=1,M331,L331))</f>
        <v>0</v>
      </c>
      <c r="O332" s="1" t="n">
        <f aca="false">IF($C$339&lt;=0,O331,IF($C$339=1,N331,M331))</f>
        <v>0</v>
      </c>
      <c r="P332" s="1" t="n">
        <f aca="false">IF($C$339&lt;=0,P331,IF($C$339=1,O331,N331))</f>
        <v>0</v>
      </c>
      <c r="Q332" s="1" t="n">
        <f aca="false">IF($C$339&lt;=0,Q331,IF($C$339=1,P331,O331))</f>
        <v>0</v>
      </c>
      <c r="R332" s="1" t="n">
        <f aca="false">IF($C$339&lt;=0,R331,IF($C$339=1,Q331,P331))</f>
        <v>0</v>
      </c>
      <c r="S332" s="1" t="n">
        <f aca="false">IF($C$339&lt;=0,S331,IF($C$339=1,R331,Q331))</f>
        <v>0</v>
      </c>
      <c r="T332" s="1" t="n">
        <f aca="false">IF($C$339&lt;=0,T331,IF($C$339=1,S331,R331))</f>
        <v>0</v>
      </c>
      <c r="U332" s="1" t="n">
        <f aca="false">IF($C$339&lt;=0,U331,IF($C$339=1,T331,S331))</f>
        <v>0</v>
      </c>
      <c r="V332" s="1" t="n">
        <f aca="false">IF($C$339&lt;=0,V331,IF($C$339=1,U331,T331))</f>
        <v>0</v>
      </c>
      <c r="W332" s="1" t="n">
        <f aca="false">IF($C$339&lt;=0,W331,IF($C$339=1,V331,U331))</f>
        <v>0</v>
      </c>
      <c r="X332" s="1" t="n">
        <f aca="false">IF($C$339&lt;=0,X331,IF($C$339=1,W331,V331))</f>
        <v>0</v>
      </c>
      <c r="Y332" s="1" t="n">
        <f aca="false">IF($C$339&lt;=0,Y331,IF($C$339=1,X331,W331))</f>
        <v>0</v>
      </c>
      <c r="Z332" s="1" t="n">
        <f aca="false">IF($C$339&lt;=0,Z331,IF($C$339=1,Y331,X331))</f>
        <v>0</v>
      </c>
      <c r="AA332" s="1" t="n">
        <f aca="false">IF($C$339&lt;=0,AA331,IF($C$339=1,Z331,Y331))</f>
        <v>0</v>
      </c>
      <c r="AB332" s="1" t="n">
        <f aca="false">IF($C$339&lt;=0,AB331,IF($C$339=1,AA331,Z331))</f>
        <v>0</v>
      </c>
      <c r="AC332" s="1" t="n">
        <f aca="false">IF($C$339&lt;=0,AC331,IF($C$339=1,AB331,AA331))</f>
        <v>0</v>
      </c>
      <c r="AD332" s="1" t="n">
        <f aca="false">IF($C$339&lt;=0,AD331,IF($C$339=1,AC331,AB331))</f>
        <v>0</v>
      </c>
      <c r="AE332" s="1" t="n">
        <f aca="false">IF($C$339&lt;=0,AE331,IF($C$339=1,AD331,AC331))</f>
        <v>0</v>
      </c>
      <c r="AF332" s="1" t="n">
        <f aca="false">IF($C$339&lt;=0,AF331,IF($C$339=1,AE331,AD331))</f>
        <v>0</v>
      </c>
    </row>
    <row r="333" customFormat="false" ht="14.25" hidden="false" customHeight="true" outlineLevel="0" collapsed="false">
      <c r="B333" s="1" t="s">
        <v>1326</v>
      </c>
      <c r="C333" s="1" t="n">
        <f aca="false">C330-C331</f>
        <v>0</v>
      </c>
      <c r="D333" s="1" t="n">
        <f aca="false">D330-D331</f>
        <v>0.0512282804947994</v>
      </c>
      <c r="E333" s="1" t="n">
        <f aca="false">E330-E331</f>
        <v>0.133372615723114</v>
      </c>
      <c r="F333" s="1" t="n">
        <f aca="false">F330-F331</f>
        <v>0.231158478565312</v>
      </c>
      <c r="G333" s="1" t="n">
        <f aca="false">G330-G331</f>
        <v>0.291194337841878</v>
      </c>
      <c r="H333" s="1" t="n">
        <f aca="false">H330-H331</f>
        <v>0.354271907272695</v>
      </c>
      <c r="I333" s="1" t="n">
        <f aca="false">I330-I331</f>
        <v>0.432980403546143</v>
      </c>
      <c r="J333" s="1" t="n">
        <f aca="false">J330-J331</f>
        <v>0.522340937364765</v>
      </c>
      <c r="K333" s="1" t="n">
        <f aca="false">K330-K331</f>
        <v>0.621414906054605</v>
      </c>
      <c r="L333" s="1" t="n">
        <f aca="false">L330-L331</f>
        <v>0.754451967930845</v>
      </c>
      <c r="M333" s="1" t="n">
        <f aca="false">M330-M331</f>
        <v>0.890884038148588</v>
      </c>
      <c r="N333" s="1" t="n">
        <f aca="false">N330-N331</f>
        <v>1.12614862715678</v>
      </c>
      <c r="O333" s="1" t="n">
        <f aca="false">O330-O331</f>
        <v>1.2708840723162</v>
      </c>
      <c r="P333" s="1" t="n">
        <f aca="false">P330-P331</f>
        <v>1.29788664403691</v>
      </c>
      <c r="Q333" s="1" t="n">
        <f aca="false">Q330-Q331</f>
        <v>1.32662819778597</v>
      </c>
      <c r="R333" s="1" t="n">
        <f aca="false">R330-R331</f>
        <v>1.35712781220328</v>
      </c>
      <c r="S333" s="1" t="n">
        <f aca="false">S330-S331</f>
        <v>1.38919087866152</v>
      </c>
      <c r="T333" s="1" t="n">
        <f aca="false">T330-T331</f>
        <v>1.42266154459471</v>
      </c>
      <c r="U333" s="1" t="n">
        <f aca="false">U330-U331</f>
        <v>1.45741107071414</v>
      </c>
      <c r="V333" s="1" t="n">
        <f aca="false">V330-V331</f>
        <v>1.49304706478791</v>
      </c>
      <c r="W333" s="1" t="n">
        <f aca="false">W330-W331</f>
        <v>1.5175894583716</v>
      </c>
      <c r="X333" s="1" t="n">
        <f aca="false">X330-X331</f>
        <v>1.53998410050987</v>
      </c>
      <c r="Y333" s="1" t="n">
        <f aca="false">Y330-Y331</f>
        <v>1.5619106661147</v>
      </c>
      <c r="Z333" s="1" t="n">
        <f aca="false">Z330-Z331</f>
        <v>1.58337049250108</v>
      </c>
      <c r="AA333" s="1" t="n">
        <f aca="false">AA330-AA331</f>
        <v>1.60436495674081</v>
      </c>
      <c r="AB333" s="1" t="n">
        <f aca="false">AB330-AB331</f>
        <v>1.62489547293318</v>
      </c>
      <c r="AC333" s="1" t="n">
        <f aca="false">AC330-AC331</f>
        <v>1.63934182787582</v>
      </c>
      <c r="AD333" s="1" t="n">
        <f aca="false">AD330-AD331</f>
        <v>1.65355094112614</v>
      </c>
      <c r="AE333" s="1" t="n">
        <f aca="false">AE330-AE331</f>
        <v>1.66751177235102</v>
      </c>
      <c r="AF333" s="1" t="n">
        <f aca="false">AF330-AF331</f>
        <v>1.6812138082504</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v>0</v>
      </c>
      <c r="D338" s="1" t="s">
        <v>1368</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0.0215158778078157</v>
      </c>
      <c r="E341" s="1" t="n">
        <f aca="false">D284*$C$340</f>
        <v>0.0560164986037079</v>
      </c>
      <c r="F341" s="1" t="n">
        <f aca="false">E284*$C$340</f>
        <v>0.097086560997431</v>
      </c>
      <c r="G341" s="1" t="n">
        <f aca="false">F284*$C$340</f>
        <v>0.122301621893589</v>
      </c>
      <c r="H341" s="1" t="n">
        <f aca="false">G284*$C$340</f>
        <v>0.148794201054532</v>
      </c>
      <c r="I341" s="1" t="n">
        <f aca="false">H284*$C$340</f>
        <v>0.18185176948938</v>
      </c>
      <c r="J341" s="1" t="n">
        <f aca="false">I284*$C$340</f>
        <v>0.219383193693201</v>
      </c>
      <c r="K341" s="1" t="n">
        <f aca="false">J284*$C$340</f>
        <v>0.260994260542934</v>
      </c>
      <c r="L341" s="1" t="n">
        <f aca="false">K284*$C$340</f>
        <v>0.316869826530955</v>
      </c>
      <c r="M341" s="1" t="n">
        <f aca="false">L284*$C$340</f>
        <v>0.374171296022407</v>
      </c>
      <c r="N341" s="1" t="n">
        <f aca="false">M284*$C$340</f>
        <v>0.472982423405846</v>
      </c>
      <c r="O341" s="1" t="n">
        <f aca="false">N284*$C$340</f>
        <v>0.533771310372805</v>
      </c>
      <c r="P341" s="1" t="n">
        <f aca="false">O284*$C$340</f>
        <v>0.545112390495504</v>
      </c>
      <c r="Q341" s="1" t="n">
        <f aca="false">P284*$C$340</f>
        <v>0.557183843070107</v>
      </c>
      <c r="R341" s="1" t="n">
        <f aca="false">Q284*$C$340</f>
        <v>0.569993681125375</v>
      </c>
      <c r="S341" s="1" t="n">
        <f aca="false">R284*$C$340</f>
        <v>0.583460169037838</v>
      </c>
      <c r="T341" s="1" t="n">
        <f aca="false">S284*$C$340</f>
        <v>0.597517848729779</v>
      </c>
      <c r="U341" s="1" t="n">
        <f aca="false">T284*$C$340</f>
        <v>0.612112649699939</v>
      </c>
      <c r="V341" s="1" t="n">
        <f aca="false">U284*$C$340</f>
        <v>0.627079767210921</v>
      </c>
      <c r="W341" s="1" t="n">
        <f aca="false">V284*$C$340</f>
        <v>0.637387572516071</v>
      </c>
      <c r="X341" s="1" t="n">
        <f aca="false">W284*$C$340</f>
        <v>0.646793322214143</v>
      </c>
      <c r="Y341" s="1" t="n">
        <f aca="false">X284*$C$340</f>
        <v>0.656002479768174</v>
      </c>
      <c r="Z341" s="1" t="n">
        <f aca="false">Y284*$C$340</f>
        <v>0.665015606850455</v>
      </c>
      <c r="AA341" s="1" t="n">
        <f aca="false">Z284*$C$340</f>
        <v>0.673833281831141</v>
      </c>
      <c r="AB341" s="1" t="n">
        <f aca="false">AA284*$C$340</f>
        <v>0.682456098631937</v>
      </c>
      <c r="AC341" s="1" t="n">
        <f aca="false">AB284*$C$340</f>
        <v>0.688523567707844</v>
      </c>
      <c r="AD341" s="1" t="n">
        <f aca="false">AC284*$C$340</f>
        <v>0.694491395272979</v>
      </c>
      <c r="AE341" s="1" t="n">
        <f aca="false">AD284*$C$340</f>
        <v>0.700354944387429</v>
      </c>
      <c r="AF341" s="1" t="n">
        <f aca="false">AE284*$C$340</f>
        <v>0.706109799465169</v>
      </c>
    </row>
    <row r="342" customFormat="false" ht="14.25" hidden="false" customHeight="true" outlineLevel="0" collapsed="false">
      <c r="B342" s="1" t="s">
        <v>1336</v>
      </c>
      <c r="C342" s="1" t="n">
        <f aca="false">0*$C$340</f>
        <v>0</v>
      </c>
      <c r="D342" s="1" t="n">
        <f aca="false">C289*$C$340</f>
        <v>0.0297124026869837</v>
      </c>
      <c r="E342" s="1" t="n">
        <f aca="false">D289*$C$340</f>
        <v>0.0773561171194062</v>
      </c>
      <c r="F342" s="1" t="n">
        <f aca="false">E289*$C$340</f>
        <v>0.134071917567881</v>
      </c>
      <c r="G342" s="1" t="n">
        <f aca="false">F289*$C$340</f>
        <v>0.168892715948289</v>
      </c>
      <c r="H342" s="1" t="n">
        <f aca="false">G289*$C$340</f>
        <v>0.205477706218163</v>
      </c>
      <c r="I342" s="1" t="n">
        <f aca="false">H289*$C$340</f>
        <v>0.251128634056763</v>
      </c>
      <c r="J342" s="1" t="n">
        <f aca="false">I289*$C$340</f>
        <v>0.302957743671564</v>
      </c>
      <c r="K342" s="1" t="n">
        <f aca="false">J289*$C$340</f>
        <v>0.360420645511671</v>
      </c>
      <c r="L342" s="1" t="n">
        <f aca="false">K289*$C$340</f>
        <v>0.43758214139989</v>
      </c>
      <c r="M342" s="1" t="n">
        <f aca="false">L289*$C$340</f>
        <v>0.516712742126181</v>
      </c>
      <c r="N342" s="1" t="n">
        <f aca="false">M289*$C$340</f>
        <v>0.65316620375093</v>
      </c>
      <c r="O342" s="1" t="n">
        <f aca="false">N289*$C$340</f>
        <v>0.737112761943398</v>
      </c>
      <c r="P342" s="1" t="n">
        <f aca="false">O289*$C$340</f>
        <v>0.752774253541411</v>
      </c>
      <c r="Q342" s="1" t="n">
        <f aca="false">P289*$C$340</f>
        <v>0.769444354715862</v>
      </c>
      <c r="R342" s="1" t="n">
        <f aca="false">Q289*$C$340</f>
        <v>0.7871341310779</v>
      </c>
      <c r="S342" s="1" t="n">
        <f aca="false">R289*$C$340</f>
        <v>0.805730709623681</v>
      </c>
      <c r="T342" s="1" t="n">
        <f aca="false">S289*$C$340</f>
        <v>0.825143695864933</v>
      </c>
      <c r="U342" s="1" t="n">
        <f aca="false">T289*$C$340</f>
        <v>0.845298421014202</v>
      </c>
      <c r="V342" s="1" t="n">
        <f aca="false">U289*$C$340</f>
        <v>0.865967297576986</v>
      </c>
      <c r="W342" s="1" t="n">
        <f aca="false">V289*$C$340</f>
        <v>0.880201885855527</v>
      </c>
      <c r="X342" s="1" t="n">
        <f aca="false">W289*$C$340</f>
        <v>0.893190778295722</v>
      </c>
      <c r="Y342" s="1" t="n">
        <f aca="false">X289*$C$340</f>
        <v>0.905908186346525</v>
      </c>
      <c r="Z342" s="1" t="n">
        <f aca="false">Y289*$C$340</f>
        <v>0.918354885650628</v>
      </c>
      <c r="AA342" s="1" t="n">
        <f aca="false">Z289*$C$340</f>
        <v>0.930531674909671</v>
      </c>
      <c r="AB342" s="1" t="n">
        <f aca="false">AA289*$C$340</f>
        <v>0.942439374301246</v>
      </c>
      <c r="AC342" s="1" t="n">
        <f aca="false">AB289*$C$340</f>
        <v>0.950818260167975</v>
      </c>
      <c r="AD342" s="1" t="n">
        <f aca="false">AC289*$C$340</f>
        <v>0.959059545853162</v>
      </c>
      <c r="AE342" s="1" t="n">
        <f aca="false">AD289*$C$340</f>
        <v>0.967156827963592</v>
      </c>
      <c r="AF342" s="1" t="n">
        <f aca="false">AE289*$C$340</f>
        <v>0.975104008785234</v>
      </c>
    </row>
    <row r="343" customFormat="false" ht="14.25" hidden="false" customHeight="true" outlineLevel="0" collapsed="false">
      <c r="B343" s="1" t="s">
        <v>1337</v>
      </c>
      <c r="C343" s="1" t="n">
        <f aca="false">C341+C342</f>
        <v>0</v>
      </c>
      <c r="D343" s="1" t="n">
        <f aca="false">D341+D342</f>
        <v>0.0512282804947994</v>
      </c>
      <c r="E343" s="1" t="n">
        <f aca="false">E341+E342</f>
        <v>0.133372615723114</v>
      </c>
      <c r="F343" s="1" t="n">
        <f aca="false">F341+F342</f>
        <v>0.231158478565312</v>
      </c>
      <c r="G343" s="1" t="n">
        <f aca="false">G341+G342</f>
        <v>0.291194337841878</v>
      </c>
      <c r="H343" s="1" t="n">
        <f aca="false">H341+H342</f>
        <v>0.354271907272695</v>
      </c>
      <c r="I343" s="1" t="n">
        <f aca="false">I341+I342</f>
        <v>0.432980403546143</v>
      </c>
      <c r="J343" s="1" t="n">
        <f aca="false">J341+J342</f>
        <v>0.522340937364765</v>
      </c>
      <c r="K343" s="1" t="n">
        <f aca="false">K341+K342</f>
        <v>0.621414906054605</v>
      </c>
      <c r="L343" s="1" t="n">
        <f aca="false">L341+L342</f>
        <v>0.754451967930845</v>
      </c>
      <c r="M343" s="1" t="n">
        <f aca="false">M341+M342</f>
        <v>0.890884038148588</v>
      </c>
      <c r="N343" s="1" t="n">
        <f aca="false">N341+N342</f>
        <v>1.12614862715678</v>
      </c>
      <c r="O343" s="1" t="n">
        <f aca="false">O341+O342</f>
        <v>1.2708840723162</v>
      </c>
      <c r="P343" s="1" t="n">
        <f aca="false">P341+P342</f>
        <v>1.29788664403691</v>
      </c>
      <c r="Q343" s="1" t="n">
        <f aca="false">Q341+Q342</f>
        <v>1.32662819778597</v>
      </c>
      <c r="R343" s="1" t="n">
        <f aca="false">R341+R342</f>
        <v>1.35712781220328</v>
      </c>
      <c r="S343" s="1" t="n">
        <f aca="false">S341+S342</f>
        <v>1.38919087866152</v>
      </c>
      <c r="T343" s="1" t="n">
        <f aca="false">T341+T342</f>
        <v>1.42266154459471</v>
      </c>
      <c r="U343" s="1" t="n">
        <f aca="false">U341+U342</f>
        <v>1.45741107071414</v>
      </c>
      <c r="V343" s="1" t="n">
        <f aca="false">V341+V342</f>
        <v>1.49304706478791</v>
      </c>
      <c r="W343" s="1" t="n">
        <f aca="false">W341+W342</f>
        <v>1.5175894583716</v>
      </c>
      <c r="X343" s="1" t="n">
        <f aca="false">X341+X342</f>
        <v>1.53998410050987</v>
      </c>
      <c r="Y343" s="1" t="n">
        <f aca="false">Y341+Y342</f>
        <v>1.5619106661147</v>
      </c>
      <c r="Z343" s="1" t="n">
        <f aca="false">Z341+Z342</f>
        <v>1.58337049250108</v>
      </c>
      <c r="AA343" s="1" t="n">
        <f aca="false">AA341+AA342</f>
        <v>1.60436495674081</v>
      </c>
      <c r="AB343" s="1" t="n">
        <f aca="false">AB341+AB342</f>
        <v>1.62489547293318</v>
      </c>
      <c r="AC343" s="1" t="n">
        <f aca="false">AC341+AC342</f>
        <v>1.63934182787582</v>
      </c>
      <c r="AD343" s="1" t="n">
        <f aca="false">AD341+AD342</f>
        <v>1.65355094112614</v>
      </c>
      <c r="AE343" s="1" t="n">
        <f aca="false">AE341+AE342</f>
        <v>1.66751177235102</v>
      </c>
      <c r="AF343" s="1" t="n">
        <f aca="false">AF341+AF342</f>
        <v>1.6812138082504</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0</v>
      </c>
      <c r="AC345" s="1" t="n">
        <f aca="false">IF(AND(AC$39&gt;=4,AC$39&lt;=01_Supuestos!$I$145,01_Supuestos!$C$200="Sí"),IF(AB122&gt;=01_Supuestos!$C$201,01_Supuestos!$C$202*01_Supuestos!$I$89/1000000000000,0),0)</f>
        <v>0</v>
      </c>
      <c r="AD345" s="1" t="n">
        <f aca="false">IF(AND(AD$39&gt;=4,AD$39&lt;=01_Supuestos!$I$145,01_Supuestos!$C$200="Sí"),IF(AC122&gt;=01_Supuestos!$C$201,01_Supuestos!$C$202*01_Supuestos!$I$89/1000000000000,0),0)</f>
        <v>0</v>
      </c>
      <c r="AE345" s="1" t="n">
        <f aca="false">IF(AND(AE$39&gt;=4,AE$39&lt;=01_Supuestos!$I$145,01_Supuestos!$C$200="Sí"),IF(AD122&gt;=01_Supuestos!$C$201,01_Supuestos!$C$202*01_Supuestos!$I$89/1000000000000,0),0)</f>
        <v>0</v>
      </c>
      <c r="AF345" s="1" t="n">
        <f aca="false">IF(AND(AF$39&gt;=4,AF$39&lt;=01_Supuestos!$I$145,01_Supuestos!$C$200="Sí"),IF(AE122&gt;=01_Supuestos!$C$201,01_Supuestos!$C$202*01_Supuestos!$I$89/1000000000000,0),0)</f>
        <v>0</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1.134486</v>
      </c>
      <c r="AC346" s="1" t="n">
        <f aca="false">IF(AND(AC$39&gt;=4,AC$39&lt;=01_Supuestos!$I$145,01_Supuestos!$C$200="Sí"),IF(AB122&lt;01_Supuestos!$C$201,01_Supuestos!$C$202*01_Supuestos!$I$89/1000000000000,0),0)</f>
        <v>1.134486</v>
      </c>
      <c r="AD346" s="1" t="n">
        <f aca="false">IF(AND(AD$39&gt;=4,AD$39&lt;=01_Supuestos!$I$145,01_Supuestos!$C$200="Sí"),IF(AC122&lt;01_Supuestos!$C$201,01_Supuestos!$C$202*01_Supuestos!$I$89/1000000000000,0),0)</f>
        <v>1.134486</v>
      </c>
      <c r="AE346" s="1" t="n">
        <f aca="false">IF(AND(AE$39&gt;=4,AE$39&lt;=01_Supuestos!$I$145,01_Supuestos!$C$200="Sí"),IF(AD122&lt;01_Supuestos!$C$201,01_Supuestos!$C$202*01_Supuestos!$I$89/1000000000000,0),0)</f>
        <v>1.134486</v>
      </c>
      <c r="AF346" s="1" t="n">
        <f aca="false">IF(AND(AF$39&gt;=4,AF$39&lt;=01_Supuestos!$I$145,01_Supuestos!$C$200="Sí"),IF(AE122&lt;01_Supuestos!$C$201,01_Supuestos!$C$202*01_Supuestos!$I$89/1000000000000,0),0)</f>
        <v>1.134486</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1</v>
      </c>
      <c r="AC347" s="1" t="n">
        <f aca="false">AB347+IF(AC346&gt;0,1,0)</f>
        <v>2</v>
      </c>
      <c r="AD347" s="1" t="n">
        <f aca="false">AC347+IF(AD346&gt;0,1,0)</f>
        <v>3</v>
      </c>
      <c r="AE347" s="1" t="n">
        <f aca="false">AD347+IF(AE346&gt;0,1,0)</f>
        <v>4</v>
      </c>
      <c r="AF347" s="1" t="n">
        <f aca="false">AE347+IF(AF346&gt;0,1,0)</f>
        <v>5</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1369</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0.0065</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1357</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1019</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5</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11.440447555496</v>
      </c>
      <c r="D48" s="116" t="n">
        <f aca="false">SUMPRODUCT(($C$39:$BT$39&gt;=D$39-$C$29+1)*($C$39:$BT$39&lt;=D$39)*($C$45:$BT$45))/$C$29+D47</f>
        <v>18.433684727896</v>
      </c>
      <c r="E48" s="116" t="n">
        <f aca="false">SUMPRODUCT(($C$39:$BT$39&gt;=E$39-$C$29+1)*($C$39:$BT$39&lt;=E$39)*($C$45:$BT$45))/$C$29+E47</f>
        <v>24.380839607896</v>
      </c>
      <c r="F48" s="116" t="n">
        <f aca="false">SUMPRODUCT(($C$39:$BT$39&gt;=F$39-$C$29+1)*($C$39:$BT$39&lt;=F$39)*($C$45:$BT$45))/$C$29+F47</f>
        <v>40.7905342941664</v>
      </c>
      <c r="G48" s="116" t="n">
        <f aca="false">SUMPRODUCT(($C$39:$BT$39&gt;=G$39-$C$29+1)*($C$39:$BT$39&lt;=G$39)*($C$45:$BT$45))/$C$29+G47</f>
        <v>40.7905342941664</v>
      </c>
      <c r="H48" s="116" t="n">
        <f aca="false">SUMPRODUCT(($C$39:$BT$39&gt;=H$39-$C$29+1)*($C$39:$BT$39&lt;=H$39)*($C$45:$BT$45))/$C$29+H47</f>
        <v>29.3500867386704</v>
      </c>
      <c r="I48" s="116" t="n">
        <f aca="false">SUMPRODUCT(($C$39:$BT$39&gt;=I$39-$C$29+1)*($C$39:$BT$39&lt;=I$39)*($C$45:$BT$45))/$C$29+I47</f>
        <v>22.3568495662704</v>
      </c>
      <c r="J48" s="116" t="n">
        <f aca="false">SUMPRODUCT(($C$39:$BT$39&gt;=J$39-$C$29+1)*($C$39:$BT$39&lt;=J$39)*($C$45:$BT$45))/$C$29+J47</f>
        <v>16.4096946862704</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9.1280816</v>
      </c>
      <c r="G49" s="116" t="n">
        <f aca="false">SUMPRODUCT(($C$39:$BT$39&gt;=G$39-$C$29+1)*($C$39:$BT$39&lt;=G$39)*($C$46:$BT$46))/$C$29</f>
        <v>9.1280816</v>
      </c>
      <c r="H49" s="116" t="n">
        <f aca="false">SUMPRODUCT(($C$39:$BT$39&gt;=H$39-$C$29+1)*($C$39:$BT$39&lt;=H$39)*($C$46:$BT$46))/$C$29</f>
        <v>9.1280816</v>
      </c>
      <c r="I49" s="116" t="n">
        <f aca="false">SUMPRODUCT(($C$39:$BT$39&gt;=I$39-$C$29+1)*($C$39:$BT$39&lt;=I$39)*($C$46:$BT$46))/$C$29</f>
        <v>9.1280816</v>
      </c>
      <c r="J49" s="116" t="n">
        <f aca="false">SUMPRODUCT(($C$39:$BT$39&gt;=J$39-$C$29+1)*($C$39:$BT$39&lt;=J$39)*($C$46:$BT$46))/$C$29</f>
        <v>9.1280816</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3.230422220638</v>
      </c>
      <c r="AC50" s="116" t="n">
        <f aca="false">IF($C$6="Sí",23_v67_Intermedio!AC24,22_v67_Prudente!AC24)-AC194+AC345</f>
        <v>3.130322136886</v>
      </c>
      <c r="AD50" s="116" t="n">
        <f aca="false">IF($C$6="Sí",23_v67_Intermedio!AD24,22_v67_Prudente!AD24)-AD194+AD345</f>
        <v>1.895736053134</v>
      </c>
      <c r="AE50" s="116" t="n">
        <f aca="false">IF($C$6="Sí",23_v67_Intermedio!AE24,22_v67_Prudente!AE24)-AE194+AE345</f>
        <v>1.795635969382</v>
      </c>
      <c r="AF50" s="116" t="n">
        <f aca="false">IF($C$6="Sí",23_v67_Intermedio!AF24,22_v67_Prudente!AF24)-AF194+AF345</f>
        <v>1.69553588563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0.14</v>
      </c>
      <c r="AE55" s="87" t="n">
        <f aca="false">IF($C$13="Sí",IF(AD122&lt;01_Supuestos!$I$138,MIN(AD55+01_Supuestos!$I$139,01_Supuestos!$I$140),IF(AD122&gt;01_Supuestos!$C$159,MAX(AD55-01_Supuestos!$C$160,01_Supuestos!$I$141),AD55)),AD55)</f>
        <v>0.18</v>
      </c>
      <c r="AF55" s="87" t="n">
        <f aca="false">IF($C$13="Sí",IF(AE122&lt;01_Supuestos!$I$138,MIN(AE55+01_Supuestos!$I$139,01_Supuestos!$I$140),IF(AE122&gt;01_Supuestos!$C$159,MAX(AE55-01_Supuestos!$C$160,01_Supuestos!$I$141),AE55)),AE55)</f>
        <v>0.22</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2.91780442741297</v>
      </c>
      <c r="AE56" s="116" t="n">
        <f aca="false">IF($C$11="Libro",AE55*AE54,IF(AE$39&lt;=20,01_Supuestos!$I$26+(01_Supuestos!$I$27-01_Supuestos!$I$26)*(AE$39-1)/19,01_Supuestos!$I$27*IF($C$6="Sí",(1+01_Supuestos!$I$9)^(AE$39-20),1))*AE55/0.1)</f>
        <v>3.84524940612637</v>
      </c>
      <c r="AF56" s="116" t="n">
        <f aca="false">IF($C$11="Libro",AF55*AF54,IF(AF$39&lt;=20,01_Supuestos!$I$26+(01_Supuestos!$I$27-01_Supuestos!$I$26)*(AF$39-1)/19,01_Supuestos!$I$27*IF($C$6="Sí",(1+01_Supuestos!$I$9)^(AF$39-20),1))*AF55/0.1)</f>
        <v>4.81724300600832</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23.0141764313843</v>
      </c>
      <c r="AE62" s="116" t="n">
        <f aca="false">IF($C$25="Verificado",AD62+IF(AE$39=4,01_Supuestos!$I$88*01_Supuestos!$I$89/1000000000000,0)+AE345-AE63,0)</f>
        <v>21.8634676098151</v>
      </c>
      <c r="AF62" s="116" t="n">
        <f aca="false">IF($C$25="Verificado",AE62+IF(AF$39=4,01_Supuestos!$I$88*01_Supuestos!$I$89/1000000000000,0)+AF345-AF63,0)</f>
        <v>20.7702942293243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1.15070882156921</v>
      </c>
      <c r="AF63" s="116" t="n">
        <f aca="false">IF(AND($C$25="Verificado",AF$39&gt;4),AE62/01_Supuestos!$I$22,0)</f>
        <v>1.09317338049075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11.440447555496</v>
      </c>
      <c r="D64" s="116" t="n">
        <f aca="false">D48+D50-D57</f>
        <v>18.433684727896</v>
      </c>
      <c r="E64" s="116" t="n">
        <f aca="false">E48+E50-E57</f>
        <v>24.380839607896</v>
      </c>
      <c r="F64" s="116" t="n">
        <f aca="false">F48+F50-F57</f>
        <v>40.7905342941664</v>
      </c>
      <c r="G64" s="116" t="n">
        <f aca="false">G48+G50-G57</f>
        <v>40.7905342941664</v>
      </c>
      <c r="H64" s="116" t="n">
        <f aca="false">H48+H50-H57</f>
        <v>29.3500867386704</v>
      </c>
      <c r="I64" s="116" t="n">
        <f aca="false">I48+I50-I57</f>
        <v>22.3568495662704</v>
      </c>
      <c r="J64" s="116" t="n">
        <f aca="false">J48+J50-J57</f>
        <v>16.4096946862704</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3.230422220638</v>
      </c>
      <c r="AC64" s="116" t="n">
        <f aca="false">AC48+AC50-AC57</f>
        <v>3.130322136886</v>
      </c>
      <c r="AD64" s="116" t="n">
        <f aca="false">AD48+AD50-AD57</f>
        <v>1.895736053134</v>
      </c>
      <c r="AE64" s="116" t="n">
        <f aca="false">AE48+AE50-AE57</f>
        <v>1.795635969382</v>
      </c>
      <c r="AF64" s="116" t="n">
        <f aca="false">AF48+AF50-AF57</f>
        <v>1.69553588563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0.091908323251863</v>
      </c>
      <c r="H65" s="116" t="n">
        <f aca="false">MIN(H58,H64)</f>
        <v>0.0951526870626538</v>
      </c>
      <c r="I65" s="116" t="n">
        <f aca="false">MIN(I58,I64)</f>
        <v>0.0985115769159654</v>
      </c>
      <c r="J65" s="116" t="n">
        <f aca="false">MIN(J58,J64)</f>
        <v>0.101989035581099</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11.360447555496</v>
      </c>
      <c r="D66" s="116" t="n">
        <f aca="false">D64-D65</f>
        <v>18.350860727896</v>
      </c>
      <c r="E66" s="116" t="n">
        <f aca="false">E64-E65</f>
        <v>24.295091920696</v>
      </c>
      <c r="F66" s="116" t="n">
        <f aca="false">F64-F65</f>
        <v>40.7017597136082</v>
      </c>
      <c r="G66" s="116" t="n">
        <f aca="false">G64-G65</f>
        <v>40.6986259709145</v>
      </c>
      <c r="H66" s="116" t="n">
        <f aca="false">H64-H65</f>
        <v>29.2549340516077</v>
      </c>
      <c r="I66" s="116" t="n">
        <f aca="false">I64-I65</f>
        <v>22.2583379893544</v>
      </c>
      <c r="J66" s="116" t="n">
        <f aca="false">J64-J65</f>
        <v>16.3077056506893</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3.03998784899078</v>
      </c>
      <c r="AC66" s="116" t="n">
        <f aca="false">AC64-AC65</f>
        <v>2.93316543191963</v>
      </c>
      <c r="AD66" s="116" t="n">
        <f aca="false">AD64-AD65</f>
        <v>1.69161971648232</v>
      </c>
      <c r="AE66" s="116" t="n">
        <f aca="false">AE64-AE65</f>
        <v>1.58431432604652</v>
      </c>
      <c r="AF66" s="116" t="n">
        <f aca="false">AF64-AF65</f>
        <v>1.47675458828477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11.360447555496</v>
      </c>
      <c r="D67" s="116" t="n">
        <f aca="false">C67+D66-D63</f>
        <v>29.711308283392</v>
      </c>
      <c r="E67" s="116" t="n">
        <f aca="false">D67+E66-E63</f>
        <v>54.006400204088</v>
      </c>
      <c r="F67" s="116" t="n">
        <f aca="false">E67+F66-F63</f>
        <v>94.7081599176962</v>
      </c>
      <c r="G67" s="116" t="n">
        <f aca="false">F67+G66-G63</f>
        <v>134.022471588611</v>
      </c>
      <c r="H67" s="116" t="n">
        <f aca="false">G67+H66-H63</f>
        <v>161.905582755219</v>
      </c>
      <c r="I67" s="116" t="n">
        <f aca="false">H67+I66-I63</f>
        <v>182.803964703823</v>
      </c>
      <c r="J67" s="116" t="n">
        <f aca="false">I67+J66-J63</f>
        <v>197.7629878158</v>
      </c>
      <c r="K67" s="116" t="n">
        <f aca="false">J67+K66-K63</f>
        <v>196.425015104023</v>
      </c>
      <c r="L67" s="116" t="n">
        <f aca="false">K67+L66-L63</f>
        <v>195.097216727835</v>
      </c>
      <c r="M67" s="116" t="n">
        <f aca="false">L67+M66-M63</f>
        <v>197.997431689176</v>
      </c>
      <c r="N67" s="116" t="n">
        <f aca="false">M67+N66-N63</f>
        <v>200.902833895947</v>
      </c>
      <c r="O67" s="116" t="n">
        <f aca="false">N67+O66-O63</f>
        <v>203.812823204492</v>
      </c>
      <c r="P67" s="116" t="n">
        <f aca="false">O67+P66-P63</f>
        <v>206.726817448754</v>
      </c>
      <c r="Q67" s="116" t="n">
        <f aca="false">P67+Q66-Q63</f>
        <v>209.644251116752</v>
      </c>
      <c r="R67" s="116" t="n">
        <f aca="false">Q67+R66-R63</f>
        <v>212.464473994491</v>
      </c>
      <c r="S67" s="116" t="n">
        <f aca="false">R67+S66-S63</f>
        <v>215.186950109226</v>
      </c>
      <c r="T67" s="116" t="n">
        <f aca="false">S67+T66-T63</f>
        <v>217.811156466612</v>
      </c>
      <c r="U67" s="116" t="n">
        <f aca="false">T67+U66-U63</f>
        <v>220.336581913935</v>
      </c>
      <c r="V67" s="116" t="n">
        <f aca="false">U67+V66-V63</f>
        <v>222.762726042949</v>
      </c>
      <c r="W67" s="116" t="n">
        <f aca="false">V67+W66-W63</f>
        <v>225.089098129754</v>
      </c>
      <c r="X67" s="116" t="n">
        <f aca="false">W67+X66-X63</f>
        <v>227.315216109209</v>
      </c>
      <c r="Y67" s="116" t="n">
        <f aca="false">X67+Y66-Y63</f>
        <v>229.440605581527</v>
      </c>
      <c r="Z67" s="116" t="n">
        <f aca="false">Y67+Z66-Z63</f>
        <v>231.464798848744</v>
      </c>
      <c r="AA67" s="116" t="n">
        <f aca="false">Z67+AA66-AA63</f>
        <v>233.38733397889</v>
      </c>
      <c r="AB67" s="116" t="n">
        <f aca="false">AA67+AB66-AB63</f>
        <v>235.20775389574</v>
      </c>
      <c r="AC67" s="116" t="n">
        <f aca="false">AB67+AC66-AC63</f>
        <v>236.925605492126</v>
      </c>
      <c r="AD67" s="116" t="n">
        <f aca="false">AC67+AD66-AD63</f>
        <v>237.405952764851</v>
      </c>
      <c r="AE67" s="116" t="n">
        <f aca="false">AD67+AE66-AE63</f>
        <v>237.839558269328</v>
      </c>
      <c r="AF67" s="116" t="n">
        <f aca="false">AE67+AF66-AF63</f>
        <v>238.223139477122</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3.86255216886864</v>
      </c>
      <c r="D68" s="116" t="n">
        <f aca="false">C68+(01_Supuestos!$I$125-1)*D66</f>
        <v>10.1018448163533</v>
      </c>
      <c r="E68" s="116" t="n">
        <f aca="false">D68+(01_Supuestos!$I$125-1)*E66</f>
        <v>18.3621760693899</v>
      </c>
      <c r="F68" s="116" t="n">
        <f aca="false">E68+(01_Supuestos!$I$125-1)*F66</f>
        <v>32.2007743720167</v>
      </c>
      <c r="G68" s="116" t="n">
        <f aca="false">F68+(01_Supuestos!$I$125-1)*G66</f>
        <v>46.0383072021277</v>
      </c>
      <c r="H68" s="116" t="n">
        <f aca="false">G68+(01_Supuestos!$I$125-1)*H66</f>
        <v>55.9849847796743</v>
      </c>
      <c r="I68" s="116" t="n">
        <f aca="false">H68+(01_Supuestos!$I$125-1)*I66</f>
        <v>63.5528196960548</v>
      </c>
      <c r="J68" s="116" t="n">
        <f aca="false">I68+(01_Supuestos!$I$125-1)*J66</f>
        <v>69.0974396172892</v>
      </c>
      <c r="K68" s="116" t="n">
        <f aca="false">J68+(01_Supuestos!$I$125-1)*K66</f>
        <v>69.0974396172892</v>
      </c>
      <c r="L68" s="116" t="n">
        <f aca="false">K68+(01_Supuestos!$I$125-1)*L66</f>
        <v>69.0974396172892</v>
      </c>
      <c r="M68" s="116" t="n">
        <f aca="false">L68+(01_Supuestos!$I$125-1)*M66</f>
        <v>70.5316778416538</v>
      </c>
      <c r="N68" s="116" t="n">
        <f aca="false">M68+(01_Supuestos!$I$125-1)*N66</f>
        <v>71.9645577345893</v>
      </c>
      <c r="O68" s="116" t="n">
        <f aca="false">N68+(01_Supuestos!$I$125-1)*O66</f>
        <v>73.3960313469962</v>
      </c>
      <c r="P68" s="116" t="n">
        <f aca="false">O68+(01_Supuestos!$I$125-1)*P66</f>
        <v>74.8260490371719</v>
      </c>
      <c r="Q68" s="116" t="n">
        <f aca="false">P68+(01_Supuestos!$I$125-1)*Q66</f>
        <v>76.2545594110615</v>
      </c>
      <c r="R68" s="116" t="n">
        <f aca="false">Q68+(01_Supuestos!$I$125-1)*R66</f>
        <v>77.6474752319246</v>
      </c>
      <c r="S68" s="116" t="n">
        <f aca="false">R68+(01_Supuestos!$I$125-1)*S66</f>
        <v>79.0047414132445</v>
      </c>
      <c r="T68" s="116" t="n">
        <f aca="false">S68+(01_Supuestos!$I$125-1)*T66</f>
        <v>80.3263009239504</v>
      </c>
      <c r="U68" s="116" t="n">
        <f aca="false">T68+(01_Supuestos!$I$125-1)*U66</f>
        <v>81.612094719775</v>
      </c>
      <c r="V68" s="116" t="n">
        <f aca="false">U68+(01_Supuestos!$I$125-1)*V66</f>
        <v>82.862061672188</v>
      </c>
      <c r="W68" s="116" t="n">
        <f aca="false">V68+(01_Supuestos!$I$125-1)*W66</f>
        <v>84.0761384948223</v>
      </c>
      <c r="X68" s="116" t="n">
        <f aca="false">W68+(01_Supuestos!$I$125-1)*X66</f>
        <v>85.2542596673019</v>
      </c>
      <c r="Y68" s="116" t="n">
        <f aca="false">X68+(01_Supuestos!$I$125-1)*Y66</f>
        <v>86.3963573563814</v>
      </c>
      <c r="Z68" s="116" t="n">
        <f aca="false">Y68+(01_Supuestos!$I$125-1)*Z66</f>
        <v>87.5023613343021</v>
      </c>
      <c r="AA68" s="116" t="n">
        <f aca="false">Z68+(01_Supuestos!$I$125-1)*AA66</f>
        <v>88.5721988942652</v>
      </c>
      <c r="AB68" s="116" t="n">
        <f aca="false">AA68+(01_Supuestos!$I$125-1)*AB66</f>
        <v>89.6057947629221</v>
      </c>
      <c r="AC68" s="116" t="n">
        <f aca="false">AB68+(01_Supuestos!$I$125-1)*AC66</f>
        <v>90.6030710097748</v>
      </c>
      <c r="AD68" s="116" t="n">
        <f aca="false">AC68+(01_Supuestos!$I$125-1)*AD66</f>
        <v>91.1782217133788</v>
      </c>
      <c r="AE68" s="116" t="n">
        <f aca="false">AD68+(01_Supuestos!$I$125-1)*AE66</f>
        <v>91.7168885842346</v>
      </c>
      <c r="AF68" s="116" t="n">
        <f aca="false">AE68+(01_Supuestos!$I$125-1)*AF66</f>
        <v>92.2189851442514</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11.440447555496</v>
      </c>
      <c r="D69" s="116" t="n">
        <f aca="false">C69+D48+D49+D50+D51-D63+D245</f>
        <v>29.874132283392</v>
      </c>
      <c r="E69" s="116" t="n">
        <f aca="false">D69+E48+E49+E50+E51-E63+E245</f>
        <v>54.254971891288</v>
      </c>
      <c r="F69" s="116" t="n">
        <f aca="false">E69+F48+F49+F50+F51-F63+F245</f>
        <v>111.187509327364</v>
      </c>
      <c r="G69" s="116" t="n">
        <f aca="false">F69+G48+G49+G50+G51-G63+G245</f>
        <v>166.735732463441</v>
      </c>
      <c r="H69" s="116" t="n">
        <f aca="false">G69+H48+H49+H50+H51-H63+H245</f>
        <v>210.855999459021</v>
      </c>
      <c r="I69" s="116" t="n">
        <f aca="false">H69+I48+I49+I50+I51-I63+I245</f>
        <v>247.994896126452</v>
      </c>
      <c r="J69" s="116" t="n">
        <f aca="false">I69+J48+J49+J50+J51-J63+J245</f>
        <v>279.197911415919</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319.126273175617</v>
      </c>
      <c r="R69" s="116" t="n">
        <f aca="false">Q69+R48+R49+R50+R51-R63+R245</f>
        <v>324.763506273682</v>
      </c>
      <c r="S69" s="116" t="n">
        <f aca="false">R69+S48+S49+S50+S51-S63+S245</f>
        <v>330.307744406</v>
      </c>
      <c r="T69" s="116" t="n">
        <f aca="false">S69+T48+T49+T50+T51-T63+T245</f>
        <v>335.758632316669</v>
      </c>
      <c r="U69" s="116" t="n">
        <f aca="false">T69+U48+U49+U50+U51-U63+U245</f>
        <v>341.115832512586</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380.565374819157</v>
      </c>
      <c r="AD69" s="116" t="n">
        <f aca="false">AC69+AD48+AD49+AD50+AD51-AD63+AD245</f>
        <v>383.932236828534</v>
      </c>
      <c r="AE69" s="116" t="n">
        <f aca="false">AD69+AE48+AE49+AE50+AE51-AE63+AE245</f>
        <v>387.259562376347</v>
      </c>
      <c r="AF69" s="116" t="n">
        <f aca="false">AE69+AF48+AF49+AF50+AF51-AF63+AF245</f>
        <v>390.544323281486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16.4793494096682</v>
      </c>
      <c r="G70" s="116" t="n">
        <f aca="false">F70+G49+G51+G57+G65+G245</f>
        <v>32.71326087483</v>
      </c>
      <c r="H70" s="116" t="n">
        <f aca="false">G70+H49+H51+H57+H65+H245</f>
        <v>48.9504167038027</v>
      </c>
      <c r="I70" s="116" t="n">
        <f aca="false">H70+I49+I51+I57+I65+I245</f>
        <v>65.1909314226286</v>
      </c>
      <c r="J70" s="116" t="n">
        <f aca="false">I70+J49+J51+J57+J65+J245</f>
        <v>81.4349236001197</v>
      </c>
      <c r="K70" s="116" t="n">
        <f aca="false">J70+K49+K51+K57+K65+K245</f>
        <v>88.4488451420297</v>
      </c>
      <c r="L70" s="116" t="n">
        <f aca="false">K70+L49+L51+L57+L65+L245</f>
        <v>95.4627666839397</v>
      </c>
      <c r="M70" s="116" t="n">
        <f aca="false">L70+M49+M51+M57+M65+M245</f>
        <v>98.2583405071303</v>
      </c>
      <c r="N70" s="116" t="n">
        <f aca="false">M70+N49+N51+N57+N65+N245</f>
        <v>101.057909422759</v>
      </c>
      <c r="O70" s="116" t="n">
        <f aca="false">N70+O49+O51+O57+O65+O245</f>
        <v>103.86161445759</v>
      </c>
      <c r="P70" s="116" t="n">
        <f aca="false">O70+P49+P51+P57+P65+P245</f>
        <v>106.669601616631</v>
      </c>
      <c r="Q70" s="116" t="n">
        <f aca="false">P70+Q49+Q51+Q57+Q65+Q245</f>
        <v>109.482022058865</v>
      </c>
      <c r="R70" s="116" t="n">
        <f aca="false">Q70+R49+R51+R57+R65+R245</f>
        <v>112.299032279191</v>
      </c>
      <c r="S70" s="116" t="n">
        <f aca="false">R70+S49+S51+S57+S65+S245</f>
        <v>115.120794296774</v>
      </c>
      <c r="T70" s="116" t="n">
        <f aca="false">S70+T49+T51+T57+T65+T245</f>
        <v>117.947475850057</v>
      </c>
      <c r="U70" s="116" t="n">
        <f aca="false">T70+U49+U51+U57+U65+U245</f>
        <v>120.779250598652</v>
      </c>
      <c r="V70" s="116" t="n">
        <f aca="false">U70+V49+V51+V57+V65+V245</f>
        <v>123.616298332351</v>
      </c>
      <c r="W70" s="116" t="n">
        <f aca="false">V70+W49+W51+W57+W65+W245</f>
        <v>126.458805187531</v>
      </c>
      <c r="X70" s="116" t="n">
        <f aca="false">W70+X49+X51+X57+X65+X245</f>
        <v>129.306963871178</v>
      </c>
      <c r="Y70" s="116" t="n">
        <f aca="false">X70+Y49+Y51+Y57+Y65+Y245</f>
        <v>132.160973892838</v>
      </c>
      <c r="Z70" s="116" t="n">
        <f aca="false">Y70+Z49+Z51+Z57+Z65+Z245</f>
        <v>135.021041804743</v>
      </c>
      <c r="AA70" s="116" t="n">
        <f aca="false">Z70+AA49+AA51+AA57+AA65+AA245</f>
        <v>137.887381450418</v>
      </c>
      <c r="AB70" s="116" t="n">
        <f aca="false">AA70+AB49+AB51+AB57+AB65+AB245</f>
        <v>140.760214222065</v>
      </c>
      <c r="AC70" s="116" t="n">
        <f aca="false">AB70+AC49+AC51+AC57+AC65+AC245</f>
        <v>143.639769327032</v>
      </c>
      <c r="AD70" s="116" t="n">
        <f aca="false">AC70+AD49+AD51+AD57+AD65+AD245</f>
        <v>146.526284063683</v>
      </c>
      <c r="AE70" s="116" t="n">
        <f aca="false">AD70+AE49+AE51+AE57+AE65+AE245</f>
        <v>149.420004107019</v>
      </c>
      <c r="AF70" s="116" t="n">
        <f aca="false">AE70+AF49+AF51+AF57+AF65+AF245</f>
        <v>152.321183804364</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1358</v>
      </c>
      <c r="C72" s="116" t="n">
        <f aca="false">IF($C$173="Sí",(1-$C$172)*(C83+C181),$C$15*0)</f>
        <v>4.82044491317486</v>
      </c>
      <c r="D72" s="116" t="n">
        <f aca="false">IF($C$173="Sí",(1-$C$172)*(D83+D181),$C$15*C83)</f>
        <v>12.5924327864198</v>
      </c>
      <c r="E72" s="116" t="n">
        <f aca="false">IF($C$173="Sí",(1-$C$172)*(E83+E181),$C$15*D83)</f>
        <v>22.1158466864198</v>
      </c>
      <c r="F72" s="116" t="n">
        <f aca="false">IF($C$173="Sí",(1-$C$172)*(F83+F181),$C$15*E83)</f>
        <v>31.8582991061198</v>
      </c>
      <c r="G72" s="116" t="n">
        <f aca="false">IF($C$173="Sí",(1-$C$172)*(G83+G181),$C$15*F83)</f>
        <v>41.8248279314729</v>
      </c>
      <c r="H72" s="116" t="n">
        <f aca="false">IF($C$173="Sí",(1-$C$172)*(H83+H181),$C$15*G83)</f>
        <v>52.0205869198091</v>
      </c>
      <c r="I72" s="116" t="n">
        <f aca="false">IF($C$173="Sí",(1-$C$172)*(I83+I181),$C$15*H83)</f>
        <v>62.450848364877</v>
      </c>
      <c r="J72" s="116" t="n">
        <f aca="false">IF($C$173="Sí",(1-$C$172)*(J83+J181),$C$15*I83)</f>
        <v>73.1210058231815</v>
      </c>
      <c r="K72" s="116" t="n">
        <f aca="false">IF($C$173="Sí",(1-$C$172)*(K83+K181),$C$15*J83)</f>
        <v>84.036576903027</v>
      </c>
      <c r="L72" s="116" t="n">
        <f aca="false">IF($C$173="Sí",(1-$C$172)*(L83+L181),$C$15*K83)</f>
        <v>95.203206117709</v>
      </c>
      <c r="M72" s="116" t="n">
        <f aca="false">IF($C$173="Sí",(1-$C$172)*(M83+M181),$C$15*L83)</f>
        <v>106.626667804329</v>
      </c>
      <c r="N72" s="116" t="n">
        <f aca="false">IF($C$173="Sí",(1-$C$172)*(N83+N181),$C$15*M83)</f>
        <v>113.458888498147</v>
      </c>
      <c r="O72" s="116" t="n">
        <f aca="false">IF($C$173="Sí",(1-$C$172)*(O83+O181),$C$15*N83)</f>
        <v>116.068442933605</v>
      </c>
      <c r="P72" s="116" t="n">
        <f aca="false">IF($C$173="Sí",(1-$C$172)*(P83+P181),$C$15*O83)</f>
        <v>118.738017121078</v>
      </c>
      <c r="Q72" s="116" t="n">
        <f aca="false">IF($C$173="Sí",(1-$C$172)*(Q83+Q181),$C$15*P83)</f>
        <v>121.468991514862</v>
      </c>
      <c r="R72" s="116" t="n">
        <f aca="false">IF($C$173="Sí",(1-$C$172)*(R83+R181),$C$15*Q83)</f>
        <v>124.262778319704</v>
      </c>
      <c r="S72" s="116" t="n">
        <f aca="false">IF($C$173="Sí",(1-$C$172)*(S83+S181),$C$15*R83)</f>
        <v>127.120822221057</v>
      </c>
      <c r="T72" s="116" t="n">
        <f aca="false">IF($C$173="Sí",(1-$C$172)*(T83+T181),$C$15*S83)</f>
        <v>130.044601132142</v>
      </c>
      <c r="U72" s="116" t="n">
        <f aca="false">IF($C$173="Sí",(1-$C$172)*(U83+U181),$C$15*T83)</f>
        <v>133.035626958181</v>
      </c>
      <c r="V72" s="116" t="n">
        <f aca="false">IF($C$173="Sí",(1-$C$172)*(V83+V181),$C$15*U83)</f>
        <v>135.210942104959</v>
      </c>
      <c r="W72" s="116" t="n">
        <f aca="false">IF($C$173="Sí",(1-$C$172)*(W83+W181),$C$15*V83)</f>
        <v>137.221573170814</v>
      </c>
      <c r="X72" s="116" t="n">
        <f aca="false">IF($C$173="Sí",(1-$C$172)*(X83+X181),$C$15*W83)</f>
        <v>139.191078489022</v>
      </c>
      <c r="Y72" s="116" t="n">
        <f aca="false">IF($C$173="Sí",(1-$C$172)*(Y83+Y181),$C$15*X83)</f>
        <v>141.119350101685</v>
      </c>
      <c r="Z72" s="116" t="n">
        <f aca="false">IF($C$173="Sí",(1-$C$172)*(Z83+Z181),$C$15*Y83)</f>
        <v>143.006283626154</v>
      </c>
      <c r="AA72" s="116" t="n">
        <f aca="false">IF($C$173="Sí",(1-$C$172)*(AA83+AA181),$C$15*Z83)</f>
        <v>144.851778011926</v>
      </c>
      <c r="AB72" s="116" t="n">
        <f aca="false">IF($C$173="Sí",(1-$C$172)*(AB83+AB181),$C$15*AA83)</f>
        <v>146.655735307429</v>
      </c>
      <c r="AC72" s="116" t="n">
        <f aca="false">IF($C$173="Sí",(1-$C$172)*(AC83+AC181),$C$15*AB83)</f>
        <v>148.418060436114</v>
      </c>
      <c r="AD72" s="116" t="n">
        <f aca="false">IF($C$173="Sí",(1-$C$172)*(AD83+AD181),$C$15*AC83)</f>
        <v>149.659794440703</v>
      </c>
      <c r="AE72" s="116" t="n">
        <f aca="false">IF($C$173="Sí",(1-$C$172)*(AE83+AE181),$C$15*AD83)</f>
        <v>150.877582052583</v>
      </c>
      <c r="AF72" s="116" t="n">
        <f aca="false">IF($C$173="Sí",(1-$C$172)*(AF83+AF181),$C$15*AE83)</f>
        <v>152.070442154107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4.82044491317486</v>
      </c>
      <c r="D73" s="116" t="n">
        <f aca="false">D72-C72</f>
        <v>7.7719878732449</v>
      </c>
      <c r="E73" s="116" t="n">
        <f aca="false">E72-D72</f>
        <v>9.5234139</v>
      </c>
      <c r="F73" s="116" t="n">
        <f aca="false">F72-E72</f>
        <v>9.7424524197</v>
      </c>
      <c r="G73" s="116" t="n">
        <f aca="false">G72-F72</f>
        <v>9.9665288253531</v>
      </c>
      <c r="H73" s="116" t="n">
        <f aca="false">H72-G72</f>
        <v>10.1957589883362</v>
      </c>
      <c r="I73" s="116" t="n">
        <f aca="false">I72-H72</f>
        <v>10.4302614450679</v>
      </c>
      <c r="J73" s="116" t="n">
        <f aca="false">J72-I72</f>
        <v>10.6701574583045</v>
      </c>
      <c r="K73" s="116" t="n">
        <f aca="false">K72-J72</f>
        <v>10.9155710798455</v>
      </c>
      <c r="L73" s="116" t="n">
        <f aca="false">L72-K72</f>
        <v>11.1666292146819</v>
      </c>
      <c r="M73" s="116" t="n">
        <f aca="false">M72-L72</f>
        <v>11.4234616866196</v>
      </c>
      <c r="N73" s="116" t="n">
        <f aca="false">N72-M72</f>
        <v>6.8322206938187</v>
      </c>
      <c r="O73" s="116" t="n">
        <f aca="false">O72-N72</f>
        <v>2.60955443545738</v>
      </c>
      <c r="P73" s="116" t="n">
        <f aca="false">P72-O72</f>
        <v>2.66957418747293</v>
      </c>
      <c r="Q73" s="116" t="n">
        <f aca="false">Q72-P72</f>
        <v>2.73097439378475</v>
      </c>
      <c r="R73" s="116" t="n">
        <f aca="false">R72-Q72</f>
        <v>2.7937868048418</v>
      </c>
      <c r="S73" s="116" t="n">
        <f aca="false">S72-R72</f>
        <v>2.85804390135321</v>
      </c>
      <c r="T73" s="116" t="n">
        <f aca="false">T72-S72</f>
        <v>2.9237789110843</v>
      </c>
      <c r="U73" s="116" t="n">
        <f aca="false">U72-T72</f>
        <v>2.99102582603925</v>
      </c>
      <c r="V73" s="116" t="n">
        <f aca="false">V72-U72</f>
        <v>2.17531514677799</v>
      </c>
      <c r="W73" s="116" t="n">
        <f aca="false">W72-V72</f>
        <v>2.0106310658548</v>
      </c>
      <c r="X73" s="116" t="n">
        <f aca="false">X72-W72</f>
        <v>1.96950531820841</v>
      </c>
      <c r="Y73" s="116" t="n">
        <f aca="false">Y72-X72</f>
        <v>1.92827161266311</v>
      </c>
      <c r="Z73" s="116" t="n">
        <f aca="false">Z72-Y72</f>
        <v>1.88693352446839</v>
      </c>
      <c r="AA73" s="116" t="n">
        <f aca="false">AA72-Z72</f>
        <v>1.84549438577193</v>
      </c>
      <c r="AB73" s="116" t="n">
        <f aca="false">AB72-AA72</f>
        <v>1.80395729550352</v>
      </c>
      <c r="AC73" s="116" t="n">
        <f aca="false">AC72-AB72</f>
        <v>1.76232512868452</v>
      </c>
      <c r="AD73" s="116" t="n">
        <f aca="false">AD72-AC72</f>
        <v>1.24173400458901</v>
      </c>
      <c r="AE73" s="116" t="n">
        <f aca="false">AE72-AD72</f>
        <v>1.2177876118806</v>
      </c>
      <c r="AF73" s="116" t="n">
        <f aca="false">AF72-AE72</f>
        <v>1.19286010152422</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0.591335138619143</v>
      </c>
      <c r="E75" s="116" t="n">
        <f aca="false">$C$19*D81</f>
        <v>1.56352859909571</v>
      </c>
      <c r="F75" s="116" t="n">
        <f aca="false">$C$19*E81</f>
        <v>2.87438145983746</v>
      </c>
      <c r="G75" s="116" t="n">
        <f aca="false">$C$19*F81</f>
        <v>5.88201220350136</v>
      </c>
      <c r="H75" s="116" t="n">
        <f aca="false">$C$19*G81</f>
        <v>8.88961489631582</v>
      </c>
      <c r="I75" s="116" t="n">
        <f aca="false">$C$19*H81</f>
        <v>11.3755531699932</v>
      </c>
      <c r="J75" s="116" t="n">
        <f aca="false">$C$19*I81</f>
        <v>13.550262101845</v>
      </c>
      <c r="K75" s="116" t="n">
        <f aca="false">$C$19*J81</f>
        <v>15.4559000644048</v>
      </c>
      <c r="L75" s="116" t="n">
        <f aca="false">$C$19*K81</f>
        <v>16.085184703998</v>
      </c>
      <c r="M75" s="116" t="n">
        <f aca="false">$C$19*L81</f>
        <v>16.7149780603705</v>
      </c>
      <c r="N75" s="116" t="n">
        <f aca="false">$C$19*M81</f>
        <v>17.333113127961</v>
      </c>
      <c r="O75" s="116" t="n">
        <f aca="false">$C$19*N81</f>
        <v>17.9276752486722</v>
      </c>
      <c r="P75" s="116" t="n">
        <f aca="false">$C$19*O81</f>
        <v>18.488529242229</v>
      </c>
      <c r="Q75" s="116" t="n">
        <f aca="false">$C$19*P81</f>
        <v>18.9877546857199</v>
      </c>
      <c r="R75" s="116" t="n">
        <f aca="false">$C$19*Q81</f>
        <v>19.4253286522762</v>
      </c>
      <c r="S75" s="116" t="n">
        <f aca="false">$C$19*R81</f>
        <v>19.8155027594407</v>
      </c>
      <c r="T75" s="116" t="n">
        <f aca="false">$C$19*S81</f>
        <v>20.1699742746425</v>
      </c>
      <c r="U75" s="116" t="n">
        <f aca="false">$C$19*T81</f>
        <v>20.4986629767093</v>
      </c>
      <c r="V75" s="116" t="n">
        <f aca="false">$C$19*U81</f>
        <v>20.8290962620176</v>
      </c>
      <c r="W75" s="116" t="n">
        <f aca="false">$C$19*V81</f>
        <v>21.1610789654278</v>
      </c>
      <c r="X75" s="116" t="n">
        <f aca="false">$C$19*W81</f>
        <v>21.4872452157929</v>
      </c>
      <c r="Y75" s="116" t="n">
        <f aca="false">$C$19*X81</f>
        <v>21.8074075586116</v>
      </c>
      <c r="Z75" s="116" t="n">
        <f aca="false">$C$19*Y81</f>
        <v>22.1213791633574</v>
      </c>
      <c r="AA75" s="116" t="n">
        <f aca="false">$C$19*Z81</f>
        <v>22.4289737837991</v>
      </c>
      <c r="AB75" s="116" t="n">
        <f aca="false">$C$19*AA81</f>
        <v>22.7300057200062</v>
      </c>
      <c r="AC75" s="116" t="n">
        <f aca="false">$C$19*AB81</f>
        <v>23.024459952086</v>
      </c>
      <c r="AD75" s="116" t="n">
        <f aca="false">$C$19*AC81</f>
        <v>23.3123219351363</v>
      </c>
      <c r="AE75" s="116" t="n">
        <f aca="false">$C$19*AD81</f>
        <v>23.5349246395523</v>
      </c>
      <c r="AF75" s="116" t="n">
        <f aca="false">$C$19*AE81</f>
        <v>23.7518148862652</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(IF($C$173="Sí",(MAX(0,C74-0)+MAX(0,0+C53-C75))/$C$172,C73+MAX(0,C74-0)+MAX(0,0+C53-C75)))+IF($C$173="Sí",MAX(0,$C$226*(C70+0)*0.3/0.55-0)/$C$172,0)</f>
        <v>68.6666666666667</v>
      </c>
      <c r="D76" s="116" t="n">
        <f aca="false">(IF($C$173="Sí",(MAX(0,D74-C96)+MAX(0,C276+D53-D75))/$C$172,D73+MAX(0,D74-C96)+MAX(0,C276+D53-D75)))+IF($C$173="Sí",MAX(0,$C$226*(D70+C121)*0.3/0.55-C227)/$C$172,0)</f>
        <v>130.346885955448</v>
      </c>
      <c r="E76" s="116" t="n">
        <f aca="false">(IF($C$173="Sí",(MAX(0,E74-D96)+MAX(0,D276+E53-E75))/$C$172,E73+MAX(0,E74-D96)+MAX(0,D276+E53-E75)))+IF($C$173="Sí",MAX(0,$C$226*(E70+D121)*0.3/0.55-D227)/$C$172,0)</f>
        <v>184.07673447059</v>
      </c>
      <c r="F76" s="116" t="n">
        <f aca="false">(IF($C$173="Sí",(MAX(0,F74-E96)+MAX(0,E276+F53-F75))/$C$172,F73+MAX(0,F74-E96)+MAX(0,E276+F53-F75)))+IF($C$173="Sí",MAX(0,$C$226*(F70+E121)*0.3/0.55-E227)/$C$172,0)</f>
        <v>234.068585469132</v>
      </c>
      <c r="G76" s="116" t="n">
        <f aca="false">(IF($C$173="Sí",(MAX(0,G74-F96)+MAX(0,F276+G53-G75))/$C$172,G73+MAX(0,G74-F96)+MAX(0,F276+G53-G75)))+IF($C$173="Sí",MAX(0,$C$226*(G70+F121)*0.3/0.55-F227)/$C$172,0)</f>
        <v>261.235989676194</v>
      </c>
      <c r="H76" s="116" t="n">
        <f aca="false">(IF($C$173="Sí",(MAX(0,H74-G96)+MAX(0,G276+H53-H75))/$C$172,H73+MAX(0,H74-G96)+MAX(0,G276+H53-H75)))+IF($C$173="Sí",MAX(0,$C$226*(H70+G121)*0.3/0.55-G227)/$C$172,0)</f>
        <v>280.157300677503</v>
      </c>
      <c r="I76" s="116" t="n">
        <f aca="false">(IF($C$173="Sí",(MAX(0,I74-H96)+MAX(0,H276+I53-I75))/$C$172,I73+MAX(0,I74-H96)+MAX(0,H276+I53-I75)))+IF($C$173="Sí",MAX(0,$C$226*(I70+H121)*0.3/0.55-H227)/$C$172,0)</f>
        <v>298.752619510788</v>
      </c>
      <c r="J76" s="116" t="n">
        <f aca="false">(IF($C$173="Sí",(MAX(0,J74-I96)+MAX(0,I276+J53-J75))/$C$172,J73+MAX(0,J74-I96)+MAX(0,I276+J53-J75)))+IF($C$173="Sí",MAX(0,$C$226*(J70+I121)*0.3/0.55-I227)/$C$172,0)</f>
        <v>317.226130307956</v>
      </c>
      <c r="K76" s="116" t="n">
        <f aca="false">(IF($C$173="Sí",(MAX(0,K74-J96)+MAX(0,J276+K53-K75))/$C$172,K73+MAX(0,K74-J96)+MAX(0,J276+K53-K75)))+IF($C$173="Sí",MAX(0,$C$226*(K70+J121)*0.3/0.55-J227)/$C$172,0)</f>
        <v>336.446683456477</v>
      </c>
      <c r="L76" s="116" t="n">
        <f aca="false">(IF($C$173="Sí",(MAX(0,L74-K96)+MAX(0,K276+L53-L75))/$C$172,L73+MAX(0,L74-K96)+MAX(0,K276+L53-L75)))+IF($C$173="Sí",MAX(0,$C$226*(L70+K121)*0.3/0.55-K227)/$C$172,0)</f>
        <v>365.471435662805</v>
      </c>
      <c r="M76" s="116" t="n">
        <f aca="false">(IF($C$173="Sí",(MAX(0,M74-L96)+MAX(0,L276+M53-M75))/$C$172,M73+MAX(0,M74-L96)+MAX(0,L276+M53-M75)))+IF($C$173="Sí",MAX(0,$C$226*(M70+L121)*0.3/0.55-L227)/$C$172,0)</f>
        <v>329.007329408879</v>
      </c>
      <c r="N76" s="116" t="n">
        <f aca="false">(IF($C$173="Sí",(MAX(0,N74-M96)+MAX(0,M276+N53-N75))/$C$172,N73+MAX(0,N74-M96)+MAX(0,M276+N53-N75)))+IF($C$173="Sí",MAX(0,$C$226*(N70+M121)*0.3/0.55-M227)/$C$172,0)</f>
        <v>309.616900316837</v>
      </c>
      <c r="O76" s="116" t="n">
        <f aca="false">(IF($C$173="Sí",(MAX(0,O74-N96)+MAX(0,N276+O53-O75))/$C$172,O73+MAX(0,O74-N96)+MAX(0,N276+O53-O75)))+IF($C$173="Sí",MAX(0,$C$226*(O70+N121)*0.3/0.55-N227)/$C$172,0)</f>
        <v>297.134936194194</v>
      </c>
      <c r="P76" s="116" t="n">
        <f aca="false">(IF($C$173="Sí",(MAX(0,P74-O96)+MAX(0,O276+P53-P75))/$C$172,P73+MAX(0,P74-O96)+MAX(0,O276+P53-P75)))+IF($C$173="Sí",MAX(0,$C$226*(P70+O121)*0.3/0.55-O227)/$C$172,0)</f>
        <v>290.488155887639</v>
      </c>
      <c r="Q76" s="116" t="n">
        <f aca="false">(IF($C$173="Sí",(MAX(0,Q74-P96)+MAX(0,P276+Q53-Q75))/$C$172,Q73+MAX(0,Q74-P96)+MAX(0,P276+Q53-Q75)))+IF($C$173="Sí",MAX(0,$C$226*(Q70+P121)*0.3/0.55-P227)/$C$172,0)</f>
        <v>283.874668647165</v>
      </c>
      <c r="R76" s="116" t="n">
        <f aca="false">(IF($C$173="Sí",(MAX(0,R74-Q96)+MAX(0,Q276+R53-R75))/$C$172,R73+MAX(0,R74-Q96)+MAX(0,Q276+R53-R75)))+IF($C$173="Sí",MAX(0,$C$226*(R70+Q121)*0.3/0.55-Q227)/$C$172,0)</f>
        <v>277.023965157777</v>
      </c>
      <c r="S76" s="116" t="n">
        <f aca="false">(IF($C$173="Sí",(MAX(0,S74-R96)+MAX(0,R276+S53-S75))/$C$172,S73+MAX(0,S74-R96)+MAX(0,R276+S53-S75)))+IF($C$173="Sí",MAX(0,$C$226*(S70+R121)*0.3/0.55-R227)/$C$172,0)</f>
        <v>269.67929138007</v>
      </c>
      <c r="T76" s="116" t="n">
        <f aca="false">(IF($C$173="Sí",(MAX(0,T74-S96)+MAX(0,S276+T53-T75))/$C$172,T73+MAX(0,T74-S96)+MAX(0,S276+T53-T75)))+IF($C$173="Sí",MAX(0,$C$226*(T70+S121)*0.3/0.55-S227)/$C$172,0)</f>
        <v>261.639034574623</v>
      </c>
      <c r="U76" s="116" t="n">
        <f aca="false">(IF($C$173="Sí",(MAX(0,U74-T96)+MAX(0,T276+U53-U75))/$C$172,U73+MAX(0,U74-T96)+MAX(0,T276+U53-U75)))+IF($C$173="Sí",MAX(0,$C$226*(U70+T121)*0.3/0.55-T227)/$C$172,0)</f>
        <v>252.745768781608</v>
      </c>
      <c r="V76" s="116" t="n">
        <f aca="false">(IF($C$173="Sí",(MAX(0,V74-U96)+MAX(0,U276+V53-V75))/$C$172,V73+MAX(0,V74-U96)+MAX(0,U276+V53-V75)))+IF($C$173="Sí",MAX(0,$C$226*(V70+U121)*0.3/0.55-U227)/$C$172,0)</f>
        <v>242.890640206673</v>
      </c>
      <c r="W76" s="116" t="n">
        <f aca="false">(IF($C$173="Sí",(MAX(0,W74-V96)+MAX(0,V276+W53-W75))/$C$172,W73+MAX(0,W74-V96)+MAX(0,V276+W53-W75)))+IF($C$173="Sí",MAX(0,$C$226*(W70+V121)*0.3/0.55-V227)/$C$172,0)</f>
        <v>233.19534356103</v>
      </c>
      <c r="X76" s="116" t="n">
        <f aca="false">(IF($C$173="Sí",(MAX(0,X74-W96)+MAX(0,W276+X53-X75))/$C$172,X73+MAX(0,X74-W96)+MAX(0,W276+X53-X75)))+IF($C$173="Sí",MAX(0,$C$226*(X70+W121)*0.3/0.55-W227)/$C$172,0)</f>
        <v>222.815518741225</v>
      </c>
      <c r="Y76" s="116" t="n">
        <f aca="false">(IF($C$173="Sí",(MAX(0,Y74-X96)+MAX(0,X276+Y53-Y75))/$C$172,Y73+MAX(0,Y74-X96)+MAX(0,X276+Y53-Y75)))+IF($C$173="Sí",MAX(0,$C$226*(Y70+X121)*0.3/0.55-X227)/$C$172,0)</f>
        <v>211.596639975766</v>
      </c>
      <c r="Z76" s="116" t="n">
        <f aca="false">(IF($C$173="Sí",(MAX(0,Z74-Y96)+MAX(0,Y276+Z53-Z75))/$C$172,Z73+MAX(0,Z74-Y96)+MAX(0,Y276+Z53-Z75)))+IF($C$173="Sí",MAX(0,$C$226*(Z70+Y121)*0.3/0.55-Y227)/$C$172,0)</f>
        <v>199.550108853087</v>
      </c>
      <c r="AA76" s="116" t="n">
        <f aca="false">(IF($C$173="Sí",(MAX(0,AA74-Z96)+MAX(0,Z276+AA53-AA75))/$C$172,AA73+MAX(0,AA74-Z96)+MAX(0,Z276+AA53-AA75)))+IF($C$173="Sí",MAX(0,$C$226*(AA70+Z121)*0.3/0.55-Z227)/$C$172,0)</f>
        <v>186.686145911031</v>
      </c>
      <c r="AB76" s="116" t="n">
        <f aca="false">(IF($C$173="Sí",(MAX(0,AB74-AA96)+MAX(0,AA276+AB53-AB75))/$C$172,AB73+MAX(0,AB74-AA96)+MAX(0,AA276+AB53-AB75)))+IF($C$173="Sí",MAX(0,$C$226*(AB70+AA121)*0.3/0.55-AA227)/$C$172,0)</f>
        <v>173.013861083471</v>
      </c>
      <c r="AC76" s="116" t="n">
        <f aca="false">(IF($C$173="Sí",(MAX(0,AC74-AB96)+MAX(0,AB276+AC53-AC75))/$C$172,AC73+MAX(0,AC74-AB96)+MAX(0,AB276+AC53-AC75)))+IF($C$173="Sí",MAX(0,$C$226*(AC70+AB121)*0.3/0.55-AB227)/$C$172,0)</f>
        <v>158.540443916222</v>
      </c>
      <c r="AD76" s="116" t="n">
        <f aca="false">(IF($C$173="Sí",(MAX(0,AD74-AC96)+MAX(0,AC276+AD53-AD75))/$C$172,AD73+MAX(0,AD74-AC96)+MAX(0,AC276+AD53-AD75)))+IF($C$173="Sí",MAX(0,$C$226*(AD70+AC121)*0.3/0.55-AC227)/$C$172,0)</f>
        <v>143.272070605582</v>
      </c>
      <c r="AE76" s="116" t="n">
        <f aca="false">(IF($C$173="Sí",(MAX(0,AE74-AD96)+MAX(0,AD276+AE53-AE75))/$C$172,AE73+MAX(0,AE74-AD96)+MAX(0,AD276+AE53-AE75)))+IF($C$173="Sí",MAX(0,$C$226*(AE70+AD121)*0.3/0.55-AD227)/$C$172,0)</f>
        <v>131.15594910378</v>
      </c>
      <c r="AF76" s="116" t="n">
        <f aca="false">(IF($C$173="Sí",(MAX(0,AF74-AE96)+MAX(0,AE276+AF53-AF75))/$C$172,AF73+MAX(0,AF74-AE96)+MAX(0,AE276+AF53-AF75)))+IF($C$173="Sí",MAX(0,$C$226*(AF70+AE121)*0.3/0.55-AE227)/$C$172,0)</f>
        <v>121.466467422601</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20.1853498759641</v>
      </c>
      <c r="E78" s="116" t="n">
        <f aca="false">MIN(MIN(D83+IF(E$39&lt;=01_Supuestos!$C$182,01_Supuestos!$C$181,$C$174)*E41,D83+E76),IF(01_Supuestos!$C$179&gt;0,01_Supuestos!$C$179/(1-01_Supuestos!$C$179)*64_Inflacion!$C$5*E41/$C$41,1E+099))</f>
        <v>31.5940666948854</v>
      </c>
      <c r="F78" s="116" t="n">
        <f aca="false">MIN(MIN(E83+IF(F$39&lt;=01_Supuestos!$C$182,01_Supuestos!$C$181,$C$174)*F41,E83+F76),IF(01_Supuestos!$C$179&gt;0,01_Supuestos!$C$179/(1-01_Supuestos!$C$179)*64_Inflacion!$C$5*F41/$C$41,1E+099))</f>
        <v>45.5118558658854</v>
      </c>
      <c r="G78" s="116" t="n">
        <f aca="false">MIN(MIN(F83+IF(G$39&lt;=01_Supuestos!$C$182,01_Supuestos!$C$181,$C$174)*G41,F83+G76),IF(01_Supuestos!$C$179&gt;0,01_Supuestos!$C$179/(1-01_Supuestos!$C$179)*64_Inflacion!$C$5*G41/$C$41,1E+099))</f>
        <v>59.7497541878184</v>
      </c>
      <c r="H78" s="116" t="n">
        <f aca="false">MIN(MIN(G83+IF(H$39&lt;=01_Supuestos!$C$182,01_Supuestos!$C$181,$C$174)*H41,G83+H76),IF(01_Supuestos!$C$179&gt;0,01_Supuestos!$C$179/(1-01_Supuestos!$C$179)*64_Inflacion!$C$5*H41/$C$41,1E+099))</f>
        <v>74.3151241711558</v>
      </c>
      <c r="I78" s="116" t="n">
        <f aca="false">MIN(MIN(H83+IF(I$39&lt;=01_Supuestos!$C$182,01_Supuestos!$C$181,$C$174)*I41,H83+I76),IF(01_Supuestos!$C$179&gt;0,01_Supuestos!$C$179/(1-01_Supuestos!$C$179)*64_Inflacion!$C$5*I41/$C$41,1E+099))</f>
        <v>89.21549766411</v>
      </c>
      <c r="J78" s="116" t="n">
        <f aca="false">MIN(MIN(I83+IF(J$39&lt;=01_Supuestos!$C$182,01_Supuestos!$C$181,$C$174)*J41,I83+J76),IF(01_Supuestos!$C$179&gt;0,01_Supuestos!$C$179/(1-01_Supuestos!$C$179)*64_Inflacion!$C$5*J41/$C$41,1E+099))</f>
        <v>104.458579747402</v>
      </c>
      <c r="K78" s="116" t="n">
        <f aca="false">MIN(MIN(J83+IF(K$39&lt;=01_Supuestos!$C$182,01_Supuestos!$C$181,$C$174)*K41,J83+K76),IF(01_Supuestos!$C$179&gt;0,01_Supuestos!$C$179/(1-01_Supuestos!$C$179)*64_Inflacion!$C$5*K41/$C$41,1E+099))</f>
        <v>120.05225271861</v>
      </c>
      <c r="L78" s="116" t="n">
        <f aca="false">MIN(MIN(K83+IF(L$39&lt;=01_Supuestos!$C$182,01_Supuestos!$C$181,$C$174)*L41,K83+L76),IF(01_Supuestos!$C$179&gt;0,01_Supuestos!$C$179/(1-01_Supuestos!$C$179)*64_Inflacion!$C$5*L41/$C$41,1E+099))</f>
        <v>136.004580168156</v>
      </c>
      <c r="M78" s="116" t="n">
        <f aca="false">MIN(MIN(L83+IF(M$39&lt;=01_Supuestos!$C$182,01_Supuestos!$C$181,$C$174)*M41,L83+M76),IF(01_Supuestos!$C$179&gt;0,01_Supuestos!$C$179/(1-01_Supuestos!$C$179)*64_Inflacion!$C$5*M41/$C$41,1E+099))</f>
        <v>152.323811149041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238.372871312932</v>
      </c>
      <c r="AF78" s="116" t="n">
        <f aca="false">MIN(MIN(AE83+IF(AF$39&lt;=01_Supuestos!$C$182,01_Supuestos!$C$181,$C$174)*AF41,AE83+AF76),IF(01_Supuestos!$C$179&gt;0,01_Supuestos!$C$179/(1-01_Supuestos!$C$179)*64_Inflacion!$C$5*AF41/$C$41,1E+099))</f>
        <v>240.677750695622</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6.88634987596409</v>
      </c>
      <c r="D79" s="116" t="n">
        <f aca="false">MAX(0,MIN(D67,$C$9*(D69+D68+C121),D78))</f>
        <v>17.9891896948854</v>
      </c>
      <c r="E79" s="116" t="n">
        <f aca="false">MAX(0,MIN(E67,$C$9*(E69+E68+D121),E78))</f>
        <v>31.5940666948854</v>
      </c>
      <c r="F79" s="116" t="n">
        <f aca="false">MAX(0,MIN(F67,$C$9*(F69+F68+E121),F78))</f>
        <v>45.5118558658854</v>
      </c>
      <c r="G79" s="116" t="n">
        <f aca="false">MAX(0,MIN(G67,$C$9*(G69+G68+F121),G78))</f>
        <v>59.7497541878184</v>
      </c>
      <c r="H79" s="116" t="n">
        <f aca="false">MAX(0,MIN(H67,$C$9*(H69+H68+G121),H78))</f>
        <v>74.3151241711558</v>
      </c>
      <c r="I79" s="116" t="n">
        <f aca="false">MAX(0,MIN(I67,$C$9*(I69+I68+H121),I78))</f>
        <v>89.21549766411</v>
      </c>
      <c r="J79" s="116" t="n">
        <f aca="false">MAX(0,MIN(J67,$C$9*(J69+J68+I121),J78))</f>
        <v>104.458579747402</v>
      </c>
      <c r="K79" s="116" t="n">
        <f aca="false">MAX(0,MIN(K67,$C$9*(K69+K68+J121),K78))</f>
        <v>120.05225271861</v>
      </c>
      <c r="L79" s="116" t="n">
        <f aca="false">MAX(0,MIN(L67,$C$9*(L69+L68+K121),L78))</f>
        <v>136.004580168156</v>
      </c>
      <c r="M79" s="116" t="n">
        <f aca="false">MAX(0,MIN(M67,$C$9*(M69+M68+L121),M78))</f>
        <v>152.323811149041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193.15848872137</v>
      </c>
      <c r="W79" s="116" t="n">
        <f aca="false">MAX(0,MIN(W67,$C$9*(W69+W68+V121),W78))</f>
        <v>196.030818815448</v>
      </c>
      <c r="X79" s="116" t="n">
        <f aca="false">MAX(0,MIN(X67,$C$9*(X69+X68+W121),X78))</f>
        <v>198.84439784146</v>
      </c>
      <c r="Y79" s="116" t="n">
        <f aca="false">MAX(0,MIN(Y67,$C$9*(Y69+Y68+X121),Y78))</f>
        <v>201.599071573836</v>
      </c>
      <c r="Z79" s="116" t="n">
        <f aca="false">MAX(0,MIN(Z67,$C$9*(Z69+Z68+Y121),Z78))</f>
        <v>204.294690894505</v>
      </c>
      <c r="AA79" s="116" t="n">
        <f aca="false">MAX(0,MIN(AA67,$C$9*(AA69+AA68+Z121),AA78))</f>
        <v>206.931111445608</v>
      </c>
      <c r="AB79" s="116" t="n">
        <f aca="false">MAX(0,MIN(AB67,$C$9*(AB69+AB68+AA121),AB78))</f>
        <v>209.508193296327</v>
      </c>
      <c r="AC79" s="116" t="n">
        <f aca="false">MAX(0,MIN(AC67,$C$9*(AC69+AC68+AB121),AC78))</f>
        <v>212.025800623019</v>
      </c>
      <c r="AD79" s="116" t="n">
        <f aca="false">MAX(0,MIN(AD67,$C$9*(AD69+AD68+AC121),AD78))</f>
        <v>213.799706343861</v>
      </c>
      <c r="AE79" s="116" t="n">
        <f aca="false">MAX(0,MIN(AE67,$C$9*(AE69+AE68+AD121),AE78))</f>
        <v>215.539402932262</v>
      </c>
      <c r="AF79" s="116" t="n">
        <f aca="false">MAX(0,MIN(AF67,$C$9*(AF69+AF68+AE121),AF78))</f>
        <v>217.243488791582</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0.386255216886864</v>
      </c>
      <c r="D80" s="116" t="n">
        <f aca="false">IF($C$177&lt;=1,D68,SUMPRODUCT($C$189:D189,((D$39-$C$39:D$39+1)&gt;=$C$177)+((D$39-$C$39:D$39+1)&lt;$C$177)*(D$39-$C$39:D$39+1)/$C$177))</f>
        <v>1.39643969852219</v>
      </c>
      <c r="E80" s="116" t="n">
        <f aca="false">IF($C$177&lt;=1,E68,SUMPRODUCT($C$189:E189,((E$39-$C$39:E$39+1)&gt;=$C$177)+((E$39-$C$39:E$39+1)&lt;$C$177)*(E$39-$C$39:E$39+1)/$C$177))</f>
        <v>3.23265730546119</v>
      </c>
      <c r="F80" s="116" t="n">
        <f aca="false">IF($C$177&lt;=1,F68,SUMPRODUCT($C$189:F189,((F$39-$C$39:F$39+1)&gt;=$C$177)+((F$39-$C$39:F$39+1)&lt;$C$177)*(F$39-$C$39:F$39+1)/$C$177))</f>
        <v>6.45273474266286</v>
      </c>
      <c r="G80" s="116" t="n">
        <f aca="false">IF($C$177&lt;=1,G68,SUMPRODUCT($C$189:G189,((G$39-$C$39:G$39+1)&gt;=$C$177)+((G$39-$C$39:G$39+1)&lt;$C$177)*(G$39-$C$39:G$39+1)/$C$177))</f>
        <v>11.0565654628756</v>
      </c>
      <c r="H80" s="116" t="n">
        <f aca="false">IF($C$177&lt;=1,H68,SUMPRODUCT($C$189:H189,((H$39-$C$39:H$39+1)&gt;=$C$177)+((H$39-$C$39:H$39+1)&lt;$C$177)*(H$39-$C$39:H$39+1)/$C$177))</f>
        <v>16.6550639408431</v>
      </c>
      <c r="I80" s="116" t="n">
        <f aca="false">IF($C$177&lt;=1,I68,SUMPRODUCT($C$189:I189,((I$39-$C$39:I$39+1)&gt;=$C$177)+((I$39-$C$39:I$39+1)&lt;$C$177)*(I$39-$C$39:I$39+1)/$C$177))</f>
        <v>23.0103459104485</v>
      </c>
      <c r="J80" s="116" t="n">
        <f aca="false">IF($C$177&lt;=1,J68,SUMPRODUCT($C$189:J189,((J$39-$C$39:J$39+1)&gt;=$C$177)+((J$39-$C$39:J$39+1)&lt;$C$177)*(J$39-$C$39:J$39+1)/$C$177))</f>
        <v>29.9200898721775</v>
      </c>
      <c r="K80" s="116" t="n">
        <f aca="false">IF($C$177&lt;=1,K68,SUMPRODUCT($C$189:K189,((K$39-$C$39:K$39+1)&gt;=$C$177)+((K$39-$C$39:K$39+1)&lt;$C$177)*(K$39-$C$39:K$39+1)/$C$177))</f>
        <v>36.8298338339064</v>
      </c>
      <c r="L80" s="116" t="n">
        <f aca="false">IF($C$177&lt;=1,L68,SUMPRODUCT($C$189:L189,((L$39-$C$39:L$39+1)&gt;=$C$177)+((L$39-$C$39:L$39+1)&lt;$C$177)*(L$39-$C$39:L$39+1)/$C$177))</f>
        <v>43.7395777956353</v>
      </c>
      <c r="M80" s="116" t="n">
        <f aca="false">IF($C$177&lt;=1,M68,SUMPRODUCT($C$189:M189,((M$39-$C$39:M$39+1)&gt;=$C$177)+((M$39-$C$39:M$39+1)&lt;$C$177)*(M$39-$C$39:M$39+1)/$C$177))</f>
        <v>50.4064903629138</v>
      </c>
      <c r="N80" s="116" t="n">
        <f aca="false">IF($C$177&lt;=1,N68,SUMPRODUCT($C$189:N189,((N$39-$C$39:N$39+1)&gt;=$C$177)+((N$39-$C$39:N$39+1)&lt;$C$177)*(N$39-$C$39:N$39+1)/$C$177))</f>
        <v>56.5927616547374</v>
      </c>
      <c r="O80" s="116" t="n">
        <f aca="false">IF($C$177&lt;=1,O68,SUMPRODUCT($C$189:O189,((O$39-$C$39:O$39+1)&gt;=$C$177)+((O$39-$C$39:O$39+1)&lt;$C$177)*(O$39-$C$39:O$39+1)/$C$177))</f>
        <v>62.096147182498</v>
      </c>
      <c r="P80" s="116" t="n">
        <f aca="false">IF($C$177&lt;=1,P68,SUMPRODUCT($C$189:P189,((P$39-$C$39:P$39+1)&gt;=$C$177)+((P$39-$C$39:P$39+1)&lt;$C$177)*(P$39-$C$39:P$39+1)/$C$177))</f>
        <v>66.3586746490136</v>
      </c>
      <c r="Q80" s="116" t="n">
        <f aca="false">IF($C$177&lt;=1,Q68,SUMPRODUCT($C$189:Q189,((Q$39-$C$39:Q$39+1)&gt;=$C$177)+((Q$39-$C$39:Q$39+1)&lt;$C$177)*(Q$39-$C$39:Q$39+1)/$C$177))</f>
        <v>69.3802998699069</v>
      </c>
      <c r="R80" s="116" t="n">
        <f aca="false">IF($C$177&lt;=1,R68,SUMPRODUCT($C$189:R189,((R$39-$C$39:R$39+1)&gt;=$C$177)+((R$39-$C$39:R$39+1)&lt;$C$177)*(R$39-$C$39:R$39+1)/$C$177))</f>
        <v>71.546548915132</v>
      </c>
      <c r="S80" s="116" t="n">
        <f aca="false">IF($C$177&lt;=1,S68,SUMPRODUCT($C$189:S189,((S$39-$C$39:S$39+1)&gt;=$C$177)+((S$39-$C$39:S$39+1)&lt;$C$177)*(S$39-$C$39:S$39+1)/$C$177))</f>
        <v>73.0917410868509</v>
      </c>
      <c r="T80" s="116" t="n">
        <f aca="false">IF($C$177&lt;=1,T68,SUMPRODUCT($C$189:T189,((T$39-$C$39:T$39+1)&gt;=$C$177)+((T$39-$C$39:T$39+1)&lt;$C$177)*(T$39-$C$39:T$39+1)/$C$177))</f>
        <v>74.2146272175171</v>
      </c>
      <c r="U80" s="116" t="n">
        <f aca="false">IF($C$177&lt;=1,U68,SUMPRODUCT($C$189:U189,((U$39-$C$39:U$39+1)&gt;=$C$177)+((U$39-$C$39:U$39+1)&lt;$C$177)*(U$39-$C$39:U$39+1)/$C$177))</f>
        <v>75.4660927277656</v>
      </c>
      <c r="V80" s="116" t="n">
        <f aca="false">IF($C$177&lt;=1,V68,SUMPRODUCT($C$189:V189,((V$39-$C$39:V$39+1)&gt;=$C$177)+((V$39-$C$39:V$39+1)&lt;$C$177)*(V$39-$C$39:V$39+1)/$C$177))</f>
        <v>76.8425549332555</v>
      </c>
      <c r="W80" s="116" t="n">
        <f aca="false">IF($C$177&lt;=1,W68,SUMPRODUCT($C$189:W189,((W$39-$C$39:W$39+1)&gt;=$C$177)+((W$39-$C$39:W$39+1)&lt;$C$177)*(W$39-$C$39:W$39+1)/$C$177))</f>
        <v>78.1970009985724</v>
      </c>
      <c r="X80" s="116" t="n">
        <f aca="false">IF($C$177&lt;=1,X68,SUMPRODUCT($C$189:X189,((X$39-$C$39:X$39+1)&gt;=$C$177)+((X$39-$C$39:X$39+1)&lt;$C$177)*(X$39-$C$39:X$39+1)/$C$177))</f>
        <v>79.5259711918436</v>
      </c>
      <c r="Y80" s="116" t="n">
        <f aca="false">IF($C$177&lt;=1,Y68,SUMPRODUCT($C$189:Y189,((Y$39-$C$39:Y$39+1)&gt;=$C$177)+((Y$39-$C$39:Y$39+1)&lt;$C$177)*(Y$39-$C$39:Y$39+1)/$C$177))</f>
        <v>80.8260037927821</v>
      </c>
      <c r="Z80" s="116" t="n">
        <f aca="false">IF($C$177&lt;=1,Z68,SUMPRODUCT($C$189:Z189,((Z$39-$C$39:Z$39+1)&gt;=$C$177)+((Z$39-$C$39:Z$39+1)&lt;$C$177)*(Z$39-$C$39:Z$39+1)/$C$177))</f>
        <v>82.0936350224952</v>
      </c>
      <c r="AA80" s="116" t="n">
        <f aca="false">IF($C$177&lt;=1,AA68,SUMPRODUCT($C$189:AA189,((AA$39-$C$39:AA$39+1)&gt;=$C$177)+((AA$39-$C$39:AA$39+1)&lt;$C$177)*(AA$39-$C$39:AA$39+1)/$C$177))</f>
        <v>83.3253989708155</v>
      </c>
      <c r="AB80" s="116" t="n">
        <f aca="false">IF($C$177&lt;=1,AB68,SUMPRODUCT($C$189:AB189,((AB$39-$C$39:AB$39+1)&gt;=$C$177)+((AB$39-$C$39:AB$39+1)&lt;$C$177)*(AB$39-$C$39:AB$39+1)/$C$177))</f>
        <v>84.5212309239153</v>
      </c>
      <c r="AC80" s="116" t="n">
        <f aca="false">IF($C$177&lt;=1,AC68,SUMPRODUCT($C$189:AC189,((AC$39-$C$39:AC$39+1)&gt;=$C$177)+((AC$39-$C$39:AC$39+1)&lt;$C$177)*(AC$39-$C$39:AC$39+1)/$C$177))</f>
        <v>85.6810638835683</v>
      </c>
      <c r="AD80" s="116" t="n">
        <f aca="false">IF($C$177&lt;=1,AD68,SUMPRODUCT($C$189:AD189,((AD$39-$C$39:AD$39+1)&gt;=$C$177)+((AD$39-$C$39:AD$39+1)&lt;$C$177)*(AD$39-$C$39:AD$39+1)/$C$177))</f>
        <v>86.7662559625111</v>
      </c>
      <c r="AE80" s="116" t="n">
        <f aca="false">IF($C$177&lt;=1,AE68,SUMPRODUCT($C$189:AE189,((AE$39-$C$39:AE$39+1)&gt;=$C$177)+((AE$39-$C$39:AE$39+1)&lt;$C$177)*(AE$39-$C$39:AE$39+1)/$C$177))</f>
        <v>87.7767353489571</v>
      </c>
      <c r="AF80" s="116" t="n">
        <f aca="false">IF($C$177&lt;=1,AF68,SUMPRODUCT($C$189:AF189,((AF$39-$C$39:AF$39+1)&gt;=$C$177)+((AF$39-$C$39:AF$39+1)&lt;$C$177)*(AF$39-$C$39:AF$39+1)/$C$177))</f>
        <v>88.7124276961634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11.8267027723829</v>
      </c>
      <c r="D81" s="116" t="n">
        <f aca="false">D69+D80+C121</f>
        <v>31.2705719819142</v>
      </c>
      <c r="E81" s="116" t="n">
        <f aca="false">E69+E80+D121</f>
        <v>57.4876291967492</v>
      </c>
      <c r="F81" s="116" t="n">
        <f aca="false">F69+F80+E121</f>
        <v>117.640244070027</v>
      </c>
      <c r="G81" s="116" t="n">
        <f aca="false">G69+G80+F121</f>
        <v>177.792297926316</v>
      </c>
      <c r="H81" s="116" t="n">
        <f aca="false">H69+H80+G121</f>
        <v>227.511063399864</v>
      </c>
      <c r="I81" s="116" t="n">
        <f aca="false">I69+I80+H121</f>
        <v>271.0052420369</v>
      </c>
      <c r="J81" s="116" t="n">
        <f aca="false">J69+J80+I121</f>
        <v>309.118001288097</v>
      </c>
      <c r="K81" s="116" t="n">
        <f aca="false">K69+K80+J121</f>
        <v>321.703694079959</v>
      </c>
      <c r="L81" s="116" t="n">
        <f aca="false">L69+L80+K121</f>
        <v>334.29956120741</v>
      </c>
      <c r="M81" s="116" t="n">
        <f aca="false">M69+M80+L121</f>
        <v>346.66226255922</v>
      </c>
      <c r="N81" s="116" t="n">
        <f aca="false">N69+N80+M121</f>
        <v>358.553504973444</v>
      </c>
      <c r="O81" s="116" t="n">
        <f aca="false">O69+O80+N121</f>
        <v>369.77058484458</v>
      </c>
      <c r="P81" s="116" t="n">
        <f aca="false">P69+P80+O121</f>
        <v>379.755093714398</v>
      </c>
      <c r="Q81" s="116" t="n">
        <f aca="false">Q69+Q80+P121</f>
        <v>388.506573045524</v>
      </c>
      <c r="R81" s="116" t="n">
        <f aca="false">R69+R80+Q121</f>
        <v>396.310055188814</v>
      </c>
      <c r="S81" s="116" t="n">
        <f aca="false">S69+S80+R121</f>
        <v>403.39948549285</v>
      </c>
      <c r="T81" s="116" t="n">
        <f aca="false">T69+T80+S121</f>
        <v>409.973259534186</v>
      </c>
      <c r="U81" s="116" t="n">
        <f aca="false">U69+U80+T121</f>
        <v>416.581925240352</v>
      </c>
      <c r="V81" s="116" t="n">
        <f aca="false">V69+V80+U121</f>
        <v>423.221579308556</v>
      </c>
      <c r="W81" s="116" t="n">
        <f aca="false">W69+W80+V121</f>
        <v>429.744904315857</v>
      </c>
      <c r="X81" s="116" t="n">
        <f aca="false">X69+X80+W121</f>
        <v>436.148151172231</v>
      </c>
      <c r="Y81" s="116" t="n">
        <f aca="false">Y69+Y80+X121</f>
        <v>442.427583267148</v>
      </c>
      <c r="Z81" s="116" t="n">
        <f aca="false">Z69+Z80+Y121</f>
        <v>448.579475675982</v>
      </c>
      <c r="AA81" s="116" t="n">
        <f aca="false">AA69+AA80+Z121</f>
        <v>454.600114400124</v>
      </c>
      <c r="AB81" s="116" t="n">
        <f aca="false">AB69+AB80+AA121</f>
        <v>460.489199041721</v>
      </c>
      <c r="AC81" s="116" t="n">
        <f aca="false">AC69+AC80+AB121</f>
        <v>466.246438702726</v>
      </c>
      <c r="AD81" s="116" t="n">
        <f aca="false">AD69+AD80+AC121</f>
        <v>470.698492791046</v>
      </c>
      <c r="AE81" s="116" t="n">
        <f aca="false">AE69+AE80+AD121</f>
        <v>475.036297725304</v>
      </c>
      <c r="AF81" s="116" t="n">
        <f aca="false">AF69+AF80+AE121</f>
        <v>479.25675097765</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6.88634987596409</v>
      </c>
      <c r="D83" s="136" t="n">
        <f aca="false">D79+D82</f>
        <v>17.9891896948854</v>
      </c>
      <c r="E83" s="136" t="n">
        <f aca="false">E79+E82</f>
        <v>31.5940666948854</v>
      </c>
      <c r="F83" s="136" t="n">
        <f aca="false">F79+F82</f>
        <v>45.5118558658854</v>
      </c>
      <c r="G83" s="136" t="n">
        <f aca="false">G79+G82</f>
        <v>59.7497541878184</v>
      </c>
      <c r="H83" s="136" t="n">
        <f aca="false">H79+H82</f>
        <v>74.3151241711558</v>
      </c>
      <c r="I83" s="136" t="n">
        <f aca="false">I79+I82</f>
        <v>89.21549766411</v>
      </c>
      <c r="J83" s="136" t="n">
        <f aca="false">J79+J82</f>
        <v>104.458579747402</v>
      </c>
      <c r="K83" s="136" t="n">
        <f aca="false">K79+K82</f>
        <v>120.05225271861</v>
      </c>
      <c r="L83" s="136" t="n">
        <f aca="false">L79+L82</f>
        <v>136.004580168156</v>
      </c>
      <c r="M83" s="136" t="n">
        <f aca="false">M79+M82</f>
        <v>152.323811149041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193.15848872137</v>
      </c>
      <c r="W83" s="136" t="n">
        <f aca="false">W79+W82</f>
        <v>196.030818815448</v>
      </c>
      <c r="X83" s="136" t="n">
        <f aca="false">X79+X82</f>
        <v>198.84439784146</v>
      </c>
      <c r="Y83" s="136" t="n">
        <f aca="false">Y79+Y82</f>
        <v>201.599071573836</v>
      </c>
      <c r="Z83" s="136" t="n">
        <f aca="false">Z79+Z82</f>
        <v>204.294690894505</v>
      </c>
      <c r="AA83" s="136" t="n">
        <f aca="false">AA79+AA82</f>
        <v>206.931111445608</v>
      </c>
      <c r="AB83" s="136" t="n">
        <f aca="false">AB79+AB82</f>
        <v>209.508193296327</v>
      </c>
      <c r="AC83" s="136" t="n">
        <f aca="false">AC79+AC82</f>
        <v>212.025800623019</v>
      </c>
      <c r="AD83" s="136" t="n">
        <f aca="false">AD79+AD82</f>
        <v>213.799706343861</v>
      </c>
      <c r="AE83" s="136" t="n">
        <f aca="false">AE79+AE82</f>
        <v>215.539402932262</v>
      </c>
      <c r="AF83" s="136" t="n">
        <f aca="false">AF79+AF82</f>
        <v>217.243488791582</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4.86035289641877</v>
      </c>
      <c r="D84" s="116" t="n">
        <f aca="false">D67-D79+D80-D82</f>
        <v>13.1185582870288</v>
      </c>
      <c r="E84" s="116" t="n">
        <f aca="false">E67-E79+E80-E82</f>
        <v>25.6449908146638</v>
      </c>
      <c r="F84" s="116" t="n">
        <f aca="false">F67-F79+F80-F82</f>
        <v>55.6490387944737</v>
      </c>
      <c r="G84" s="116" t="n">
        <f aca="false">G67-G79+G80-G82</f>
        <v>85.3292828636681</v>
      </c>
      <c r="H84" s="116" t="n">
        <f aca="false">H67-H79+H80-H82</f>
        <v>104.245522524906</v>
      </c>
      <c r="I84" s="116" t="n">
        <f aca="false">I67-I79+I80-I82</f>
        <v>116.598812950161</v>
      </c>
      <c r="J84" s="116" t="n">
        <f aca="false">J67-J79+J80-J82</f>
        <v>123.224497940575</v>
      </c>
      <c r="K84" s="116" t="n">
        <f aca="false">K67-K79+K80-K82</f>
        <v>113.202596219319</v>
      </c>
      <c r="L84" s="116" t="n">
        <f aca="false">L67-L79+L80-L82</f>
        <v>102.832214355314</v>
      </c>
      <c r="M84" s="116" t="n">
        <f aca="false">M67-M79+M80-M82</f>
        <v>96.0801109030485</v>
      </c>
      <c r="N84" s="116" t="n">
        <f aca="false">N67-N79+N80-N82</f>
        <v>95.4114691247594</v>
      </c>
      <c r="O84" s="116" t="n">
        <f aca="false">O67-O79+O80-O82</f>
        <v>100.096909053269</v>
      </c>
      <c r="P84" s="116" t="n">
        <f aca="false">P67-P79+P80-P82</f>
        <v>103.459753353371</v>
      </c>
      <c r="Q84" s="116" t="n">
        <f aca="false">Q67-Q79+Q80-Q82</f>
        <v>105.497420251141</v>
      </c>
      <c r="R84" s="116" t="n">
        <f aca="false">R67-R79+R80-R82</f>
        <v>106.492768167189</v>
      </c>
      <c r="S84" s="116" t="n">
        <f aca="false">S67-S79+S80-S82</f>
        <v>106.677516594566</v>
      </c>
      <c r="T84" s="116" t="n">
        <f aca="false">T67-T79+T80-T82</f>
        <v>106.247782066784</v>
      </c>
      <c r="U84" s="116" t="n">
        <f aca="false">U67-U79+U80-U82</f>
        <v>105.751778987156</v>
      </c>
      <c r="V84" s="116" t="n">
        <f aca="false">V67-V79+V80-V82</f>
        <v>106.446792254835</v>
      </c>
      <c r="W84" s="116" t="n">
        <f aca="false">W67-W79+W80-W82</f>
        <v>107.255280312878</v>
      </c>
      <c r="X84" s="116" t="n">
        <f aca="false">X67-X79+X80-X82</f>
        <v>107.996789459593</v>
      </c>
      <c r="Y84" s="116" t="n">
        <f aca="false">Y67-Y79+Y80-Y82</f>
        <v>108.667537800473</v>
      </c>
      <c r="Z84" s="116" t="n">
        <f aca="false">Z67-Z79+Z80-Z82</f>
        <v>109.263742976734</v>
      </c>
      <c r="AA84" s="116" t="n">
        <f aca="false">AA67-AA79+AA80-AA82</f>
        <v>109.781621504097</v>
      </c>
      <c r="AB84" s="116" t="n">
        <f aca="false">AB67-AB79+AB80-AB82</f>
        <v>110.220791523328</v>
      </c>
      <c r="AC84" s="116" t="n">
        <f aca="false">AC67-AC79+AC80-AC82</f>
        <v>110.580868752675</v>
      </c>
      <c r="AD84" s="116" t="n">
        <f aca="false">AD67-AD79+AD80-AD82</f>
        <v>110.372502383501</v>
      </c>
      <c r="AE84" s="116" t="n">
        <f aca="false">AE67-AE79+AE80-AE82</f>
        <v>110.076890686024</v>
      </c>
      <c r="AF84" s="116" t="n">
        <f aca="false">AF67-AF79+AF80-AF82</f>
        <v>109.692078381704</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1.41920433268594</v>
      </c>
      <c r="D85" s="116" t="n">
        <f aca="false">IF(AND($C$31&gt;0,D$39&gt;10),MIN(D83,MAX(01_Supuestos!$I$137*D81,C85*(1-1/MAX(1,$C$31)))),MIN(IF(D$39&lt;=10,01_Supuestos!$I$136,01_Supuestos!$I$137)*D81,D83))</f>
        <v>3.7524686378297</v>
      </c>
      <c r="E85" s="116" t="n">
        <f aca="false">IF(AND($C$31&gt;0,E$39&gt;10),MIN(E83,MAX(01_Supuestos!$I$137*E81,D85*(1-1/MAX(1,$C$31)))),MIN(IF(E$39&lt;=10,01_Supuestos!$I$136,01_Supuestos!$I$137)*E81,E83))</f>
        <v>6.8985155036099</v>
      </c>
      <c r="F85" s="116" t="n">
        <f aca="false">IF(AND($C$31&gt;0,F$39&gt;10),MIN(F83,MAX(01_Supuestos!$I$137*F81,E85*(1-1/MAX(1,$C$31)))),MIN(IF(F$39&lt;=10,01_Supuestos!$I$136,01_Supuestos!$I$137)*F81,F83))</f>
        <v>14.1168292884033</v>
      </c>
      <c r="G85" s="116" t="n">
        <f aca="false">IF(AND($C$31&gt;0,G$39&gt;10),MIN(G83,MAX(01_Supuestos!$I$137*G81,F85*(1-1/MAX(1,$C$31)))),MIN(IF(G$39&lt;=10,01_Supuestos!$I$136,01_Supuestos!$I$137)*G81,G83))</f>
        <v>21.335075751158</v>
      </c>
      <c r="H85" s="116" t="n">
        <f aca="false">IF(AND($C$31&gt;0,H$39&gt;10),MIN(H83,MAX(01_Supuestos!$I$137*H81,G85*(1-1/MAX(1,$C$31)))),MIN(IF(H$39&lt;=10,01_Supuestos!$I$136,01_Supuestos!$I$137)*H81,H83))</f>
        <v>27.3013276079837</v>
      </c>
      <c r="I85" s="116" t="n">
        <f aca="false">IF(AND($C$31&gt;0,I$39&gt;10),MIN(I83,MAX(01_Supuestos!$I$137*I81,H85*(1-1/MAX(1,$C$31)))),MIN(IF(I$39&lt;=10,01_Supuestos!$I$136,01_Supuestos!$I$137)*I81,I83))</f>
        <v>32.520629044428</v>
      </c>
      <c r="J85" s="116" t="n">
        <f aca="false">IF(AND($C$31&gt;0,J$39&gt;10),MIN(J83,MAX(01_Supuestos!$I$137*J81,I85*(1-1/MAX(1,$C$31)))),MIN(IF(J$39&lt;=10,01_Supuestos!$I$136,01_Supuestos!$I$137)*J81,J83))</f>
        <v>37.0941601545716</v>
      </c>
      <c r="K85" s="116" t="n">
        <f aca="false">IF(AND($C$31&gt;0,K$39&gt;10),MIN(K83,MAX(01_Supuestos!$I$137*K81,J85*(1-1/MAX(1,$C$31)))),MIN(IF(K$39&lt;=10,01_Supuestos!$I$136,01_Supuestos!$I$137)*K81,K83))</f>
        <v>38.6044432895951</v>
      </c>
      <c r="L85" s="116" t="n">
        <f aca="false">IF(AND($C$31&gt;0,L$39&gt;10),MIN(L83,MAX(01_Supuestos!$I$137*L81,K85*(1-1/MAX(1,$C$31)))),MIN(IF(L$39&lt;=10,01_Supuestos!$I$136,01_Supuestos!$I$137)*L81,L83))</f>
        <v>40.1159473448892</v>
      </c>
      <c r="M85" s="116" t="n">
        <f aca="false">IF(AND($C$31&gt;0,M$39&gt;10),MIN(M83,MAX(01_Supuestos!$I$137*M81,L85*(1-1/MAX(1,$C$31)))),MIN(IF(M$39&lt;=10,01_Supuestos!$I$136,01_Supuestos!$I$137)*M81,M83))</f>
        <v>32.0927578759113</v>
      </c>
      <c r="N85" s="116" t="n">
        <f aca="false">IF(AND($C$31&gt;0,N$39&gt;10),MIN(N83,MAX(01_Supuestos!$I$137*N81,M85*(1-1/MAX(1,$C$31)))),MIN(IF(N$39&lt;=10,01_Supuestos!$I$136,01_Supuestos!$I$137)*N81,N83))</f>
        <v>26.8915128730083</v>
      </c>
      <c r="O85" s="116" t="n">
        <f aca="false">IF(AND($C$31&gt;0,O$39&gt;10),MIN(O83,MAX(01_Supuestos!$I$137*O81,N85*(1-1/MAX(1,$C$31)))),MIN(IF(O$39&lt;=10,01_Supuestos!$I$136,01_Supuestos!$I$137)*O81,O83))</f>
        <v>27.7327938633435</v>
      </c>
      <c r="P85" s="116" t="n">
        <f aca="false">IF(AND($C$31&gt;0,P$39&gt;10),MIN(P83,MAX(01_Supuestos!$I$137*P81,O85*(1-1/MAX(1,$C$31)))),MIN(IF(P$39&lt;=10,01_Supuestos!$I$136,01_Supuestos!$I$137)*P81,P83))</f>
        <v>28.4816320285799</v>
      </c>
      <c r="Q85" s="116" t="n">
        <f aca="false">IF(AND($C$31&gt;0,Q$39&gt;10),MIN(Q83,MAX(01_Supuestos!$I$137*Q81,P85*(1-1/MAX(1,$C$31)))),MIN(IF(Q$39&lt;=10,01_Supuestos!$I$136,01_Supuestos!$I$137)*Q81,Q83))</f>
        <v>29.1379929784143</v>
      </c>
      <c r="R85" s="116" t="n">
        <f aca="false">IF(AND($C$31&gt;0,R$39&gt;10),MIN(R83,MAX(01_Supuestos!$I$137*R81,Q85*(1-1/MAX(1,$C$31)))),MIN(IF(R$39&lt;=10,01_Supuestos!$I$136,01_Supuestos!$I$137)*R81,R83))</f>
        <v>29.7232541391611</v>
      </c>
      <c r="S85" s="116" t="n">
        <f aca="false">IF(AND($C$31&gt;0,S$39&gt;10),MIN(S83,MAX(01_Supuestos!$I$137*S81,R85*(1-1/MAX(1,$C$31)))),MIN(IF(S$39&lt;=10,01_Supuestos!$I$136,01_Supuestos!$I$137)*S81,S83))</f>
        <v>30.2549614119638</v>
      </c>
      <c r="T85" s="116" t="n">
        <f aca="false">IF(AND($C$31&gt;0,T$39&gt;10),MIN(T83,MAX(01_Supuestos!$I$137*T81,S85*(1-1/MAX(1,$C$31)))),MIN(IF(T$39&lt;=10,01_Supuestos!$I$136,01_Supuestos!$I$137)*T81,T83))</f>
        <v>30.747994465064</v>
      </c>
      <c r="U85" s="116" t="n">
        <f aca="false">IF(AND($C$31&gt;0,U$39&gt;10),MIN(U83,MAX(01_Supuestos!$I$137*U81,T85*(1-1/MAX(1,$C$31)))),MIN(IF(U$39&lt;=10,01_Supuestos!$I$136,01_Supuestos!$I$137)*U81,U83))</f>
        <v>31.2436443930264</v>
      </c>
      <c r="V85" s="116" t="n">
        <f aca="false">IF(AND($C$31&gt;0,V$39&gt;10),MIN(V83,MAX(01_Supuestos!$I$137*V81,U85*(1-1/MAX(1,$C$31)))),MIN(IF(V$39&lt;=10,01_Supuestos!$I$136,01_Supuestos!$I$137)*V81,V83))</f>
        <v>31.7416184481417</v>
      </c>
      <c r="W85" s="116" t="n">
        <f aca="false">IF(AND($C$31&gt;0,W$39&gt;10),MIN(W83,MAX(01_Supuestos!$I$137*W81,V85*(1-1/MAX(1,$C$31)))),MIN(IF(W$39&lt;=10,01_Supuestos!$I$136,01_Supuestos!$I$137)*W81,W83))</f>
        <v>32.2308678236893</v>
      </c>
      <c r="X85" s="116" t="n">
        <f aca="false">IF(AND($C$31&gt;0,X$39&gt;10),MIN(X83,MAX(01_Supuestos!$I$137*X81,W85*(1-1/MAX(1,$C$31)))),MIN(IF(X$39&lt;=10,01_Supuestos!$I$136,01_Supuestos!$I$137)*X81,X83))</f>
        <v>32.7111113379173</v>
      </c>
      <c r="Y85" s="116" t="n">
        <f aca="false">IF(AND($C$31&gt;0,Y$39&gt;10),MIN(Y83,MAX(01_Supuestos!$I$137*Y81,X85*(1-1/MAX(1,$C$31)))),MIN(IF(Y$39&lt;=10,01_Supuestos!$I$136,01_Supuestos!$I$137)*Y81,Y83))</f>
        <v>33.1820687450361</v>
      </c>
      <c r="Z85" s="116" t="n">
        <f aca="false">IF(AND($C$31&gt;0,Z$39&gt;10),MIN(Z83,MAX(01_Supuestos!$I$137*Z81,Y85*(1-1/MAX(1,$C$31)))),MIN(IF(Z$39&lt;=10,01_Supuestos!$I$136,01_Supuestos!$I$137)*Z81,Z83))</f>
        <v>33.6434606756987</v>
      </c>
      <c r="AA85" s="116" t="n">
        <f aca="false">IF(AND($C$31&gt;0,AA$39&gt;10),MIN(AA83,MAX(01_Supuestos!$I$137*AA81,Z85*(1-1/MAX(1,$C$31)))),MIN(IF(AA$39&lt;=10,01_Supuestos!$I$136,01_Supuestos!$I$137)*AA81,AA83))</f>
        <v>34.0950085800093</v>
      </c>
      <c r="AB85" s="116" t="n">
        <f aca="false">IF(AND($C$31&gt;0,AB$39&gt;10),MIN(AB83,MAX(01_Supuestos!$I$137*AB81,AA85*(1-1/MAX(1,$C$31)))),MIN(IF(AB$39&lt;=10,01_Supuestos!$I$136,01_Supuestos!$I$137)*AB81,AB83))</f>
        <v>34.536689928129</v>
      </c>
      <c r="AC85" s="116" t="n">
        <f aca="false">IF(AND($C$31&gt;0,AC$39&gt;10),MIN(AC83,MAX(01_Supuestos!$I$137*AC81,AB85*(1-1/MAX(1,$C$31)))),MIN(IF(AC$39&lt;=10,01_Supuestos!$I$136,01_Supuestos!$I$137)*AC81,AC83))</f>
        <v>34.9684829027044</v>
      </c>
      <c r="AD85" s="116" t="n">
        <f aca="false">IF(AND($C$31&gt;0,AD$39&gt;10),MIN(AD83,MAX(01_Supuestos!$I$137*AD81,AC85*(1-1/MAX(1,$C$31)))),MIN(IF(AD$39&lt;=10,01_Supuestos!$I$136,01_Supuestos!$I$137)*AD81,AD83))</f>
        <v>35.3023869593284</v>
      </c>
      <c r="AE85" s="116" t="n">
        <f aca="false">IF(AND($C$31&gt;0,AE$39&gt;10),MIN(AE83,MAX(01_Supuestos!$I$137*AE81,AD85*(1-1/MAX(1,$C$31)))),MIN(IF(AE$39&lt;=10,01_Supuestos!$I$136,01_Supuestos!$I$137)*AE81,AE83))</f>
        <v>35.6277223293978</v>
      </c>
      <c r="AF85" s="116" t="n">
        <f aca="false">IF(AND($C$31&gt;0,AF$39&gt;10),MIN(AF83,MAX(01_Supuestos!$I$137*AF81,AE85*(1-1/MAX(1,$C$31)))),MIN(IF(AF$39&lt;=10,01_Supuestos!$I$136,01_Supuestos!$I$137)*AF81,AF83))</f>
        <v>35.9442563233237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0.344317493798204</v>
      </c>
      <c r="D86" s="116" t="n">
        <f aca="false">01_Supuestos!$I$127*D83</f>
        <v>0.899459484744269</v>
      </c>
      <c r="E86" s="116" t="n">
        <f aca="false">01_Supuestos!$I$127*E83</f>
        <v>1.57970333474427</v>
      </c>
      <c r="F86" s="116" t="n">
        <f aca="false">01_Supuestos!$I$127*F83</f>
        <v>2.27559279329427</v>
      </c>
      <c r="G86" s="116" t="n">
        <f aca="false">01_Supuestos!$I$127*G83</f>
        <v>2.98748770939092</v>
      </c>
      <c r="H86" s="116" t="n">
        <f aca="false">01_Supuestos!$I$127*H83</f>
        <v>3.71575620855779</v>
      </c>
      <c r="I86" s="116" t="n">
        <f aca="false">01_Supuestos!$I$127*I83</f>
        <v>4.4607748832055</v>
      </c>
      <c r="J86" s="116" t="n">
        <f aca="false">01_Supuestos!$I$127*J83</f>
        <v>5.22292898737011</v>
      </c>
      <c r="K86" s="116" t="n">
        <f aca="false">01_Supuestos!$I$127*K83</f>
        <v>6.0026126359305</v>
      </c>
      <c r="L86" s="116" t="n">
        <f aca="false">01_Supuestos!$I$127*L83</f>
        <v>6.80022900840779</v>
      </c>
      <c r="M86" s="116" t="n">
        <f aca="false">01_Supuestos!$I$127*M83</f>
        <v>7.61619055745205</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9.6579244360685</v>
      </c>
      <c r="W86" s="116" t="n">
        <f aca="false">01_Supuestos!$I$127*W83</f>
        <v>9.80154094077241</v>
      </c>
      <c r="X86" s="116" t="n">
        <f aca="false">01_Supuestos!$I$127*X83</f>
        <v>9.94221989207301</v>
      </c>
      <c r="Y86" s="116" t="n">
        <f aca="false">01_Supuestos!$I$127*Y83</f>
        <v>10.0799535786918</v>
      </c>
      <c r="Z86" s="116" t="n">
        <f aca="false">01_Supuestos!$I$127*Z83</f>
        <v>10.2147345447253</v>
      </c>
      <c r="AA86" s="116" t="n">
        <f aca="false">01_Supuestos!$I$127*AA83</f>
        <v>10.3465555722804</v>
      </c>
      <c r="AB86" s="116" t="n">
        <f aca="false">01_Supuestos!$I$127*AB83</f>
        <v>10.4754096648164</v>
      </c>
      <c r="AC86" s="116" t="n">
        <f aca="false">01_Supuestos!$I$127*AC83</f>
        <v>10.601290031151</v>
      </c>
      <c r="AD86" s="116" t="n">
        <f aca="false">01_Supuestos!$I$127*AD83</f>
        <v>10.689985317193</v>
      </c>
      <c r="AE86" s="116" t="n">
        <f aca="false">01_Supuestos!$I$127*AE83</f>
        <v>10.7769701466131</v>
      </c>
      <c r="AF86" s="116" t="n">
        <f aca="false">01_Supuestos!$I$127*AF83</f>
        <v>10.8621744395791</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5.12282804947994</v>
      </c>
      <c r="D87" s="116" t="n">
        <f aca="false">D83-D85-D86</f>
        <v>13.3372615723114</v>
      </c>
      <c r="E87" s="116" t="n">
        <f aca="false">E83-E85-E86</f>
        <v>23.1158478565312</v>
      </c>
      <c r="F87" s="116" t="n">
        <f aca="false">F83-F85-F86</f>
        <v>29.1194337841878</v>
      </c>
      <c r="G87" s="116" t="n">
        <f aca="false">G83-G85-G86</f>
        <v>35.4271907272695</v>
      </c>
      <c r="H87" s="116" t="n">
        <f aca="false">H83-H85-H86</f>
        <v>43.2980403546143</v>
      </c>
      <c r="I87" s="116" t="n">
        <f aca="false">I83-I85-I86</f>
        <v>52.2340937364765</v>
      </c>
      <c r="J87" s="116" t="n">
        <f aca="false">J83-J85-J86</f>
        <v>62.1414906054605</v>
      </c>
      <c r="K87" s="116" t="n">
        <f aca="false">K83-K85-K86</f>
        <v>75.4451967930845</v>
      </c>
      <c r="L87" s="116" t="n">
        <f aca="false">L83-L85-L86</f>
        <v>89.0884038148588</v>
      </c>
      <c r="M87" s="116" t="n">
        <f aca="false">M83-M85-M86</f>
        <v>112.614862715678</v>
      </c>
      <c r="N87" s="116" t="n">
        <f aca="false">N83-N85-N86</f>
        <v>127.08840723162</v>
      </c>
      <c r="O87" s="116" t="n">
        <f aca="false">O83-O85-O86</f>
        <v>129.788664403691</v>
      </c>
      <c r="P87" s="116" t="n">
        <f aca="false">P83-P85-P86</f>
        <v>132.662819778597</v>
      </c>
      <c r="Q87" s="116" t="n">
        <f aca="false">Q83-Q85-Q86</f>
        <v>135.712781220327</v>
      </c>
      <c r="R87" s="116" t="n">
        <f aca="false">R83-R85-R86</f>
        <v>138.919087866152</v>
      </c>
      <c r="S87" s="116" t="n">
        <f aca="false">S83-S85-S86</f>
        <v>142.266154459471</v>
      </c>
      <c r="T87" s="116" t="n">
        <f aca="false">T83-T85-T86</f>
        <v>145.741107071414</v>
      </c>
      <c r="U87" s="116" t="n">
        <f aca="false">U83-U85-U86</f>
        <v>149.304706478791</v>
      </c>
      <c r="V87" s="116" t="n">
        <f aca="false">V83-V85-V86</f>
        <v>151.75894583716</v>
      </c>
      <c r="W87" s="116" t="n">
        <f aca="false">W83-W85-W86</f>
        <v>153.998410050987</v>
      </c>
      <c r="X87" s="116" t="n">
        <f aca="false">X83-X85-X86</f>
        <v>156.19106661147</v>
      </c>
      <c r="Y87" s="116" t="n">
        <f aca="false">Y83-Y85-Y86</f>
        <v>158.337049250108</v>
      </c>
      <c r="Z87" s="116" t="n">
        <f aca="false">Z83-Z85-Z86</f>
        <v>160.436495674081</v>
      </c>
      <c r="AA87" s="116" t="n">
        <f aca="false">AA83-AA85-AA86</f>
        <v>162.489547293318</v>
      </c>
      <c r="AB87" s="116" t="n">
        <f aca="false">AB83-AB85-AB86</f>
        <v>164.496093703382</v>
      </c>
      <c r="AC87" s="116" t="n">
        <f aca="false">AC83-AC85-AC86</f>
        <v>166.456027689164</v>
      </c>
      <c r="AD87" s="116" t="n">
        <f aca="false">AD83-AD85-AD86</f>
        <v>167.807334067339</v>
      </c>
      <c r="AE87" s="116" t="n">
        <f aca="false">AE83-AE85-AE86</f>
        <v>169.134710456251</v>
      </c>
      <c r="AF87" s="116" t="n">
        <f aca="false">AF83-AF85-AF86</f>
        <v>170.437058028679</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0.019367859026149</v>
      </c>
      <c r="D88" s="116" t="n">
        <f aca="false">D86/01_Supuestos!$I$131*01_Supuestos!$I$129*01_Supuestos!$I$130*01_Supuestos!$I$128</f>
        <v>0.0505945960168651</v>
      </c>
      <c r="E88" s="116" t="n">
        <f aca="false">E86/01_Supuestos!$I$131*01_Supuestos!$I$129*01_Supuestos!$I$130*01_Supuestos!$I$128</f>
        <v>0.0888583125793651</v>
      </c>
      <c r="F88" s="116" t="n">
        <f aca="false">F86/01_Supuestos!$I$131*01_Supuestos!$I$129*01_Supuestos!$I$130*01_Supuestos!$I$128</f>
        <v>0.128002094622803</v>
      </c>
      <c r="G88" s="116" t="n">
        <f aca="false">G86/01_Supuestos!$I$131*01_Supuestos!$I$129*01_Supuestos!$I$130*01_Supuestos!$I$128</f>
        <v>0.168046183653239</v>
      </c>
      <c r="H88" s="116" t="n">
        <f aca="false">H86/01_Supuestos!$I$131*01_Supuestos!$I$129*01_Supuestos!$I$130*01_Supuestos!$I$128</f>
        <v>0.209011286731376</v>
      </c>
      <c r="I88" s="116" t="n">
        <f aca="false">I86/01_Supuestos!$I$131*01_Supuestos!$I$129*01_Supuestos!$I$130*01_Supuestos!$I$128</f>
        <v>0.250918587180309</v>
      </c>
      <c r="J88" s="116" t="n">
        <f aca="false">J86/01_Supuestos!$I$131*01_Supuestos!$I$129*01_Supuestos!$I$130*01_Supuestos!$I$128</f>
        <v>0.293789755539569</v>
      </c>
      <c r="K88" s="116" t="n">
        <f aca="false">K86/01_Supuestos!$I$131*01_Supuestos!$I$129*01_Supuestos!$I$130*01_Supuestos!$I$128</f>
        <v>0.337646960771091</v>
      </c>
      <c r="L88" s="116" t="n">
        <f aca="false">L86/01_Supuestos!$I$131*01_Supuestos!$I$129*01_Supuestos!$I$130*01_Supuestos!$I$128</f>
        <v>0.382512881722938</v>
      </c>
      <c r="M88" s="116" t="n">
        <f aca="false">M86/01_Supuestos!$I$131*01_Supuestos!$I$129*01_Supuestos!$I$130*01_Supuestos!$I$128</f>
        <v>0.428410718856678</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0.543258249528853</v>
      </c>
      <c r="W88" s="116" t="n">
        <f aca="false">W86/01_Supuestos!$I$131*01_Supuestos!$I$129*01_Supuestos!$I$130*01_Supuestos!$I$128</f>
        <v>0.551336677918448</v>
      </c>
      <c r="X88" s="116" t="n">
        <f aca="false">X86/01_Supuestos!$I$131*01_Supuestos!$I$129*01_Supuestos!$I$130*01_Supuestos!$I$128</f>
        <v>0.559249868929107</v>
      </c>
      <c r="Y88" s="116" t="n">
        <f aca="false">Y86/01_Supuestos!$I$131*01_Supuestos!$I$129*01_Supuestos!$I$130*01_Supuestos!$I$128</f>
        <v>0.566997388801414</v>
      </c>
      <c r="Z88" s="116" t="n">
        <f aca="false">Z86/01_Supuestos!$I$131*01_Supuestos!$I$129*01_Supuestos!$I$130*01_Supuestos!$I$128</f>
        <v>0.574578818140796</v>
      </c>
      <c r="AA88" s="116" t="n">
        <f aca="false">AA86/01_Supuestos!$I$131*01_Supuestos!$I$129*01_Supuestos!$I$130*01_Supuestos!$I$128</f>
        <v>0.581993750940773</v>
      </c>
      <c r="AB88" s="116" t="n">
        <f aca="false">AB86/01_Supuestos!$I$131*01_Supuestos!$I$129*01_Supuestos!$I$130*01_Supuestos!$I$128</f>
        <v>0.589241793645921</v>
      </c>
      <c r="AC88" s="116" t="n">
        <f aca="false">AC86/01_Supuestos!$I$131*01_Supuestos!$I$129*01_Supuestos!$I$130*01_Supuestos!$I$128</f>
        <v>0.596322564252242</v>
      </c>
      <c r="AD88" s="116" t="n">
        <f aca="false">AD86/01_Supuestos!$I$131*01_Supuestos!$I$129*01_Supuestos!$I$130*01_Supuestos!$I$128</f>
        <v>0.601311674092109</v>
      </c>
      <c r="AE88" s="116" t="n">
        <f aca="false">AE86/01_Supuestos!$I$131*01_Supuestos!$I$129*01_Supuestos!$I$130*01_Supuestos!$I$128</f>
        <v>0.606204570746986</v>
      </c>
      <c r="AF88" s="116" t="n">
        <f aca="false">AF86/01_Supuestos!$I$131*01_Supuestos!$I$129*01_Supuestos!$I$130*01_Supuestos!$I$128</f>
        <v>0.610997312226325</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2.06590496278923</v>
      </c>
      <c r="D90" s="116" t="n">
        <f aca="false">D83-C83-D73+D185-D228</f>
        <v>3.33085194567639</v>
      </c>
      <c r="E90" s="116" t="n">
        <f aca="false">E83-D83-E73+E185-E228</f>
        <v>4.0814631</v>
      </c>
      <c r="F90" s="116" t="n">
        <f aca="false">F83-E83-F73+F185-F228</f>
        <v>4.1753367513</v>
      </c>
      <c r="G90" s="116" t="n">
        <f aca="false">G83-F83-G73+G185-G228</f>
        <v>4.2713694965799</v>
      </c>
      <c r="H90" s="116" t="n">
        <f aca="false">H83-G83-H73+H185-H228</f>
        <v>4.36961099500124</v>
      </c>
      <c r="I90" s="116" t="n">
        <f aca="false">I83-H83-I73+I185-I228</f>
        <v>4.47011204788627</v>
      </c>
      <c r="J90" s="116" t="n">
        <f aca="false">J83-I83-J73+J185-J228</f>
        <v>4.57292462498765</v>
      </c>
      <c r="K90" s="116" t="n">
        <f aca="false">K83-J83-K73+K185-K228</f>
        <v>4.67810189136236</v>
      </c>
      <c r="L90" s="116" t="n">
        <f aca="false">L83-K83-L73+L185-L228</f>
        <v>4.7856982348637</v>
      </c>
      <c r="M90" s="116" t="n">
        <f aca="false">M83-L83-M73+M185-M228</f>
        <v>4.89576929426556</v>
      </c>
      <c r="N90" s="116" t="n">
        <f aca="false">N83-M83-N73+N185-N228</f>
        <v>2.92809458306516</v>
      </c>
      <c r="O90" s="116" t="n">
        <f aca="false">O83-N83-O73+O185-O228</f>
        <v>1.11838047233887</v>
      </c>
      <c r="P90" s="116" t="n">
        <f aca="false">P83-O83-P73+P185-P228</f>
        <v>1.14410322320268</v>
      </c>
      <c r="Q90" s="116" t="n">
        <f aca="false">Q83-P83-Q73+Q185-Q228</f>
        <v>1.17041759733632</v>
      </c>
      <c r="R90" s="116" t="n">
        <f aca="false">R83-Q83-R73+R185-R228</f>
        <v>1.19733720207506</v>
      </c>
      <c r="S90" s="116" t="n">
        <f aca="false">S83-R83-S73+S185-S228</f>
        <v>1.2248759577228</v>
      </c>
      <c r="T90" s="116" t="n">
        <f aca="false">T83-S83-T73+T185-T228</f>
        <v>1.25304810475043</v>
      </c>
      <c r="U90" s="116" t="n">
        <f aca="false">U83-T83-U73+U185-U228</f>
        <v>1.28186821115966</v>
      </c>
      <c r="V90" s="116" t="n">
        <f aca="false">V83-U83-V73+V185-V228</f>
        <v>0.93227792004771</v>
      </c>
      <c r="W90" s="116" t="n">
        <f aca="false">W83-V83-W73+W185-W228</f>
        <v>0.861699028223484</v>
      </c>
      <c r="X90" s="116" t="n">
        <f aca="false">X83-W83-X73+X185-X228</f>
        <v>0.844073707803602</v>
      </c>
      <c r="Y90" s="116" t="n">
        <f aca="false">Y83-X83-Y73+Y185-Y228</f>
        <v>0.826402119712782</v>
      </c>
      <c r="Z90" s="116" t="n">
        <f aca="false">Z83-Y83-Z73+Z185-Z228</f>
        <v>0.808685796200706</v>
      </c>
      <c r="AA90" s="116" t="n">
        <f aca="false">AA83-Z83-AA73+AA185-AA228</f>
        <v>0.790926165330859</v>
      </c>
      <c r="AB90" s="116" t="n">
        <f aca="false">AB83-AA83-AB73+AB185-AB228</f>
        <v>0.773124555215787</v>
      </c>
      <c r="AC90" s="116" t="n">
        <f aca="false">AC83-AB83-AC73+AC185-AC228</f>
        <v>0.755282198007649</v>
      </c>
      <c r="AD90" s="116" t="n">
        <f aca="false">AD83-AC83-AD73+AD185-AD228</f>
        <v>0.532171716252407</v>
      </c>
      <c r="AE90" s="116" t="n">
        <f aca="false">AE83-AD83-AE73+AE185-AE228</f>
        <v>0.52190897652028</v>
      </c>
      <c r="AF90" s="116" t="n">
        <f aca="false">AF83-AE83-AF73+AF185-AF228</f>
        <v>0.511225757796069</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2.06590496278923</v>
      </c>
      <c r="D92" s="116" t="n">
        <f aca="false">IF(D90&gt;0,IF($C$20="BC",MIN(D90-D91,MAX(0,C276+D53-D75)),MIN(D90,MAX(0,C276+D53-D75))),0)</f>
        <v>3.33085194567639</v>
      </c>
      <c r="E92" s="116" t="n">
        <f aca="false">IF(E90&gt;0,IF($C$20="BC",MIN(E90-E91,MAX(0,D276+E53-E75)),MIN(E90,MAX(0,D276+E53-E75))),0)</f>
        <v>4.0814631</v>
      </c>
      <c r="F92" s="116" t="n">
        <f aca="false">IF(F90&gt;0,IF($C$20="BC",MIN(F90-F91,MAX(0,E276+F53-F75)),MIN(F90,MAX(0,E276+F53-F75))),0)</f>
        <v>4.1753367513</v>
      </c>
      <c r="G92" s="116" t="n">
        <f aca="false">IF(G90&gt;0,IF($C$20="BC",MIN(G90-G91,MAX(0,F276+G53-G75)),MIN(G90,MAX(0,F276+G53-G75))),0)</f>
        <v>4.2713694965799</v>
      </c>
      <c r="H92" s="116" t="n">
        <f aca="false">IF(H90&gt;0,IF($C$20="BC",MIN(H90-H91,MAX(0,G276+H53-H75)),MIN(H90,MAX(0,G276+H53-H75))),0)</f>
        <v>4.36961099500124</v>
      </c>
      <c r="I92" s="116" t="n">
        <f aca="false">IF(I90&gt;0,IF($C$20="BC",MIN(I90-I91,MAX(0,H276+I53-I75)),MIN(I90,MAX(0,H276+I53-I75))),0)</f>
        <v>4.47011204788627</v>
      </c>
      <c r="J92" s="116" t="n">
        <f aca="false">IF(J90&gt;0,IF($C$20="BC",MIN(J90-J91,MAX(0,I276+J53-J75)),MIN(J90,MAX(0,I276+J53-J75))),0)</f>
        <v>4.57292462498765</v>
      </c>
      <c r="K92" s="116" t="n">
        <f aca="false">IF(K90&gt;0,IF($C$20="BC",MIN(K90-K91,MAX(0,J276+K53-K75)),MIN(K90,MAX(0,J276+K53-K75))),0)</f>
        <v>4.67810189136236</v>
      </c>
      <c r="L92" s="116" t="n">
        <f aca="false">IF(L90&gt;0,IF($C$20="BC",MIN(L90-L91,MAX(0,K276+L53-L75)),MIN(L90,MAX(0,K276+L53-L75))),0)</f>
        <v>4.7856982348637</v>
      </c>
      <c r="M92" s="116" t="n">
        <f aca="false">IF(M90&gt;0,IF($C$20="BC",MIN(M90-M91,MAX(0,L276+M53-M75)),MIN(M90,MAX(0,L276+M53-M75))),0)</f>
        <v>4.89576929426556</v>
      </c>
      <c r="N92" s="116" t="n">
        <f aca="false">IF(N90&gt;0,IF($C$20="BC",MIN(N90-N91,MAX(0,M276+N53-N75)),MIN(N90,MAX(0,M276+N53-N75))),0)</f>
        <v>2.92809458306516</v>
      </c>
      <c r="O92" s="116" t="n">
        <f aca="false">IF(O90&gt;0,IF($C$20="BC",MIN(O90-O91,MAX(0,N276+O53-O75)),MIN(O90,MAX(0,N276+O53-O75))),0)</f>
        <v>1.11838047233887</v>
      </c>
      <c r="P92" s="116" t="n">
        <f aca="false">IF(P90&gt;0,IF($C$20="BC",MIN(P90-P91,MAX(0,O276+P53-P75)),MIN(P90,MAX(0,O276+P53-P75))),0)</f>
        <v>1.14410322320268</v>
      </c>
      <c r="Q92" s="116" t="n">
        <f aca="false">IF(Q90&gt;0,IF($C$20="BC",MIN(Q90-Q91,MAX(0,P276+Q53-Q75)),MIN(Q90,MAX(0,P276+Q53-Q75))),0)</f>
        <v>1.17041759733632</v>
      </c>
      <c r="R92" s="116" t="n">
        <f aca="false">IF(R90&gt;0,IF($C$20="BC",MIN(R90-R91,MAX(0,Q276+R53-R75)),MIN(R90,MAX(0,Q276+R53-R75))),0)</f>
        <v>1.19733720207506</v>
      </c>
      <c r="S92" s="116" t="n">
        <f aca="false">IF(S90&gt;0,IF($C$20="BC",MIN(S90-S91,MAX(0,R276+S53-S75)),MIN(S90,MAX(0,R276+S53-S75))),0)</f>
        <v>1.2248759577228</v>
      </c>
      <c r="T92" s="116" t="n">
        <f aca="false">IF(T90&gt;0,IF($C$20="BC",MIN(T90-T91,MAX(0,S276+T53-T75)),MIN(T90,MAX(0,S276+T53-T75))),0)</f>
        <v>1.25304810475043</v>
      </c>
      <c r="U92" s="116" t="n">
        <f aca="false">IF(U90&gt;0,IF($C$20="BC",MIN(U90-U91,MAX(0,T276+U53-U75)),MIN(U90,MAX(0,T276+U53-U75))),0)</f>
        <v>1.28186821115966</v>
      </c>
      <c r="V92" s="116" t="n">
        <f aca="false">IF(V90&gt;0,IF($C$20="BC",MIN(V90-V91,MAX(0,U276+V53-V75)),MIN(V90,MAX(0,U276+V53-V75))),0)</f>
        <v>0.93227792004771</v>
      </c>
      <c r="W92" s="116" t="n">
        <f aca="false">IF(W90&gt;0,IF($C$20="BC",MIN(W90-W91,MAX(0,V276+W53-W75)),MIN(W90,MAX(0,V276+W53-W75))),0)</f>
        <v>0.861699028223484</v>
      </c>
      <c r="X92" s="116" t="n">
        <f aca="false">IF(X90&gt;0,IF($C$20="BC",MIN(X90-X91,MAX(0,W276+X53-X75)),MIN(X90,MAX(0,W276+X53-X75))),0)</f>
        <v>0.844073707803602</v>
      </c>
      <c r="Y92" s="116" t="n">
        <f aca="false">IF(Y90&gt;0,IF($C$20="BC",MIN(Y90-Y91,MAX(0,X276+Y53-Y75)),MIN(Y90,MAX(0,X276+Y53-Y75))),0)</f>
        <v>0.826402119712782</v>
      </c>
      <c r="Z92" s="116" t="n">
        <f aca="false">IF(Z90&gt;0,IF($C$20="BC",MIN(Z90-Z91,MAX(0,Y276+Z53-Z75)),MIN(Z90,MAX(0,Y276+Z53-Z75))),0)</f>
        <v>0.808685796200706</v>
      </c>
      <c r="AA92" s="116" t="n">
        <f aca="false">IF(AA90&gt;0,IF($C$20="BC",MIN(AA90-AA91,MAX(0,Z276+AA53-AA75)),MIN(AA90,MAX(0,Z276+AA53-AA75))),0)</f>
        <v>0.790926165330859</v>
      </c>
      <c r="AB92" s="116" t="n">
        <f aca="false">IF(AB90&gt;0,IF($C$20="BC",MIN(AB90-AB91,MAX(0,AA276+AB53-AB75)),MIN(AB90,MAX(0,AA276+AB53-AB75))),0)</f>
        <v>0.773124555215787</v>
      </c>
      <c r="AC92" s="116" t="n">
        <f aca="false">IF(AC90&gt;0,IF($C$20="BC",MIN(AC90-AC91,MAX(0,AB276+AC53-AC75)),MIN(AC90,MAX(0,AB276+AC53-AC75))),0)</f>
        <v>0.755282198007649</v>
      </c>
      <c r="AD92" s="116" t="n">
        <f aca="false">IF(AD90&gt;0,IF($C$20="BC",MIN(AD90-AD91,MAX(0,AC276+AD53-AD75)),MIN(AD90,MAX(0,AC276+AD53-AD75))),0)</f>
        <v>0.532171716252407</v>
      </c>
      <c r="AE92" s="116" t="n">
        <f aca="false">IF(AE90&gt;0,IF($C$20="BC",MIN(AE90-AE91,MAX(0,AD276+AE53-AE75)),MIN(AE90,MAX(0,AD276+AE53-AE75))),0)</f>
        <v>0.52190897652028</v>
      </c>
      <c r="AF92" s="116" t="n">
        <f aca="false">IF(AF90&gt;0,IF($C$20="BC",MIN(AF90-AF91,MAX(0,AE276+AF53-AF75)),MIN(AF90,MAX(0,AE276+AF53-AF75))),0)</f>
        <v>0.511225757796069</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0</v>
      </c>
      <c r="P94" s="116" t="n">
        <f aca="false">IF(P90&lt;0,-P90-P93,0)</f>
        <v>0</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0.295667569309572</v>
      </c>
      <c r="D100" s="116" t="n">
        <f aca="false">$C$21*$C$22*D81</f>
        <v>0.781764299547855</v>
      </c>
      <c r="E100" s="116" t="n">
        <f aca="false">$C$21*$C$22*E81</f>
        <v>1.43719072991873</v>
      </c>
      <c r="F100" s="116" t="n">
        <f aca="false">$C$21*$C$22*F81</f>
        <v>2.94100610175068</v>
      </c>
      <c r="G100" s="116" t="n">
        <f aca="false">$C$21*$C$22*G81</f>
        <v>4.44480744815791</v>
      </c>
      <c r="H100" s="116" t="n">
        <f aca="false">$C$21*$C$22*H81</f>
        <v>5.68777658499661</v>
      </c>
      <c r="I100" s="116" t="n">
        <f aca="false">$C$21*$C$22*I81</f>
        <v>6.7751310509225</v>
      </c>
      <c r="J100" s="116" t="n">
        <f aca="false">$C$21*$C$22*J81</f>
        <v>7.72795003220242</v>
      </c>
      <c r="K100" s="116" t="n">
        <f aca="false">$C$21*$C$22*K81</f>
        <v>8.04259235199898</v>
      </c>
      <c r="L100" s="116" t="n">
        <f aca="false">$C$21*$C$22*L81</f>
        <v>8.35748903018525</v>
      </c>
      <c r="M100" s="116" t="n">
        <f aca="false">$C$21*$C$22*M81</f>
        <v>8.66655656398049</v>
      </c>
      <c r="N100" s="116" t="n">
        <f aca="false">$C$21*$C$22*N81</f>
        <v>8.96383762433609</v>
      </c>
      <c r="O100" s="116" t="n">
        <f aca="false">$C$21*$C$22*O81</f>
        <v>9.2442646211145</v>
      </c>
      <c r="P100" s="116" t="n">
        <f aca="false">$C$21*$C$22*P81</f>
        <v>9.49387734285995</v>
      </c>
      <c r="Q100" s="116" t="n">
        <f aca="false">$C$21*$C$22*Q81</f>
        <v>9.71266432613811</v>
      </c>
      <c r="R100" s="116" t="n">
        <f aca="false">$C$21*$C$22*R81</f>
        <v>9.90775137972035</v>
      </c>
      <c r="S100" s="116" t="n">
        <f aca="false">$C$21*$C$22*S81</f>
        <v>10.0849871373213</v>
      </c>
      <c r="T100" s="116" t="n">
        <f aca="false">$C$21*$C$22*T81</f>
        <v>10.2493314883547</v>
      </c>
      <c r="U100" s="116" t="n">
        <f aca="false">$C$21*$C$22*U81</f>
        <v>10.4145481310088</v>
      </c>
      <c r="V100" s="116" t="n">
        <f aca="false">$C$21*$C$22*V81</f>
        <v>10.5805394827139</v>
      </c>
      <c r="W100" s="116" t="n">
        <f aca="false">$C$21*$C$22*W81</f>
        <v>10.7436226078964</v>
      </c>
      <c r="X100" s="116" t="n">
        <f aca="false">$C$21*$C$22*X81</f>
        <v>10.9037037793058</v>
      </c>
      <c r="Y100" s="116" t="n">
        <f aca="false">$C$21*$C$22*Y81</f>
        <v>11.0606895816787</v>
      </c>
      <c r="Z100" s="116" t="n">
        <f aca="false">$C$21*$C$22*Z81</f>
        <v>11.2144868918996</v>
      </c>
      <c r="AA100" s="116" t="n">
        <f aca="false">$C$21*$C$22*AA81</f>
        <v>11.3650028600031</v>
      </c>
      <c r="AB100" s="116" t="n">
        <f aca="false">$C$21*$C$22*AB81</f>
        <v>11.512229976043</v>
      </c>
      <c r="AC100" s="116" t="n">
        <f aca="false">$C$21*$C$22*AC81</f>
        <v>11.6561609675681</v>
      </c>
      <c r="AD100" s="116" t="n">
        <f aca="false">$C$21*$C$22*AD81</f>
        <v>11.7674623197761</v>
      </c>
      <c r="AE100" s="116" t="n">
        <f aca="false">$C$21*$C$22*AE81</f>
        <v>11.8759074431326</v>
      </c>
      <c r="AF100" s="116" t="n">
        <f aca="false">$C$21*$C$22*AF81</f>
        <v>11.9814187744412</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0.000781764299547855</v>
      </c>
      <c r="F102" s="116" t="n">
        <f aca="false">E104*$C$24</f>
        <v>0.00143719072991873</v>
      </c>
      <c r="G102" s="116" t="n">
        <f aca="false">F104*$C$24</f>
        <v>0.00294100610175068</v>
      </c>
      <c r="H102" s="116" t="n">
        <f aca="false">G104*$C$24</f>
        <v>0.00444480744815791</v>
      </c>
      <c r="I102" s="116" t="n">
        <f aca="false">H104*$C$24</f>
        <v>0.00568777658499661</v>
      </c>
      <c r="J102" s="116" t="n">
        <f aca="false">I104*$C$24</f>
        <v>0.0067751310509225</v>
      </c>
      <c r="K102" s="116" t="n">
        <f aca="false">J104*$C$24</f>
        <v>0.00772795003220242</v>
      </c>
      <c r="L102" s="116" t="n">
        <f aca="false">K104*$C$24</f>
        <v>0.00804259235199898</v>
      </c>
      <c r="M102" s="116" t="n">
        <f aca="false">L104*$C$24</f>
        <v>0.00835748903018525</v>
      </c>
      <c r="N102" s="116" t="n">
        <f aca="false">M104*$C$24</f>
        <v>0.0086665565639805</v>
      </c>
      <c r="O102" s="116" t="n">
        <f aca="false">N104*$C$24</f>
        <v>0.00896383762433609</v>
      </c>
      <c r="P102" s="116" t="n">
        <f aca="false">O104*$C$24</f>
        <v>0.0092442646211145</v>
      </c>
      <c r="Q102" s="116" t="n">
        <f aca="false">P104*$C$24</f>
        <v>0.00949387734285995</v>
      </c>
      <c r="R102" s="116" t="n">
        <f aca="false">Q104*$C$24</f>
        <v>0.00971266432613811</v>
      </c>
      <c r="S102" s="116" t="n">
        <f aca="false">R104*$C$24</f>
        <v>0.00990775137972035</v>
      </c>
      <c r="T102" s="116" t="n">
        <f aca="false">S104*$C$24</f>
        <v>0.0100849871373213</v>
      </c>
      <c r="U102" s="116" t="n">
        <f aca="false">T104*$C$24</f>
        <v>0.0102493314883547</v>
      </c>
      <c r="V102" s="116" t="n">
        <f aca="false">U104*$C$24</f>
        <v>0.0104145481310088</v>
      </c>
      <c r="W102" s="116" t="n">
        <f aca="false">V104*$C$24</f>
        <v>0.0105805394827139</v>
      </c>
      <c r="X102" s="116" t="n">
        <f aca="false">W104*$C$24</f>
        <v>0.0107436226078964</v>
      </c>
      <c r="Y102" s="116" t="n">
        <f aca="false">X104*$C$24</f>
        <v>0.0109037037793058</v>
      </c>
      <c r="Z102" s="116" t="n">
        <f aca="false">Y104*$C$24</f>
        <v>0.0110606895816787</v>
      </c>
      <c r="AA102" s="116" t="n">
        <f aca="false">Z104*$C$24</f>
        <v>0.0112144868918996</v>
      </c>
      <c r="AB102" s="116" t="n">
        <f aca="false">AA104*$C$24</f>
        <v>0.0113650028600031</v>
      </c>
      <c r="AC102" s="116" t="n">
        <f aca="false">AB104*$C$24</f>
        <v>0.011512229976043</v>
      </c>
      <c r="AD102" s="116" t="n">
        <f aca="false">AC104*$C$24</f>
        <v>0.0116561609675681</v>
      </c>
      <c r="AE102" s="116" t="n">
        <f aca="false">AD104*$C$24</f>
        <v>0.0117674623197761</v>
      </c>
      <c r="AF102" s="116" t="n">
        <f aca="false">AE104*$C$24</f>
        <v>0.0118759074431326</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0.781764299547855</v>
      </c>
      <c r="E103" s="116" t="n">
        <f aca="false">MIN(MAX(0,E100-D104-E101),MAX(0,D276))</f>
        <v>0.655426430370875</v>
      </c>
      <c r="F103" s="116" t="n">
        <f aca="false">MIN(MAX(0,F100-E104-F101),MAX(0,E276))</f>
        <v>1.50381537183195</v>
      </c>
      <c r="G103" s="116" t="n">
        <f aca="false">MIN(MAX(0,G100-F104-G101),MAX(0,F276))</f>
        <v>1.50380134640723</v>
      </c>
      <c r="H103" s="116" t="n">
        <f aca="false">MIN(MAX(0,H100-G104-H101),MAX(0,G276))</f>
        <v>1.2429691368387</v>
      </c>
      <c r="I103" s="116" t="n">
        <f aca="false">MIN(MAX(0,I100-H104-I101),MAX(0,H276))</f>
        <v>1.0873544659259</v>
      </c>
      <c r="J103" s="116" t="n">
        <f aca="false">MIN(MAX(0,J100-I104-J101),MAX(0,I276))</f>
        <v>0.95281898127992</v>
      </c>
      <c r="K103" s="116" t="n">
        <f aca="false">MIN(MAX(0,K100-J104-K101),MAX(0,J276))</f>
        <v>0.314642319796551</v>
      </c>
      <c r="L103" s="116" t="n">
        <f aca="false">MIN(MAX(0,L100-K104-L101),MAX(0,K276))</f>
        <v>0.314896678186273</v>
      </c>
      <c r="M103" s="116" t="n">
        <f aca="false">MIN(MAX(0,M100-L104-M101),MAX(0,L276))</f>
        <v>0.309067533795247</v>
      </c>
      <c r="N103" s="116" t="n">
        <f aca="false">MIN(MAX(0,N100-M104-N101),MAX(0,M276))</f>
        <v>0.297281060355598</v>
      </c>
      <c r="O103" s="116" t="n">
        <f aca="false">MIN(MAX(0,O100-N104-O101),MAX(0,N276))</f>
        <v>0.280426996778409</v>
      </c>
      <c r="P103" s="116" t="n">
        <f aca="false">MIN(MAX(0,P100-O104-P101),MAX(0,O276))</f>
        <v>0.24961272174545</v>
      </c>
      <c r="Q103" s="116" t="n">
        <f aca="false">MIN(MAX(0,Q100-P104-Q101),MAX(0,P276))</f>
        <v>0.218786983278159</v>
      </c>
      <c r="R103" s="116" t="n">
        <f aca="false">MIN(MAX(0,R100-Q104-R101),MAX(0,Q276))</f>
        <v>0.195087053582242</v>
      </c>
      <c r="S103" s="116" t="n">
        <f aca="false">MIN(MAX(0,S100-R104-S101),MAX(0,R276))</f>
        <v>0.17723575760091</v>
      </c>
      <c r="T103" s="116" t="n">
        <f aca="false">MIN(MAX(0,T100-S104-T101),MAX(0,S276))</f>
        <v>0.1643443510334</v>
      </c>
      <c r="U103" s="116" t="n">
        <f aca="false">MIN(MAX(0,U100-T104-U101),MAX(0,T276))</f>
        <v>0.165216642654141</v>
      </c>
      <c r="V103" s="116" t="n">
        <f aca="false">MIN(MAX(0,V100-U104-V101),MAX(0,U276))</f>
        <v>0.165991351705104</v>
      </c>
      <c r="W103" s="116" t="n">
        <f aca="false">MIN(MAX(0,W100-V104-W101),MAX(0,V276))</f>
        <v>0.163083125182524</v>
      </c>
      <c r="X103" s="116" t="n">
        <f aca="false">MIN(MAX(0,X100-W104-X101),MAX(0,W276))</f>
        <v>0.160081171409349</v>
      </c>
      <c r="Y103" s="116" t="n">
        <f aca="false">MIN(MAX(0,Y100-X104-Y101),MAX(0,X276))</f>
        <v>0.156985802372912</v>
      </c>
      <c r="Z103" s="116" t="n">
        <f aca="false">MIN(MAX(0,Z100-Y104-Z101),MAX(0,Y276))</f>
        <v>0.15379731022087</v>
      </c>
      <c r="AA103" s="116" t="n">
        <f aca="false">MIN(MAX(0,AA100-Z104-AA101),MAX(0,Z276))</f>
        <v>0.150515968103528</v>
      </c>
      <c r="AB103" s="116" t="n">
        <f aca="false">MIN(MAX(0,AB100-AA104-AB101),MAX(0,AA276))</f>
        <v>0.147227116039923</v>
      </c>
      <c r="AC103" s="116" t="n">
        <f aca="false">MIN(MAX(0,AC100-AB104-AC101),MAX(0,AB276))</f>
        <v>0.143930991525131</v>
      </c>
      <c r="AD103" s="116" t="n">
        <f aca="false">MIN(MAX(0,AD100-AC104-AD101),MAX(0,AC276))</f>
        <v>0.111301352207994</v>
      </c>
      <c r="AE103" s="116" t="n">
        <f aca="false">MIN(MAX(0,AE100-AD104-AE101),MAX(0,AD276))</f>
        <v>0.10844512335647</v>
      </c>
      <c r="AF103" s="116" t="n">
        <f aca="false">MIN(MAX(0,AF100-AE104-AF101),MAX(0,AE276))</f>
        <v>0.105511331308641</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0.781764299547855</v>
      </c>
      <c r="E104" s="136" t="n">
        <f aca="false">D104+E101+E103</f>
        <v>1.43719072991873</v>
      </c>
      <c r="F104" s="136" t="n">
        <f aca="false">E104+F101+F103</f>
        <v>2.94100610175068</v>
      </c>
      <c r="G104" s="136" t="n">
        <f aca="false">F104+G101+G103</f>
        <v>4.44480744815791</v>
      </c>
      <c r="H104" s="136" t="n">
        <f aca="false">G104+H101+H103</f>
        <v>5.68777658499661</v>
      </c>
      <c r="I104" s="136" t="n">
        <f aca="false">H104+I101+I103</f>
        <v>6.7751310509225</v>
      </c>
      <c r="J104" s="136" t="n">
        <f aca="false">I104+J101+J103</f>
        <v>7.72795003220242</v>
      </c>
      <c r="K104" s="136" t="n">
        <f aca="false">J104+K101+K103</f>
        <v>8.04259235199898</v>
      </c>
      <c r="L104" s="136" t="n">
        <f aca="false">K104+L101+L103</f>
        <v>8.35748903018525</v>
      </c>
      <c r="M104" s="136" t="n">
        <f aca="false">L104+M101+M103</f>
        <v>8.66655656398049</v>
      </c>
      <c r="N104" s="136" t="n">
        <f aca="false">M104+N101+N103</f>
        <v>8.96383762433609</v>
      </c>
      <c r="O104" s="136" t="n">
        <f aca="false">N104+O101+O103</f>
        <v>9.2442646211145</v>
      </c>
      <c r="P104" s="136" t="n">
        <f aca="false">O104+P101+P103</f>
        <v>9.49387734285995</v>
      </c>
      <c r="Q104" s="136" t="n">
        <f aca="false">P104+Q101+Q103</f>
        <v>9.71266432613811</v>
      </c>
      <c r="R104" s="136" t="n">
        <f aca="false">Q104+R101+R103</f>
        <v>9.90775137972035</v>
      </c>
      <c r="S104" s="136" t="n">
        <f aca="false">R104+S101+S103</f>
        <v>10.0849871373213</v>
      </c>
      <c r="T104" s="136" t="n">
        <f aca="false">S104+T101+T103</f>
        <v>10.2493314883547</v>
      </c>
      <c r="U104" s="136" t="n">
        <f aca="false">T104+U101+U103</f>
        <v>10.4145481310088</v>
      </c>
      <c r="V104" s="136" t="n">
        <f aca="false">U104+V101+V103</f>
        <v>10.5805394827139</v>
      </c>
      <c r="W104" s="136" t="n">
        <f aca="false">V104+W101+W103</f>
        <v>10.7436226078964</v>
      </c>
      <c r="X104" s="136" t="n">
        <f aca="false">W104+X101+X103</f>
        <v>10.9037037793058</v>
      </c>
      <c r="Y104" s="136" t="n">
        <f aca="false">X104+Y101+Y103</f>
        <v>11.0606895816787</v>
      </c>
      <c r="Z104" s="136" t="n">
        <f aca="false">Y104+Z101+Z103</f>
        <v>11.2144868918996</v>
      </c>
      <c r="AA104" s="136" t="n">
        <f aca="false">Z104+AA101+AA103</f>
        <v>11.3650028600031</v>
      </c>
      <c r="AB104" s="136" t="n">
        <f aca="false">AA104+AB101+AB103</f>
        <v>11.512229976043</v>
      </c>
      <c r="AC104" s="136" t="n">
        <f aca="false">AB104+AC101+AC103</f>
        <v>11.6561609675681</v>
      </c>
      <c r="AD104" s="136" t="n">
        <f aca="false">AC104+AD101+AD103</f>
        <v>11.7674623197761</v>
      </c>
      <c r="AE104" s="136" t="n">
        <f aca="false">AD104+AE101+AE103</f>
        <v>11.8759074431326</v>
      </c>
      <c r="AF104" s="136" t="n">
        <f aca="false">AE104+AF101+AF103</f>
        <v>11.9814187744412</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6.08767078810544</v>
      </c>
      <c r="E105" s="139" t="n">
        <f aca="false">E104/($C$36*(1+$C$23)^(E$39-1))</f>
        <v>11.1915369229861</v>
      </c>
      <c r="F105" s="139" t="n">
        <f aca="false">F104/($C$36*(1+$C$23)^(F$39-1))</f>
        <v>22.9018860846197</v>
      </c>
      <c r="G105" s="139" t="n">
        <f aca="false">G104/($C$36*(1+$C$23)^(G$39-1))</f>
        <v>34.6121260289759</v>
      </c>
      <c r="H105" s="139" t="n">
        <f aca="false">H104/($C$36*(1+$C$23)^(H$39-1))</f>
        <v>44.2912414723722</v>
      </c>
      <c r="I105" s="139" t="n">
        <f aca="false">I104/($C$36*(1+$C$23)^(I$39-1))</f>
        <v>52.7585711040291</v>
      </c>
      <c r="J105" s="139" t="n">
        <f aca="false">J104/($C$36*(1+$C$23)^(J$39-1))</f>
        <v>60.1782604938425</v>
      </c>
      <c r="K105" s="139" t="n">
        <f aca="false">K104/($C$36*(1+$C$23)^(K$39-1))</f>
        <v>62.628409291933</v>
      </c>
      <c r="L105" s="139" t="n">
        <f aca="false">L104/($C$36*(1+$C$23)^(L$39-1))</f>
        <v>65.0805388022915</v>
      </c>
      <c r="M105" s="139" t="n">
        <f aca="false">M104/($C$36*(1+$C$23)^(M$39-1))</f>
        <v>67.4872762270182</v>
      </c>
      <c r="N105" s="139" t="n">
        <f aca="false">N104/($C$36*(1+$C$23)^(N$39-1))</f>
        <v>69.8022312947163</v>
      </c>
      <c r="O105" s="139" t="n">
        <f aca="false">O104/($C$36*(1+$C$23)^(O$39-1))</f>
        <v>71.9859422130474</v>
      </c>
      <c r="P105" s="139" t="n">
        <f aca="false">P104/($C$36*(1+$C$23)^(P$39-1))</f>
        <v>73.9296995263298</v>
      </c>
      <c r="Q105" s="139" t="n">
        <f aca="false">Q104/($C$36*(1+$C$23)^(Q$39-1))</f>
        <v>75.633413967742</v>
      </c>
      <c r="R105" s="139" t="n">
        <f aca="false">R104/($C$36*(1+$C$23)^(R$39-1))</f>
        <v>77.1525748681784</v>
      </c>
      <c r="S105" s="139" t="n">
        <f aca="false">S104/($C$36*(1+$C$23)^(S$39-1))</f>
        <v>78.532726078433</v>
      </c>
      <c r="T105" s="139" t="n">
        <f aca="false">T104/($C$36*(1+$C$23)^(T$39-1))</f>
        <v>79.8124907153636</v>
      </c>
      <c r="U105" s="139" t="n">
        <f aca="false">U104/($C$36*(1+$C$23)^(U$39-1))</f>
        <v>81.0990479676917</v>
      </c>
      <c r="V105" s="139" t="n">
        <f aca="false">V104/($C$36*(1+$C$23)^(V$39-1))</f>
        <v>82.3916379509357</v>
      </c>
      <c r="W105" s="139" t="n">
        <f aca="false">W104/($C$36*(1+$C$23)^(W$39-1))</f>
        <v>83.6615813057048</v>
      </c>
      <c r="X105" s="139" t="n">
        <f aca="false">X104/($C$36*(1+$C$23)^(X$39-1))</f>
        <v>84.9081481692442</v>
      </c>
      <c r="Y105" s="139" t="n">
        <f aca="false">Y104/($C$36*(1+$C$23)^(Y$39-1))</f>
        <v>86.1306111082727</v>
      </c>
      <c r="Z105" s="139" t="n">
        <f aca="false">Z104/($C$36*(1+$C$23)^(Z$39-1))</f>
        <v>87.3282449644904</v>
      </c>
      <c r="AA105" s="139" t="n">
        <f aca="false">AA104/($C$36*(1+$C$23)^(AA$39-1))</f>
        <v>88.5003267066436</v>
      </c>
      <c r="AB105" s="139" t="n">
        <f aca="false">AB104/($C$36*(1+$C$23)^(AB$39-1))</f>
        <v>89.6467978540874</v>
      </c>
      <c r="AC105" s="139" t="n">
        <f aca="false">AC104/($C$36*(1+$C$23)^(AC$39-1))</f>
        <v>90.7676017755729</v>
      </c>
      <c r="AD105" s="139" t="n">
        <f aca="false">AD104/($C$36*(1+$C$23)^(AD$39-1))</f>
        <v>91.6343156826996</v>
      </c>
      <c r="AE105" s="139" t="n">
        <f aca="false">AE104/($C$36*(1+$C$23)^(AE$39-1))</f>
        <v>92.4787878720174</v>
      </c>
      <c r="AF105" s="139" t="n">
        <f aca="false">AF104/($C$36*(1+$C$23)^(AF$39-1))</f>
        <v>93.3004143517546</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0.276783749276414</v>
      </c>
      <c r="D107" s="116" t="n">
        <f aca="false">D87*(1-$C$340)*$C$175+D85*01_Supuestos!$I$126+D55*D88</f>
        <v>0.722925430248171</v>
      </c>
      <c r="E107" s="116" t="n">
        <f aca="false">E87*(1-$C$340)*$C$175+E85*01_Supuestos!$I$126+E55*E88</f>
        <v>1.26886809465487</v>
      </c>
      <c r="F107" s="116" t="n">
        <f aca="false">F87*(1-$C$340)*$C$175+F85*01_Supuestos!$I$126+F55*F88</f>
        <v>1.81708767719129</v>
      </c>
      <c r="G107" s="116" t="n">
        <f aca="false">G87*(1-$C$340)*$C$175+G85*01_Supuestos!$I$126+G55*G88</f>
        <v>2.3783431576715</v>
      </c>
      <c r="H107" s="116" t="n">
        <f aca="false">H87*(1-$C$340)*$C$175+H85*01_Supuestos!$I$126+H55*H88</f>
        <v>2.95615181088842</v>
      </c>
      <c r="I107" s="116" t="n">
        <f aca="false">I87*(1-$C$340)*$C$175+I85*01_Supuestos!$I$126+I55*I88</f>
        <v>3.54952239085696</v>
      </c>
      <c r="J107" s="116" t="n">
        <f aca="false">J87*(1-$C$340)*$C$175+J85*01_Supuestos!$I$126+J55*J88</f>
        <v>4.15850863681127</v>
      </c>
      <c r="K107" s="116" t="n">
        <f aca="false">K87*(1-$C$340)*$C$175+K85*01_Supuestos!$I$126+K55*K88</f>
        <v>4.78964445514252</v>
      </c>
      <c r="L107" s="116" t="n">
        <f aca="false">L87*(1-$C$340)*$C$175+L85*01_Supuestos!$I$126+L55*L88</f>
        <v>5.4353825323664</v>
      </c>
      <c r="M107" s="116" t="n">
        <f aca="false">M87*(1-$C$340)*$C$175+M85*01_Supuestos!$I$126+M55*M88</f>
        <v>6.12056609272851</v>
      </c>
      <c r="N107" s="116" t="n">
        <f aca="false">N87*(1-$C$340)*$C$175+N85*01_Supuestos!$I$126+N55*N88</f>
        <v>6.5314001713277</v>
      </c>
      <c r="O107" s="116" t="n">
        <f aca="false">O87*(1-$C$340)*$C$175+O85*01_Supuestos!$I$126+O55*O88</f>
        <v>6.681049840449</v>
      </c>
      <c r="P107" s="116" t="n">
        <f aca="false">P87*(1-$C$340)*$C$175+P85*01_Supuestos!$I$126+P55*P88</f>
        <v>6.83442875813993</v>
      </c>
      <c r="Q107" s="116" t="n">
        <f aca="false">Q87*(1-$C$340)*$C$175+Q85*01_Supuestos!$I$126+Q55*Q88</f>
        <v>6.99161732120528</v>
      </c>
      <c r="R107" s="116" t="n">
        <f aca="false">R87*(1-$C$340)*$C$175+R85*01_Supuestos!$I$126+R55*R88</f>
        <v>7.15264274517484</v>
      </c>
      <c r="S107" s="116" t="n">
        <f aca="false">S87*(1-$C$340)*$C$175+S85*01_Supuestos!$I$126+S55*S88</f>
        <v>7.31754398217492</v>
      </c>
      <c r="T107" s="116" t="n">
        <f aca="false">T87*(1-$C$340)*$C$175+T85*01_Supuestos!$I$126+T55*T88</f>
        <v>7.48636876958753</v>
      </c>
      <c r="U107" s="116" t="n">
        <f aca="false">U87*(1-$C$340)*$C$175+U85*01_Supuestos!$I$126+U55*U88</f>
        <v>7.65909894492601</v>
      </c>
      <c r="V107" s="116" t="n">
        <f aca="false">V87*(1-$C$340)*$C$175+V85*01_Supuestos!$I$126+V55*V88</f>
        <v>7.78436888716644</v>
      </c>
      <c r="W107" s="116" t="n">
        <f aca="false">W87*(1-$C$340)*$C$175+W85*01_Supuestos!$I$126+W55*W88</f>
        <v>7.90008069660991</v>
      </c>
      <c r="X107" s="116" t="n">
        <f aca="false">X87*(1-$C$340)*$C$175+X85*01_Supuestos!$I$126+X55*X88</f>
        <v>8.01342314605988</v>
      </c>
      <c r="Y107" s="116" t="n">
        <f aca="false">Y87*(1-$C$340)*$C$175+Y85*01_Supuestos!$I$126+Y55*Y88</f>
        <v>8.12439067525869</v>
      </c>
      <c r="Z107" s="116" t="n">
        <f aca="false">Z87*(1-$C$340)*$C$175+Z85*01_Supuestos!$I$126+Z55*Z88</f>
        <v>8.23297792968766</v>
      </c>
      <c r="AA107" s="116" t="n">
        <f aca="false">AA87*(1-$C$340)*$C$175+AA85*01_Supuestos!$I$126+AA55*AA88</f>
        <v>8.33917974657101</v>
      </c>
      <c r="AB107" s="116" t="n">
        <f aca="false">AB87*(1-$C$340)*$C$175+AB85*01_Supuestos!$I$126+AB55*AB88</f>
        <v>8.44299048544272</v>
      </c>
      <c r="AC107" s="116" t="n">
        <f aca="false">AC87*(1-$C$340)*$C$175+AC85*01_Supuestos!$I$126+AC55*AC88</f>
        <v>8.54440467126112</v>
      </c>
      <c r="AD107" s="116" t="n">
        <f aca="false">AD87*(1-$C$340)*$C$175+AD85*01_Supuestos!$I$126+AD55*AD88</f>
        <v>8.63983732399267</v>
      </c>
      <c r="AE107" s="116" t="n">
        <f aca="false">AE87*(1-$C$340)*$C$175+AE85*01_Supuestos!$I$126+AE55*AE88</f>
        <v>8.73429034003297</v>
      </c>
      <c r="AF107" s="116" t="n">
        <f aca="false">AF87*(1-$C$340)*$C$175+AF85*01_Supuestos!$I$126+AF55*AF88</f>
        <v>8.82769522190361</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0.0332983823216196</v>
      </c>
      <c r="E108" s="116" t="n">
        <f aca="false">E330-E332</f>
        <v>0.0866922002200241</v>
      </c>
      <c r="F108" s="116" t="n">
        <f aca="false">F330-F332</f>
        <v>0.150253011067453</v>
      </c>
      <c r="G108" s="116" t="n">
        <f aca="false">G330-G332</f>
        <v>0.189276319597221</v>
      </c>
      <c r="H108" s="116" t="n">
        <f aca="false">H330-H332</f>
        <v>0.230276739727252</v>
      </c>
      <c r="I108" s="116" t="n">
        <f aca="false">I330-I332</f>
        <v>0.281437262304993</v>
      </c>
      <c r="J108" s="116" t="n">
        <f aca="false">J330-J332</f>
        <v>0.339521609287097</v>
      </c>
      <c r="K108" s="116" t="n">
        <f aca="false">K330-K332</f>
        <v>0.403919688935493</v>
      </c>
      <c r="L108" s="116" t="n">
        <f aca="false">L330-L332</f>
        <v>0.490393779155049</v>
      </c>
      <c r="M108" s="116" t="n">
        <f aca="false">M330-M332</f>
        <v>0.579074624796582</v>
      </c>
      <c r="N108" s="116" t="n">
        <f aca="false">N330-N332</f>
        <v>0.731996607651904</v>
      </c>
      <c r="O108" s="116" t="n">
        <f aca="false">O330-O332</f>
        <v>0.826074647005532</v>
      </c>
      <c r="P108" s="116" t="n">
        <f aca="false">P330-P332</f>
        <v>0.843626318623995</v>
      </c>
      <c r="Q108" s="116" t="n">
        <f aca="false">Q330-Q332</f>
        <v>0.86230832856088</v>
      </c>
      <c r="R108" s="116" t="n">
        <f aca="false">R330-R332</f>
        <v>0.882133077932129</v>
      </c>
      <c r="S108" s="116" t="n">
        <f aca="false">S330-S332</f>
        <v>0.902974071129987</v>
      </c>
      <c r="T108" s="116" t="n">
        <f aca="false">T330-T332</f>
        <v>0.924730003986563</v>
      </c>
      <c r="U108" s="116" t="n">
        <f aca="false">U330-U332</f>
        <v>0.947317195964192</v>
      </c>
      <c r="V108" s="116" t="n">
        <f aca="false">V330-V332</f>
        <v>0.970480592112139</v>
      </c>
      <c r="W108" s="116" t="n">
        <f aca="false">W330-W332</f>
        <v>0.986433147941538</v>
      </c>
      <c r="X108" s="116" t="n">
        <f aca="false">X330-X332</f>
        <v>1.00098966533141</v>
      </c>
      <c r="Y108" s="116" t="n">
        <f aca="false">Y330-Y332</f>
        <v>1.01524193297455</v>
      </c>
      <c r="Z108" s="116" t="n">
        <f aca="false">Z330-Z332</f>
        <v>1.0291908201257</v>
      </c>
      <c r="AA108" s="116" t="n">
        <f aca="false">AA330-AA332</f>
        <v>1.04283722188153</v>
      </c>
      <c r="AB108" s="116" t="n">
        <f aca="false">AB330-AB332</f>
        <v>1.05618205740657</v>
      </c>
      <c r="AC108" s="116" t="n">
        <f aca="false">AC330-AC332</f>
        <v>1.06922460907198</v>
      </c>
      <c r="AD108" s="116" t="n">
        <f aca="false">AD330-AD332</f>
        <v>1.08196417997957</v>
      </c>
      <c r="AE108" s="116" t="n">
        <f aca="false">AE330-AE332</f>
        <v>1.09074767143771</v>
      </c>
      <c r="AF108" s="116" t="n">
        <f aca="false">AF330-AF332</f>
        <v>1.09937561796563</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0.389511895137611</v>
      </c>
      <c r="G109" s="116" t="n">
        <f aca="false">(G70+F121)*(0.3*$C$5+0.25*01_Supuestos!$I$134)/0.55-F227*$C$5</f>
        <v>0.77322252976871</v>
      </c>
      <c r="H109" s="116" t="n">
        <f aca="false">(H70+G121)*(0.3*$C$5+0.25*01_Supuestos!$I$134)/0.55-G227*$C$5</f>
        <v>1.15700984936261</v>
      </c>
      <c r="I109" s="116" t="n">
        <f aca="false">(I70+H121)*(0.3*$C$5+0.25*01_Supuestos!$I$134)/0.55-H227*$C$5</f>
        <v>1.5408765608985</v>
      </c>
      <c r="J109" s="116" t="n">
        <f aca="false">(J70+I121)*(0.3*$C$5+0.25*01_Supuestos!$I$134)/0.55-I227*$C$5</f>
        <v>1.92482546691192</v>
      </c>
      <c r="K109" s="116" t="n">
        <f aca="false">(K70+J121)*(0.3*$C$5+0.25*01_Supuestos!$I$134)/0.55-J227*$C$5</f>
        <v>2.09060906699343</v>
      </c>
      <c r="L109" s="116" t="n">
        <f aca="false">(L70+K121)*(0.3*$C$5+0.25*01_Supuestos!$I$134)/0.55-K227*$C$5</f>
        <v>2.25639266707494</v>
      </c>
      <c r="M109" s="116" t="n">
        <f aca="false">(M70+L121)*(0.3*$C$5+0.25*01_Supuestos!$I$134)/0.55-L227*$C$5</f>
        <v>2.32246986653217</v>
      </c>
      <c r="N109" s="116" t="n">
        <f aca="false">(N70+M121)*(0.3*$C$5+0.25*01_Supuestos!$I$134)/0.55-M227*$C$5</f>
        <v>2.38864149544704</v>
      </c>
      <c r="O109" s="116" t="n">
        <f aca="false">(O70+N121)*(0.3*$C$5+0.25*01_Supuestos!$I$134)/0.55-N227*$C$5</f>
        <v>2.45491088717941</v>
      </c>
      <c r="P109" s="116" t="n">
        <f aca="false">(P70+O121)*(0.3*$C$5+0.25*01_Supuestos!$I$134)/0.55-O227*$C$5</f>
        <v>2.52128149275673</v>
      </c>
      <c r="Q109" s="116" t="n">
        <f aca="false">(Q70+P121)*(0.3*$C$5+0.25*01_Supuestos!$I$134)/0.55-P227*$C$5</f>
        <v>2.58775688502772</v>
      </c>
      <c r="R109" s="116" t="n">
        <f aca="false">(R70+Q121)*(0.3*$C$5+0.25*01_Supuestos!$I$134)/0.55-Q227*$C$5</f>
        <v>2.65434076296269</v>
      </c>
      <c r="S109" s="116" t="n">
        <f aca="false">(S70+R121)*(0.3*$C$5+0.25*01_Supuestos!$I$134)/0.55-R227*$C$5</f>
        <v>2.72103695610556</v>
      </c>
      <c r="T109" s="116" t="n">
        <f aca="false">(T70+S121)*(0.3*$C$5+0.25*01_Supuestos!$I$134)/0.55-S227*$C$5</f>
        <v>2.78784942918317</v>
      </c>
      <c r="U109" s="116" t="n">
        <f aca="false">(U70+T121)*(0.3*$C$5+0.25*01_Supuestos!$I$134)/0.55-T227*$C$5</f>
        <v>2.85478228687722</v>
      </c>
      <c r="V109" s="116" t="n">
        <f aca="false">(V70+U121)*(0.3*$C$5+0.25*01_Supuestos!$I$134)/0.55-U227*$C$5</f>
        <v>2.92183977876467</v>
      </c>
      <c r="W109" s="116" t="n">
        <f aca="false">(W70+V121)*(0.3*$C$5+0.25*01_Supuestos!$I$134)/0.55-V227*$C$5</f>
        <v>2.98902630443255</v>
      </c>
      <c r="X109" s="116" t="n">
        <f aca="false">(X70+W121)*(0.3*$C$5+0.25*01_Supuestos!$I$134)/0.55-W227*$C$5</f>
        <v>3.0563464187733</v>
      </c>
      <c r="Y109" s="116" t="n">
        <f aca="false">(Y70+X121)*(0.3*$C$5+0.25*01_Supuestos!$I$134)/0.55-X227*$C$5</f>
        <v>3.12380483746709</v>
      </c>
      <c r="Z109" s="116" t="n">
        <f aca="false">(Z70+Y121)*(0.3*$C$5+0.25*01_Supuestos!$I$134)/0.55-Y227*$C$5</f>
        <v>3.19140644265756</v>
      </c>
      <c r="AA109" s="116" t="n">
        <f aca="false">(AA70+Z121)*(0.3*$C$5+0.25*01_Supuestos!$I$134)/0.55-Z227*$C$5</f>
        <v>3.25915628882806</v>
      </c>
      <c r="AB109" s="116" t="n">
        <f aca="false">(AB70+AA121)*(0.3*$C$5+0.25*01_Supuestos!$I$134)/0.55-AA227*$C$5</f>
        <v>3.32705960888518</v>
      </c>
      <c r="AC109" s="116" t="n">
        <f aca="false">(AC70+AB121)*(0.3*$C$5+0.25*01_Supuestos!$I$134)/0.55-AB227*$C$5</f>
        <v>3.39512182045711</v>
      </c>
      <c r="AD109" s="116" t="n">
        <f aca="false">(AD70+AC121)*(0.3*$C$5+0.25*01_Supuestos!$I$134)/0.55-AC227*$C$5</f>
        <v>3.46334853241433</v>
      </c>
      <c r="AE109" s="116" t="n">
        <f aca="false">(AE70+AD121)*(0.3*$C$5+0.25*01_Supuestos!$I$134)/0.55-AD227*$C$5</f>
        <v>3.53174555162044</v>
      </c>
      <c r="AF109" s="116" t="n">
        <f aca="false">(AF70+AE121)*(0.3*$C$5+0.25*01_Supuestos!$I$134)/0.55-AE227*$C$5</f>
        <v>3.60031888992133</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0.6755020837092</v>
      </c>
      <c r="E110" s="116" t="n">
        <f aca="false">D120*$C$10</f>
        <v>1.2859755884676</v>
      </c>
      <c r="F110" s="116" t="n">
        <f aca="false">E120*$C$10</f>
        <v>1.87207168065234</v>
      </c>
      <c r="G110" s="116" t="n">
        <f aca="false">F120*$C$10</f>
        <v>2.22784831872259</v>
      </c>
      <c r="H110" s="116" t="n">
        <f aca="false">G120*$C$10</f>
        <v>2.53178817848483</v>
      </c>
      <c r="I110" s="116" t="n">
        <f aca="false">H120*$C$10</f>
        <v>2.81404686581304</v>
      </c>
      <c r="J110" s="116" t="n">
        <f aca="false">I120*$C$10</f>
        <v>3.08413354179811</v>
      </c>
      <c r="K110" s="116" t="n">
        <f aca="false">J120*$C$10</f>
        <v>3.35264667854718</v>
      </c>
      <c r="L110" s="116" t="n">
        <f aca="false">K120*$C$10</f>
        <v>3.67943153909938</v>
      </c>
      <c r="M110" s="116" t="n">
        <f aca="false">L120*$C$10</f>
        <v>4.0396011909062</v>
      </c>
      <c r="N110" s="116" t="n">
        <f aca="false">M120*$C$10</f>
        <v>3.85763641280542</v>
      </c>
      <c r="O110" s="116" t="n">
        <f aca="false">N120*$C$10</f>
        <v>3.74738546374256</v>
      </c>
      <c r="P110" s="116" t="n">
        <f aca="false">O120*$C$10</f>
        <v>3.69722416029823</v>
      </c>
      <c r="Q110" s="116" t="n">
        <f aca="false">P120*$C$10</f>
        <v>3.64525543479543</v>
      </c>
      <c r="R110" s="116" t="n">
        <f aca="false">Q120*$C$10</f>
        <v>3.58863813698632</v>
      </c>
      <c r="S110" s="116" t="n">
        <f aca="false">R120*$C$10</f>
        <v>3.52517515607116</v>
      </c>
      <c r="T110" s="116" t="n">
        <f aca="false">S120*$C$10</f>
        <v>3.45315896264603</v>
      </c>
      <c r="U110" s="116" t="n">
        <f aca="false">T120*$C$10</f>
        <v>3.37128377639171</v>
      </c>
      <c r="V110" s="116" t="n">
        <f aca="false">U120*$C$10</f>
        <v>3.27937009134069</v>
      </c>
      <c r="W110" s="116" t="n">
        <f aca="false">V120*$C$10</f>
        <v>3.18918887118079</v>
      </c>
      <c r="X110" s="116" t="n">
        <f aca="false">W120*$C$10</f>
        <v>3.09161652933562</v>
      </c>
      <c r="Y110" s="116" t="n">
        <f aca="false">X120*$C$10</f>
        <v>2.98502398429695</v>
      </c>
      <c r="Z110" s="116" t="n">
        <f aca="false">Y120*$C$10</f>
        <v>2.86952441367492</v>
      </c>
      <c r="AA110" s="116" t="n">
        <f aca="false">Z120*$C$10</f>
        <v>2.74521861449879</v>
      </c>
      <c r="AB110" s="116" t="n">
        <f aca="false">AA120*$C$10</f>
        <v>2.61219574157666</v>
      </c>
      <c r="AC110" s="116" t="n">
        <f aca="false">AB120*$C$10</f>
        <v>2.47053075944335</v>
      </c>
      <c r="AD110" s="116" t="n">
        <f aca="false">AC120*$C$10</f>
        <v>2.32028800908838</v>
      </c>
      <c r="AE110" s="116" t="n">
        <f aca="false">AD120*$C$10</f>
        <v>2.20085982797402</v>
      </c>
      <c r="AF110" s="116" t="n">
        <f aca="false">AE120*$C$10</f>
        <v>2.10671142895659</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0.55357665388876</v>
      </c>
      <c r="D111" s="136" t="n">
        <f aca="false">D69*01_Supuestos!$I$107-D218</f>
        <v>1.42828368911724</v>
      </c>
      <c r="E111" s="136" t="n">
        <f aca="false">E69*01_Supuestos!$I$107-E218</f>
        <v>2.56406832333937</v>
      </c>
      <c r="F111" s="136" t="n">
        <f aca="false">F69*01_Supuestos!$I$107-F218</f>
        <v>5.25232231519187</v>
      </c>
      <c r="G111" s="136" t="n">
        <f aca="false">G69*01_Supuestos!$I$107-G218</f>
        <v>7.80108948551008</v>
      </c>
      <c r="H111" s="136" t="n">
        <f aca="false">H69*01_Supuestos!$I$107-H218</f>
        <v>9.73116546168079</v>
      </c>
      <c r="I111" s="136" t="n">
        <f aca="false">I69*01_Supuestos!$I$107-I218</f>
        <v>11.2792050011858</v>
      </c>
      <c r="J111" s="136" t="n">
        <f aca="false">J69*01_Supuestos!$I$107-J218</f>
        <v>12.5091975008267</v>
      </c>
      <c r="K111" s="136" t="n">
        <f aca="false">K69*01_Supuestos!$I$107-K218</f>
        <v>12.4841295794165</v>
      </c>
      <c r="L111" s="136" t="n">
        <f aca="false">L69*01_Supuestos!$I$107-L218</f>
        <v>12.4794900332596</v>
      </c>
      <c r="M111" s="136" t="n">
        <f aca="false">M69*01_Supuestos!$I$107-M218</f>
        <v>12.512414471571</v>
      </c>
      <c r="N111" s="136" t="n">
        <f aca="false">N69*01_Supuestos!$I$107-N218</f>
        <v>12.5917626576767</v>
      </c>
      <c r="O111" s="136" t="n">
        <f aca="false">O69*01_Supuestos!$I$107-O218</f>
        <v>12.7241359868209</v>
      </c>
      <c r="P111" s="136" t="n">
        <f aca="false">P69*01_Supuestos!$I$107-P218</f>
        <v>12.9472962336558</v>
      </c>
      <c r="Q111" s="136" t="n">
        <f aca="false">Q69*01_Supuestos!$I$107-Q218</f>
        <v>13.2553942813638</v>
      </c>
      <c r="R111" s="136" t="n">
        <f aca="false">R69*01_Supuestos!$I$107-R218</f>
        <v>13.6195072119713</v>
      </c>
      <c r="S111" s="136" t="n">
        <f aca="false">S69*01_Supuestos!$I$107-S218</f>
        <v>14.024429714961</v>
      </c>
      <c r="T111" s="136" t="n">
        <f aca="false">T69*01_Supuestos!$I$107-T218</f>
        <v>14.4576234701719</v>
      </c>
      <c r="U111" s="136" t="n">
        <f aca="false">U69*01_Supuestos!$I$107-U218</f>
        <v>14.8757720780868</v>
      </c>
      <c r="V111" s="136" t="n">
        <f aca="false">V69*01_Supuestos!$I$107-V218</f>
        <v>15.2795277045336</v>
      </c>
      <c r="W111" s="136" t="n">
        <f aca="false">W69*01_Supuestos!$I$107-W218</f>
        <v>15.669500222863</v>
      </c>
      <c r="X111" s="136" t="n">
        <f aca="false">X69*01_Supuestos!$I$107-X218</f>
        <v>16.0462599531352</v>
      </c>
      <c r="Y111" s="136" t="n">
        <f aca="false">Y69*01_Supuestos!$I$107-Y218</f>
        <v>16.4103402240666</v>
      </c>
      <c r="Z111" s="136" t="n">
        <f aca="false">Z69*01_Supuestos!$I$107-Z218</f>
        <v>16.7622397691973</v>
      </c>
      <c r="AA111" s="136" t="n">
        <f aca="false">AA69*01_Supuestos!$I$107-AA218</f>
        <v>17.1024249679981</v>
      </c>
      <c r="AB111" s="136" t="n">
        <f aca="false">AB69*01_Supuestos!$I$107-AB218</f>
        <v>17.4313319419445</v>
      </c>
      <c r="AC111" s="136" t="n">
        <f aca="false">AC69*01_Supuestos!$I$107-AC218</f>
        <v>17.7493685149341</v>
      </c>
      <c r="AD111" s="136" t="n">
        <f aca="false">AD69*01_Supuestos!$I$107-AD218</f>
        <v>18.000191746823</v>
      </c>
      <c r="AE111" s="136" t="n">
        <f aca="false">AE69*01_Supuestos!$I$107-AE218</f>
        <v>18.2437187632834</v>
      </c>
      <c r="AF111" s="136" t="n">
        <f aca="false">AF69*01_Supuestos!$I$107-AF218</f>
        <v>18.4801412189103</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0.0236534055447657</v>
      </c>
      <c r="D112" s="116" t="n">
        <f aca="false">D81*$C$7</f>
        <v>0.0625411439638284</v>
      </c>
      <c r="E112" s="116" t="n">
        <f aca="false">E81*$C$7</f>
        <v>0.114975258393498</v>
      </c>
      <c r="F112" s="116" t="n">
        <f aca="false">F81*$C$7</f>
        <v>0.235280488140055</v>
      </c>
      <c r="G112" s="116" t="n">
        <f aca="false">G81*$C$7</f>
        <v>0.355584595852633</v>
      </c>
      <c r="H112" s="116" t="n">
        <f aca="false">H81*$C$7</f>
        <v>0.455022126799729</v>
      </c>
      <c r="I112" s="116" t="n">
        <f aca="false">I81*$C$7</f>
        <v>0.5420104840738</v>
      </c>
      <c r="J112" s="116" t="n">
        <f aca="false">J81*$C$7</f>
        <v>0.618236002576194</v>
      </c>
      <c r="K112" s="116" t="n">
        <f aca="false">K81*$C$7</f>
        <v>0.643407388159918</v>
      </c>
      <c r="L112" s="116" t="n">
        <f aca="false">L81*$C$7</f>
        <v>0.66859912241482</v>
      </c>
      <c r="M112" s="116" t="n">
        <f aca="false">M81*$C$7</f>
        <v>0.69332452511844</v>
      </c>
      <c r="N112" s="116" t="n">
        <f aca="false">N81*$C$7</f>
        <v>0.717107009946887</v>
      </c>
      <c r="O112" s="116" t="n">
        <f aca="false">O81*$C$7</f>
        <v>0.73954116968916</v>
      </c>
      <c r="P112" s="116" t="n">
        <f aca="false">P81*$C$7</f>
        <v>0.759510187428796</v>
      </c>
      <c r="Q112" s="116" t="n">
        <f aca="false">Q81*$C$7</f>
        <v>0.777013146091049</v>
      </c>
      <c r="R112" s="116" t="n">
        <f aca="false">R81*$C$7</f>
        <v>0.792620110377628</v>
      </c>
      <c r="S112" s="116" t="n">
        <f aca="false">S81*$C$7</f>
        <v>0.806798970985701</v>
      </c>
      <c r="T112" s="116" t="n">
        <f aca="false">T81*$C$7</f>
        <v>0.819946519068373</v>
      </c>
      <c r="U112" s="116" t="n">
        <f aca="false">U81*$C$7</f>
        <v>0.833163850480704</v>
      </c>
      <c r="V112" s="116" t="n">
        <f aca="false">V81*$C$7</f>
        <v>0.846443158617113</v>
      </c>
      <c r="W112" s="116" t="n">
        <f aca="false">W81*$C$7</f>
        <v>0.859489808631714</v>
      </c>
      <c r="X112" s="116" t="n">
        <f aca="false">X81*$C$7</f>
        <v>0.872296302344462</v>
      </c>
      <c r="Y112" s="116" t="n">
        <f aca="false">Y81*$C$7</f>
        <v>0.884855166534295</v>
      </c>
      <c r="Z112" s="116" t="n">
        <f aca="false">Z81*$C$7</f>
        <v>0.897158951351965</v>
      </c>
      <c r="AA112" s="116" t="n">
        <f aca="false">AA81*$C$7</f>
        <v>0.909200228800247</v>
      </c>
      <c r="AB112" s="116" t="n">
        <f aca="false">AB81*$C$7</f>
        <v>0.920978398083441</v>
      </c>
      <c r="AC112" s="116" t="n">
        <f aca="false">AC81*$C$7</f>
        <v>0.932492877405452</v>
      </c>
      <c r="AD112" s="116" t="n">
        <f aca="false">AD81*$C$7</f>
        <v>0.941396985582091</v>
      </c>
      <c r="AE112" s="116" t="n">
        <f aca="false">AE81*$C$7</f>
        <v>0.950072595450609</v>
      </c>
      <c r="AF112" s="116" t="n">
        <f aca="false">AF81*$C$7</f>
        <v>0.9585135019553</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-0.304035502662217</v>
      </c>
      <c r="D113" s="136" t="n">
        <f aca="false">D107+D109+D110-D111-D112-D108-D97-D98-D102+D184-D190-D229-D265-D268-D274</f>
        <v>-0.142033618821552</v>
      </c>
      <c r="E113" s="136" t="n">
        <f aca="false">E107+E109+E110-E111-E112-E108-E97-E98-E102+E184-E190-E229-E265-E268-E274</f>
        <v>-0.241676585779209</v>
      </c>
      <c r="F113" s="136" t="n">
        <f aca="false">F107+F109+F110-F111-F112-F108-F97-F98-F102+F184-F190-F229-F265-F268-F274</f>
        <v>-1.57655090170112</v>
      </c>
      <c r="G113" s="136" t="n">
        <f aca="false">G107+G109+G110-G111-G112-G108-G97-G98-G102+G184-G190-G229-G265-G268-G274</f>
        <v>-2.99038981486462</v>
      </c>
      <c r="H113" s="136" t="n">
        <f aca="false">H107+H109+H110-H111-H112-H108-H97-H98-H102+H184-H190-H229-H265-H268-H274</f>
        <v>-3.80196959037997</v>
      </c>
      <c r="I113" s="136" t="n">
        <f aca="false">I107+I109+I110-I111-I112-I108-I97-I98-I102+I184-I190-I229-I265-I268-I274</f>
        <v>-4.23512013076357</v>
      </c>
      <c r="J113" s="136" t="n">
        <f aca="false">J107+J109+J110-J111-J112-J108-J97-J98-J102+J184-J190-J229-J265-J268-J274</f>
        <v>-4.34282310113115</v>
      </c>
      <c r="K113" s="136" t="n">
        <f aca="false">K107+K109+K110-K111-K112-K108-K97-K98-K102+K184-K190-K229-K265-K268-K274</f>
        <v>-3.34830269431251</v>
      </c>
      <c r="L113" s="136" t="n">
        <f aca="false">L107+L109+L110-L111-L112-L108-L97-L98-L102+L184-L190-L229-L265-L268-L274</f>
        <v>-2.32292039169964</v>
      </c>
      <c r="M113" s="136" t="n">
        <f aca="false">M107+M109+M110-M111-M112-M108-M97-M98-M102+M184-M190-M229-M265-M268-M274</f>
        <v>-1.36384729425144</v>
      </c>
      <c r="N113" s="136" t="n">
        <f aca="false">N107+N109+N110-N111-N112-N108-N97-N98-N102+N184-N190-N229-N265-N268-N274</f>
        <v>-1.32858419650841</v>
      </c>
      <c r="O113" s="136" t="n">
        <f aca="false">O107+O109+O110-O111-O112-O108-O97-O98-O102+O184-O190-O229-O265-O268-O274</f>
        <v>-1.4734036712358</v>
      </c>
      <c r="P113" s="136" t="n">
        <f aca="false">P107+P109+P110-P111-P112-P108-P97-P98-P102+P184-P190-P229-P265-P268-P274</f>
        <v>-1.56611160169532</v>
      </c>
      <c r="Q113" s="136" t="n">
        <f aca="false">Q107+Q109+Q110-Q111-Q112-Q108-Q97-Q98-Q102+Q184-Q190-Q229-Q265-Q268-Q274</f>
        <v>-1.7403144880876</v>
      </c>
      <c r="R113" s="136" t="n">
        <f aca="false">R107+R109+R110-R111-R112-R108-R97-R98-R102+R184-R190-R229-R265-R268-R274</f>
        <v>-1.97048280864324</v>
      </c>
      <c r="S113" s="136" t="n">
        <f aca="false">S107+S109+S110-S111-S112-S108-S97-S98-S102+S184-S190-S229-S265-S268-S274</f>
        <v>-2.24391482521526</v>
      </c>
      <c r="T113" s="136" t="n">
        <f aca="false">T107+T109+T110-T111-T112-T108-T97-T98-T102+T184-T190-T229-T265-T268-T274</f>
        <v>-2.55003011951348</v>
      </c>
      <c r="U113" s="136" t="n">
        <f aca="false">U107+U109+U110-U111-U112-U108-U97-U98-U102+U184-U190-U229-U265-U268-U274</f>
        <v>-2.84785526130423</v>
      </c>
      <c r="V113" s="136" t="n">
        <f aca="false">V107+V109+V110-V111-V112-V108-V97-V98-V102+V184-V190-V229-V265-V268-V274</f>
        <v>-3.18889271717451</v>
      </c>
      <c r="W113" s="136" t="n">
        <f aca="false">W107+W109+W110-W111-W112-W108-W97-W98-W102+W184-W190-W229-W265-W268-W274</f>
        <v>-3.5163186332811</v>
      </c>
      <c r="X113" s="136" t="n">
        <f aca="false">X107+X109+X110-X111-X112-X108-X97-X98-X102+X184-X190-X229-X265-X268-X274</f>
        <v>-3.83849898849468</v>
      </c>
      <c r="Y113" s="136" t="n">
        <f aca="false">Y107+Y109+Y110-Y111-Y112-Y108-Y97-Y98-Y102+Y184-Y190-Y229-Y265-Y268-Y274</f>
        <v>-4.15868120538288</v>
      </c>
      <c r="Z113" s="136" t="n">
        <f aca="false">Z107+Z109+Z110-Z111-Z112-Z108-Z97-Z98-Z102+Z184-Z190-Z229-Z265-Z268-Z274</f>
        <v>-4.47724458604954</v>
      </c>
      <c r="AA113" s="136" t="n">
        <f aca="false">AA107+AA109+AA110-AA111-AA112-AA108-AA97-AA98-AA102+AA184-AA190-AA229-AA265-AA268-AA274</f>
        <v>-4.79454814467991</v>
      </c>
      <c r="AB113" s="136" t="n">
        <f aca="false">AB107+AB109+AB110-AB111-AB112-AB108-AB97-AB98-AB102+AB184-AB190-AB229-AB265-AB268-AB274</f>
        <v>-5.11093943204363</v>
      </c>
      <c r="AC113" s="136" t="n">
        <f aca="false">AC107+AC109+AC110-AC111-AC112-AC108-AC97-AC98-AC102+AC184-AC190-AC229-AC265-AC268-AC274</f>
        <v>-5.42675001044406</v>
      </c>
      <c r="AD113" s="136" t="n">
        <f aca="false">AD107+AD109+AD110-AD111-AD112-AD108-AD97-AD98-AD102+AD184-AD190-AD229-AD265-AD268-AD274</f>
        <v>-5.68656510507717</v>
      </c>
      <c r="AE113" s="136" t="n">
        <f aca="false">AE107+AE109+AE110-AE111-AE112-AE108-AE97-AE98-AE102+AE184-AE190-AE229-AE265-AE268-AE274</f>
        <v>-5.90484956389032</v>
      </c>
      <c r="AF113" s="136" t="n">
        <f aca="false">AF107+AF109+AF110-AF111-AF112-AF108-AF97-AF98-AF102+AF184-AF190-AF229-AF265-AF268-AF274</f>
        <v>-6.09121592656986</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19.3000595345486</v>
      </c>
      <c r="D114" s="116" t="n">
        <f aca="false">C120+D53+D56-D57+(D58-D65)+D113-D92+D94-D95-D103+D60-D245</f>
        <v>36.7421596705028</v>
      </c>
      <c r="E114" s="116" t="n">
        <f aca="false">D120+E53+E56-E57+(E58-E65)+E113-E92+E94-E95-E103+E60-E245</f>
        <v>53.4877623043527</v>
      </c>
      <c r="F114" s="116" t="n">
        <f aca="false">E120+F53+F56-F57+(F58-F65)+F113-F92+F94-F95-F103+F60-F245</f>
        <v>63.6528091063596</v>
      </c>
      <c r="G114" s="116" t="n">
        <f aca="false">F120+G53+G56-G57+(G58-G65)+G113-G92+G94-G95-G103+G60-G245</f>
        <v>72.3368050995667</v>
      </c>
      <c r="H114" s="116" t="n">
        <f aca="false">G120+H53+H56-H57+(H58-H65)+H113-H92+H94-H95-H103+H60-H245</f>
        <v>80.4013390232297</v>
      </c>
      <c r="I114" s="116" t="n">
        <f aca="false">H120+I53+I56-I57+(I58-I65)+I113-I92+I94-I95-I103+I60-I245</f>
        <v>88.1181011942318</v>
      </c>
      <c r="J114" s="116" t="n">
        <f aca="false">I120+J53+J56-J57+(J58-J65)+J113-J92+J94-J95-J103+J60-J245</f>
        <v>95.7899051013481</v>
      </c>
      <c r="K114" s="116" t="n">
        <f aca="false">J120+K53+K56-K57+(K58-K65)+K113-K92+K94-K95-K103+K60-K245</f>
        <v>105.126615402839</v>
      </c>
      <c r="L114" s="116" t="n">
        <f aca="false">K120+L53+L56-L57+(L58-L65)+L113-L92+L94-L95-L103+L60-L245</f>
        <v>115.417176883034</v>
      </c>
      <c r="M114" s="116" t="n">
        <f aca="false">L120+M53+M56-M57+(M58-M65)+M113-M92+M94-M95-M103+M60-M245</f>
        <v>110.218183223012</v>
      </c>
      <c r="N114" s="116" t="n">
        <f aca="false">M120+N53+N56-N57+(N58-N65)+N113-N92+N94-N95-N103+N60-N245</f>
        <v>107.06815610693</v>
      </c>
      <c r="O114" s="116" t="n">
        <f aca="false">N120+O53+O56-O57+(O58-O65)+O113-O92+O94-O95-O103+O60-O245</f>
        <v>105.634976008521</v>
      </c>
      <c r="P114" s="116" t="n">
        <f aca="false">O120+P53+P56-P57+(P58-P65)+P113-P92+P94-P95-P103+P60-P245</f>
        <v>104.150155279869</v>
      </c>
      <c r="Q114" s="116" t="n">
        <f aca="false">P120+Q53+Q56-Q57+(Q58-Q65)+Q113-Q92+Q94-Q95-Q103+Q60-Q245</f>
        <v>102.532518199609</v>
      </c>
      <c r="R114" s="116" t="n">
        <f aca="false">Q120+R53+R56-R57+(R58-R65)+R113-R92+R94-R95-R103+R60-R245</f>
        <v>100.719290173462</v>
      </c>
      <c r="S114" s="116" t="n">
        <f aca="false">R120+S53+S56-S57+(S58-S65)+S113-S92+S94-S95-S103+S60-S245</f>
        <v>98.6616846470295</v>
      </c>
      <c r="T114" s="116" t="n">
        <f aca="false">S120+T53+T56-T57+(T58-T65)+T113-T92+T94-T95-T103+T60-T245</f>
        <v>96.3223936111917</v>
      </c>
      <c r="U114" s="116" t="n">
        <f aca="false">T120+U53+U56-U57+(U58-U65)+U113-U92+U94-U95-U103+U60-U245</f>
        <v>93.6962883240196</v>
      </c>
      <c r="V114" s="116" t="n">
        <f aca="false">U120+V53+V56-V57+(V58-V65)+V113-V92+V94-V95-V103+V60-V245</f>
        <v>91.1196820337369</v>
      </c>
      <c r="W114" s="116" t="n">
        <f aca="false">V120+W53+W56-W57+(W58-W65)+W113-W92+W94-W95-W103+W60-W245</f>
        <v>88.3319008381605</v>
      </c>
      <c r="X114" s="116" t="n">
        <f aca="false">W120+X53+X56-X57+(X58-X65)+X113-X92+X94-X95-X103+X60-X245</f>
        <v>85.2863995513414</v>
      </c>
      <c r="Y114" s="116" t="n">
        <f aca="false">X120+Y53+Y56-Y57+(Y58-Y65)+Y113-Y92+Y94-Y95-Y103+Y60-Y245</f>
        <v>81.9864118192835</v>
      </c>
      <c r="Z114" s="116" t="n">
        <f aca="false">Y120+Z53+Z56-Z57+(Z58-Z65)+Z113-Z92+Z94-Z95-Z103+Z60-Z245</f>
        <v>78.4348175571084</v>
      </c>
      <c r="AA114" s="116" t="n">
        <f aca="false">Z120+AA53+AA56-AA57+(AA58-AA65)+AA113-AA92+AA94-AA95-AA103+AA60-AA245</f>
        <v>74.6341640450474</v>
      </c>
      <c r="AB114" s="116" t="n">
        <f aca="false">AA120+AB53+AB56-AB57+(AB58-AB65)+AB113-AB92+AB94-AB95-AB103+AB60-AB245</f>
        <v>70.5865931269528</v>
      </c>
      <c r="AC114" s="116" t="n">
        <f aca="false">AB120+AC53+AC56-AC57+(AC58-AC65)+AC113-AC92+AC94-AC95-AC103+AC60-AC245</f>
        <v>66.2939431168107</v>
      </c>
      <c r="AD114" s="116" t="n">
        <f aca="false">AC120+AD53+AD56-AD57+(AD58-AD65)+AD113-AD92+AD94-AD95-AD103+AD60-AD245</f>
        <v>62.8817093706861</v>
      </c>
      <c r="AE114" s="116" t="n">
        <f aca="false">AD120+AE53+AE56-AE57+(AE58-AE65)+AE113-AE92+AE94-AE95-AE103+AE60-AE245</f>
        <v>60.1917551130454</v>
      </c>
      <c r="AF114" s="116" t="n">
        <f aca="false">AE120+AF53+AF56-AF57+(AF58-AF65)+AF113-AF92+AF94-AF95-AF103+AF60-AF245</f>
        <v>58.3010451033792</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v>
      </c>
      <c r="N115" s="116" t="n">
        <f aca="false">IF(N113&gt;0,MIN(N113,01_Supuestos!$I$106*N81),0)</f>
        <v>0</v>
      </c>
      <c r="O115" s="116" t="n">
        <f aca="false">IF(O113&gt;0,MIN(O113,01_Supuestos!$I$106*O81),0)</f>
        <v>0</v>
      </c>
      <c r="P115" s="116" t="n">
        <f aca="false">IF(P113&gt;0,MIN(P113,01_Supuestos!$I$106*P81),0)</f>
        <v>0</v>
      </c>
      <c r="Q115" s="116" t="n">
        <f aca="false">IF(Q113&gt;0,MIN(Q113,01_Supuestos!$I$106*Q81),0)</f>
        <v>0</v>
      </c>
      <c r="R115" s="116" t="n">
        <f aca="false">IF(R113&gt;0,MIN(R113,01_Supuestos!$I$106*R81),0)</f>
        <v>0</v>
      </c>
      <c r="S115" s="116" t="n">
        <f aca="false">IF(S113&gt;0,MIN(S113,01_Supuestos!$I$106*S81),0)</f>
        <v>0</v>
      </c>
      <c r="T115" s="116" t="n">
        <f aca="false">IF(T113&gt;0,MIN(T113,01_Supuestos!$I$106*T81),0)</f>
        <v>0</v>
      </c>
      <c r="U115" s="116" t="n">
        <f aca="false">IF(U113&gt;0,MIN(U113,01_Supuestos!$I$106*U81),0)</f>
        <v>0</v>
      </c>
      <c r="V115" s="116" t="n">
        <f aca="false">IF(V113&gt;0,MIN(V113,01_Supuestos!$I$106*V81),0)</f>
        <v>0</v>
      </c>
      <c r="W115" s="116" t="n">
        <f aca="false">IF(W113&gt;0,MIN(W113,01_Supuestos!$I$106*W81),0)</f>
        <v>0</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19.3000595345486</v>
      </c>
      <c r="D120" s="136" t="n">
        <f aca="false">D114-D115+D118+D119</f>
        <v>36.7421596705028</v>
      </c>
      <c r="E120" s="136" t="n">
        <f aca="false">E114-E115+E118+E119</f>
        <v>53.4877623043527</v>
      </c>
      <c r="F120" s="136" t="n">
        <f aca="false">F114-F115+F118+F119</f>
        <v>63.6528091063596</v>
      </c>
      <c r="G120" s="136" t="n">
        <f aca="false">G114-G115+G118+G119</f>
        <v>72.3368050995667</v>
      </c>
      <c r="H120" s="136" t="n">
        <f aca="false">H114-H115+H118+H119</f>
        <v>80.4013390232297</v>
      </c>
      <c r="I120" s="136" t="n">
        <f aca="false">I114-I115+I118+I119</f>
        <v>88.1181011942318</v>
      </c>
      <c r="J120" s="136" t="n">
        <f aca="false">J114-J115+J118+J119</f>
        <v>95.7899051013481</v>
      </c>
      <c r="K120" s="136" t="n">
        <f aca="false">K114-K115+K118+K119</f>
        <v>105.126615402839</v>
      </c>
      <c r="L120" s="136" t="n">
        <f aca="false">L114-L115+L118+L119</f>
        <v>115.417176883034</v>
      </c>
      <c r="M120" s="136" t="n">
        <f aca="false">M114-M115+M118+M119</f>
        <v>110.218183223012</v>
      </c>
      <c r="N120" s="136" t="n">
        <f aca="false">N114-N115+N118+N119</f>
        <v>107.06815610693</v>
      </c>
      <c r="O120" s="136" t="n">
        <f aca="false">O114-O115+O118+O119</f>
        <v>105.634976008521</v>
      </c>
      <c r="P120" s="136" t="n">
        <f aca="false">P114-P115+P118+P119</f>
        <v>104.150155279869</v>
      </c>
      <c r="Q120" s="136" t="n">
        <f aca="false">Q114-Q115+Q118+Q119</f>
        <v>102.532518199609</v>
      </c>
      <c r="R120" s="136" t="n">
        <f aca="false">R114-R115+R118+R119</f>
        <v>100.719290173462</v>
      </c>
      <c r="S120" s="136" t="n">
        <f aca="false">S114-S115+S118+S119</f>
        <v>98.6616846470295</v>
      </c>
      <c r="T120" s="136" t="n">
        <f aca="false">T114-T115+T118+T119</f>
        <v>96.3223936111917</v>
      </c>
      <c r="U120" s="136" t="n">
        <f aca="false">U114-U115+U118+U119</f>
        <v>93.6962883240196</v>
      </c>
      <c r="V120" s="136" t="n">
        <f aca="false">V114-V115+V118+V119</f>
        <v>91.1196820337369</v>
      </c>
      <c r="W120" s="136" t="n">
        <f aca="false">W114-W115+W118+W119</f>
        <v>88.3319008381605</v>
      </c>
      <c r="X120" s="136" t="n">
        <f aca="false">X114-X115+X118+X119</f>
        <v>85.2863995513414</v>
      </c>
      <c r="Y120" s="136" t="n">
        <f aca="false">Y114-Y115+Y118+Y119</f>
        <v>81.9864118192835</v>
      </c>
      <c r="Z120" s="136" t="n">
        <f aca="false">Z114-Z115+Z118+Z119</f>
        <v>78.4348175571084</v>
      </c>
      <c r="AA120" s="136" t="n">
        <f aca="false">AA114-AA115+AA118+AA119</f>
        <v>74.6341640450474</v>
      </c>
      <c r="AB120" s="136" t="n">
        <f aca="false">AB114-AB115+AB118+AB119</f>
        <v>70.5865931269528</v>
      </c>
      <c r="AC120" s="136" t="n">
        <f aca="false">AC114-AC115+AC118+AC119</f>
        <v>66.2939431168107</v>
      </c>
      <c r="AD120" s="136" t="n">
        <f aca="false">AD114-AD115+AD118+AD119</f>
        <v>62.8817093706861</v>
      </c>
      <c r="AE120" s="136" t="n">
        <f aca="false">AE114-AE115+AE118+AE119</f>
        <v>60.1917551130454</v>
      </c>
      <c r="AF120" s="136" t="n">
        <f aca="false">AF114-AF115+AF118+AF119</f>
        <v>58.3010451033792</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v>
      </c>
      <c r="M121" s="116" t="n">
        <f aca="false">L121+M115</f>
        <v>0</v>
      </c>
      <c r="N121" s="116" t="n">
        <f aca="false">M121+N115</f>
        <v>0</v>
      </c>
      <c r="O121" s="116" t="n">
        <f aca="false">N121+O115</f>
        <v>0</v>
      </c>
      <c r="P121" s="116" t="n">
        <f aca="false">O121+P115</f>
        <v>0</v>
      </c>
      <c r="Q121" s="116" t="n">
        <f aca="false">P121+Q115</f>
        <v>0</v>
      </c>
      <c r="R121" s="116" t="n">
        <f aca="false">Q121+R115</f>
        <v>0</v>
      </c>
      <c r="S121" s="116" t="n">
        <f aca="false">R121+S115</f>
        <v>0</v>
      </c>
      <c r="T121" s="116" t="n">
        <f aca="false">S121+T115</f>
        <v>0</v>
      </c>
      <c r="U121" s="116" t="n">
        <f aca="false">T121+U115</f>
        <v>0</v>
      </c>
      <c r="V121" s="116" t="n">
        <f aca="false">U121+V115</f>
        <v>0</v>
      </c>
      <c r="W121" s="116" t="n">
        <f aca="false">V121+W115</f>
        <v>0</v>
      </c>
      <c r="X121" s="116" t="n">
        <f aca="false">W121+X115</f>
        <v>0</v>
      </c>
      <c r="Y121" s="116" t="n">
        <f aca="false">X121+Y115</f>
        <v>0</v>
      </c>
      <c r="Z121" s="116" t="n">
        <f aca="false">Y121+Z115</f>
        <v>0</v>
      </c>
      <c r="AA121" s="116" t="n">
        <f aca="false">Z121+AA115</f>
        <v>0</v>
      </c>
      <c r="AB121" s="116" t="n">
        <f aca="false">AA121+AB115</f>
        <v>0</v>
      </c>
      <c r="AC121" s="116" t="n">
        <f aca="false">AB121+AC115</f>
        <v>0</v>
      </c>
      <c r="AD121" s="116" t="n">
        <f aca="false">AC121+AD115</f>
        <v>0</v>
      </c>
      <c r="AE121" s="116" t="n">
        <f aca="false">AD121+AE115</f>
        <v>0</v>
      </c>
      <c r="AF121" s="116" t="n">
        <f aca="false">AE121+AF115</f>
        <v>0</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1.61460056050822</v>
      </c>
      <c r="D122" s="87" t="n">
        <f aca="false">D276/(D81+D115)</f>
        <v>1.15720777225315</v>
      </c>
      <c r="E122" s="87" t="n">
        <f aca="false">E276/(E81+E115)</f>
        <v>0.913152235255958</v>
      </c>
      <c r="F122" s="87" t="n">
        <f aca="false">F276/(F81+F115)</f>
        <v>0.541080219694795</v>
      </c>
      <c r="G122" s="87" t="n">
        <f aca="false">G276/(G81+G115)</f>
        <v>0.406861297948608</v>
      </c>
      <c r="H122" s="87" t="n">
        <f aca="false">H276/(H81+H115)</f>
        <v>0.353395293493572</v>
      </c>
      <c r="I122" s="87" t="n">
        <f aca="false">I276/(I81+I115)</f>
        <v>0.325152755466751</v>
      </c>
      <c r="J122" s="87" t="n">
        <f aca="false">J276/(J81+J115)</f>
        <v>0.309881355023618</v>
      </c>
      <c r="K122" s="87" t="n">
        <f aca="false">K276/(K81+K115)</f>
        <v>0.326780877364468</v>
      </c>
      <c r="L122" s="87" t="n">
        <f aca="false">L276/(L81+L115)</f>
        <v>0.345250757931524</v>
      </c>
      <c r="M122" s="87" t="n">
        <f aca="false">M276/(M81+M115)</f>
        <v>0.3179411061629</v>
      </c>
      <c r="N122" s="87" t="n">
        <f aca="false">N276/(N81+N115)</f>
        <v>0.298611377721326</v>
      </c>
      <c r="O122" s="87" t="n">
        <f aca="false">O276/(O81+O115)</f>
        <v>0.285677066640984</v>
      </c>
      <c r="P122" s="87" t="n">
        <f aca="false">P276/(P81+P115)</f>
        <v>0.274256111382663</v>
      </c>
      <c r="Q122" s="87" t="n">
        <f aca="false">Q276/(Q81+Q115)</f>
        <v>0.263914500585798</v>
      </c>
      <c r="R122" s="87" t="n">
        <f aca="false">R276/(R81+R115)</f>
        <v>0.254142656374126</v>
      </c>
      <c r="S122" s="87" t="n">
        <f aca="false">S276/(S81+S115)</f>
        <v>0.244575633324099</v>
      </c>
      <c r="T122" s="87" t="n">
        <f aca="false">T276/(T81+T115)</f>
        <v>0.234947990804653</v>
      </c>
      <c r="U122" s="87" t="n">
        <f aca="false">U276/(U81+U115)</f>
        <v>0.224916835433895</v>
      </c>
      <c r="V122" s="87" t="n">
        <f aca="false">V276/(V81+V115)</f>
        <v>0.215300179595296</v>
      </c>
      <c r="W122" s="87" t="n">
        <f aca="false">W276/(W81+W115)</f>
        <v>0.20554496388685</v>
      </c>
      <c r="X122" s="87" t="n">
        <f aca="false">X276/(X81+X115)</f>
        <v>0.195544562832877</v>
      </c>
      <c r="Y122" s="87" t="n">
        <f aca="false">Y276/(Y81+Y115)</f>
        <v>0.18531035342292</v>
      </c>
      <c r="Z122" s="87" t="n">
        <f aca="false">Z276/(Z81+Z115)</f>
        <v>0.174851552088761</v>
      </c>
      <c r="AA122" s="87" t="n">
        <f aca="false">AA276/(AA81+AA115)</f>
        <v>0.164175418529167</v>
      </c>
      <c r="AB122" s="87" t="n">
        <f aca="false">AB276/(AB81+AB115)</f>
        <v>0.153286099378321</v>
      </c>
      <c r="AC122" s="87" t="n">
        <f aca="false">AC276/(AC81+AC115)</f>
        <v>0.14218648683144</v>
      </c>
      <c r="AD122" s="87" t="n">
        <f aca="false">AD276/(AD81+AD115)</f>
        <v>0.133592332105896</v>
      </c>
      <c r="AE122" s="87" t="n">
        <f aca="false">AE276/(AE81+AE115)</f>
        <v>0.12670980175888</v>
      </c>
      <c r="AF122" s="87" t="n">
        <f aca="false">AF276/(AF81+AF115)</f>
        <v>0.121648876065802</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Amarillo</v>
      </c>
      <c r="AD123" s="116" t="str">
        <f aca="false">IF(AD122&gt;=01_Supuestos!$I$138,"Verde",IF(AD122&gt;=0.1,"Amarillo","Rojo"))</f>
        <v>Amarillo</v>
      </c>
      <c r="AE123" s="116" t="str">
        <f aca="false">IF(AE122&gt;=01_Supuestos!$I$138,"Verde",IF(AE122&gt;=0.1,"Amarillo","Rojo"))</f>
        <v>Amarillo</v>
      </c>
      <c r="AF123" s="116" t="str">
        <f aca="false">IF(AF122&gt;=01_Supuestos!$I$138,"Verde",IF(AF122&gt;=0.1,"Amarillo","Rojo"))</f>
        <v>Amarillo</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0.304035502662217</v>
      </c>
      <c r="D127" s="116" t="n">
        <f aca="false">MAX(0,-D113)</f>
        <v>0.142033618821552</v>
      </c>
      <c r="E127" s="116" t="n">
        <f aca="false">MAX(0,-E113)</f>
        <v>0.241676585779209</v>
      </c>
      <c r="F127" s="116" t="n">
        <f aca="false">MAX(0,-F113)</f>
        <v>1.57655090170112</v>
      </c>
      <c r="G127" s="116" t="n">
        <f aca="false">MAX(0,-G113)</f>
        <v>2.99038981486462</v>
      </c>
      <c r="H127" s="116" t="n">
        <f aca="false">MAX(0,-H113)</f>
        <v>3.80196959037997</v>
      </c>
      <c r="I127" s="116" t="n">
        <f aca="false">MAX(0,-I113)</f>
        <v>4.23512013076357</v>
      </c>
      <c r="J127" s="116" t="n">
        <f aca="false">MAX(0,-J113)</f>
        <v>4.34282310113115</v>
      </c>
      <c r="K127" s="116" t="n">
        <f aca="false">MAX(0,-K113)</f>
        <v>3.34830269431251</v>
      </c>
      <c r="L127" s="116" t="n">
        <f aca="false">MAX(0,-L113)</f>
        <v>2.32292039169964</v>
      </c>
      <c r="M127" s="116" t="n">
        <f aca="false">MAX(0,-M113)</f>
        <v>1.36384729425144</v>
      </c>
      <c r="N127" s="116" t="n">
        <f aca="false">MAX(0,-N113)</f>
        <v>1.32858419650841</v>
      </c>
      <c r="O127" s="116" t="n">
        <f aca="false">MAX(0,-O113)</f>
        <v>1.4734036712358</v>
      </c>
      <c r="P127" s="116" t="n">
        <f aca="false">MAX(0,-P113)</f>
        <v>1.56611160169532</v>
      </c>
      <c r="Q127" s="116" t="n">
        <f aca="false">MAX(0,-Q113)</f>
        <v>1.7403144880876</v>
      </c>
      <c r="R127" s="116" t="n">
        <f aca="false">MAX(0,-R113)</f>
        <v>1.97048280864324</v>
      </c>
      <c r="S127" s="116" t="n">
        <f aca="false">MAX(0,-S113)</f>
        <v>2.24391482521526</v>
      </c>
      <c r="T127" s="116" t="n">
        <f aca="false">MAX(0,-T113)</f>
        <v>2.55003011951348</v>
      </c>
      <c r="U127" s="116" t="n">
        <f aca="false">MAX(0,-U113)</f>
        <v>2.84785526130423</v>
      </c>
      <c r="V127" s="116" t="n">
        <f aca="false">MAX(0,-V113)</f>
        <v>3.18889271717451</v>
      </c>
      <c r="W127" s="116" t="n">
        <f aca="false">MAX(0,-W113)</f>
        <v>3.5163186332811</v>
      </c>
      <c r="X127" s="116" t="n">
        <f aca="false">MAX(0,-X113)</f>
        <v>3.83849898849468</v>
      </c>
      <c r="Y127" s="116" t="n">
        <f aca="false">MAX(0,-Y113)</f>
        <v>4.15868120538288</v>
      </c>
      <c r="Z127" s="116" t="n">
        <f aca="false">MAX(0,-Z113)</f>
        <v>4.47724458604954</v>
      </c>
      <c r="AA127" s="116" t="n">
        <f aca="false">MAX(0,-AA113)</f>
        <v>4.79454814467991</v>
      </c>
      <c r="AB127" s="116" t="n">
        <f aca="false">MAX(0,-AB113)</f>
        <v>5.11093943204363</v>
      </c>
      <c r="AC127" s="116" t="n">
        <f aca="false">MAX(0,-AC113)</f>
        <v>5.42675001044406</v>
      </c>
      <c r="AD127" s="116" t="n">
        <f aca="false">MAX(0,-AD113)</f>
        <v>5.68656510507717</v>
      </c>
      <c r="AE127" s="116" t="n">
        <f aca="false">MAX(0,-AE113)</f>
        <v>5.90484956389032</v>
      </c>
      <c r="AF127" s="116" t="n">
        <f aca="false">MAX(0,-AF113)</f>
        <v>6.09121592656986</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11.0253035128668</v>
      </c>
      <c r="D128" s="116" t="n">
        <f aca="false">IF(AVERAGE(E127:I127)&gt;0,D120/AVERAGE(E127:I127),99)</f>
        <v>14.3013380280741</v>
      </c>
      <c r="E128" s="116" t="n">
        <f aca="false">IF(AVERAGE(F127:J127)&gt;0,E120/AVERAGE(F127:J127),99)</f>
        <v>15.7810304378227</v>
      </c>
      <c r="F128" s="116" t="n">
        <f aca="false">IF(AVERAGE(G127:K127)&gt;0,F120/AVERAGE(G127:K127),99)</f>
        <v>17.0025511995297</v>
      </c>
      <c r="G128" s="116" t="n">
        <f aca="false">IF(AVERAGE(H127:L127)&gt;0,G120/AVERAGE(H127:L127),99)</f>
        <v>20.0366352198253</v>
      </c>
      <c r="H128" s="116" t="n">
        <f aca="false">IF(AVERAGE(I127:M127)&gt;0,H120/AVERAGE(I127:M127),99)</f>
        <v>25.7481806589276</v>
      </c>
      <c r="I128" s="116" t="n">
        <f aca="false">IF(AVERAGE(J127:N127)&gt;0,I120/AVERAGE(J127:N127),99)</f>
        <v>34.6744799888451</v>
      </c>
      <c r="J128" s="116" t="n">
        <f aca="false">IF(AVERAGE(K127:O127)&gt;0,J120/AVERAGE(K127:O127),99)</f>
        <v>48.6882880462497</v>
      </c>
      <c r="K128" s="116" t="n">
        <f aca="false">IF(AVERAGE(L127:P127)&gt;0,K120/AVERAGE(L127:P127),99)</f>
        <v>65.2565792674091</v>
      </c>
      <c r="L128" s="116" t="n">
        <f aca="false">IF(AVERAGE(M127:Q127)&gt;0,L120/AVERAGE(M127:Q127),99)</f>
        <v>77.2304212834919</v>
      </c>
      <c r="M128" s="116" t="n">
        <f aca="false">IF(AVERAGE(N127:R127)&gt;0,M120/AVERAGE(N127:R127),99)</f>
        <v>68.2136351119998</v>
      </c>
      <c r="N128" s="116" t="n">
        <f aca="false">IF(AVERAGE(O127:S127)&gt;0,N120/AVERAGE(O127:S127),99)</f>
        <v>59.5204854215229</v>
      </c>
      <c r="O128" s="116" t="n">
        <f aca="false">IF(AVERAGE(P127:T127)&gt;0,O120/AVERAGE(P127:T127),99)</f>
        <v>52.4458887268631</v>
      </c>
      <c r="P128" s="116" t="n">
        <f aca="false">IF(AVERAGE(Q127:U127)&gt;0,P120/AVERAGE(Q127:U127),99)</f>
        <v>45.8706279573965</v>
      </c>
      <c r="Q128" s="116" t="n">
        <f aca="false">IF(AVERAGE(R127:V127)&gt;0,Q120/AVERAGE(R127:V127),99)</f>
        <v>40.0480863427635</v>
      </c>
      <c r="R128" s="116" t="n">
        <f aca="false">IF(AVERAGE(S127:W127)&gt;0,R120/AVERAGE(S127:W127),99)</f>
        <v>35.1011392779949</v>
      </c>
      <c r="S128" s="116" t="n">
        <f aca="false">IF(AVERAGE(T127:X127)&gt;0,S120/AVERAGE(T127:X127),99)</f>
        <v>30.9447330058328</v>
      </c>
      <c r="T128" s="116" t="n">
        <f aca="false">IF(AVERAGE(U127:Y127)&gt;0,T120/AVERAGE(U127:Y127),99)</f>
        <v>27.4418914668059</v>
      </c>
      <c r="U128" s="116" t="n">
        <f aca="false">IF(AVERAGE(V127:Z127)&gt;0,U120/AVERAGE(V127:Z127),99)</f>
        <v>24.4259817253765</v>
      </c>
      <c r="V128" s="116" t="n">
        <f aca="false">IF(AVERAGE(W127:AA127)&gt;0,V120/AVERAGE(W127:AA127),99)</f>
        <v>21.9192696383315</v>
      </c>
      <c r="W128" s="116" t="n">
        <f aca="false">IF(AVERAGE(X127:AB127)&gt;0,W120/AVERAGE(X127:AB127),99)</f>
        <v>19.734639580014</v>
      </c>
      <c r="X128" s="116" t="n">
        <f aca="false">IF(AVERAGE(Y127:AC127)&gt;0,X120/AVERAGE(Y127:AC127),99)</f>
        <v>17.7916009258117</v>
      </c>
      <c r="Y128" s="116" t="n">
        <f aca="false">IF(AVERAGE(Z127:AD127)&gt;0,Y120/AVERAGE(Z127:AD127),99)</f>
        <v>16.0782592933693</v>
      </c>
      <c r="Z128" s="116" t="n">
        <f aca="false">IF(AVERAGE(AA127:AE127)&gt;0,Z120/AVERAGE(AA127:AE127),99)</f>
        <v>14.5661548461048</v>
      </c>
      <c r="AA128" s="116" t="n">
        <f aca="false">IF(AVERAGE(AB127:AF127)&gt;0,AA120/AVERAGE(AB127:AF127),99)</f>
        <v>13.2234793837353</v>
      </c>
      <c r="AB128" s="116" t="n">
        <f aca="false">IF(AVERAGE(AC127:AF127)&gt;0,AB120/AVERAGE(AC127:AF127),99)</f>
        <v>12.2178251906384</v>
      </c>
      <c r="AC128" s="116" t="n">
        <f aca="false">IF(AVERAGE(AD127:AF127)&gt;0,AC120/AVERAGE(AD127:AF127),99)</f>
        <v>11.2472987701629</v>
      </c>
      <c r="AD128" s="116" t="n">
        <f aca="false">IF(AVERAGE(AE127:AF127)&gt;0,AD120/AVERAGE(AE127:AF127),99)</f>
        <v>10.4837222538828</v>
      </c>
      <c r="AE128" s="116" t="n">
        <f aca="false">IF(AVERAGE(AF127:AF127)&gt;0,AE120/AVERAGE(AF127:AF127),99)</f>
        <v>9.88173064929274</v>
      </c>
      <c r="AF128" s="116" t="n">
        <f aca="false">IF(AF127&gt;0,AF120/AF127,99)</f>
        <v>9.57133120976228</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0.0211887688491203</v>
      </c>
      <c r="D129" s="87" t="n">
        <f aca="false">D83/D41</f>
        <v>0.0541068943375754</v>
      </c>
      <c r="E129" s="87" t="n">
        <f aca="false">E83/E41</f>
        <v>0.0928904147972389</v>
      </c>
      <c r="F129" s="87" t="n">
        <f aca="false">F83/F41</f>
        <v>0.130801969498767</v>
      </c>
      <c r="G129" s="87" t="n">
        <f aca="false">G83/G41</f>
        <v>0.167861162755393</v>
      </c>
      <c r="H129" s="87" t="n">
        <f aca="false">H83/H41</f>
        <v>0.204087158118664</v>
      </c>
      <c r="I129" s="87" t="n">
        <f aca="false">I83/I41</f>
        <v>0.239498688288039</v>
      </c>
      <c r="J129" s="87" t="n">
        <f aca="false">J83/J41</f>
        <v>0.274114064797692</v>
      </c>
      <c r="K129" s="87" t="n">
        <f aca="false">K83/K41</f>
        <v>0.307951187485525</v>
      </c>
      <c r="L129" s="87" t="n">
        <f aca="false">L83/L41</f>
        <v>0.341027553749291</v>
      </c>
      <c r="M129" s="87" t="n">
        <f aca="false">M83/M41</f>
        <v>0.373360267594615</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0.385827694011985</v>
      </c>
      <c r="W129" s="87" t="n">
        <f aca="false">W83/W41</f>
        <v>0.38276156245847</v>
      </c>
      <c r="X129" s="87" t="n">
        <f aca="false">X83/X41</f>
        <v>0.379526137796768</v>
      </c>
      <c r="Y129" s="87" t="n">
        <f aca="false">Y83/Y41</f>
        <v>0.376132815684703</v>
      </c>
      <c r="Z129" s="87" t="n">
        <f aca="false">Z83/Z41</f>
        <v>0.372592530511079</v>
      </c>
      <c r="AA129" s="87" t="n">
        <f aca="false">AA83/AA41</f>
        <v>0.368915769967323</v>
      </c>
      <c r="AB129" s="87" t="n">
        <f aca="false">AB83/AB41</f>
        <v>0.365112589290042</v>
      </c>
      <c r="AC129" s="87" t="n">
        <f aca="false">AC83/AC41</f>
        <v>0.361192625173827</v>
      </c>
      <c r="AD129" s="87" t="n">
        <f aca="false">AD83/AD41</f>
        <v>0.35602593294768</v>
      </c>
      <c r="AE129" s="87" t="n">
        <f aca="false">AE83/AE41</f>
        <v>0.35085330392491</v>
      </c>
      <c r="AF129" s="87" t="n">
        <f aca="false">AF83/AF41</f>
        <v>0.34567663847538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-2.91780442741297</v>
      </c>
      <c r="AE134" s="116" t="n">
        <f aca="false">-AE56</f>
        <v>-3.84524940612637</v>
      </c>
      <c r="AF134" s="116" t="n">
        <f aca="false">-AF56</f>
        <v>-4.81724300600832</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v>
      </c>
      <c r="F136" s="116" t="n">
        <f aca="false">01_Supuestos!$C$152*MAX(0,F111-01_Supuestos!$C$153-01_Supuestos!$C$154-F59-0.05*SUM($C$51:F51))</f>
        <v>0</v>
      </c>
      <c r="G136" s="116" t="n">
        <f aca="false">01_Supuestos!$C$152*MAX(0,G111-01_Supuestos!$C$153-01_Supuestos!$C$154-G59-0.05*SUM($C$51:G51))</f>
        <v>0.237284964551008</v>
      </c>
      <c r="H136" s="116" t="n">
        <f aca="false">01_Supuestos!$C$152*MAX(0,H111-01_Supuestos!$C$153-01_Supuestos!$C$154-H59-0.05*SUM($C$51:H51))</f>
        <v>0.416880570168078</v>
      </c>
      <c r="I136" s="116" t="n">
        <f aca="false">01_Supuestos!$C$152*MAX(0,I111-01_Supuestos!$C$153-01_Supuestos!$C$154-I59-0.05*SUM($C$51:I51))</f>
        <v>0.558272532118583</v>
      </c>
      <c r="J136" s="116" t="n">
        <f aca="false">01_Supuestos!$C$152*MAX(0,J111-01_Supuestos!$C$153-01_Supuestos!$C$154-J59-0.05*SUM($C$51:J51))</f>
        <v>0.667859790082665</v>
      </c>
      <c r="K136" s="116" t="n">
        <f aca="false">01_Supuestos!$C$152*MAX(0,K111-01_Supuestos!$C$153-01_Supuestos!$C$154-K59-0.05*SUM($C$51:K51))</f>
        <v>0.651941005941652</v>
      </c>
      <c r="L136" s="116" t="n">
        <f aca="false">01_Supuestos!$C$152*MAX(0,L111-01_Supuestos!$C$153-01_Supuestos!$C$154-L59-0.05*SUM($C$51:L51))</f>
        <v>0.638065059325964</v>
      </c>
      <c r="M136" s="116" t="n">
        <f aca="false">01_Supuestos!$C$152*MAX(0,M111-01_Supuestos!$C$153-01_Supuestos!$C$154-M59-0.05*SUM($C$51:M51))</f>
        <v>0.627945511157095</v>
      </c>
      <c r="N136" s="116" t="n">
        <f aca="false">01_Supuestos!$C$152*MAX(0,N111-01_Supuestos!$C$153-01_Supuestos!$C$154-N59-0.05*SUM($C$51:N51))</f>
        <v>0.622468337767672</v>
      </c>
      <c r="O136" s="116" t="n">
        <f aca="false">01_Supuestos!$C$152*MAX(0,O111-01_Supuestos!$C$153-01_Supuestos!$C$154-O59-0.05*SUM($C$51:O51))</f>
        <v>0.622293678682093</v>
      </c>
      <c r="P136" s="116" t="n">
        <f aca="false">01_Supuestos!$C$152*MAX(0,P111-01_Supuestos!$C$153-01_Supuestos!$C$154-P59-0.05*SUM($C$51:P51))</f>
        <v>0.631197711365576</v>
      </c>
      <c r="Q136" s="116" t="n">
        <f aca="false">01_Supuestos!$C$152*MAX(0,Q111-01_Supuestos!$C$153-01_Supuestos!$C$154-Q59-0.05*SUM($C$51:Q51))</f>
        <v>0.648595524136382</v>
      </c>
      <c r="R136" s="116" t="n">
        <f aca="false">01_Supuestos!$C$152*MAX(0,R111-01_Supuestos!$C$153-01_Supuestos!$C$154-R59-0.05*SUM($C$51:R51))</f>
        <v>0.671594825197134</v>
      </c>
      <c r="S136" s="116" t="n">
        <f aca="false">01_Supuestos!$C$152*MAX(0,S111-01_Supuestos!$C$153-01_Supuestos!$C$154-S59-0.05*SUM($C$51:S51))</f>
        <v>0.698675083496096</v>
      </c>
      <c r="T136" s="116" t="n">
        <f aca="false">01_Supuestos!$C$152*MAX(0,T111-01_Supuestos!$C$153-01_Supuestos!$C$154-T59-0.05*SUM($C$51:T51))</f>
        <v>0.728582467017188</v>
      </c>
      <c r="U136" s="116" t="n">
        <f aca="false">01_Supuestos!$C$152*MAX(0,U111-01_Supuestos!$C$153-01_Supuestos!$C$154-U59-0.05*SUM($C$51:U51))</f>
        <v>0.756985335808683</v>
      </c>
      <c r="V136" s="116" t="n">
        <f aca="false">01_Supuestos!$C$152*MAX(0,V111-01_Supuestos!$C$153-01_Supuestos!$C$154-V59-0.05*SUM($C$51:V51))</f>
        <v>0.783948906453357</v>
      </c>
      <c r="W136" s="116" t="n">
        <f aca="false">01_Supuestos!$C$152*MAX(0,W111-01_Supuestos!$C$153-01_Supuestos!$C$154-W59-0.05*SUM($C$51:W51))</f>
        <v>0.809534166286298</v>
      </c>
      <c r="X136" s="116" t="n">
        <f aca="false">01_Supuestos!$C$152*MAX(0,X111-01_Supuestos!$C$153-01_Supuestos!$C$154-X59-0.05*SUM($C$51:X51))</f>
        <v>0.83379814731352</v>
      </c>
      <c r="Y136" s="116" t="n">
        <f aca="false">01_Supuestos!$C$152*MAX(0,Y111-01_Supuestos!$C$153-01_Supuestos!$C$154-Y59-0.05*SUM($C$51:Y51))</f>
        <v>0.856794182406661</v>
      </c>
      <c r="Z136" s="116" t="n">
        <f aca="false">01_Supuestos!$C$152*MAX(0,Z111-01_Supuestos!$C$153-01_Supuestos!$C$154-Z59-0.05*SUM($C$51:Z51))</f>
        <v>0.878572144919727</v>
      </c>
      <c r="AA136" s="116" t="n">
        <f aca="false">01_Supuestos!$C$152*MAX(0,AA111-01_Supuestos!$C$153-01_Supuestos!$C$154-AA59-0.05*SUM($C$51:AA51))</f>
        <v>0.899178672799813</v>
      </c>
      <c r="AB136" s="116" t="n">
        <f aca="false">01_Supuestos!$C$152*MAX(0,AB111-01_Supuestos!$C$153-01_Supuestos!$C$154-AB59-0.05*SUM($C$51:AB51))</f>
        <v>0.918657378194447</v>
      </c>
      <c r="AC136" s="116" t="n">
        <f aca="false">01_Supuestos!$C$152*MAX(0,AC111-01_Supuestos!$C$153-01_Supuestos!$C$154-AC59-0.05*SUM($C$51:AC51))</f>
        <v>0.93704904349341</v>
      </c>
      <c r="AD136" s="116" t="n">
        <f aca="false">01_Supuestos!$C$152*MAX(0,AD111-01_Supuestos!$C$153-01_Supuestos!$C$154-AD59-0.05*SUM($C$51:AD51))</f>
        <v>0.948719374682297</v>
      </c>
      <c r="AE136" s="116" t="n">
        <f aca="false">01_Supuestos!$C$152*MAX(0,AE111-01_Supuestos!$C$153-01_Supuestos!$C$154-AE59-0.05*SUM($C$51:AE51))</f>
        <v>0.959660084328336</v>
      </c>
      <c r="AF136" s="116" t="n">
        <f aca="false">01_Supuestos!$C$152*MAX(0,AF111-01_Supuestos!$C$153-01_Supuestos!$C$154-AF59-0.05*SUM($C$51:AF51))</f>
        <v>0.969890337891028</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0.0174310731235341</v>
      </c>
      <c r="D139" s="116" t="n">
        <f aca="false">(1-D55)*D88</f>
        <v>0.0455351364151786</v>
      </c>
      <c r="E139" s="116" t="n">
        <f aca="false">(1-E55)*E88</f>
        <v>0.0799724813214286</v>
      </c>
      <c r="F139" s="116" t="n">
        <f aca="false">(1-F55)*F88</f>
        <v>0.115201885160522</v>
      </c>
      <c r="G139" s="116" t="n">
        <f aca="false">(1-G55)*G88</f>
        <v>0.151241565287915</v>
      </c>
      <c r="H139" s="116" t="n">
        <f aca="false">(1-H55)*H88</f>
        <v>0.188110158058238</v>
      </c>
      <c r="I139" s="116" t="n">
        <f aca="false">(1-I55)*I88</f>
        <v>0.225826728462279</v>
      </c>
      <c r="J139" s="116" t="n">
        <f aca="false">(1-J55)*J88</f>
        <v>0.264410779985612</v>
      </c>
      <c r="K139" s="116" t="n">
        <f aca="false">(1-K55)*K88</f>
        <v>0.303882264693982</v>
      </c>
      <c r="L139" s="116" t="n">
        <f aca="false">(1-L55)*L88</f>
        <v>0.344261593550644</v>
      </c>
      <c r="M139" s="116" t="n">
        <f aca="false">(1-M55)*M88</f>
        <v>0.38556964697101</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0.488932424575968</v>
      </c>
      <c r="W139" s="116" t="n">
        <f aca="false">(1-W55)*W88</f>
        <v>0.496203010126603</v>
      </c>
      <c r="X139" s="116" t="n">
        <f aca="false">(1-X55)*X88</f>
        <v>0.503324882036196</v>
      </c>
      <c r="Y139" s="116" t="n">
        <f aca="false">(1-Y55)*Y88</f>
        <v>0.510297649921273</v>
      </c>
      <c r="Z139" s="116" t="n">
        <f aca="false">(1-Z55)*Z88</f>
        <v>0.517120936326716</v>
      </c>
      <c r="AA139" s="116" t="n">
        <f aca="false">(1-AA55)*AA88</f>
        <v>0.523794375846695</v>
      </c>
      <c r="AB139" s="116" t="n">
        <f aca="false">(1-AB55)*AB88</f>
        <v>0.530317614281329</v>
      </c>
      <c r="AC139" s="116" t="n">
        <f aca="false">(1-AC55)*AC88</f>
        <v>0.536690307827018</v>
      </c>
      <c r="AD139" s="116" t="n">
        <f aca="false">(1-AD55)*AD88</f>
        <v>0.517128039719214</v>
      </c>
      <c r="AE139" s="116" t="n">
        <f aca="false">(1-AE55)*AE88</f>
        <v>0.497087748012529</v>
      </c>
      <c r="AF139" s="116" t="n">
        <f aca="false">(1-AF55)*AF88</f>
        <v>0.476577903536533</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-18.8138689268765</v>
      </c>
      <c r="D140" s="116" t="n">
        <f aca="false">SUM(D133:D139)</f>
        <v>-18.7444779704848</v>
      </c>
      <c r="E140" s="116" t="n">
        <f aca="false">SUM(E133:E139)</f>
        <v>-18.7395004823716</v>
      </c>
      <c r="F140" s="116" t="n">
        <f aca="false">SUM(F133:F139)</f>
        <v>-18.5929490478641</v>
      </c>
      <c r="G140" s="116" t="n">
        <f aca="false">SUM(G133:G139)</f>
        <v>-18.3457163934762</v>
      </c>
      <c r="H140" s="116" t="n">
        <f aca="false">SUM(H133:H139)</f>
        <v>-18.1561458010026</v>
      </c>
      <c r="I140" s="116" t="n">
        <f aca="false">SUM(I133:I139)</f>
        <v>-18.0047480510998</v>
      </c>
      <c r="J140" s="116" t="n">
        <f aca="false">SUM(J133:J139)</f>
        <v>-17.8851207849238</v>
      </c>
      <c r="K140" s="116" t="n">
        <f aca="false">SUM(K133:K139)</f>
        <v>-17.8909620053101</v>
      </c>
      <c r="L140" s="116" t="n">
        <f aca="false">SUM(L133:L139)</f>
        <v>-17.8947195803092</v>
      </c>
      <c r="M140" s="116" t="n">
        <f aca="false">SUM(M133:M139)</f>
        <v>2.70532322115646</v>
      </c>
      <c r="N140" s="116" t="n">
        <f aca="false">SUM(N133:N139)</f>
        <v>2.69250312349484</v>
      </c>
      <c r="O140" s="116" t="n">
        <f aca="false">SUM(O133:O139)</f>
        <v>2.66879421461167</v>
      </c>
      <c r="P140" s="116" t="n">
        <f aca="false">SUM(P133:P139)</f>
        <v>2.65343974326367</v>
      </c>
      <c r="Q140" s="116" t="n">
        <f aca="false">SUM(Q133:Q139)</f>
        <v>2.6458397681014</v>
      </c>
      <c r="R140" s="116" t="n">
        <f aca="false">SUM(R133:R139)</f>
        <v>2.64308647661163</v>
      </c>
      <c r="S140" s="116" t="n">
        <f aca="false">SUM(S133:S139)</f>
        <v>2.64364331663254</v>
      </c>
      <c r="T140" s="116" t="n">
        <f aca="false">SUM(T133:T139)</f>
        <v>2.64623992496379</v>
      </c>
      <c r="U140" s="116" t="n">
        <f aca="false">SUM(U133:U139)</f>
        <v>2.6465276103761</v>
      </c>
      <c r="V140" s="116" t="n">
        <f aca="false">SUM(V133:V139)</f>
        <v>2.64135557708589</v>
      </c>
      <c r="W140" s="116" t="n">
        <f aca="false">SUM(W133:W139)</f>
        <v>2.63311512666232</v>
      </c>
      <c r="X140" s="116" t="n">
        <f aca="false">SUM(X133:X139)</f>
        <v>2.62228555858056</v>
      </c>
      <c r="Y140" s="116" t="n">
        <f aca="false">SUM(Y133:Y139)</f>
        <v>2.60889458873298</v>
      </c>
      <c r="Z140" s="116" t="n">
        <f aca="false">SUM(Z133:Z139)</f>
        <v>2.59296577321175</v>
      </c>
      <c r="AA140" s="116" t="n">
        <f aca="false">SUM(AA133:AA139)</f>
        <v>2.57451871618658</v>
      </c>
      <c r="AB140" s="116" t="n">
        <f aca="false">SUM(AB133:AB139)</f>
        <v>2.55356926285671</v>
      </c>
      <c r="AC140" s="116" t="n">
        <f aca="false">SUM(AC133:AC139)</f>
        <v>2.53012967840368</v>
      </c>
      <c r="AD140" s="116" t="n">
        <f aca="false">SUM(AD133:AD139)</f>
        <v>1.63909389339907</v>
      </c>
      <c r="AE140" s="116" t="n">
        <f aca="false">SUM(AE133:AE139)</f>
        <v>0.703856300432703</v>
      </c>
      <c r="AF140" s="116" t="n">
        <f aca="false">SUM(AF133:AF139)</f>
        <v>-0.27714913158909</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-0.0567681733074377</v>
      </c>
      <c r="D141" s="116" t="n">
        <f aca="false">-D85*01_Supuestos!$I$126</f>
        <v>-0.150098745513188</v>
      </c>
      <c r="E141" s="116" t="n">
        <f aca="false">-E85*01_Supuestos!$I$126</f>
        <v>-0.275940620144396</v>
      </c>
      <c r="F141" s="116" t="n">
        <f aca="false">-F85*01_Supuestos!$I$126</f>
        <v>-0.564673171536131</v>
      </c>
      <c r="G141" s="116" t="n">
        <f aca="false">-G85*01_Supuestos!$I$126</f>
        <v>-0.853403030046319</v>
      </c>
      <c r="H141" s="116" t="n">
        <f aca="false">-H85*01_Supuestos!$I$126</f>
        <v>-1.09205310431935</v>
      </c>
      <c r="I141" s="116" t="n">
        <f aca="false">-I85*01_Supuestos!$I$126</f>
        <v>-1.30082516177712</v>
      </c>
      <c r="J141" s="116" t="n">
        <f aca="false">-J85*01_Supuestos!$I$126</f>
        <v>-1.48376640618287</v>
      </c>
      <c r="K141" s="116" t="n">
        <f aca="false">-K85*01_Supuestos!$I$126</f>
        <v>-1.5441777315838</v>
      </c>
      <c r="L141" s="116" t="n">
        <f aca="false">-L85*01_Supuestos!$I$126</f>
        <v>-1.60463789379557</v>
      </c>
      <c r="M141" s="116" t="n">
        <f aca="false">-M85*01_Supuestos!$I$126</f>
        <v>-1.28371031503645</v>
      </c>
      <c r="N141" s="116" t="n">
        <f aca="false">-N85*01_Supuestos!$I$126</f>
        <v>-1.07566051492033</v>
      </c>
      <c r="O141" s="116" t="n">
        <f aca="false">-O85*01_Supuestos!$I$126</f>
        <v>-1.10931175453374</v>
      </c>
      <c r="P141" s="116" t="n">
        <f aca="false">-P85*01_Supuestos!$I$126</f>
        <v>-1.13926528114319</v>
      </c>
      <c r="Q141" s="116" t="n">
        <f aca="false">-Q85*01_Supuestos!$I$126</f>
        <v>-1.16551971913657</v>
      </c>
      <c r="R141" s="116" t="n">
        <f aca="false">-R85*01_Supuestos!$I$126</f>
        <v>-1.18893016556644</v>
      </c>
      <c r="S141" s="116" t="n">
        <f aca="false">-S85*01_Supuestos!$I$126</f>
        <v>-1.21019845647855</v>
      </c>
      <c r="T141" s="116" t="n">
        <f aca="false">-T85*01_Supuestos!$I$126</f>
        <v>-1.22991977860256</v>
      </c>
      <c r="U141" s="116" t="n">
        <f aca="false">-U85*01_Supuestos!$I$126</f>
        <v>-1.24974577572106</v>
      </c>
      <c r="V141" s="116" t="n">
        <f aca="false">-V85*01_Supuestos!$I$126</f>
        <v>-1.26966473792567</v>
      </c>
      <c r="W141" s="116" t="n">
        <f aca="false">-W85*01_Supuestos!$I$126</f>
        <v>-1.28923471294757</v>
      </c>
      <c r="X141" s="116" t="n">
        <f aca="false">-X85*01_Supuestos!$I$126</f>
        <v>-1.30844445351669</v>
      </c>
      <c r="Y141" s="116" t="n">
        <f aca="false">-Y85*01_Supuestos!$I$126</f>
        <v>-1.32728274980144</v>
      </c>
      <c r="Z141" s="116" t="n">
        <f aca="false">-Z85*01_Supuestos!$I$126</f>
        <v>-1.34573842702795</v>
      </c>
      <c r="AA141" s="116" t="n">
        <f aca="false">-AA85*01_Supuestos!$I$126</f>
        <v>-1.36380034320037</v>
      </c>
      <c r="AB141" s="116" t="n">
        <f aca="false">-AB85*01_Supuestos!$I$126</f>
        <v>-1.38146759712516</v>
      </c>
      <c r="AC141" s="116" t="n">
        <f aca="false">-AC85*01_Supuestos!$I$126</f>
        <v>-1.39873931610818</v>
      </c>
      <c r="AD141" s="116" t="n">
        <f aca="false">-AD85*01_Supuestos!$I$126</f>
        <v>-1.41209547837314</v>
      </c>
      <c r="AE141" s="116" t="n">
        <f aca="false">-AE85*01_Supuestos!$I$126</f>
        <v>-1.42510889317591</v>
      </c>
      <c r="AF141" s="116" t="n">
        <f aca="false">-AF85*01_Supuestos!$I$126</f>
        <v>-1.43777025293295</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0.0383185169825205</v>
      </c>
      <c r="D142" s="116" t="n">
        <f aca="false">D85*01_Supuestos!$I$101</f>
        <v>0.101316653221402</v>
      </c>
      <c r="E142" s="116" t="n">
        <f aca="false">E85*01_Supuestos!$I$101</f>
        <v>0.186259918597467</v>
      </c>
      <c r="F142" s="116" t="n">
        <f aca="false">F85*01_Supuestos!$I$101</f>
        <v>0.381154390786888</v>
      </c>
      <c r="G142" s="116" t="n">
        <f aca="false">G85*01_Supuestos!$I$101</f>
        <v>0.576047045281265</v>
      </c>
      <c r="H142" s="116" t="n">
        <f aca="false">H85*01_Supuestos!$I$101</f>
        <v>0.73713584541556</v>
      </c>
      <c r="I142" s="116" t="n">
        <f aca="false">I85*01_Supuestos!$I$101</f>
        <v>0.878056984199556</v>
      </c>
      <c r="J142" s="116" t="n">
        <f aca="false">J85*01_Supuestos!$I$101</f>
        <v>1.00154232417343</v>
      </c>
      <c r="K142" s="116" t="n">
        <f aca="false">K85*01_Supuestos!$I$101</f>
        <v>1.04231996881907</v>
      </c>
      <c r="L142" s="116" t="n">
        <f aca="false">L85*01_Supuestos!$I$101</f>
        <v>1.08313057831201</v>
      </c>
      <c r="M142" s="116" t="n">
        <f aca="false">M85*01_Supuestos!$I$101</f>
        <v>0.866504462649606</v>
      </c>
      <c r="N142" s="116" t="n">
        <f aca="false">N85*01_Supuestos!$I$101</f>
        <v>0.726070847571223</v>
      </c>
      <c r="O142" s="116" t="n">
        <f aca="false">O85*01_Supuestos!$I$101</f>
        <v>0.748785434310275</v>
      </c>
      <c r="P142" s="116" t="n">
        <f aca="false">P85*01_Supuestos!$I$101</f>
        <v>0.769004064771656</v>
      </c>
      <c r="Q142" s="116" t="n">
        <f aca="false">Q85*01_Supuestos!$I$101</f>
        <v>0.786725810417187</v>
      </c>
      <c r="R142" s="116" t="n">
        <f aca="false">R85*01_Supuestos!$I$101</f>
        <v>0.802527861757349</v>
      </c>
      <c r="S142" s="116" t="n">
        <f aca="false">S85*01_Supuestos!$I$101</f>
        <v>0.816883958123022</v>
      </c>
      <c r="T142" s="116" t="n">
        <f aca="false">T85*01_Supuestos!$I$101</f>
        <v>0.830195850556727</v>
      </c>
      <c r="U142" s="116" t="n">
        <f aca="false">U85*01_Supuestos!$I$101</f>
        <v>0.843578398611713</v>
      </c>
      <c r="V142" s="116" t="n">
        <f aca="false">V85*01_Supuestos!$I$101</f>
        <v>0.857023698099826</v>
      </c>
      <c r="W142" s="116" t="n">
        <f aca="false">W85*01_Supuestos!$I$101</f>
        <v>0.870233431239611</v>
      </c>
      <c r="X142" s="116" t="n">
        <f aca="false">X85*01_Supuestos!$I$101</f>
        <v>0.883200006123768</v>
      </c>
      <c r="Y142" s="116" t="n">
        <f aca="false">Y85*01_Supuestos!$I$101</f>
        <v>0.895915856115974</v>
      </c>
      <c r="Z142" s="116" t="n">
        <f aca="false">Z85*01_Supuestos!$I$101</f>
        <v>0.908373438243864</v>
      </c>
      <c r="AA142" s="116" t="n">
        <f aca="false">AA85*01_Supuestos!$I$101</f>
        <v>0.92056523166025</v>
      </c>
      <c r="AB142" s="116" t="n">
        <f aca="false">AB85*01_Supuestos!$I$101</f>
        <v>0.932490628059484</v>
      </c>
      <c r="AC142" s="116" t="n">
        <f aca="false">AC85*01_Supuestos!$I$101</f>
        <v>0.94414903837302</v>
      </c>
      <c r="AD142" s="116" t="n">
        <f aca="false">AD85*01_Supuestos!$I$101</f>
        <v>0.953164447901867</v>
      </c>
      <c r="AE142" s="116" t="n">
        <f aca="false">AE85*01_Supuestos!$I$101</f>
        <v>0.961948502893741</v>
      </c>
      <c r="AF142" s="116" t="n">
        <f aca="false">AF85*01_Supuestos!$I$101</f>
        <v>0.970494920729741</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-18.8323185832014</v>
      </c>
      <c r="D148" s="136" t="n">
        <f aca="false">D140+D141+D142+D144+D145+D146+D147</f>
        <v>-18.7932600627766</v>
      </c>
      <c r="E148" s="136" t="n">
        <f aca="false">E140+E141+E142+E144+E145+E146+E147</f>
        <v>-18.8291811839185</v>
      </c>
      <c r="F148" s="136" t="n">
        <f aca="false">F140+F141+F142+F144+F145+F146+F147</f>
        <v>-18.7764678286133</v>
      </c>
      <c r="G148" s="136" t="n">
        <f aca="false">G140+G141+G142+G144+G145+G146+G147</f>
        <v>-18.6230723782413</v>
      </c>
      <c r="H148" s="136" t="n">
        <f aca="false">H140+H141+H142+H144+H145+H146+H147</f>
        <v>-18.5110630599064</v>
      </c>
      <c r="I148" s="136" t="n">
        <f aca="false">I140+I141+I142+I144+I145+I146+I147</f>
        <v>-18.4275162286774</v>
      </c>
      <c r="J148" s="136" t="n">
        <f aca="false">J140+J141+J142+J144+J145+J146+J147</f>
        <v>-18.3673448669333</v>
      </c>
      <c r="K148" s="136" t="n">
        <f aca="false">K140+K141+K142+K144+K145+K146+K147</f>
        <v>-18.3928197680748</v>
      </c>
      <c r="L148" s="136" t="n">
        <f aca="false">L140+L141+L142+L144+L145+L146+L147</f>
        <v>-18.4162268957928</v>
      </c>
      <c r="M148" s="136" t="n">
        <f aca="false">M140+M141+M142+M144+M145+M146+M147</f>
        <v>2.28811736876961</v>
      </c>
      <c r="N148" s="136" t="n">
        <f aca="false">N140+N141+N142+N144+N145+N146+N147</f>
        <v>2.34291345614573</v>
      </c>
      <c r="O148" s="136" t="n">
        <f aca="false">O140+O141+O142+O144+O145+O146+O147</f>
        <v>2.30826789438821</v>
      </c>
      <c r="P148" s="136" t="n">
        <f aca="false">P140+P141+P142+P144+P145+P146+P147</f>
        <v>2.28317852689214</v>
      </c>
      <c r="Q148" s="136" t="n">
        <f aca="false">Q140+Q141+Q142+Q144+Q145+Q146+Q147</f>
        <v>2.26704585938201</v>
      </c>
      <c r="R148" s="136" t="n">
        <f aca="false">R140+R141+R142+R144+R145+R146+R147</f>
        <v>2.25668417280254</v>
      </c>
      <c r="S148" s="136" t="n">
        <f aca="false">S140+S141+S142+S144+S145+S146+S147</f>
        <v>2.25032881827701</v>
      </c>
      <c r="T148" s="136" t="n">
        <f aca="false">T140+T141+T142+T144+T145+T146+T147</f>
        <v>2.24651599691796</v>
      </c>
      <c r="U148" s="136" t="n">
        <f aca="false">U140+U141+U142+U144+U145+U146+U147</f>
        <v>2.24036023326675</v>
      </c>
      <c r="V148" s="136" t="n">
        <f aca="false">V140+V141+V142+V144+V145+V146+V147</f>
        <v>2.22871453726005</v>
      </c>
      <c r="W148" s="136" t="n">
        <f aca="false">W140+W141+W142+W144+W145+W146+W147</f>
        <v>2.21411384495436</v>
      </c>
      <c r="X148" s="136" t="n">
        <f aca="false">X140+X141+X142+X144+X145+X146+X147</f>
        <v>2.19704111118763</v>
      </c>
      <c r="Y148" s="136" t="n">
        <f aca="false">Y140+Y141+Y142+Y144+Y145+Y146+Y147</f>
        <v>2.17752769504752</v>
      </c>
      <c r="Z148" s="136" t="n">
        <f aca="false">Z140+Z141+Z142+Z144+Z145+Z146+Z147</f>
        <v>2.15560078442767</v>
      </c>
      <c r="AA148" s="136" t="n">
        <f aca="false">AA140+AA141+AA142+AA144+AA145+AA146+AA147</f>
        <v>2.13128360464646</v>
      </c>
      <c r="AB148" s="136" t="n">
        <f aca="false">AB140+AB141+AB142+AB144+AB145+AB146+AB147</f>
        <v>2.10459229379103</v>
      </c>
      <c r="AC148" s="136" t="n">
        <f aca="false">AC140+AC141+AC142+AC144+AC145+AC146+AC147</f>
        <v>2.07553940066852</v>
      </c>
      <c r="AD148" s="136" t="n">
        <f aca="false">AD140+AD141+AD142+AD144+AD145+AD146+AD147</f>
        <v>1.1801628629278</v>
      </c>
      <c r="AE148" s="136" t="n">
        <f aca="false">AE140+AE141+AE142+AE144+AE145+AE146+AE147</f>
        <v>0.240695910150532</v>
      </c>
      <c r="AF148" s="136" t="n">
        <f aca="false">AF140+AF141+AF142+AF144+AF145+AF146+AF147</f>
        <v>-0.744424463792299</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-18.8323185832014</v>
      </c>
      <c r="D149" s="138" t="n">
        <f aca="false">C149+D148</f>
        <v>-37.625578645978</v>
      </c>
      <c r="E149" s="138" t="n">
        <f aca="false">D149+E148</f>
        <v>-56.4547598298965</v>
      </c>
      <c r="F149" s="138" t="n">
        <f aca="false">E149+F148</f>
        <v>-75.2312276585098</v>
      </c>
      <c r="G149" s="138" t="n">
        <f aca="false">F149+G148</f>
        <v>-93.8543000367511</v>
      </c>
      <c r="H149" s="138" t="n">
        <f aca="false">G149+H148</f>
        <v>-112.365363096658</v>
      </c>
      <c r="I149" s="138" t="n">
        <f aca="false">H149+I148</f>
        <v>-130.792879325335</v>
      </c>
      <c r="J149" s="138" t="n">
        <f aca="false">I149+J148</f>
        <v>-149.160224192268</v>
      </c>
      <c r="K149" s="138" t="n">
        <f aca="false">J149+K148</f>
        <v>-167.553043960343</v>
      </c>
      <c r="L149" s="138" t="n">
        <f aca="false">K149+L148</f>
        <v>-185.969270856136</v>
      </c>
      <c r="M149" s="138" t="n">
        <f aca="false">L149+M148</f>
        <v>-183.681153487366</v>
      </c>
      <c r="N149" s="138" t="n">
        <f aca="false">M149+N148</f>
        <v>-181.33824003122</v>
      </c>
      <c r="O149" s="138" t="n">
        <f aca="false">N149+O148</f>
        <v>-179.029972136832</v>
      </c>
      <c r="P149" s="138" t="n">
        <f aca="false">O149+P148</f>
        <v>-176.74679360994</v>
      </c>
      <c r="Q149" s="138" t="n">
        <f aca="false">P149+Q148</f>
        <v>-174.479747750558</v>
      </c>
      <c r="R149" s="138" t="n">
        <f aca="false">Q149+R148</f>
        <v>-172.223063577755</v>
      </c>
      <c r="S149" s="138" t="n">
        <f aca="false">R149+S148</f>
        <v>-169.972734759478</v>
      </c>
      <c r="T149" s="138" t="n">
        <f aca="false">S149+T148</f>
        <v>-167.726218762561</v>
      </c>
      <c r="U149" s="138" t="n">
        <f aca="false">T149+U148</f>
        <v>-165.485858529294</v>
      </c>
      <c r="V149" s="138" t="n">
        <f aca="false">U149+V148</f>
        <v>-163.257143992034</v>
      </c>
      <c r="W149" s="138" t="n">
        <f aca="false">V149+W148</f>
        <v>-161.043030147079</v>
      </c>
      <c r="X149" s="138" t="n">
        <f aca="false">W149+X148</f>
        <v>-158.845989035892</v>
      </c>
      <c r="Y149" s="138" t="n">
        <f aca="false">X149+Y148</f>
        <v>-156.668461340844</v>
      </c>
      <c r="Z149" s="138" t="n">
        <f aca="false">Y149+Z148</f>
        <v>-154.512860556417</v>
      </c>
      <c r="AA149" s="138" t="n">
        <f aca="false">Z149+AA148</f>
        <v>-152.38157695177</v>
      </c>
      <c r="AB149" s="138" t="n">
        <f aca="false">AA149+AB148</f>
        <v>-150.276984657979</v>
      </c>
      <c r="AC149" s="138" t="n">
        <f aca="false">AB149+AC148</f>
        <v>-148.201445257311</v>
      </c>
      <c r="AD149" s="138" t="n">
        <f aca="false">AC149+AD148</f>
        <v>-147.021282394383</v>
      </c>
      <c r="AE149" s="138" t="n">
        <f aca="false">AD149+AE148</f>
        <v>-146.780586484232</v>
      </c>
      <c r="AF149" s="138" t="n">
        <f aca="false">AE149+AF148</f>
        <v>-147.525010948024</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6.88634987596409</v>
      </c>
      <c r="D152" s="116" t="n">
        <f aca="false">D83</f>
        <v>17.9891896948854</v>
      </c>
      <c r="E152" s="116" t="n">
        <f aca="false">E83</f>
        <v>31.5940666948854</v>
      </c>
      <c r="F152" s="116" t="n">
        <f aca="false">F83</f>
        <v>45.5118558658854</v>
      </c>
      <c r="G152" s="116" t="n">
        <f aca="false">G83</f>
        <v>59.7497541878184</v>
      </c>
      <c r="H152" s="116" t="n">
        <f aca="false">H83</f>
        <v>74.3151241711558</v>
      </c>
      <c r="I152" s="116" t="n">
        <f aca="false">I83</f>
        <v>89.21549766411</v>
      </c>
      <c r="J152" s="116" t="n">
        <f aca="false">J83</f>
        <v>104.458579747402</v>
      </c>
      <c r="K152" s="116" t="n">
        <f aca="false">K83</f>
        <v>120.05225271861</v>
      </c>
      <c r="L152" s="116" t="n">
        <f aca="false">L83</f>
        <v>136.004580168156</v>
      </c>
      <c r="M152" s="116" t="n">
        <f aca="false">M83</f>
        <v>152.323811149041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193.15848872137</v>
      </c>
      <c r="W152" s="116" t="n">
        <f aca="false">W83</f>
        <v>196.030818815448</v>
      </c>
      <c r="X152" s="116" t="n">
        <f aca="false">X83</f>
        <v>198.84439784146</v>
      </c>
      <c r="Y152" s="116" t="n">
        <f aca="false">Y83</f>
        <v>201.599071573836</v>
      </c>
      <c r="Z152" s="116" t="n">
        <f aca="false">Z83</f>
        <v>204.294690894505</v>
      </c>
      <c r="AA152" s="116" t="n">
        <f aca="false">AA83</f>
        <v>206.931111445608</v>
      </c>
      <c r="AB152" s="116" t="n">
        <f aca="false">AB83</f>
        <v>209.508193296327</v>
      </c>
      <c r="AC152" s="116" t="n">
        <f aca="false">AC83</f>
        <v>212.025800623019</v>
      </c>
      <c r="AD152" s="116" t="n">
        <f aca="false">AD83</f>
        <v>213.799706343861</v>
      </c>
      <c r="AE152" s="116" t="n">
        <f aca="false">AE83</f>
        <v>215.539402932262</v>
      </c>
      <c r="AF152" s="116" t="n">
        <f aca="false">AF83</f>
        <v>217.243488791582</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19.3000595345486</v>
      </c>
      <c r="D153" s="116" t="n">
        <f aca="false">D120</f>
        <v>36.7421596705028</v>
      </c>
      <c r="E153" s="116" t="n">
        <f aca="false">E120</f>
        <v>53.4877623043527</v>
      </c>
      <c r="F153" s="116" t="n">
        <f aca="false">F120</f>
        <v>63.6528091063596</v>
      </c>
      <c r="G153" s="116" t="n">
        <f aca="false">G120</f>
        <v>72.3368050995667</v>
      </c>
      <c r="H153" s="116" t="n">
        <f aca="false">H120</f>
        <v>80.4013390232297</v>
      </c>
      <c r="I153" s="116" t="n">
        <f aca="false">I120</f>
        <v>88.1181011942318</v>
      </c>
      <c r="J153" s="116" t="n">
        <f aca="false">J120</f>
        <v>95.7899051013481</v>
      </c>
      <c r="K153" s="116" t="n">
        <f aca="false">K120</f>
        <v>105.126615402839</v>
      </c>
      <c r="L153" s="116" t="n">
        <f aca="false">L120</f>
        <v>115.417176883034</v>
      </c>
      <c r="M153" s="116" t="n">
        <f aca="false">M120</f>
        <v>110.218183223012</v>
      </c>
      <c r="N153" s="116" t="n">
        <f aca="false">N120</f>
        <v>107.06815610693</v>
      </c>
      <c r="O153" s="116" t="n">
        <f aca="false">O120</f>
        <v>105.634976008521</v>
      </c>
      <c r="P153" s="116" t="n">
        <f aca="false">P120</f>
        <v>104.150155279869</v>
      </c>
      <c r="Q153" s="116" t="n">
        <f aca="false">Q120</f>
        <v>102.532518199609</v>
      </c>
      <c r="R153" s="116" t="n">
        <f aca="false">R120</f>
        <v>100.719290173462</v>
      </c>
      <c r="S153" s="116" t="n">
        <f aca="false">S120</f>
        <v>98.6616846470295</v>
      </c>
      <c r="T153" s="116" t="n">
        <f aca="false">T120</f>
        <v>96.3223936111917</v>
      </c>
      <c r="U153" s="116" t="n">
        <f aca="false">U120</f>
        <v>93.6962883240196</v>
      </c>
      <c r="V153" s="116" t="n">
        <f aca="false">V120</f>
        <v>91.1196820337369</v>
      </c>
      <c r="W153" s="116" t="n">
        <f aca="false">W120</f>
        <v>88.3319008381605</v>
      </c>
      <c r="X153" s="116" t="n">
        <f aca="false">X120</f>
        <v>85.2863995513414</v>
      </c>
      <c r="Y153" s="116" t="n">
        <f aca="false">Y120</f>
        <v>81.9864118192835</v>
      </c>
      <c r="Z153" s="116" t="n">
        <f aca="false">Z120</f>
        <v>78.4348175571084</v>
      </c>
      <c r="AA153" s="116" t="n">
        <f aca="false">AA120</f>
        <v>74.6341640450474</v>
      </c>
      <c r="AB153" s="116" t="n">
        <f aca="false">AB120</f>
        <v>70.5865931269528</v>
      </c>
      <c r="AC153" s="116" t="n">
        <f aca="false">AC120</f>
        <v>66.2939431168107</v>
      </c>
      <c r="AD153" s="116" t="n">
        <f aca="false">AD120</f>
        <v>62.8817093706861</v>
      </c>
      <c r="AE153" s="116" t="n">
        <f aca="false">AE120</f>
        <v>60.1917551130454</v>
      </c>
      <c r="AF153" s="116" t="n">
        <f aca="false">AF120</f>
        <v>58.3010451033792</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0.781764299547855</v>
      </c>
      <c r="E154" s="116" t="n">
        <f aca="false">E104</f>
        <v>1.43719072991873</v>
      </c>
      <c r="F154" s="116" t="n">
        <f aca="false">F104</f>
        <v>2.94100610175068</v>
      </c>
      <c r="G154" s="116" t="n">
        <f aca="false">G104</f>
        <v>4.44480744815791</v>
      </c>
      <c r="H154" s="116" t="n">
        <f aca="false">H104</f>
        <v>5.68777658499661</v>
      </c>
      <c r="I154" s="116" t="n">
        <f aca="false">I104</f>
        <v>6.7751310509225</v>
      </c>
      <c r="J154" s="116" t="n">
        <f aca="false">J104</f>
        <v>7.72795003220242</v>
      </c>
      <c r="K154" s="116" t="n">
        <f aca="false">K104</f>
        <v>8.04259235199898</v>
      </c>
      <c r="L154" s="116" t="n">
        <f aca="false">L104</f>
        <v>8.35748903018525</v>
      </c>
      <c r="M154" s="116" t="n">
        <f aca="false">M104</f>
        <v>8.66655656398049</v>
      </c>
      <c r="N154" s="116" t="n">
        <f aca="false">N104</f>
        <v>8.96383762433609</v>
      </c>
      <c r="O154" s="116" t="n">
        <f aca="false">O104</f>
        <v>9.2442646211145</v>
      </c>
      <c r="P154" s="116" t="n">
        <f aca="false">P104</f>
        <v>9.49387734285995</v>
      </c>
      <c r="Q154" s="116" t="n">
        <f aca="false">Q104</f>
        <v>9.71266432613811</v>
      </c>
      <c r="R154" s="116" t="n">
        <f aca="false">R104</f>
        <v>9.90775137972035</v>
      </c>
      <c r="S154" s="116" t="n">
        <f aca="false">S104</f>
        <v>10.0849871373213</v>
      </c>
      <c r="T154" s="116" t="n">
        <f aca="false">T104</f>
        <v>10.2493314883547</v>
      </c>
      <c r="U154" s="116" t="n">
        <f aca="false">U104</f>
        <v>10.4145481310088</v>
      </c>
      <c r="V154" s="116" t="n">
        <f aca="false">V104</f>
        <v>10.5805394827139</v>
      </c>
      <c r="W154" s="116" t="n">
        <f aca="false">W104</f>
        <v>10.7436226078964</v>
      </c>
      <c r="X154" s="116" t="n">
        <f aca="false">X104</f>
        <v>10.9037037793058</v>
      </c>
      <c r="Y154" s="116" t="n">
        <f aca="false">Y104</f>
        <v>11.0606895816787</v>
      </c>
      <c r="Z154" s="116" t="n">
        <f aca="false">Z104</f>
        <v>11.2144868918996</v>
      </c>
      <c r="AA154" s="116" t="n">
        <f aca="false">AA104</f>
        <v>11.3650028600031</v>
      </c>
      <c r="AB154" s="116" t="n">
        <f aca="false">AB104</f>
        <v>11.512229976043</v>
      </c>
      <c r="AC154" s="116" t="n">
        <f aca="false">AC104</f>
        <v>11.6561609675681</v>
      </c>
      <c r="AD154" s="116" t="n">
        <f aca="false">AD104</f>
        <v>11.7674623197761</v>
      </c>
      <c r="AE154" s="116" t="n">
        <f aca="false">AE104</f>
        <v>11.8759074431326</v>
      </c>
      <c r="AF154" s="116" t="n">
        <f aca="false">AF104</f>
        <v>11.9814187744412</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16.4793494096682</v>
      </c>
      <c r="G155" s="116" t="n">
        <f aca="false">G70+G121-G227</f>
        <v>32.71326087483</v>
      </c>
      <c r="H155" s="116" t="n">
        <f aca="false">H70+H121-H227</f>
        <v>48.9504167038027</v>
      </c>
      <c r="I155" s="116" t="n">
        <f aca="false">I70+I121-I227</f>
        <v>65.1909314226286</v>
      </c>
      <c r="J155" s="116" t="n">
        <f aca="false">J70+J121-J227</f>
        <v>81.4349236001197</v>
      </c>
      <c r="K155" s="116" t="n">
        <f aca="false">K70+K121-K227</f>
        <v>88.4488451420297</v>
      </c>
      <c r="L155" s="116" t="n">
        <f aca="false">L70+L121-L227</f>
        <v>95.4627666839397</v>
      </c>
      <c r="M155" s="116" t="n">
        <f aca="false">M70+M121-M227</f>
        <v>98.2583405071303</v>
      </c>
      <c r="N155" s="116" t="n">
        <f aca="false">N70+N121-N227</f>
        <v>101.057909422759</v>
      </c>
      <c r="O155" s="116" t="n">
        <f aca="false">O70+O121-O227</f>
        <v>103.86161445759</v>
      </c>
      <c r="P155" s="116" t="n">
        <f aca="false">P70+P121-P227</f>
        <v>106.669601616631</v>
      </c>
      <c r="Q155" s="116" t="n">
        <f aca="false">Q70+Q121-Q227</f>
        <v>109.482022058865</v>
      </c>
      <c r="R155" s="116" t="n">
        <f aca="false">R70+R121-R227</f>
        <v>112.299032279191</v>
      </c>
      <c r="S155" s="116" t="n">
        <f aca="false">S70+S121-S227</f>
        <v>115.120794296774</v>
      </c>
      <c r="T155" s="116" t="n">
        <f aca="false">T70+T121-T227</f>
        <v>117.947475850057</v>
      </c>
      <c r="U155" s="116" t="n">
        <f aca="false">U70+U121-U227</f>
        <v>120.779250598652</v>
      </c>
      <c r="V155" s="116" t="n">
        <f aca="false">V70+V121-V227</f>
        <v>123.616298332351</v>
      </c>
      <c r="W155" s="116" t="n">
        <f aca="false">W70+W121-W227</f>
        <v>126.458805187531</v>
      </c>
      <c r="X155" s="116" t="n">
        <f aca="false">X70+X121-X227</f>
        <v>129.306963871178</v>
      </c>
      <c r="Y155" s="116" t="n">
        <f aca="false">Y70+Y121-Y227</f>
        <v>132.160973892838</v>
      </c>
      <c r="Z155" s="116" t="n">
        <f aca="false">Z70+Z121-Z227</f>
        <v>135.021041804743</v>
      </c>
      <c r="AA155" s="116" t="n">
        <f aca="false">AA70+AA121-AA227</f>
        <v>137.887381450418</v>
      </c>
      <c r="AB155" s="116" t="n">
        <f aca="false">AB70+AB121-AB227</f>
        <v>140.760214222065</v>
      </c>
      <c r="AC155" s="116" t="n">
        <f aca="false">AC70+AC121-AC227</f>
        <v>143.639769327032</v>
      </c>
      <c r="AD155" s="116" t="n">
        <f aca="false">AD70+AD121-AD227</f>
        <v>146.526284063683</v>
      </c>
      <c r="AE155" s="116" t="n">
        <f aca="false">AE70+AE121-AE227</f>
        <v>149.420004107019</v>
      </c>
      <c r="AF155" s="116" t="n">
        <f aca="false">AF70+AF121-AF227</f>
        <v>152.321183804364</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26.2664094105126</v>
      </c>
      <c r="D156" s="136" t="n">
        <f aca="false">SUM(D152:D155)+D187</f>
        <v>55.675937664936</v>
      </c>
      <c r="E156" s="136" t="n">
        <f aca="false">SUM(E152:E155)+E187</f>
        <v>86.7675914163568</v>
      </c>
      <c r="F156" s="136" t="n">
        <f aca="false">SUM(F152:F155)+F187</f>
        <v>128.585020483664</v>
      </c>
      <c r="G156" s="136" t="n">
        <f aca="false">SUM(G152:G155)+G187</f>
        <v>169.244627610373</v>
      </c>
      <c r="H156" s="136" t="n">
        <f aca="false">SUM(H152:H155)+H187</f>
        <v>209.354656483185</v>
      </c>
      <c r="I156" s="136" t="n">
        <f aca="false">SUM(I152:I155)+I187</f>
        <v>249.299661331893</v>
      </c>
      <c r="J156" s="136" t="n">
        <f aca="false">SUM(J152:J155)+J187</f>
        <v>289.411358481072</v>
      </c>
      <c r="K156" s="136" t="n">
        <f aca="false">SUM(K152:K155)+K187</f>
        <v>321.670305615478</v>
      </c>
      <c r="L156" s="136" t="n">
        <f aca="false">SUM(L152:L155)+L187</f>
        <v>355.242012765315</v>
      </c>
      <c r="M156" s="136" t="n">
        <f aca="false">SUM(M152:M155)+M187</f>
        <v>369.466891443164</v>
      </c>
      <c r="N156" s="136" t="n">
        <f aca="false">SUM(N152:N155)+N187</f>
        <v>379.174029579951</v>
      </c>
      <c r="O156" s="136" t="n">
        <f aca="false">SUM(O152:O155)+O187</f>
        <v>384.552916420947</v>
      </c>
      <c r="P156" s="136" t="n">
        <f aca="false">SUM(P152:P155)+P187</f>
        <v>389.939372983757</v>
      </c>
      <c r="Q156" s="136" t="n">
        <f aca="false">SUM(Q152:Q155)+Q187</f>
        <v>395.25433532013</v>
      </c>
      <c r="R156" s="136" t="n">
        <f aca="false">SUM(R152:R155)+R187</f>
        <v>400.444328574807</v>
      </c>
      <c r="S156" s="136" t="n">
        <f aca="false">SUM(S152:S155)+S187</f>
        <v>405.468640682635</v>
      </c>
      <c r="T156" s="136" t="n">
        <f aca="false">SUM(T152:T155)+T187</f>
        <v>410.297202566949</v>
      </c>
      <c r="U156" s="136" t="n">
        <f aca="false">SUM(U152:U155)+U187</f>
        <v>414.940982708224</v>
      </c>
      <c r="V156" s="136" t="n">
        <f aca="false">SUM(V152:V155)+V187</f>
        <v>418.475008570172</v>
      </c>
      <c r="W156" s="136" t="n">
        <f aca="false">SUM(W152:W155)+W187</f>
        <v>421.565147449036</v>
      </c>
      <c r="X156" s="136" t="n">
        <f aca="false">SUM(X152:X155)+X187</f>
        <v>424.341465043286</v>
      </c>
      <c r="Y156" s="136" t="n">
        <f aca="false">SUM(Y152:Y155)+Y187</f>
        <v>426.807146867637</v>
      </c>
      <c r="Z156" s="136" t="n">
        <f aca="false">SUM(Z152:Z155)+Z187</f>
        <v>428.965037148256</v>
      </c>
      <c r="AA156" s="136" t="n">
        <f aca="false">SUM(AA152:AA155)+AA187</f>
        <v>430.817659801076</v>
      </c>
      <c r="AB156" s="136" t="n">
        <f aca="false">SUM(AB152:AB155)+AB187</f>
        <v>432.367230621388</v>
      </c>
      <c r="AC156" s="136" t="n">
        <f aca="false">SUM(AC152:AC155)+AC187</f>
        <v>433.61567403443</v>
      </c>
      <c r="AD156" s="136" t="n">
        <f aca="false">SUM(AD152:AD155)+AD187</f>
        <v>434.975162098006</v>
      </c>
      <c r="AE156" s="136" t="n">
        <f aca="false">SUM(AE152:AE155)+AE187</f>
        <v>437.027069595459</v>
      </c>
      <c r="AF156" s="136" t="n">
        <f aca="false">SUM(AF152:AF155)+AF187</f>
        <v>439.847136473766</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11.8267027723829</v>
      </c>
      <c r="D157" s="116" t="n">
        <f aca="false">D69+D80+D121</f>
        <v>31.2705719819142</v>
      </c>
      <c r="E157" s="116" t="n">
        <f aca="false">E69+E80+E121</f>
        <v>57.4876291967492</v>
      </c>
      <c r="F157" s="116" t="n">
        <f aca="false">F69+F80+F121</f>
        <v>117.640244070027</v>
      </c>
      <c r="G157" s="116" t="n">
        <f aca="false">G69+G80+G121</f>
        <v>177.792297926316</v>
      </c>
      <c r="H157" s="116" t="n">
        <f aca="false">H69+H80+H121</f>
        <v>227.511063399864</v>
      </c>
      <c r="I157" s="116" t="n">
        <f aca="false">I69+I80+I121</f>
        <v>271.0052420369</v>
      </c>
      <c r="J157" s="116" t="n">
        <f aca="false">J69+J80+J121</f>
        <v>309.118001288097</v>
      </c>
      <c r="K157" s="116" t="n">
        <f aca="false">K69+K80+K121</f>
        <v>321.703694079959</v>
      </c>
      <c r="L157" s="116" t="n">
        <f aca="false">L69+L80+L121</f>
        <v>334.29956120741</v>
      </c>
      <c r="M157" s="116" t="n">
        <f aca="false">M69+M80+M121</f>
        <v>346.66226255922</v>
      </c>
      <c r="N157" s="116" t="n">
        <f aca="false">N69+N80+N121</f>
        <v>358.553504973444</v>
      </c>
      <c r="O157" s="116" t="n">
        <f aca="false">O69+O80+O121</f>
        <v>369.77058484458</v>
      </c>
      <c r="P157" s="116" t="n">
        <f aca="false">P69+P80+P121</f>
        <v>379.755093714398</v>
      </c>
      <c r="Q157" s="116" t="n">
        <f aca="false">Q69+Q80+Q121</f>
        <v>388.506573045524</v>
      </c>
      <c r="R157" s="116" t="n">
        <f aca="false">R69+R80+R121</f>
        <v>396.310055188814</v>
      </c>
      <c r="S157" s="116" t="n">
        <f aca="false">S69+S80+S121</f>
        <v>403.39948549285</v>
      </c>
      <c r="T157" s="116" t="n">
        <f aca="false">T69+T80+T121</f>
        <v>409.973259534186</v>
      </c>
      <c r="U157" s="116" t="n">
        <f aca="false">U69+U80+U121</f>
        <v>416.581925240352</v>
      </c>
      <c r="V157" s="116" t="n">
        <f aca="false">V69+V80+V121</f>
        <v>423.221579308556</v>
      </c>
      <c r="W157" s="116" t="n">
        <f aca="false">W69+W80+W121</f>
        <v>429.744904315857</v>
      </c>
      <c r="X157" s="116" t="n">
        <f aca="false">X69+X80+X121</f>
        <v>436.148151172231</v>
      </c>
      <c r="Y157" s="116" t="n">
        <f aca="false">Y69+Y80+Y121</f>
        <v>442.427583267148</v>
      </c>
      <c r="Z157" s="116" t="n">
        <f aca="false">Z69+Z80+Z121</f>
        <v>448.579475675982</v>
      </c>
      <c r="AA157" s="116" t="n">
        <f aca="false">AA69+AA80+AA121</f>
        <v>454.600114400124</v>
      </c>
      <c r="AB157" s="116" t="n">
        <f aca="false">AB69+AB80+AB121</f>
        <v>460.489199041721</v>
      </c>
      <c r="AC157" s="116" t="n">
        <f aca="false">AC69+AC80+AC121</f>
        <v>466.246438702726</v>
      </c>
      <c r="AD157" s="116" t="n">
        <f aca="false">AD69+AD80+AD121</f>
        <v>470.698492791046</v>
      </c>
      <c r="AE157" s="116" t="n">
        <f aca="false">AE69+AE80+AE121</f>
        <v>475.036297725304</v>
      </c>
      <c r="AF157" s="116" t="n">
        <f aca="false">AF69+AF80+AF121</f>
        <v>479.25675097765</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4.82044491317486</v>
      </c>
      <c r="D159" s="116" t="n">
        <f aca="false">D72</f>
        <v>12.5924327864198</v>
      </c>
      <c r="E159" s="116" t="n">
        <f aca="false">E72</f>
        <v>22.1158466864198</v>
      </c>
      <c r="F159" s="116" t="n">
        <f aca="false">F72</f>
        <v>31.8582991061198</v>
      </c>
      <c r="G159" s="116" t="n">
        <f aca="false">G72</f>
        <v>41.8248279314729</v>
      </c>
      <c r="H159" s="116" t="n">
        <f aca="false">H72</f>
        <v>52.0205869198091</v>
      </c>
      <c r="I159" s="116" t="n">
        <f aca="false">I72</f>
        <v>62.450848364877</v>
      </c>
      <c r="J159" s="116" t="n">
        <f aca="false">J72</f>
        <v>73.1210058231815</v>
      </c>
      <c r="K159" s="116" t="n">
        <f aca="false">K72</f>
        <v>84.036576903027</v>
      </c>
      <c r="L159" s="116" t="n">
        <f aca="false">L72</f>
        <v>95.203206117709</v>
      </c>
      <c r="M159" s="116" t="n">
        <f aca="false">M72</f>
        <v>106.626667804329</v>
      </c>
      <c r="N159" s="116" t="n">
        <f aca="false">N72</f>
        <v>113.458888498147</v>
      </c>
      <c r="O159" s="116" t="n">
        <f aca="false">O72</f>
        <v>116.068442933605</v>
      </c>
      <c r="P159" s="116" t="n">
        <f aca="false">P72</f>
        <v>118.738017121078</v>
      </c>
      <c r="Q159" s="116" t="n">
        <f aca="false">Q72</f>
        <v>121.468991514862</v>
      </c>
      <c r="R159" s="116" t="n">
        <f aca="false">R72</f>
        <v>124.262778319704</v>
      </c>
      <c r="S159" s="116" t="n">
        <f aca="false">S72</f>
        <v>127.120822221057</v>
      </c>
      <c r="T159" s="116" t="n">
        <f aca="false">T72</f>
        <v>130.044601132142</v>
      </c>
      <c r="U159" s="116" t="n">
        <f aca="false">U72</f>
        <v>133.035626958181</v>
      </c>
      <c r="V159" s="116" t="n">
        <f aca="false">V72</f>
        <v>135.210942104959</v>
      </c>
      <c r="W159" s="116" t="n">
        <f aca="false">W72</f>
        <v>137.221573170814</v>
      </c>
      <c r="X159" s="116" t="n">
        <f aca="false">X72</f>
        <v>139.191078489022</v>
      </c>
      <c r="Y159" s="116" t="n">
        <f aca="false">Y72</f>
        <v>141.119350101685</v>
      </c>
      <c r="Z159" s="116" t="n">
        <f aca="false">Z72</f>
        <v>143.006283626154</v>
      </c>
      <c r="AA159" s="116" t="n">
        <f aca="false">AA72</f>
        <v>144.851778011926</v>
      </c>
      <c r="AB159" s="116" t="n">
        <f aca="false">AB72</f>
        <v>146.655735307429</v>
      </c>
      <c r="AC159" s="116" t="n">
        <f aca="false">AC72</f>
        <v>148.418060436114</v>
      </c>
      <c r="AD159" s="116" t="n">
        <f aca="false">AD72</f>
        <v>149.659794440703</v>
      </c>
      <c r="AE159" s="116" t="n">
        <f aca="false">AE72</f>
        <v>150.877582052583</v>
      </c>
      <c r="AF159" s="116" t="n">
        <f aca="false">AF72</f>
        <v>152.070442154107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16.6471476855577</v>
      </c>
      <c r="D160" s="136" t="n">
        <f aca="false">SUM(D157:D159)</f>
        <v>43.863004768334</v>
      </c>
      <c r="E160" s="136" t="n">
        <f aca="false">SUM(E157:E159)</f>
        <v>79.6034758831689</v>
      </c>
      <c r="F160" s="136" t="n">
        <f aca="false">SUM(F157:F159)</f>
        <v>149.498543176147</v>
      </c>
      <c r="G160" s="136" t="n">
        <f aca="false">SUM(G157:G159)</f>
        <v>219.617125857789</v>
      </c>
      <c r="H160" s="136" t="n">
        <f aca="false">SUM(H157:H159)</f>
        <v>279.531650319673</v>
      </c>
      <c r="I160" s="136" t="n">
        <f aca="false">SUM(I157:I159)</f>
        <v>333.456090401777</v>
      </c>
      <c r="J160" s="136" t="n">
        <f aca="false">SUM(J157:J159)</f>
        <v>382.239007111278</v>
      </c>
      <c r="K160" s="136" t="n">
        <f aca="false">SUM(K157:K159)</f>
        <v>405.740270982986</v>
      </c>
      <c r="L160" s="136" t="n">
        <f aca="false">SUM(L157:L159)</f>
        <v>429.502767325119</v>
      </c>
      <c r="M160" s="136" t="n">
        <f aca="false">SUM(M157:M159)</f>
        <v>453.288930363548</v>
      </c>
      <c r="N160" s="136" t="n">
        <f aca="false">SUM(N157:N159)</f>
        <v>472.012393471591</v>
      </c>
      <c r="O160" s="136" t="n">
        <f aca="false">SUM(O157:O159)</f>
        <v>485.839027778185</v>
      </c>
      <c r="P160" s="136" t="n">
        <f aca="false">SUM(P157:P159)</f>
        <v>498.493110835476</v>
      </c>
      <c r="Q160" s="136" t="n">
        <f aca="false">SUM(Q157:Q159)</f>
        <v>509.975564560387</v>
      </c>
      <c r="R160" s="136" t="n">
        <f aca="false">SUM(R157:R159)</f>
        <v>520.572833508518</v>
      </c>
      <c r="S160" s="136" t="n">
        <f aca="false">SUM(S157:S159)</f>
        <v>530.520307713908</v>
      </c>
      <c r="T160" s="136" t="n">
        <f aca="false">SUM(T157:T159)</f>
        <v>540.017860666328</v>
      </c>
      <c r="U160" s="136" t="n">
        <f aca="false">SUM(U157:U159)</f>
        <v>549.617552198533</v>
      </c>
      <c r="V160" s="136" t="n">
        <f aca="false">SUM(V157:V159)</f>
        <v>558.432521413515</v>
      </c>
      <c r="W160" s="136" t="n">
        <f aca="false">SUM(W157:W159)</f>
        <v>566.966477486671</v>
      </c>
      <c r="X160" s="136" t="n">
        <f aca="false">SUM(X157:X159)</f>
        <v>575.339229661253</v>
      </c>
      <c r="Y160" s="136" t="n">
        <f aca="false">SUM(Y157:Y159)</f>
        <v>583.546933368833</v>
      </c>
      <c r="Z160" s="136" t="n">
        <f aca="false">SUM(Z157:Z159)</f>
        <v>591.585759302136</v>
      </c>
      <c r="AA160" s="136" t="n">
        <f aca="false">SUM(AA157:AA159)</f>
        <v>599.451892412049</v>
      </c>
      <c r="AB160" s="136" t="n">
        <f aca="false">SUM(AB157:AB159)</f>
        <v>607.14493434915</v>
      </c>
      <c r="AC160" s="136" t="n">
        <f aca="false">SUM(AC157:AC159)</f>
        <v>614.664499138839</v>
      </c>
      <c r="AD160" s="136" t="n">
        <f aca="false">SUM(AD157:AD159)</f>
        <v>620.358287231748</v>
      </c>
      <c r="AE160" s="136" t="n">
        <f aca="false">SUM(AE157:AE159)</f>
        <v>625.913879777888</v>
      </c>
      <c r="AF160" s="136" t="n">
        <f aca="false">SUM(AF157:AF159)</f>
        <v>631.327193131757</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9.61926172495492</v>
      </c>
      <c r="D161" s="138" t="n">
        <f aca="false">D156-D160</f>
        <v>11.812932896602</v>
      </c>
      <c r="E161" s="138" t="n">
        <f aca="false">E156-E160</f>
        <v>7.16411553318785</v>
      </c>
      <c r="F161" s="138" t="n">
        <f aca="false">F156-F160</f>
        <v>-20.9135226924832</v>
      </c>
      <c r="G161" s="138" t="n">
        <f aca="false">G156-G160</f>
        <v>-50.3724982474163</v>
      </c>
      <c r="H161" s="138" t="n">
        <f aca="false">H156-H160</f>
        <v>-70.1769938364886</v>
      </c>
      <c r="I161" s="138" t="n">
        <f aca="false">I156-I160</f>
        <v>-84.1564290698842</v>
      </c>
      <c r="J161" s="138" t="n">
        <f aca="false">J156-J160</f>
        <v>-92.8276486302061</v>
      </c>
      <c r="K161" s="138" t="n">
        <f aca="false">K156-K160</f>
        <v>-84.0699653675079</v>
      </c>
      <c r="L161" s="138" t="n">
        <f aca="false">L156-L160</f>
        <v>-74.260754559804</v>
      </c>
      <c r="M161" s="138" t="n">
        <f aca="false">M156-M160</f>
        <v>-83.8220389203846</v>
      </c>
      <c r="N161" s="138" t="n">
        <f aca="false">N156-N160</f>
        <v>-92.8383638916404</v>
      </c>
      <c r="O161" s="138" t="n">
        <f aca="false">O156-O160</f>
        <v>-101.286111357238</v>
      </c>
      <c r="P161" s="138" t="n">
        <f aca="false">P156-P160</f>
        <v>-108.553737851719</v>
      </c>
      <c r="Q161" s="138" t="n">
        <f aca="false">Q156-Q160</f>
        <v>-114.721229240256</v>
      </c>
      <c r="R161" s="138" t="n">
        <f aca="false">R156-R160</f>
        <v>-120.128504933711</v>
      </c>
      <c r="S161" s="138" t="n">
        <f aca="false">S156-S160</f>
        <v>-125.051667031273</v>
      </c>
      <c r="T161" s="138" t="n">
        <f aca="false">T156-T160</f>
        <v>-129.720658099379</v>
      </c>
      <c r="U161" s="138" t="n">
        <f aca="false">U156-U160</f>
        <v>-134.676569490309</v>
      </c>
      <c r="V161" s="138" t="n">
        <f aca="false">V156-V160</f>
        <v>-139.957512843343</v>
      </c>
      <c r="W161" s="138" t="n">
        <f aca="false">W156-W160</f>
        <v>-145.401330037635</v>
      </c>
      <c r="X161" s="138" t="n">
        <f aca="false">X156-X160</f>
        <v>-150.997764617968</v>
      </c>
      <c r="Y161" s="138" t="n">
        <f aca="false">Y156-Y160</f>
        <v>-156.739786501196</v>
      </c>
      <c r="Z161" s="138" t="n">
        <f aca="false">Z156-Z160</f>
        <v>-162.62072215388</v>
      </c>
      <c r="AA161" s="138" t="n">
        <f aca="false">AA156-AA160</f>
        <v>-168.634232610973</v>
      </c>
      <c r="AB161" s="138" t="n">
        <f aca="false">AB156-AB160</f>
        <v>-174.777703727761</v>
      </c>
      <c r="AC161" s="138" t="n">
        <f aca="false">AC156-AC160</f>
        <v>-181.048825104409</v>
      </c>
      <c r="AD161" s="138" t="n">
        <f aca="false">AD156-AD160</f>
        <v>-185.383125133742</v>
      </c>
      <c r="AE161" s="138" t="n">
        <f aca="false">AE156-AE160</f>
        <v>-188.886810182429</v>
      </c>
      <c r="AF161" s="138" t="n">
        <f aca="false">AF156-AF160</f>
        <v>-191.480056657991</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11.8267027723829</v>
      </c>
      <c r="D162" s="116" t="n">
        <f aca="false">D48+D50+(D80-C80)-D63</f>
        <v>19.4438692095313</v>
      </c>
      <c r="E162" s="116" t="n">
        <f aca="false">E48+E50+(E80-D80)-E63</f>
        <v>26.217057214835</v>
      </c>
      <c r="F162" s="116" t="n">
        <f aca="false">F48+F50+(F80-E80)-F63</f>
        <v>48.3421348732781</v>
      </c>
      <c r="G162" s="116" t="n">
        <f aca="false">G48+G50+(G80-F80)-G63</f>
        <v>48.3415738562892</v>
      </c>
      <c r="H162" s="116" t="n">
        <f aca="false">H48+H50+(H80-G80)-H63</f>
        <v>37.9082854735478</v>
      </c>
      <c r="I162" s="116" t="n">
        <f aca="false">I48+I50+(I80-H80)-I63</f>
        <v>31.6836986370359</v>
      </c>
      <c r="J162" s="116" t="n">
        <f aca="false">J48+J50+(J80-I80)-J63</f>
        <v>26.3022792511968</v>
      </c>
      <c r="K162" s="116" t="n">
        <f aca="false">K48+K50+(K80-J80)-K63</f>
        <v>9.90329439186205</v>
      </c>
      <c r="L162" s="116" t="n">
        <f aca="false">L48+L50+(L80-K80)-L63</f>
        <v>9.91346872745088</v>
      </c>
      <c r="M162" s="116" t="n">
        <f aca="false">M48+M50+(M80-L80)-M63</f>
        <v>9.68030295180989</v>
      </c>
      <c r="N162" s="116" t="n">
        <f aca="false">N48+N50+(N80-M80)-N63</f>
        <v>9.20884401422391</v>
      </c>
      <c r="O162" s="116" t="n">
        <f aca="false">O48+O50+(O80-N80)-O63</f>
        <v>8.53468147113642</v>
      </c>
      <c r="P162" s="116" t="n">
        <f aca="false">P48+P50+(P80-O80)-P63</f>
        <v>7.30211046981801</v>
      </c>
      <c r="Q162" s="116" t="n">
        <f aca="false">Q48+Q50+(Q80-P80)-Q63</f>
        <v>6.06908093112626</v>
      </c>
      <c r="R162" s="116" t="n">
        <f aca="false">R48+R50+(R80-Q80)-R63</f>
        <v>5.12108374328976</v>
      </c>
      <c r="S162" s="116" t="n">
        <f aca="false">S48+S50+(S80-R80)-S63</f>
        <v>4.40703190403636</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3.46949400883475</v>
      </c>
      <c r="AA162" s="116" t="n">
        <f aca="false">AA48+AA50+(AA80-Z80)-AA63</f>
        <v>3.33824032414112</v>
      </c>
      <c r="AB162" s="116" t="n">
        <f aca="false">AB48+AB50+(AB80-AA80)-AB63</f>
        <v>3.20668624159695</v>
      </c>
      <c r="AC162" s="116" t="n">
        <f aca="false">AC48+AC50+(AC80-AB80)-AC63</f>
        <v>3.07484126100528</v>
      </c>
      <c r="AD162" s="116" t="n">
        <f aca="false">AD48+AD50+(AD80-AC80)-AD63</f>
        <v>1.76965568831977</v>
      </c>
      <c r="AE162" s="116" t="n">
        <f aca="false">AE48+AE50+(AE80-AD80)-AE63</f>
        <v>1.65540653425875</v>
      </c>
      <c r="AF162" s="116" t="n">
        <f aca="false">AF48+AF50+(AF80-AE80)-AF63</f>
        <v>1.53805485234557</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9.61926172495492</v>
      </c>
      <c r="D163" s="116" t="n">
        <f aca="false">C163+D53+D56+D58+D118+D119+D60+D113+D101-D115-D162</f>
        <v>11.812932896602</v>
      </c>
      <c r="E163" s="116" t="n">
        <f aca="false">D163+E53+E56+E58+E118+E119+E60+E113+E101-E115-E162</f>
        <v>7.16411553318784</v>
      </c>
      <c r="F163" s="116" t="n">
        <f aca="false">E163+F53+F56+F58+F118+F119+F60+F113+F101-F115-F162</f>
        <v>-20.9135226924832</v>
      </c>
      <c r="G163" s="116" t="n">
        <f aca="false">F163+G53+G56+G58+G118+G119+G60+G113+G101-G115-G162</f>
        <v>-50.3724982474164</v>
      </c>
      <c r="H163" s="116" t="n">
        <f aca="false">G163+H53+H56+H58+H118+H119+H60+H113+H101-H115-H162</f>
        <v>-70.1769938364885</v>
      </c>
      <c r="I163" s="116" t="n">
        <f aca="false">H163+I53+I56+I58+I118+I119+I60+I113+I101-I115-I162</f>
        <v>-84.1564290698842</v>
      </c>
      <c r="J163" s="116" t="n">
        <f aca="false">I163+J53+J56+J58+J118+J119+J60+J113+J101-J115-J162</f>
        <v>-92.8276486302061</v>
      </c>
      <c r="K163" s="116" t="n">
        <f aca="false">J163+K53+K56+K58+K118+K119+K60+K113+K101-K115-K162</f>
        <v>-84.0699653675079</v>
      </c>
      <c r="L163" s="116" t="n">
        <f aca="false">K163+L53+L56+L58+L118+L119+L60+L113+L101-L115-L162</f>
        <v>-74.260754559804</v>
      </c>
      <c r="M163" s="116" t="n">
        <f aca="false">L163+M53+M56+M58+M118+M119+M60+M113+M101-M115-M162</f>
        <v>-83.8220389203847</v>
      </c>
      <c r="N163" s="116" t="n">
        <f aca="false">M163+N53+N56+N58+N118+N119+N60+N113+N101-N115-N162</f>
        <v>-92.8383638916404</v>
      </c>
      <c r="O163" s="116" t="n">
        <f aca="false">N163+O53+O56+O58+O118+O119+O60+O113+O101-O115-O162</f>
        <v>-101.286111357238</v>
      </c>
      <c r="P163" s="116" t="n">
        <f aca="false">O163+P53+P56+P58+P118+P119+P60+P113+P101-P115-P162</f>
        <v>-108.553737851719</v>
      </c>
      <c r="Q163" s="116" t="n">
        <f aca="false">P163+Q53+Q56+Q58+Q118+Q119+Q60+Q113+Q101-Q115-Q162</f>
        <v>-114.721229240256</v>
      </c>
      <c r="R163" s="116" t="n">
        <f aca="false">Q163+R53+R56+R58+R118+R119+R60+R113+R101-R115-R162</f>
        <v>-120.128504933711</v>
      </c>
      <c r="S163" s="116" t="n">
        <f aca="false">R163+S53+S56+S58+S118+S119+S60+S113+S101-S115-S162</f>
        <v>-125.051667031273</v>
      </c>
      <c r="T163" s="116" t="n">
        <f aca="false">S163+T53+T56+T58+T118+T119+T60+T113+T101-T115-T162</f>
        <v>-129.720658099379</v>
      </c>
      <c r="U163" s="116" t="n">
        <f aca="false">T163+U53+U56+U58+U118+U119+U60+U113+U101-U115-U162</f>
        <v>-134.676569490309</v>
      </c>
      <c r="V163" s="116" t="n">
        <f aca="false">U163+V53+V56+V58+V118+V119+V60+V113+V101-V115-V162</f>
        <v>-139.957512843343</v>
      </c>
      <c r="W163" s="116" t="n">
        <f aca="false">V163+W53+W56+W58+W118+W119+W60+W113+W101-W115-W162</f>
        <v>-145.401330037635</v>
      </c>
      <c r="X163" s="116" t="n">
        <f aca="false">W163+X53+X56+X58+X118+X119+X60+X113+X101-X115-X162</f>
        <v>-150.997764617968</v>
      </c>
      <c r="Y163" s="116" t="n">
        <f aca="false">X163+Y53+Y56+Y58+Y118+Y119+Y60+Y113+Y101-Y115-Y162</f>
        <v>-156.739786501196</v>
      </c>
      <c r="Z163" s="116" t="n">
        <f aca="false">Y163+Z53+Z56+Z58+Z118+Z119+Z60+Z113+Z101-Z115-Z162</f>
        <v>-162.62072215388</v>
      </c>
      <c r="AA163" s="116" t="n">
        <f aca="false">Z163+AA53+AA56+AA58+AA118+AA119+AA60+AA113+AA101-AA115-AA162</f>
        <v>-168.634232610973</v>
      </c>
      <c r="AB163" s="116" t="n">
        <f aca="false">AA163+AB53+AB56+AB58+AB118+AB119+AB60+AB113+AB101-AB115-AB162</f>
        <v>-174.777703727761</v>
      </c>
      <c r="AC163" s="116" t="n">
        <f aca="false">AB163+AC53+AC56+AC58+AC118+AC119+AC60+AC113+AC101-AC115-AC162</f>
        <v>-181.048825104409</v>
      </c>
      <c r="AD163" s="116" t="n">
        <f aca="false">AC163+AD53+AD56+AD58+AD118+AD119+AD60+AD113+AD101-AD115-AD162</f>
        <v>-185.383125133742</v>
      </c>
      <c r="AE163" s="116" t="n">
        <f aca="false">AD163+AE53+AE56+AE58+AE118+AE119+AE60+AE113+AE101-AE115-AE162</f>
        <v>-188.886810182429</v>
      </c>
      <c r="AF163" s="116" t="n">
        <f aca="false">AE163+AF53+AF56+AF58+AF118+AF119+AF60+AF113+AF101-AF115-AF162</f>
        <v>-191.480056657991</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1370</v>
      </c>
    </row>
    <row r="168" customFormat="false" ht="15" hidden="false" customHeight="true" outlineLevel="0" collapsed="false">
      <c r="B168" s="103" t="s">
        <v>1360</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1371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1363</v>
      </c>
      <c r="C172" s="141" t="n">
        <v>0.3</v>
      </c>
      <c r="D172" s="83" t="s">
        <v>1364</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1365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IF($C$173="Sí",MAX(0,MAX(0,C74-0)-$C$172*MAX(0,(C83-0)))/$C$172+MAX(0,-(C83-0)),MAX(0,0+C76-C83))</f>
        <v>0</v>
      </c>
      <c r="D179" s="142" t="n">
        <f aca="false">IF($C$173="Sí",MAX(0,MAX(0,D74-C96)-$C$172*MAX(0,(D83-C83)))/$C$172+MAX(0,-(D83-C83)),MAX(0,C83+D76-D83))</f>
        <v>0</v>
      </c>
      <c r="E179" s="142" t="n">
        <f aca="false">IF($C$173="Sí",MAX(0,MAX(0,E74-D96)-$C$172*MAX(0,(E83-D83)))/$C$172+MAX(0,-(E83-D83)),MAX(0,D83+E76-E83))</f>
        <v>0</v>
      </c>
      <c r="F179" s="142" t="n">
        <f aca="false">IF($C$173="Sí",MAX(0,MAX(0,F74-E96)-$C$172*MAX(0,(F83-E83)))/$C$172+MAX(0,-(F83-E83)),MAX(0,E83+F76-F83))</f>
        <v>0</v>
      </c>
      <c r="G179" s="142" t="n">
        <f aca="false">IF($C$173="Sí",MAX(0,MAX(0,G74-F96)-$C$172*MAX(0,(G83-F83)))/$C$172+MAX(0,-(G83-F83)),MAX(0,F83+G76-G83))</f>
        <v>0</v>
      </c>
      <c r="H179" s="142" t="n">
        <f aca="false">IF($C$173="Sí",MAX(0,MAX(0,H74-G96)-$C$172*MAX(0,(H83-G83)))/$C$172+MAX(0,-(H83-G83)),MAX(0,G83+H76-H83))</f>
        <v>0</v>
      </c>
      <c r="I179" s="142" t="n">
        <f aca="false">IF($C$173="Sí",MAX(0,MAX(0,I74-H96)-$C$172*MAX(0,(I83-H83)))/$C$172+MAX(0,-(I83-H83)),MAX(0,H83+I76-I83))</f>
        <v>0</v>
      </c>
      <c r="J179" s="142" t="n">
        <f aca="false">IF($C$173="Sí",MAX(0,MAX(0,J74-I96)-$C$172*MAX(0,(J83-I83)))/$C$172+MAX(0,-(J83-I83)),MAX(0,I83+J76-J83))</f>
        <v>0</v>
      </c>
      <c r="K179" s="142" t="n">
        <f aca="false">IF($C$173="Sí",MAX(0,MAX(0,K74-J96)-$C$172*MAX(0,(K83-J83)))/$C$172+MAX(0,-(K83-J83)),MAX(0,J83+K76-K83))</f>
        <v>0</v>
      </c>
      <c r="L179" s="142" t="n">
        <f aca="false">IF($C$173="Sí",MAX(0,MAX(0,L74-K96)-$C$172*MAX(0,(L83-K83)))/$C$172+MAX(0,-(L83-K83)),MAX(0,K83+L76-L83))</f>
        <v>0</v>
      </c>
      <c r="M179" s="142" t="n">
        <f aca="false">IF($C$173="Sí",MAX(0,MAX(0,M74-L96)-$C$172*MAX(0,(M83-L83)))/$C$172+MAX(0,-(M83-L83)),MAX(0,L83+M76-M83))</f>
        <v>0</v>
      </c>
      <c r="N179" s="142" t="n">
        <f aca="false">IF($C$173="Sí",MAX(0,MAX(0,N74-M96)-$C$172*MAX(0,(N83-M83)))/$C$172+MAX(0,-(N83-M83)),MAX(0,M83+N76-N83))</f>
        <v>0</v>
      </c>
      <c r="O179" s="142" t="n">
        <f aca="false">IF($C$173="Sí",MAX(0,MAX(0,O74-N96)-$C$172*MAX(0,(O83-N83)))/$C$172+MAX(0,-(O83-N83)),MAX(0,N83+O76-O83))</f>
        <v>0</v>
      </c>
      <c r="P179" s="142" t="n">
        <f aca="false">IF($C$173="Sí",MAX(0,MAX(0,P74-O96)-$C$172*MAX(0,(P83-O83)))/$C$172+MAX(0,-(P83-O83)),MAX(0,O83+P76-P83))</f>
        <v>0</v>
      </c>
      <c r="Q179" s="142" t="n">
        <f aca="false">IF($C$173="Sí",MAX(0,MAX(0,Q74-P96)-$C$172*MAX(0,(Q83-P83)))/$C$172+MAX(0,-(Q83-P83)),MAX(0,P83+Q76-Q83))</f>
        <v>0</v>
      </c>
      <c r="R179" s="142" t="n">
        <f aca="false">IF($C$173="Sí",MAX(0,MAX(0,R74-Q96)-$C$172*MAX(0,(R83-Q83)))/$C$172+MAX(0,-(R83-Q83)),MAX(0,Q83+R76-R83))</f>
        <v>0</v>
      </c>
      <c r="S179" s="142" t="n">
        <f aca="false">IF($C$173="Sí",MAX(0,MAX(0,S74-R96)-$C$172*MAX(0,(S83-R83)))/$C$172+MAX(0,-(S83-R83)),MAX(0,R83+S76-S83))</f>
        <v>0</v>
      </c>
      <c r="T179" s="142" t="n">
        <f aca="false">IF($C$173="Sí",MAX(0,MAX(0,T74-S96)-$C$172*MAX(0,(T83-S83)))/$C$172+MAX(0,-(T83-S83)),MAX(0,S83+T76-T83))</f>
        <v>0</v>
      </c>
      <c r="U179" s="142" t="n">
        <f aca="false">IF($C$173="Sí",MAX(0,MAX(0,U74-T96)-$C$172*MAX(0,(U83-T83)))/$C$172+MAX(0,-(U83-T83)),MAX(0,T83+U76-U83))</f>
        <v>0</v>
      </c>
      <c r="V179" s="142" t="n">
        <f aca="false">IF($C$173="Sí",MAX(0,MAX(0,V74-U96)-$C$172*MAX(0,(V83-U83)))/$C$172+MAX(0,-(V83-U83)),MAX(0,U83+V76-V83))</f>
        <v>0</v>
      </c>
      <c r="W179" s="142" t="n">
        <f aca="false">IF($C$173="Sí",MAX(0,MAX(0,W74-V96)-$C$172*MAX(0,(W83-V83)))/$C$172+MAX(0,-(W83-V83)),MAX(0,V83+W76-W83))</f>
        <v>0</v>
      </c>
      <c r="X179" s="142" t="n">
        <f aca="false">IF($C$173="Sí",MAX(0,MAX(0,X74-W96)-$C$172*MAX(0,(X83-W83)))/$C$172+MAX(0,-(X83-W83)),MAX(0,W83+X76-X83))</f>
        <v>0</v>
      </c>
      <c r="Y179" s="142" t="n">
        <f aca="false">IF($C$173="Sí",MAX(0,MAX(0,Y74-X96)-$C$172*MAX(0,(Y83-X83)))/$C$172+MAX(0,-(Y83-X83)),MAX(0,X83+Y76-Y83))</f>
        <v>0</v>
      </c>
      <c r="Z179" s="142" t="n">
        <f aca="false">IF($C$173="Sí",MAX(0,MAX(0,Z74-Y96)-$C$172*MAX(0,(Z83-Y83)))/$C$172+MAX(0,-(Z83-Y83)),MAX(0,Y83+Z76-Z83))</f>
        <v>0</v>
      </c>
      <c r="AA179" s="142" t="n">
        <f aca="false">IF($C$173="Sí",MAX(0,MAX(0,AA74-Z96)-$C$172*MAX(0,(AA83-Z83)))/$C$172+MAX(0,-(AA83-Z83)),MAX(0,Z83+AA76-AA83))</f>
        <v>0</v>
      </c>
      <c r="AB179" s="142" t="n">
        <f aca="false">IF($C$173="Sí",MAX(0,MAX(0,AB74-AA96)-$C$172*MAX(0,(AB83-AA83)))/$C$172+MAX(0,-(AB83-AA83)),MAX(0,AA83+AB76-AB83))</f>
        <v>0</v>
      </c>
      <c r="AC179" s="142" t="n">
        <f aca="false">IF($C$173="Sí",MAX(0,MAX(0,AC74-AB96)-$C$172*MAX(0,(AC83-AB83)))/$C$172+MAX(0,-(AC83-AB83)),MAX(0,AB83+AC76-AC83))</f>
        <v>0</v>
      </c>
      <c r="AD179" s="142" t="n">
        <f aca="false">IF($C$173="Sí",MAX(0,MAX(0,AD74-AC96)-$C$172*MAX(0,(AD83-AC83)))/$C$172+MAX(0,-(AD83-AC83)),MAX(0,AC83+AD76-AD83))</f>
        <v>0</v>
      </c>
      <c r="AE179" s="142" t="n">
        <f aca="false">IF($C$173="Sí",MAX(0,MAX(0,AE74-AD96)-$C$172*MAX(0,(AE83-AD83)))/$C$172+MAX(0,-(AE83-AD83)),MAX(0,AD83+AE76-AE83))</f>
        <v>0</v>
      </c>
      <c r="AF179" s="142" t="n">
        <f aca="false">IF($C$173="Sí",MAX(0,MAX(0,AF74-AE96)-$C$172*MAX(0,(AF83-AE83)))/$C$172+MAX(0,-(AF83-AE83)),MAX(0,AE83+AF76-AF83))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4.86035289641877</v>
      </c>
      <c r="D180" s="142" t="n">
        <f aca="false">IF($C$167="Sí",MAX(0,MIN(D84,($C$168+$C$170)*D41*MIN(1,D$39/MAX(1,01_Supuestos!$C$170)))),0)</f>
        <v>13.1185582870288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1366</v>
      </c>
      <c r="C181" s="142" t="n">
        <f aca="false">MIN(C180,0+C179)</f>
        <v>0</v>
      </c>
      <c r="D181" s="142" t="n">
        <f aca="false">MIN(D180,C181+D179)</f>
        <v>0</v>
      </c>
      <c r="E181" s="142" t="n">
        <f aca="false">MIN(E180,D181+E179)</f>
        <v>0</v>
      </c>
      <c r="F181" s="142" t="n">
        <f aca="false">MIN(F180,E181+F179)</f>
        <v>0</v>
      </c>
      <c r="G181" s="142" t="n">
        <f aca="false">MIN(G180,F181+G179)</f>
        <v>0</v>
      </c>
      <c r="H181" s="142" t="n">
        <f aca="false">MIN(H180,G181+H179)</f>
        <v>0</v>
      </c>
      <c r="I181" s="142" t="n">
        <f aca="false">MIN(I180,H181+I179)</f>
        <v>0</v>
      </c>
      <c r="J181" s="142" t="n">
        <f aca="false">MIN(J180,I181+J179)</f>
        <v>0</v>
      </c>
      <c r="K181" s="142" t="n">
        <f aca="false">MIN(K180,J181+K179)</f>
        <v>0</v>
      </c>
      <c r="L181" s="142" t="n">
        <f aca="false">MIN(L180,K181+L179)</f>
        <v>0</v>
      </c>
      <c r="M181" s="142" t="n">
        <f aca="false">MIN(M180,L181+M179)</f>
        <v>0</v>
      </c>
      <c r="N181" s="142" t="n">
        <f aca="false">MIN(N180,M181+N179)</f>
        <v>0</v>
      </c>
      <c r="O181" s="142" t="n">
        <f aca="false">MIN(O180,N181+O179)</f>
        <v>0</v>
      </c>
      <c r="P181" s="142" t="n">
        <f aca="false">MIN(P180,O181+P179)</f>
        <v>0</v>
      </c>
      <c r="Q181" s="142" t="n">
        <f aca="false">MIN(Q180,P181+Q179)</f>
        <v>0</v>
      </c>
      <c r="R181" s="142" t="n">
        <f aca="false">MIN(R180,Q181+R179)</f>
        <v>0</v>
      </c>
      <c r="S181" s="142" t="n">
        <f aca="false">MIN(S180,R181+S179)</f>
        <v>0</v>
      </c>
      <c r="T181" s="142" t="n">
        <f aca="false">MIN(T180,S181+T179)</f>
        <v>0</v>
      </c>
      <c r="U181" s="142" t="n">
        <f aca="false">MIN(U180,T181+U179)</f>
        <v>0</v>
      </c>
      <c r="V181" s="142" t="n">
        <f aca="false">MIN(V180,U181+V179)</f>
        <v>0</v>
      </c>
      <c r="W181" s="142" t="n">
        <f aca="false">MIN(W180,V181+W179)</f>
        <v>0</v>
      </c>
      <c r="X181" s="142" t="n">
        <f aca="false">MIN(X180,W181+X179)</f>
        <v>0</v>
      </c>
      <c r="Y181" s="142" t="n">
        <f aca="false">MIN(Y180,X181+Y179)</f>
        <v>0</v>
      </c>
      <c r="Z181" s="142" t="n">
        <f aca="false">MIN(Z180,Y181+Z179)</f>
        <v>0</v>
      </c>
      <c r="AA181" s="142" t="n">
        <f aca="false">MIN(AA180,Z181+AA179)</f>
        <v>0</v>
      </c>
      <c r="AB181" s="142" t="n">
        <f aca="false">MIN(AB180,AA181+AB179)</f>
        <v>0</v>
      </c>
      <c r="AC181" s="142" t="n">
        <f aca="false">MIN(AC180,AB181+AC179)</f>
        <v>0</v>
      </c>
      <c r="AD181" s="142" t="n">
        <f aca="false">MIN(AD180,AC181+AD179)</f>
        <v>0</v>
      </c>
      <c r="AE181" s="142" t="n">
        <f aca="false">MIN(AE180,AD181+AE179)</f>
        <v>0</v>
      </c>
      <c r="AF181" s="142" t="n">
        <f aca="false">MIN(AF180,AE181+AF179)</f>
        <v>0</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0</v>
      </c>
      <c r="D182" s="142" t="n">
        <f aca="false">MIN(D181,$C$168*D41)</f>
        <v>0</v>
      </c>
      <c r="E182" s="142" t="n">
        <f aca="false">MIN(E181,$C$168*E41)</f>
        <v>0</v>
      </c>
      <c r="F182" s="142" t="n">
        <f aca="false">MIN(F181,$C$168*F41)</f>
        <v>0</v>
      </c>
      <c r="G182" s="142" t="n">
        <f aca="false">MIN(G181,$C$168*G41)</f>
        <v>0</v>
      </c>
      <c r="H182" s="142" t="n">
        <f aca="false">MIN(H181,$C$168*H41)</f>
        <v>0</v>
      </c>
      <c r="I182" s="142" t="n">
        <f aca="false">MIN(I181,$C$168*I41)</f>
        <v>0</v>
      </c>
      <c r="J182" s="142" t="n">
        <f aca="false">MIN(J181,$C$168*J41)</f>
        <v>0</v>
      </c>
      <c r="K182" s="142" t="n">
        <f aca="false">MIN(K181,$C$168*K41)</f>
        <v>0</v>
      </c>
      <c r="L182" s="142" t="n">
        <f aca="false">MIN(L181,$C$168*L41)</f>
        <v>0</v>
      </c>
      <c r="M182" s="142" t="n">
        <f aca="false">MIN(M181,$C$168*M41)</f>
        <v>0</v>
      </c>
      <c r="N182" s="142" t="n">
        <f aca="false">MIN(N181,$C$168*N41)</f>
        <v>0</v>
      </c>
      <c r="O182" s="142" t="n">
        <f aca="false">MIN(O181,$C$168*O41)</f>
        <v>0</v>
      </c>
      <c r="P182" s="142" t="n">
        <f aca="false">MIN(P181,$C$168*P41)</f>
        <v>0</v>
      </c>
      <c r="Q182" s="142" t="n">
        <f aca="false">MIN(Q181,$C$168*Q41)</f>
        <v>0</v>
      </c>
      <c r="R182" s="142" t="n">
        <f aca="false">MIN(R181,$C$168*R41)</f>
        <v>0</v>
      </c>
      <c r="S182" s="142" t="n">
        <f aca="false">MIN(S181,$C$168*S41)</f>
        <v>0</v>
      </c>
      <c r="T182" s="142" t="n">
        <f aca="false">MIN(T181,$C$168*T41)</f>
        <v>0</v>
      </c>
      <c r="U182" s="142" t="n">
        <f aca="false">MIN(U181,$C$168*U41)</f>
        <v>0</v>
      </c>
      <c r="V182" s="142" t="n">
        <f aca="false">MIN(V181,$C$168*V41)</f>
        <v>0</v>
      </c>
      <c r="W182" s="142" t="n">
        <f aca="false">MIN(W181,$C$168*W41)</f>
        <v>0</v>
      </c>
      <c r="X182" s="142" t="n">
        <f aca="false">MIN(X181,$C$168*X41)</f>
        <v>0</v>
      </c>
      <c r="Y182" s="142" t="n">
        <f aca="false">MIN(Y181,$C$168*Y41)</f>
        <v>0</v>
      </c>
      <c r="Z182" s="142" t="n">
        <f aca="false">MIN(Z181,$C$168*Z41)</f>
        <v>0</v>
      </c>
      <c r="AA182" s="142" t="n">
        <f aca="false">MIN(AA181,$C$168*AA41)</f>
        <v>0</v>
      </c>
      <c r="AB182" s="142" t="n">
        <f aca="false">MIN(AB181,$C$168*AB41)</f>
        <v>0</v>
      </c>
      <c r="AC182" s="142" t="n">
        <f aca="false">MIN(AC181,$C$168*AC41)</f>
        <v>0</v>
      </c>
      <c r="AD182" s="142" t="n">
        <f aca="false">MIN(AD181,$C$168*AD41)</f>
        <v>0</v>
      </c>
      <c r="AE182" s="142" t="n">
        <f aca="false">MIN(AE181,$C$168*AE41)</f>
        <v>0</v>
      </c>
      <c r="AF182" s="142" t="n">
        <f aca="false">MIN(AF181,$C$168*AF41)</f>
        <v>0</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v>
      </c>
      <c r="D184" s="142" t="n">
        <f aca="false">D182*$C$169+D183*$C$171</f>
        <v>0</v>
      </c>
      <c r="E184" s="142" t="n">
        <f aca="false">E182*$C$169+E183*$C$171</f>
        <v>0</v>
      </c>
      <c r="F184" s="142" t="n">
        <f aca="false">F182*$C$169+F183*$C$171</f>
        <v>0</v>
      </c>
      <c r="G184" s="142" t="n">
        <f aca="false">G182*$C$169+G183*$C$171</f>
        <v>0</v>
      </c>
      <c r="H184" s="142" t="n">
        <f aca="false">H182*$C$169+H183*$C$171</f>
        <v>0</v>
      </c>
      <c r="I184" s="142" t="n">
        <f aca="false">I182*$C$169+I183*$C$171</f>
        <v>0</v>
      </c>
      <c r="J184" s="142" t="n">
        <f aca="false">J182*$C$169+J183*$C$171</f>
        <v>0</v>
      </c>
      <c r="K184" s="142" t="n">
        <f aca="false">K182*$C$169+K183*$C$171</f>
        <v>0</v>
      </c>
      <c r="L184" s="142" t="n">
        <f aca="false">L182*$C$169+L183*$C$171</f>
        <v>0</v>
      </c>
      <c r="M184" s="142" t="n">
        <f aca="false">M182*$C$169+M183*$C$171</f>
        <v>0</v>
      </c>
      <c r="N184" s="142" t="n">
        <f aca="false">N182*$C$169+N183*$C$171</f>
        <v>0</v>
      </c>
      <c r="O184" s="142" t="n">
        <f aca="false">O182*$C$169+O183*$C$171</f>
        <v>0</v>
      </c>
      <c r="P184" s="142" t="n">
        <f aca="false">P182*$C$169+P183*$C$171</f>
        <v>0</v>
      </c>
      <c r="Q184" s="142" t="n">
        <f aca="false">Q182*$C$169+Q183*$C$171</f>
        <v>0</v>
      </c>
      <c r="R184" s="142" t="n">
        <f aca="false">R182*$C$169+R183*$C$171</f>
        <v>0</v>
      </c>
      <c r="S184" s="142" t="n">
        <f aca="false">S182*$C$169+S183*$C$171</f>
        <v>0</v>
      </c>
      <c r="T184" s="142" t="n">
        <f aca="false">T182*$C$169+T183*$C$171</f>
        <v>0</v>
      </c>
      <c r="U184" s="142" t="n">
        <f aca="false">U182*$C$169+U183*$C$171</f>
        <v>0</v>
      </c>
      <c r="V184" s="142" t="n">
        <f aca="false">V182*$C$169+V183*$C$171</f>
        <v>0</v>
      </c>
      <c r="W184" s="142" t="n">
        <f aca="false">W182*$C$169+W183*$C$171</f>
        <v>0</v>
      </c>
      <c r="X184" s="142" t="n">
        <f aca="false">X182*$C$169+X183*$C$171</f>
        <v>0</v>
      </c>
      <c r="Y184" s="142" t="n">
        <f aca="false">Y182*$C$169+Y183*$C$171</f>
        <v>0</v>
      </c>
      <c r="Z184" s="142" t="n">
        <f aca="false">Z182*$C$169+Z183*$C$171</f>
        <v>0</v>
      </c>
      <c r="AA184" s="142" t="n">
        <f aca="false">AA182*$C$169+AA183*$C$171</f>
        <v>0</v>
      </c>
      <c r="AB184" s="142" t="n">
        <f aca="false">AB182*$C$169+AB183*$C$171</f>
        <v>0</v>
      </c>
      <c r="AC184" s="142" t="n">
        <f aca="false">AC182*$C$169+AC183*$C$171</f>
        <v>0</v>
      </c>
      <c r="AD184" s="142" t="n">
        <f aca="false">AD182*$C$169+AD183*$C$171</f>
        <v>0</v>
      </c>
      <c r="AE184" s="142" t="n">
        <f aca="false">AE182*$C$169+AE183*$C$171</f>
        <v>0</v>
      </c>
      <c r="AF184" s="142" t="n">
        <f aca="false">AF182*$C$169+AF183*$C$171</f>
        <v>0</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0</v>
      </c>
      <c r="D185" s="142" t="n">
        <f aca="false">D181-C181</f>
        <v>0</v>
      </c>
      <c r="E185" s="142" t="n">
        <f aca="false">E181-D181</f>
        <v>0</v>
      </c>
      <c r="F185" s="142" t="n">
        <f aca="false">F181-E181</f>
        <v>0</v>
      </c>
      <c r="G185" s="142" t="n">
        <f aca="false">G181-F181</f>
        <v>0</v>
      </c>
      <c r="H185" s="142" t="n">
        <f aca="false">H181-G181</f>
        <v>0</v>
      </c>
      <c r="I185" s="142" t="n">
        <f aca="false">I181-H181</f>
        <v>0</v>
      </c>
      <c r="J185" s="142" t="n">
        <f aca="false">J181-I181</f>
        <v>0</v>
      </c>
      <c r="K185" s="142" t="n">
        <f aca="false">K181-J181</f>
        <v>0</v>
      </c>
      <c r="L185" s="142" t="n">
        <f aca="false">L181-K181</f>
        <v>0</v>
      </c>
      <c r="M185" s="142" t="n">
        <f aca="false">M181-L181</f>
        <v>0</v>
      </c>
      <c r="N185" s="142" t="n">
        <f aca="false">N181-M181</f>
        <v>0</v>
      </c>
      <c r="O185" s="142" t="n">
        <f aca="false">O181-N181</f>
        <v>0</v>
      </c>
      <c r="P185" s="142" t="n">
        <f aca="false">P181-O181</f>
        <v>0</v>
      </c>
      <c r="Q185" s="142" t="n">
        <f aca="false">Q181-P181</f>
        <v>0</v>
      </c>
      <c r="R185" s="142" t="n">
        <f aca="false">R181-Q181</f>
        <v>0</v>
      </c>
      <c r="S185" s="142" t="n">
        <f aca="false">S181-R181</f>
        <v>0</v>
      </c>
      <c r="T185" s="142" t="n">
        <f aca="false">T181-S181</f>
        <v>0</v>
      </c>
      <c r="U185" s="142" t="n">
        <f aca="false">U181-T181</f>
        <v>0</v>
      </c>
      <c r="V185" s="142" t="n">
        <f aca="false">V181-U181</f>
        <v>0</v>
      </c>
      <c r="W185" s="142" t="n">
        <f aca="false">W181-V181</f>
        <v>0</v>
      </c>
      <c r="X185" s="142" t="n">
        <f aca="false">X181-W181</f>
        <v>0</v>
      </c>
      <c r="Y185" s="142" t="n">
        <f aca="false">Y181-X181</f>
        <v>0</v>
      </c>
      <c r="Z185" s="142" t="n">
        <f aca="false">Z181-Y181</f>
        <v>0</v>
      </c>
      <c r="AA185" s="142" t="n">
        <f aca="false">AA181-Z181</f>
        <v>0</v>
      </c>
      <c r="AB185" s="142" t="n">
        <f aca="false">AB181-AA181</f>
        <v>0</v>
      </c>
      <c r="AC185" s="142" t="n">
        <f aca="false">AC181-AB181</f>
        <v>0</v>
      </c>
      <c r="AD185" s="142" t="n">
        <f aca="false">AD181-AC181</f>
        <v>0</v>
      </c>
      <c r="AE185" s="142" t="n">
        <f aca="false">AE181-AD181</f>
        <v>0</v>
      </c>
      <c r="AF185" s="142" t="n">
        <f aca="false">AF181-AE181</f>
        <v>0</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4.86035289641877</v>
      </c>
      <c r="D186" s="142" t="n">
        <f aca="false">D84-D181</f>
        <v>13.1185582870288</v>
      </c>
      <c r="E186" s="142" t="n">
        <f aca="false">E84-E181</f>
        <v>25.6449908146638</v>
      </c>
      <c r="F186" s="142" t="n">
        <f aca="false">F84-F181</f>
        <v>55.6490387944737</v>
      </c>
      <c r="G186" s="142" t="n">
        <f aca="false">G84-G181</f>
        <v>85.3292828636681</v>
      </c>
      <c r="H186" s="142" t="n">
        <f aca="false">H84-H181</f>
        <v>104.245522524906</v>
      </c>
      <c r="I186" s="142" t="n">
        <f aca="false">I84-I181</f>
        <v>116.598812950161</v>
      </c>
      <c r="J186" s="142" t="n">
        <f aca="false">J84-J181</f>
        <v>123.224497940575</v>
      </c>
      <c r="K186" s="142" t="n">
        <f aca="false">K84-K181</f>
        <v>113.202596219319</v>
      </c>
      <c r="L186" s="142" t="n">
        <f aca="false">L84-L181</f>
        <v>102.832214355314</v>
      </c>
      <c r="M186" s="142" t="n">
        <f aca="false">M84-M181</f>
        <v>96.0801109030485</v>
      </c>
      <c r="N186" s="142" t="n">
        <f aca="false">N84-N181</f>
        <v>95.4114691247594</v>
      </c>
      <c r="O186" s="142" t="n">
        <f aca="false">O84-O181</f>
        <v>100.096909053269</v>
      </c>
      <c r="P186" s="142" t="n">
        <f aca="false">P84-P181</f>
        <v>103.459753353371</v>
      </c>
      <c r="Q186" s="142" t="n">
        <f aca="false">Q84-Q181</f>
        <v>105.497420251141</v>
      </c>
      <c r="R186" s="142" t="n">
        <f aca="false">R84-R181</f>
        <v>106.492768167189</v>
      </c>
      <c r="S186" s="142" t="n">
        <f aca="false">S84-S181</f>
        <v>106.677516594566</v>
      </c>
      <c r="T186" s="142" t="n">
        <f aca="false">T84-T181</f>
        <v>106.247782066784</v>
      </c>
      <c r="U186" s="142" t="n">
        <f aca="false">U84-U181</f>
        <v>105.751778987156</v>
      </c>
      <c r="V186" s="142" t="n">
        <f aca="false">V84-V181</f>
        <v>106.446792254835</v>
      </c>
      <c r="W186" s="142" t="n">
        <f aca="false">W84-W181</f>
        <v>107.255280312878</v>
      </c>
      <c r="X186" s="142" t="n">
        <f aca="false">X84-X181</f>
        <v>107.996789459593</v>
      </c>
      <c r="Y186" s="142" t="n">
        <f aca="false">Y84-Y181</f>
        <v>108.667537800473</v>
      </c>
      <c r="Z186" s="142" t="n">
        <f aca="false">Z84-Z181</f>
        <v>109.263742976734</v>
      </c>
      <c r="AA186" s="142" t="n">
        <f aca="false">AA84-AA181</f>
        <v>109.781621504097</v>
      </c>
      <c r="AB186" s="142" t="n">
        <f aca="false">AB84-AB181</f>
        <v>110.220791523328</v>
      </c>
      <c r="AC186" s="142" t="n">
        <f aca="false">AC84-AC181</f>
        <v>110.580868752675</v>
      </c>
      <c r="AD186" s="142" t="n">
        <f aca="false">AD84-AD181</f>
        <v>110.372502383501</v>
      </c>
      <c r="AE186" s="142" t="n">
        <f aca="false">AE84-AE181</f>
        <v>110.076890686024</v>
      </c>
      <c r="AF186" s="142" t="n">
        <f aca="false">AF84-AF181</f>
        <v>109.692078381704</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0</v>
      </c>
      <c r="D187" s="142" t="n">
        <f aca="false">D181</f>
        <v>0</v>
      </c>
      <c r="E187" s="142" t="n">
        <f aca="false">E181</f>
        <v>0</v>
      </c>
      <c r="F187" s="142" t="n">
        <f aca="false">F181</f>
        <v>0</v>
      </c>
      <c r="G187" s="142" t="n">
        <f aca="false">G181</f>
        <v>0</v>
      </c>
      <c r="H187" s="142" t="n">
        <f aca="false">H181</f>
        <v>0</v>
      </c>
      <c r="I187" s="142" t="n">
        <f aca="false">I181</f>
        <v>0</v>
      </c>
      <c r="J187" s="142" t="n">
        <f aca="false">J181</f>
        <v>0</v>
      </c>
      <c r="K187" s="142" t="n">
        <f aca="false">K181</f>
        <v>0</v>
      </c>
      <c r="L187" s="142" t="n">
        <f aca="false">L181</f>
        <v>0</v>
      </c>
      <c r="M187" s="142" t="n">
        <f aca="false">M181</f>
        <v>0</v>
      </c>
      <c r="N187" s="142" t="n">
        <f aca="false">N181</f>
        <v>0</v>
      </c>
      <c r="O187" s="142" t="n">
        <f aca="false">O181</f>
        <v>0</v>
      </c>
      <c r="P187" s="142" t="n">
        <f aca="false">P181</f>
        <v>0</v>
      </c>
      <c r="Q187" s="142" t="n">
        <f aca="false">Q181</f>
        <v>0</v>
      </c>
      <c r="R187" s="142" t="n">
        <f aca="false">R181</f>
        <v>0</v>
      </c>
      <c r="S187" s="142" t="n">
        <f aca="false">S181</f>
        <v>0</v>
      </c>
      <c r="T187" s="142" t="n">
        <f aca="false">T181</f>
        <v>0</v>
      </c>
      <c r="U187" s="142" t="n">
        <f aca="false">U181</f>
        <v>0</v>
      </c>
      <c r="V187" s="142" t="n">
        <f aca="false">V181</f>
        <v>0</v>
      </c>
      <c r="W187" s="142" t="n">
        <f aca="false">W181</f>
        <v>0</v>
      </c>
      <c r="X187" s="142" t="n">
        <f aca="false">X181</f>
        <v>0</v>
      </c>
      <c r="Y187" s="142" t="n">
        <f aca="false">Y181</f>
        <v>0</v>
      </c>
      <c r="Z187" s="142" t="n">
        <f aca="false">Z181</f>
        <v>0</v>
      </c>
      <c r="AA187" s="142" t="n">
        <f aca="false">AA181</f>
        <v>0</v>
      </c>
      <c r="AB187" s="142" t="n">
        <f aca="false">AB181</f>
        <v>0</v>
      </c>
      <c r="AC187" s="142" t="n">
        <f aca="false">AC181</f>
        <v>0</v>
      </c>
      <c r="AD187" s="142" t="n">
        <f aca="false">AD181</f>
        <v>0</v>
      </c>
      <c r="AE187" s="142" t="n">
        <f aca="false">AE181</f>
        <v>0</v>
      </c>
      <c r="AF187" s="142" t="n">
        <f aca="false">AF181</f>
        <v>0</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3.86255216886864</v>
      </c>
      <c r="D189" s="142" t="n">
        <f aca="false">D68-C68</f>
        <v>6.23929264748464</v>
      </c>
      <c r="E189" s="142" t="n">
        <f aca="false">E68-D68</f>
        <v>8.26033125303664</v>
      </c>
      <c r="F189" s="142" t="n">
        <f aca="false">F68-E68</f>
        <v>13.8385983026268</v>
      </c>
      <c r="G189" s="142" t="n">
        <f aca="false">G68-F68</f>
        <v>13.8375328301109</v>
      </c>
      <c r="H189" s="142" t="n">
        <f aca="false">H68-G68</f>
        <v>9.94667757754663</v>
      </c>
      <c r="I189" s="142" t="n">
        <f aca="false">I68-H68</f>
        <v>7.56783491638051</v>
      </c>
      <c r="J189" s="142" t="n">
        <f aca="false">J68-I68</f>
        <v>5.54461992123436</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1.03359586865686</v>
      </c>
      <c r="AC189" s="142" t="n">
        <f aca="false">AC68-AB68</f>
        <v>0.997276246852678</v>
      </c>
      <c r="AD189" s="142" t="n">
        <f aca="false">AD68-AC68</f>
        <v>0.575150703603995</v>
      </c>
      <c r="AE189" s="142" t="n">
        <f aca="false">AE68-AD68</f>
        <v>0.53866687085582</v>
      </c>
      <c r="AF189" s="142" t="n">
        <f aca="false">AF68-AE68</f>
        <v>0.502096560016824</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-18.8323185832014</v>
      </c>
      <c r="D192" s="142" t="n">
        <f aca="false">D149-SUM($C$191:D191)</f>
        <v>-38.181778645978</v>
      </c>
      <c r="E192" s="142" t="n">
        <f aca="false">E149-SUM($C$191:E191)</f>
        <v>-58.1233598298965</v>
      </c>
      <c r="F192" s="142" t="n">
        <f aca="false">F149-SUM($C$191:F191)</f>
        <v>-78.5684276585098</v>
      </c>
      <c r="G192" s="142" t="n">
        <f aca="false">G149-SUM($C$191:G191)</f>
        <v>-99.4163000367511</v>
      </c>
      <c r="H192" s="142" t="n">
        <f aca="false">H149-SUM($C$191:H191)</f>
        <v>-120.708363096658</v>
      </c>
      <c r="I192" s="142" t="n">
        <f aca="false">I149-SUM($C$191:I191)</f>
        <v>-142.473079325335</v>
      </c>
      <c r="J192" s="142" t="n">
        <f aca="false">J149-SUM($C$191:J191)</f>
        <v>-164.733824192268</v>
      </c>
      <c r="K192" s="142" t="n">
        <f aca="false">K149-SUM($C$191:K191)</f>
        <v>-187.576243960343</v>
      </c>
      <c r="L192" s="142" t="n">
        <f aca="false">L149-SUM($C$191:L191)</f>
        <v>-210.998270856136</v>
      </c>
      <c r="M192" s="142" t="n">
        <f aca="false">M149-SUM($C$191:M191)</f>
        <v>-214.272153487366</v>
      </c>
      <c r="N192" s="142" t="n">
        <f aca="false">N149-SUM($C$191:N191)</f>
        <v>-217.49124003122</v>
      </c>
      <c r="O192" s="142" t="n">
        <f aca="false">O149-SUM($C$191:O191)</f>
        <v>-220.744972136832</v>
      </c>
      <c r="P192" s="142" t="n">
        <f aca="false">P149-SUM($C$191:P191)</f>
        <v>-224.02379360994</v>
      </c>
      <c r="Q192" s="142" t="n">
        <f aca="false">Q149-SUM($C$191:Q191)</f>
        <v>-227.318747750558</v>
      </c>
      <c r="R192" s="142" t="n">
        <f aca="false">R149-SUM($C$191:R191)</f>
        <v>-230.624063577755</v>
      </c>
      <c r="S192" s="142" t="n">
        <f aca="false">S149-SUM($C$191:S191)</f>
        <v>-233.935734759478</v>
      </c>
      <c r="T192" s="142" t="n">
        <f aca="false">T149-SUM($C$191:T191)</f>
        <v>-237.251218762561</v>
      </c>
      <c r="U192" s="142" t="n">
        <f aca="false">U149-SUM($C$191:U191)</f>
        <v>-240.572858529294</v>
      </c>
      <c r="V192" s="142" t="n">
        <f aca="false">V149-SUM($C$191:V191)</f>
        <v>-243.906143992034</v>
      </c>
      <c r="W192" s="142" t="n">
        <f aca="false">W149-SUM($C$191:W191)</f>
        <v>-247.254030147079</v>
      </c>
      <c r="X192" s="142" t="n">
        <f aca="false">X149-SUM($C$191:X191)</f>
        <v>-250.618989035892</v>
      </c>
      <c r="Y192" s="142" t="n">
        <f aca="false">Y149-SUM($C$191:Y191)</f>
        <v>-254.003461340844</v>
      </c>
      <c r="Z192" s="142" t="n">
        <f aca="false">Z149-SUM($C$191:Z191)</f>
        <v>-257.409860556417</v>
      </c>
      <c r="AA192" s="142" t="n">
        <f aca="false">AA149-SUM($C$191:AA191)</f>
        <v>-260.84057695177</v>
      </c>
      <c r="AB192" s="142" t="n">
        <f aca="false">AB149-SUM($C$191:AB191)</f>
        <v>-264.297984657979</v>
      </c>
      <c r="AC192" s="142" t="n">
        <f aca="false">AC149-SUM($C$191:AC191)</f>
        <v>-267.784445257311</v>
      </c>
      <c r="AD192" s="142" t="n">
        <f aca="false">AD149-SUM($C$191:AD191)</f>
        <v>-272.166282394383</v>
      </c>
      <c r="AE192" s="142" t="n">
        <f aca="false">AE149-SUM($C$191:AE191)</f>
        <v>-277.487586484232</v>
      </c>
      <c r="AF192" s="142" t="n">
        <f aca="false">AF149-SUM($C$191:AF191)</f>
        <v>-283.794010948025</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11.440447555496</v>
      </c>
      <c r="D216" s="88" t="n">
        <f aca="false">SUM($C$48:D48)+SUM($C$49:D49)</f>
        <v>29.874132283392</v>
      </c>
      <c r="E216" s="88" t="n">
        <f aca="false">SUM($C$48:E48)+SUM($C$49:E49)</f>
        <v>54.254971891288</v>
      </c>
      <c r="F216" s="88" t="n">
        <f aca="false">SUM($C$48:F48)+SUM($C$49:F49)</f>
        <v>104.173587785454</v>
      </c>
      <c r="G216" s="88" t="n">
        <f aca="false">SUM($C$48:G48)+SUM($C$49:G49)</f>
        <v>154.092203679621</v>
      </c>
      <c r="H216" s="88" t="n">
        <f aca="false">SUM($C$48:H48)+SUM($C$49:H49)</f>
        <v>192.570372018291</v>
      </c>
      <c r="I216" s="88" t="n">
        <f aca="false">SUM($C$48:I48)+SUM($C$49:I49)</f>
        <v>224.055303184562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0.0437990462328718</v>
      </c>
      <c r="E217" s="87" t="n">
        <f aca="false">IF(E216*01_Supuestos!$I$107&gt;0,E218/(E216*01_Supuestos!$I$107),0)</f>
        <v>0.0548079801876766</v>
      </c>
      <c r="F217" s="87" t="n">
        <f aca="false">IF(F216*01_Supuestos!$I$107&gt;0,F218/(F216*01_Supuestos!$I$107),0)</f>
        <v>0.0589502882071654</v>
      </c>
      <c r="G217" s="87" t="n">
        <f aca="false">IF(G216*01_Supuestos!$I$107&gt;0,G218/(G216*01_Supuestos!$I$107),0)</f>
        <v>0.0695294278191715</v>
      </c>
      <c r="H217" s="87" t="n">
        <f aca="false">IF(H216*01_Supuestos!$I$107&gt;0,H218/(H216*01_Supuestos!$I$107),0)</f>
        <v>0.0842948479315586</v>
      </c>
      <c r="I217" s="87" t="n">
        <f aca="false">IF(I216*01_Supuestos!$I$107&gt;0,I218/(I216*01_Supuestos!$I$107),0)</f>
        <v>0.1000235021631</v>
      </c>
      <c r="J217" s="87" t="n">
        <f aca="false">IF(J216*01_Supuestos!$I$107&gt;0,J218/(J216*01_Supuestos!$I$107),0)</f>
        <v>0.11624505559569</v>
      </c>
      <c r="K217" s="87" t="n">
        <f aca="false">IF(K216*01_Supuestos!$I$107&gt;0,K218/(K216*01_Supuestos!$I$107),0)</f>
        <v>0.140994568969348</v>
      </c>
      <c r="L217" s="87" t="n">
        <f aca="false">IF(L216*01_Supuestos!$I$107&gt;0,L218/(L216*01_Supuestos!$I$107),0)</f>
        <v>0.164147911606539</v>
      </c>
      <c r="M217" s="87" t="n">
        <f aca="false">IF(M216*01_Supuestos!$I$107&gt;0,M218/(M216*01_Supuestos!$I$107),0)</f>
        <v>0.184329961641679</v>
      </c>
      <c r="N217" s="87" t="n">
        <f aca="false">IF(N216*01_Supuestos!$I$107&gt;0,N218/(N216*01_Supuestos!$I$107),0)</f>
        <v>0.20082884618213</v>
      </c>
      <c r="O217" s="87" t="n">
        <f aca="false">IF(O216*01_Supuestos!$I$107&gt;0,O218/(O216*01_Supuestos!$I$107),0)</f>
        <v>0.213113753147469</v>
      </c>
      <c r="P217" s="87" t="n">
        <f aca="false">IF(P216*01_Supuestos!$I$107&gt;0,P218/(P216*01_Supuestos!$I$107),0)</f>
        <v>0.218157067927169</v>
      </c>
      <c r="Q217" s="87" t="n">
        <f aca="false">IF(Q216*01_Supuestos!$I$107&gt;0,Q218/(Q216*01_Supuestos!$I$107),0)</f>
        <v>0.216425822634453</v>
      </c>
      <c r="R217" s="87" t="n">
        <f aca="false">IF(R216*01_Supuestos!$I$107&gt;0,R218/(R216*01_Supuestos!$I$107),0)</f>
        <v>0.209834992802257</v>
      </c>
      <c r="S217" s="87" t="n">
        <f aca="false">IF(S216*01_Supuestos!$I$107&gt;0,S218/(S216*01_Supuestos!$I$107),0)</f>
        <v>0.199601488199926</v>
      </c>
      <c r="T217" s="87" t="n">
        <f aca="false">IF(T216*01_Supuestos!$I$107&gt;0,T218/(T216*01_Supuestos!$I$107),0)</f>
        <v>0.186728586433736</v>
      </c>
      <c r="U217" s="87" t="n">
        <f aca="false">IF(U216*01_Supuestos!$I$107&gt;0,U218/(U216*01_Supuestos!$I$107),0)</f>
        <v>0.174685896913841</v>
      </c>
      <c r="V217" s="87" t="n">
        <f aca="false">IF(V216*01_Supuestos!$I$107&gt;0,V218/(V216*01_Supuestos!$I$107),0)</f>
        <v>0.163419876749411</v>
      </c>
      <c r="W217" s="87" t="n">
        <f aca="false">IF(W216*01_Supuestos!$I$107&gt;0,W218/(W216*01_Supuestos!$I$107),0)</f>
        <v>0.15288043619208</v>
      </c>
      <c r="X217" s="87" t="n">
        <f aca="false">IF(X216*01_Supuestos!$I$107&gt;0,X218/(X216*01_Supuestos!$I$107),0)</f>
        <v>0.143020715932371</v>
      </c>
      <c r="Y217" s="87" t="n">
        <f aca="false">IF(Y216*01_Supuestos!$I$107&gt;0,Y218/(Y216*01_Supuestos!$I$107),0)</f>
        <v>0.133796878758956</v>
      </c>
      <c r="Z217" s="87" t="n">
        <f aca="false">IF(Z216*01_Supuestos!$I$107&gt;0,Z218/(Z216*01_Supuestos!$I$107),0)</f>
        <v>0.125167914654432</v>
      </c>
      <c r="AA217" s="87" t="n">
        <f aca="false">IF(AA216*01_Supuestos!$I$107&gt;0,AA218/(AA216*01_Supuestos!$I$107),0)</f>
        <v>0.117095458461063</v>
      </c>
      <c r="AB217" s="87" t="n">
        <f aca="false">IF(AB216*01_Supuestos!$I$107&gt;0,AB218/(AB216*01_Supuestos!$I$107),0)</f>
        <v>0.109543619305804</v>
      </c>
      <c r="AC217" s="87" t="n">
        <f aca="false">IF(AC216*01_Supuestos!$I$107&gt;0,AC218/(AC216*01_Supuestos!$I$107),0)</f>
        <v>0.102478821026224</v>
      </c>
      <c r="AD217" s="87" t="n">
        <f aca="false">IF(AD216*01_Supuestos!$I$107&gt;0,AD218/(AD216*01_Supuestos!$I$107),0)</f>
        <v>0.0958696528878373</v>
      </c>
      <c r="AE217" s="87" t="n">
        <f aca="false">IF(AE216*01_Supuestos!$I$107&gt;0,AE218/(AE216*01_Supuestos!$I$107),0)</f>
        <v>0.0896867299291284</v>
      </c>
      <c r="AF217" s="87" t="n">
        <f aca="false">IF(AF216*01_Supuestos!$I$107&gt;0,AF218/(AF216*01_Supuestos!$I$107),0)</f>
        <v>0.0839025623133439</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0.0184457238860399</v>
      </c>
      <c r="D218" s="88" t="n">
        <f aca="false">(1-01_Supuestos!$C$157)*SUMPRODUCT(($C$48:D48+$C$49:D49)*(EXP(-(((D$39-$C$39:D$39+1)-01_Supuestos!$C$156)+ABS((D$39-$C$39:D$39+1)-01_Supuestos!$C$156))/2/01_Supuestos!$C$155)-EXP(-(D$39-$C$39:D$39+1)/01_Supuestos!$C$155)))*01_Supuestos!$I$107</f>
        <v>0.0654229250523607</v>
      </c>
      <c r="E218" s="88" t="n">
        <f aca="false">(1-01_Supuestos!$C$157)*SUMPRODUCT(($C$48:E48+$C$49:E49)*(EXP(-(((E$39-$C$39:E$39+1)-01_Supuestos!$C$156)+ABS((E$39-$C$39:E$39+1)-01_Supuestos!$C$156))/2/01_Supuestos!$C$155)-EXP(-(E$39-$C$39:E$39+1)/01_Supuestos!$C$155)))*01_Supuestos!$I$107</f>
        <v>0.148680271225033</v>
      </c>
      <c r="F218" s="88" t="n">
        <f aca="false">(1-01_Supuestos!$C$157)*SUMPRODUCT(($C$48:F48+$C$49:F49)*(EXP(-(((F$39-$C$39:F$39+1)-01_Supuestos!$C$156)+ABS((F$39-$C$39:F$39+1)-01_Supuestos!$C$156))/2/01_Supuestos!$C$155)-EXP(-(F$39-$C$39:F$39+1)/01_Supuestos!$C$155)))*01_Supuestos!$I$107</f>
        <v>0.307053151176349</v>
      </c>
      <c r="G218" s="88" t="n">
        <f aca="false">(1-01_Supuestos!$C$157)*SUMPRODUCT(($C$48:G48+$C$49:G49)*(EXP(-(((G$39-$C$39:G$39+1)-01_Supuestos!$C$156)+ABS((G$39-$C$39:G$39+1)-01_Supuestos!$C$156))/2/01_Supuestos!$C$155)-EXP(-(G$39-$C$39:G$39+1)/01_Supuestos!$C$155)))*01_Supuestos!$I$107</f>
        <v>0.535697137661964</v>
      </c>
      <c r="H218" s="88" t="n">
        <f aca="false">(1-01_Supuestos!$C$157)*SUMPRODUCT(($C$48:H48+$C$49:H49)*(EXP(-(((H$39-$C$39:H$39+1)-01_Supuestos!$C$156)+ABS((H$39-$C$39:H$39+1)-01_Supuestos!$C$156))/2/01_Supuestos!$C$155)-EXP(-(H$39-$C$39:H$39+1)/01_Supuestos!$C$155)))*01_Supuestos!$I$107</f>
        <v>0.811634511270276</v>
      </c>
      <c r="I218" s="88" t="n">
        <f aca="false">(1-01_Supuestos!$C$157)*SUMPRODUCT(($C$48:I48+$C$49:I49)*(EXP(-(((I$39-$C$39:I$39+1)-01_Supuestos!$C$156)+ABS((I$39-$C$39:I$39+1)-01_Supuestos!$C$156))/2/01_Supuestos!$C$155)-EXP(-(I$39-$C$39:I$39+1)/01_Supuestos!$C$155)))*01_Supuestos!$I$107</f>
        <v>1.12053980513675</v>
      </c>
      <c r="J218" s="88" t="n">
        <f aca="false">(1-01_Supuestos!$C$157)*SUMPRODUCT(($C$48:J48+$C$49:J49)*(EXP(-(((J$39-$C$39:J$39+1)-01_Supuestos!$C$156)+ABS((J$39-$C$39:J$39+1)-01_Supuestos!$C$156))/2/01_Supuestos!$C$155)-EXP(-(J$39-$C$39:J$39+1)/01_Supuestos!$C$155)))*01_Supuestos!$I$107</f>
        <v>1.45069806996932</v>
      </c>
      <c r="K218" s="88" t="n">
        <f aca="false">(1-01_Supuestos!$C$157)*SUMPRODUCT(($C$48:K48+$C$49:K49)*(EXP(-(((K$39-$C$39:K$39+1)-01_Supuestos!$C$156)+ABS((K$39-$C$39:K$39+1)-01_Supuestos!$C$156))/2/01_Supuestos!$C$155)-EXP(-(K$39-$C$39:K$39+1)/01_Supuestos!$C$155)))*01_Supuestos!$I$107</f>
        <v>1.75956343288611</v>
      </c>
      <c r="L218" s="88" t="n">
        <f aca="false">(1-01_Supuestos!$C$157)*SUMPRODUCT(($C$48:L48+$C$49:L49)*(EXP(-(((L$39-$C$39:L$39+1)-01_Supuestos!$C$156)+ABS((L$39-$C$39:L$39+1)-01_Supuestos!$C$156))/2/01_Supuestos!$C$155)-EXP(-(L$39-$C$39:L$39+1)/01_Supuestos!$C$155)))*01_Supuestos!$I$107</f>
        <v>2.0485091373291</v>
      </c>
      <c r="M218" s="88" t="n">
        <f aca="false">(1-01_Supuestos!$C$157)*SUMPRODUCT(($C$48:M48+$C$49:M49)*(EXP(-(((M$39-$C$39:M$39+1)-01_Supuestos!$C$156)+ABS((M$39-$C$39:M$39+1)-01_Supuestos!$C$156))/2/01_Supuestos!$C$155)-EXP(-(M$39-$C$39:M$39+1)/01_Supuestos!$C$155)))*01_Supuestos!$I$107</f>
        <v>2.30037413824435</v>
      </c>
      <c r="N218" s="88" t="n">
        <f aca="false">(1-01_Supuestos!$C$157)*SUMPRODUCT(($C$48:N48+$C$49:N49)*(EXP(-(((N$39-$C$39:N$39+1)-01_Supuestos!$C$156)+ABS((N$39-$C$39:N$39+1)-01_Supuestos!$C$156))/2/01_Supuestos!$C$155)-EXP(-(N$39-$C$39:N$39+1)/01_Supuestos!$C$155)))*01_Supuestos!$I$107</f>
        <v>2.50627450825859</v>
      </c>
      <c r="O218" s="88" t="n">
        <f aca="false">(1-01_Supuestos!$C$157)*SUMPRODUCT(($C$48:O48+$C$49:O49)*(EXP(-(((O$39-$C$39:O$39+1)-01_Supuestos!$C$156)+ABS((O$39-$C$39:O$39+1)-01_Supuestos!$C$156))/2/01_Supuestos!$C$155)-EXP(-(O$39-$C$39:O$39+1)/01_Supuestos!$C$155)))*01_Supuestos!$I$107</f>
        <v>2.65958589628317</v>
      </c>
      <c r="P218" s="88" t="n">
        <f aca="false">(1-01_Supuestos!$C$157)*SUMPRODUCT(($C$48:P48+$C$49:P49)*(EXP(-(((P$39-$C$39:P$39+1)-01_Supuestos!$C$156)+ABS((P$39-$C$39:P$39+1)-01_Supuestos!$C$156))/2/01_Supuestos!$C$155)-EXP(-(P$39-$C$39:P$39+1)/01_Supuestos!$C$155)))*01_Supuestos!$I$107</f>
        <v>2.72252471961347</v>
      </c>
      <c r="Q218" s="88" t="n">
        <f aca="false">(1-01_Supuestos!$C$157)*SUMPRODUCT(($C$48:Q48+$C$49:Q49)*(EXP(-(((Q$39-$C$39:Q$39+1)-01_Supuestos!$C$156)+ABS((Q$39-$C$39:Q$39+1)-01_Supuestos!$C$156))/2/01_Supuestos!$C$155)-EXP(-(Q$39-$C$39:Q$39+1)/01_Supuestos!$C$155)))*01_Supuestos!$I$107</f>
        <v>2.70091937741706</v>
      </c>
      <c r="R218" s="88" t="n">
        <f aca="false">(1-01_Supuestos!$C$157)*SUMPRODUCT(($C$48:R48+$C$49:R49)*(EXP(-(((R$39-$C$39:R$39+1)-01_Supuestos!$C$156)+ABS((R$39-$C$39:R$39+1)-01_Supuestos!$C$156))/2/01_Supuestos!$C$155)-EXP(-(R$39-$C$39:R$39+1)/01_Supuestos!$C$155)))*01_Supuestos!$I$107</f>
        <v>2.61866810171276</v>
      </c>
      <c r="S218" s="88" t="n">
        <f aca="false">(1-01_Supuestos!$C$157)*SUMPRODUCT(($C$48:S48+$C$49:S49)*(EXP(-(((S$39-$C$39:S$39+1)-01_Supuestos!$C$156)+ABS((S$39-$C$39:S$39+1)-01_Supuestos!$C$156))/2/01_Supuestos!$C$155)-EXP(-(S$39-$C$39:S$39+1)/01_Supuestos!$C$155)))*01_Supuestos!$I$107</f>
        <v>2.49095750533902</v>
      </c>
      <c r="T218" s="88" t="n">
        <f aca="false">(1-01_Supuestos!$C$157)*SUMPRODUCT(($C$48:T48+$C$49:T49)*(EXP(-(((T$39-$C$39:T$39+1)-01_Supuestos!$C$156)+ABS((T$39-$C$39:T$39+1)-01_Supuestos!$C$156))/2/01_Supuestos!$C$155)-EXP(-(T$39-$C$39:T$39+1)/01_Supuestos!$C$155)))*01_Supuestos!$I$107</f>
        <v>2.33030814566159</v>
      </c>
      <c r="U218" s="88" t="n">
        <f aca="false">(1-01_Supuestos!$C$157)*SUMPRODUCT(($C$48:U48+$C$49:U49)*(EXP(-(((U$39-$C$39:U$39+1)-01_Supuestos!$C$156)+ABS((U$39-$C$39:U$39+1)-01_Supuestos!$C$156))/2/01_Supuestos!$C$155)-EXP(-(U$39-$C$39:U$39+1)/01_Supuestos!$C$155)))*01_Supuestos!$I$107</f>
        <v>2.18001954754249</v>
      </c>
      <c r="V218" s="88" t="n">
        <f aca="false">(1-01_Supuestos!$C$157)*SUMPRODUCT(($C$48:V48+$C$49:V49)*(EXP(-(((V$39-$C$39:V$39+1)-01_Supuestos!$C$156)+ABS((V$39-$C$39:V$39+1)-01_Supuestos!$C$156))/2/01_Supuestos!$C$155)-EXP(-(V$39-$C$39:V$39+1)/01_Supuestos!$C$155)))*01_Supuestos!$I$107</f>
        <v>2.03942351423147</v>
      </c>
      <c r="W218" s="88" t="n">
        <f aca="false">(1-01_Supuestos!$C$157)*SUMPRODUCT(($C$48:W48+$C$49:W49)*(EXP(-(((W$39-$C$39:W$39+1)-01_Supuestos!$C$156)+ABS((W$39-$C$39:W$39+1)-01_Supuestos!$C$156))/2/01_Supuestos!$C$155)-EXP(-(W$39-$C$39:W$39+1)/01_Supuestos!$C$155)))*01_Supuestos!$I$107</f>
        <v>1.90789494300127</v>
      </c>
      <c r="X218" s="88" t="n">
        <f aca="false">(1-01_Supuestos!$C$157)*SUMPRODUCT(($C$48:X48+$C$49:X49)*(EXP(-(((X$39-$C$39:X$39+1)-01_Supuestos!$C$156)+ABS((X$39-$C$39:X$39+1)-01_Supuestos!$C$156))/2/01_Supuestos!$C$155)-EXP(-(X$39-$C$39:X$39+1)/01_Supuestos!$C$155)))*01_Supuestos!$I$107</f>
        <v>1.78484904588418</v>
      </c>
      <c r="Y218" s="88" t="n">
        <f aca="false">(1-01_Supuestos!$C$157)*SUMPRODUCT(($C$48:Y48+$C$49:Y49)*(EXP(-(((Y$39-$C$39:Y$39+1)-01_Supuestos!$C$156)+ABS((Y$39-$C$39:Y$39+1)-01_Supuestos!$C$156))/2/01_Supuestos!$C$155)-EXP(-(Y$39-$C$39:Y$39+1)/01_Supuestos!$C$155)))*01_Supuestos!$I$107</f>
        <v>1.66973874965167</v>
      </c>
      <c r="Z218" s="88" t="n">
        <f aca="false">(1-01_Supuestos!$C$157)*SUMPRODUCT(($C$48:Z48+$C$49:Z49)*(EXP(-(((Z$39-$C$39:Z$39+1)-01_Supuestos!$C$156)+ABS((Z$39-$C$39:Z$39+1)-01_Supuestos!$C$156))/2/01_Supuestos!$C$155)-EXP(-(Z$39-$C$39:Z$39+1)/01_Supuestos!$C$155)))*01_Supuestos!$I$107</f>
        <v>1.5620522634771</v>
      </c>
      <c r="AA218" s="88" t="n">
        <f aca="false">(1-01_Supuestos!$C$157)*SUMPRODUCT(($C$48:AA48+$C$49:AA49)*(EXP(-(((AA$39-$C$39:AA$39+1)-01_Supuestos!$C$156)+ABS((AA$39-$C$39:AA$39+1)-01_Supuestos!$C$156))/2/01_Supuestos!$C$155)-EXP(-(AA$39-$C$39:AA$39+1)/01_Supuestos!$C$155)))*01_Supuestos!$I$107</f>
        <v>1.46131080346727</v>
      </c>
      <c r="AB218" s="88" t="n">
        <f aca="false">(1-01_Supuestos!$C$157)*SUMPRODUCT(($C$48:AB48+$C$49:AB49)*(EXP(-(((AB$39-$C$39:AB$39+1)-01_Supuestos!$C$156)+ABS((AB$39-$C$39:AB$39+1)-01_Supuestos!$C$156))/2/01_Supuestos!$C$155)-EXP(-(AB$39-$C$39:AB$39+1)/01_Supuestos!$C$155)))*01_Supuestos!$I$107</f>
        <v>1.3670664639458</v>
      </c>
      <c r="AC218" s="88" t="n">
        <f aca="false">(1-01_Supuestos!$C$157)*SUMPRODUCT(($C$48:AC48+$C$49:AC49)*(EXP(-(((AC$39-$C$39:AC$39+1)-01_Supuestos!$C$156)+ABS((AC$39-$C$39:AC$39+1)-01_Supuestos!$C$156))/2/01_Supuestos!$C$155)-EXP(-(AC$39-$C$39:AC$39+1)/01_Supuestos!$C$155)))*01_Supuestos!$I$107</f>
        <v>1.27890022602377</v>
      </c>
      <c r="AD218" s="88" t="n">
        <f aca="false">(1-01_Supuestos!$C$157)*SUMPRODUCT(($C$48:AD48+$C$49:AD49)*(EXP(-(((AD$39-$C$39:AD$39+1)-01_Supuestos!$C$156)+ABS((AD$39-$C$39:AD$39+1)-01_Supuestos!$C$156))/2/01_Supuestos!$C$155)-EXP(-(AD$39-$C$39:AD$39+1)/01_Supuestos!$C$155)))*01_Supuestos!$I$107</f>
        <v>1.19642009460375</v>
      </c>
      <c r="AE218" s="88" t="n">
        <f aca="false">(1-01_Supuestos!$C$157)*SUMPRODUCT(($C$48:AE48+$C$49:AE49)*(EXP(-(((AE$39-$C$39:AE$39+1)-01_Supuestos!$C$156)+ABS((AE$39-$C$39:AE$39+1)-01_Supuestos!$C$156))/2/01_Supuestos!$C$155)-EXP(-(AE$39-$C$39:AE$39+1)/01_Supuestos!$C$155)))*01_Supuestos!$I$107</f>
        <v>1.119259355534</v>
      </c>
      <c r="AF218" s="88" t="n">
        <f aca="false">(1-01_Supuestos!$C$157)*SUMPRODUCT(($C$48:AF48+$C$49:AF49)*(EXP(-(((AF$39-$C$39:AF$39+1)-01_Supuestos!$C$156)+ABS((AF$39-$C$39:AF$39+1)-01_Supuestos!$C$156))/2/01_Supuestos!$C$155)-EXP(-(AF$39-$C$39:AF$39+1)/01_Supuestos!$C$155)))*01_Supuestos!$I$107</f>
        <v>1.04707494516404</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0.0184457238860399</v>
      </c>
      <c r="D220" s="88" t="n">
        <f aca="false">D218</f>
        <v>0.0654229250523607</v>
      </c>
      <c r="E220" s="88" t="n">
        <f aca="false">E218</f>
        <v>0.148680271225033</v>
      </c>
      <c r="F220" s="88" t="n">
        <f aca="false">F218</f>
        <v>0.307053151176349</v>
      </c>
      <c r="G220" s="88" t="n">
        <f aca="false">G218</f>
        <v>0.535697137661964</v>
      </c>
      <c r="H220" s="88" t="n">
        <f aca="false">H218</f>
        <v>0.811634511270276</v>
      </c>
      <c r="I220" s="88" t="n">
        <f aca="false">I218</f>
        <v>1.12053980513675</v>
      </c>
      <c r="J220" s="88" t="n">
        <f aca="false">J218</f>
        <v>1.45069806996932</v>
      </c>
      <c r="K220" s="88" t="n">
        <f aca="false">K218</f>
        <v>1.75956343288611</v>
      </c>
      <c r="L220" s="88" t="n">
        <f aca="false">L218</f>
        <v>2.0485091373291</v>
      </c>
      <c r="M220" s="88" t="n">
        <f aca="false">M218</f>
        <v>2.30037413824435</v>
      </c>
      <c r="N220" s="88" t="n">
        <f aca="false">N218</f>
        <v>2.50627450825859</v>
      </c>
      <c r="O220" s="88" t="n">
        <f aca="false">O218</f>
        <v>2.65958589628317</v>
      </c>
      <c r="P220" s="88" t="n">
        <f aca="false">P218</f>
        <v>2.72252471961347</v>
      </c>
      <c r="Q220" s="88" t="n">
        <f aca="false">Q218</f>
        <v>2.70091937741706</v>
      </c>
      <c r="R220" s="88" t="n">
        <f aca="false">R218</f>
        <v>2.61866810171276</v>
      </c>
      <c r="S220" s="88" t="n">
        <f aca="false">S218</f>
        <v>2.49095750533902</v>
      </c>
      <c r="T220" s="88" t="n">
        <f aca="false">T218</f>
        <v>2.33030814566159</v>
      </c>
      <c r="U220" s="88" t="n">
        <f aca="false">U218</f>
        <v>2.18001954754249</v>
      </c>
      <c r="V220" s="88" t="n">
        <f aca="false">V218</f>
        <v>2.03942351423147</v>
      </c>
      <c r="W220" s="88" t="n">
        <f aca="false">W218</f>
        <v>1.90789494300127</v>
      </c>
      <c r="X220" s="88" t="n">
        <f aca="false">X218</f>
        <v>1.78484904588418</v>
      </c>
      <c r="Y220" s="88" t="n">
        <f aca="false">Y218</f>
        <v>1.66973874965167</v>
      </c>
      <c r="Z220" s="88" t="n">
        <f aca="false">Z218</f>
        <v>1.5620522634771</v>
      </c>
      <c r="AA220" s="88" t="n">
        <f aca="false">AA218</f>
        <v>1.46131080346727</v>
      </c>
      <c r="AB220" s="88" t="n">
        <f aca="false">AB218</f>
        <v>1.3670664639458</v>
      </c>
      <c r="AC220" s="88" t="n">
        <f aca="false">AC218</f>
        <v>1.27890022602377</v>
      </c>
      <c r="AD220" s="88" t="n">
        <f aca="false">AD218</f>
        <v>1.19642009460375</v>
      </c>
      <c r="AE220" s="88" t="n">
        <f aca="false">AE218</f>
        <v>1.119259355534</v>
      </c>
      <c r="AF220" s="88" t="n">
        <f aca="false">AF218</f>
        <v>1.04707494516404</v>
      </c>
    </row>
    <row r="221" customFormat="false" ht="14.25" hidden="false" customHeight="true" outlineLevel="0" collapsed="false">
      <c r="B221" s="1" t="s">
        <v>1346</v>
      </c>
      <c r="C221" s="116" t="n">
        <f aca="false">C112</f>
        <v>0.0236534055447657</v>
      </c>
      <c r="D221" s="116" t="n">
        <f aca="false">D112</f>
        <v>0.0625411439638284</v>
      </c>
      <c r="E221" s="116" t="n">
        <f aca="false">E112</f>
        <v>0.114975258393498</v>
      </c>
      <c r="F221" s="116" t="n">
        <f aca="false">F112</f>
        <v>0.235280488140055</v>
      </c>
      <c r="G221" s="116" t="n">
        <f aca="false">G112</f>
        <v>0.355584595852633</v>
      </c>
      <c r="H221" s="116" t="n">
        <f aca="false">H112</f>
        <v>0.455022126799729</v>
      </c>
      <c r="I221" s="116" t="n">
        <f aca="false">I112</f>
        <v>0.5420104840738</v>
      </c>
      <c r="J221" s="116" t="n">
        <f aca="false">J112</f>
        <v>0.618236002576194</v>
      </c>
      <c r="K221" s="116" t="n">
        <f aca="false">K112</f>
        <v>0.643407388159918</v>
      </c>
      <c r="L221" s="116" t="n">
        <f aca="false">L112</f>
        <v>0.66859912241482</v>
      </c>
      <c r="M221" s="116" t="n">
        <f aca="false">M112</f>
        <v>0.69332452511844</v>
      </c>
      <c r="N221" s="116" t="n">
        <f aca="false">N112</f>
        <v>0.717107009946887</v>
      </c>
      <c r="O221" s="116" t="n">
        <f aca="false">O112</f>
        <v>0.73954116968916</v>
      </c>
      <c r="P221" s="116" t="n">
        <f aca="false">P112</f>
        <v>0.759510187428796</v>
      </c>
      <c r="Q221" s="116" t="n">
        <f aca="false">Q112</f>
        <v>0.777013146091049</v>
      </c>
      <c r="R221" s="116" t="n">
        <f aca="false">R112</f>
        <v>0.792620110377628</v>
      </c>
      <c r="S221" s="116" t="n">
        <f aca="false">S112</f>
        <v>0.806798970985701</v>
      </c>
      <c r="T221" s="116" t="n">
        <f aca="false">T112</f>
        <v>0.819946519068373</v>
      </c>
      <c r="U221" s="116" t="n">
        <f aca="false">U112</f>
        <v>0.833163850480704</v>
      </c>
      <c r="V221" s="116" t="n">
        <f aca="false">V112</f>
        <v>0.846443158617113</v>
      </c>
      <c r="W221" s="116" t="n">
        <f aca="false">W112</f>
        <v>0.859489808631714</v>
      </c>
      <c r="X221" s="116" t="n">
        <f aca="false">X112</f>
        <v>0.872296302344462</v>
      </c>
      <c r="Y221" s="116" t="n">
        <f aca="false">Y112</f>
        <v>0.884855166534295</v>
      </c>
      <c r="Z221" s="116" t="n">
        <f aca="false">Z112</f>
        <v>0.897158951351965</v>
      </c>
      <c r="AA221" s="116" t="n">
        <f aca="false">AA112</f>
        <v>0.909200228800247</v>
      </c>
      <c r="AB221" s="116" t="n">
        <f aca="false">AB112</f>
        <v>0.920978398083441</v>
      </c>
      <c r="AC221" s="116" t="n">
        <f aca="false">AC112</f>
        <v>0.932492877405452</v>
      </c>
      <c r="AD221" s="116" t="n">
        <f aca="false">AD112</f>
        <v>0.941396985582091</v>
      </c>
      <c r="AE221" s="116" t="n">
        <f aca="false">AE112</f>
        <v>0.950072595450609</v>
      </c>
      <c r="AF221" s="116" t="n">
        <f aca="false">AF112</f>
        <v>0.9585135019553</v>
      </c>
    </row>
    <row r="222" customFormat="false" ht="14.25" hidden="false" customHeight="true" outlineLevel="0" collapsed="false">
      <c r="B222" s="1" t="s">
        <v>1218</v>
      </c>
      <c r="C222" s="87" t="n">
        <f aca="false">IF(C221&gt;0,C220/C221,0)</f>
        <v>0.779833747454677</v>
      </c>
      <c r="D222" s="87" t="n">
        <f aca="false">IF(D221&gt;0,D220/D221,0)</f>
        <v>1.04607816400351</v>
      </c>
      <c r="E222" s="87" t="n">
        <f aca="false">IF(E221&gt;0,E220/E221,0)</f>
        <v>1.29315013771207</v>
      </c>
      <c r="F222" s="87" t="n">
        <f aca="false">IF(F221&gt;0,F220/F221,0)</f>
        <v>1.30505148813518</v>
      </c>
      <c r="G222" s="87" t="n">
        <f aca="false">IF(G221&gt;0,G220/G221,0)</f>
        <v>1.50652515297366</v>
      </c>
      <c r="H222" s="87" t="n">
        <f aca="false">IF(H221&gt;0,H220/H221,0)</f>
        <v>1.78372536953023</v>
      </c>
      <c r="I222" s="87" t="n">
        <f aca="false">IF(I221&gt;0,I220/I221,0)</f>
        <v>2.06737662473735</v>
      </c>
      <c r="J222" s="87" t="n">
        <f aca="false">IF(J221&gt;0,J220/J221,0)</f>
        <v>2.34651179149104</v>
      </c>
      <c r="K222" s="87" t="n">
        <f aca="false">IF(K221&gt;0,K220/K221,0)</f>
        <v>2.73475789253569</v>
      </c>
      <c r="L222" s="87" t="n">
        <f aca="false">IF(L221&gt;0,L220/L221,0)</f>
        <v>3.06388248002835</v>
      </c>
      <c r="M222" s="87" t="n">
        <f aca="false">IF(M221&gt;0,M220/M221,0)</f>
        <v>3.31788946576119</v>
      </c>
      <c r="N222" s="87" t="n">
        <f aca="false">IF(N221&gt;0,N220/N221,0)</f>
        <v>3.49497979171089</v>
      </c>
      <c r="O222" s="87" t="n">
        <f aca="false">IF(O221&gt;0,O220/O221,0)</f>
        <v>3.59626482647482</v>
      </c>
      <c r="P222" s="87" t="n">
        <f aca="false">IF(P221&gt;0,P220/P221,0)</f>
        <v>3.58457959442277</v>
      </c>
      <c r="Q222" s="87" t="n">
        <f aca="false">IF(Q221&gt;0,Q220/Q221,0)</f>
        <v>3.47602790378088</v>
      </c>
      <c r="R222" s="87" t="n">
        <f aca="false">IF(R221&gt;0,R220/R221,0)</f>
        <v>3.30381234014508</v>
      </c>
      <c r="S222" s="87" t="n">
        <f aca="false">IF(S221&gt;0,S220/S221,0)</f>
        <v>3.08745746452268</v>
      </c>
      <c r="T222" s="87" t="n">
        <f aca="false">IF(T221&gt;0,T220/T221,0)</f>
        <v>2.84202456071073</v>
      </c>
      <c r="U222" s="87" t="n">
        <f aca="false">IF(U221&gt;0,U220/U221,0)</f>
        <v>2.61655561062173</v>
      </c>
      <c r="V222" s="87" t="n">
        <f aca="false">IF(V221&gt;0,V220/V221,0)</f>
        <v>2.40940397883704</v>
      </c>
      <c r="W222" s="87" t="n">
        <f aca="false">IF(W221&gt;0,W220/W221,0)</f>
        <v>2.21979937846917</v>
      </c>
      <c r="X222" s="87" t="n">
        <f aca="false">IF(X221&gt;0,X220/X221,0)</f>
        <v>2.04614996198776</v>
      </c>
      <c r="Y222" s="87" t="n">
        <f aca="false">IF(Y221&gt;0,Y220/Y221,0)</f>
        <v>1.88701926914381</v>
      </c>
      <c r="Z222" s="87" t="n">
        <f aca="false">IF(Z221&gt;0,Z220/Z221,0)</f>
        <v>1.7411098235415</v>
      </c>
      <c r="AA222" s="87" t="n">
        <f aca="false">IF(AA221&gt;0,AA220/AA221,0)</f>
        <v>1.6072486094681</v>
      </c>
      <c r="AB222" s="87" t="n">
        <f aca="false">IF(AB221&gt;0,AB220/AB221,0)</f>
        <v>1.48436322370934</v>
      </c>
      <c r="AC222" s="87" t="n">
        <f aca="false">IF(AC221&gt;0,AC220/AC221,0)</f>
        <v>1.37148524885483</v>
      </c>
      <c r="AD222" s="87" t="n">
        <f aca="false">IF(AD221&gt;0,AD220/AD221,0)</f>
        <v>1.27089858256129</v>
      </c>
      <c r="AE222" s="87" t="n">
        <f aca="false">IF(AE221&gt;0,AE220/AE221,0)</f>
        <v>1.17807771836967</v>
      </c>
      <c r="AF222" s="87" t="n">
        <f aca="false">IF(AF221&gt;0,AF220/AF221,0)</f>
        <v>1.09239457037182</v>
      </c>
    </row>
    <row r="223" customFormat="false" ht="14.25" hidden="false" customHeight="true" outlineLevel="0" collapsed="false">
      <c r="B223" s="1" t="s">
        <v>1219</v>
      </c>
      <c r="C223" s="88" t="n">
        <f aca="false">C220-C221</f>
        <v>-0.00520768165872584</v>
      </c>
      <c r="D223" s="88" t="n">
        <f aca="false">D220-D221</f>
        <v>0.00288178108853226</v>
      </c>
      <c r="E223" s="88" t="n">
        <f aca="false">E220-E221</f>
        <v>0.0337050128315349</v>
      </c>
      <c r="F223" s="88" t="n">
        <f aca="false">F220-F221</f>
        <v>0.0717726630362945</v>
      </c>
      <c r="G223" s="88" t="n">
        <f aca="false">G220-G221</f>
        <v>0.180112541809331</v>
      </c>
      <c r="H223" s="88" t="n">
        <f aca="false">H220-H221</f>
        <v>0.356612384470547</v>
      </c>
      <c r="I223" s="88" t="n">
        <f aca="false">I220-I221</f>
        <v>0.57852932106295</v>
      </c>
      <c r="J223" s="88" t="n">
        <f aca="false">J220-J221</f>
        <v>0.832462067393129</v>
      </c>
      <c r="K223" s="88" t="n">
        <f aca="false">K220-K221</f>
        <v>1.1161560447262</v>
      </c>
      <c r="L223" s="88" t="n">
        <f aca="false">L220-L221</f>
        <v>1.37991001491428</v>
      </c>
      <c r="M223" s="88" t="n">
        <f aca="false">M220-M221</f>
        <v>1.60704961312591</v>
      </c>
      <c r="N223" s="88" t="n">
        <f aca="false">N220-N221</f>
        <v>1.78916749831171</v>
      </c>
      <c r="O223" s="88" t="n">
        <f aca="false">O220-O221</f>
        <v>1.92004472659401</v>
      </c>
      <c r="P223" s="88" t="n">
        <f aca="false">P220-P221</f>
        <v>1.96301453218468</v>
      </c>
      <c r="Q223" s="88" t="n">
        <f aca="false">Q220-Q221</f>
        <v>1.92390623132601</v>
      </c>
      <c r="R223" s="88" t="n">
        <f aca="false">R220-R221</f>
        <v>1.82604799133514</v>
      </c>
      <c r="S223" s="88" t="n">
        <f aca="false">S220-S221</f>
        <v>1.68415853435332</v>
      </c>
      <c r="T223" s="88" t="n">
        <f aca="false">T220-T221</f>
        <v>1.51036162659321</v>
      </c>
      <c r="U223" s="88" t="n">
        <f aca="false">U220-U221</f>
        <v>1.34685569706179</v>
      </c>
      <c r="V223" s="88" t="n">
        <f aca="false">V220-V221</f>
        <v>1.19298035561435</v>
      </c>
      <c r="W223" s="88" t="n">
        <f aca="false">W220-W221</f>
        <v>1.04840513436955</v>
      </c>
      <c r="X223" s="88" t="n">
        <f aca="false">X220-X221</f>
        <v>0.912552743539721</v>
      </c>
      <c r="Y223" s="88" t="n">
        <f aca="false">Y220-Y221</f>
        <v>0.784883583117377</v>
      </c>
      <c r="Z223" s="88" t="n">
        <f aca="false">Z220-Z221</f>
        <v>0.664893312125134</v>
      </c>
      <c r="AA223" s="88" t="n">
        <f aca="false">AA220-AA221</f>
        <v>0.552110574667028</v>
      </c>
      <c r="AB223" s="88" t="n">
        <f aca="false">AB220-AB221</f>
        <v>0.44608806586236</v>
      </c>
      <c r="AC223" s="88" t="n">
        <f aca="false">AC220-AC221</f>
        <v>0.34640734861832</v>
      </c>
      <c r="AD223" s="88" t="n">
        <f aca="false">AD220-AD221</f>
        <v>0.255023109021662</v>
      </c>
      <c r="AE223" s="88" t="n">
        <f aca="false">AE220-AE221</f>
        <v>0.169186760083391</v>
      </c>
      <c r="AF223" s="88" t="n">
        <f aca="false">AF220-AF221</f>
        <v>0.0885614432087437</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MIN($C$226*(C70+0)*0.3/0.55,$C$172*C83)</f>
        <v>0</v>
      </c>
      <c r="D227" s="1" t="n">
        <f aca="false">MIN($C$226*(D70+C121)*0.3/0.55,$C$172*D83)</f>
        <v>0</v>
      </c>
      <c r="E227" s="1" t="n">
        <f aca="false">MIN($C$226*(E70+D121)*0.3/0.55,$C$172*E83)</f>
        <v>0</v>
      </c>
      <c r="F227" s="1" t="n">
        <f aca="false">MIN($C$226*(F70+E121)*0.3/0.55,$C$172*F83)</f>
        <v>0</v>
      </c>
      <c r="G227" s="1" t="n">
        <f aca="false">MIN($C$226*(G70+F121)*0.3/0.55,$C$172*G83)</f>
        <v>0</v>
      </c>
      <c r="H227" s="1" t="n">
        <f aca="false">MIN($C$226*(H70+G121)*0.3/0.55,$C$172*H83)</f>
        <v>0</v>
      </c>
      <c r="I227" s="1" t="n">
        <f aca="false">MIN($C$226*(I70+H121)*0.3/0.55,$C$172*I83)</f>
        <v>0</v>
      </c>
      <c r="J227" s="1" t="n">
        <f aca="false">MIN($C$226*(J70+I121)*0.3/0.55,$C$172*J83)</f>
        <v>0</v>
      </c>
      <c r="K227" s="1" t="n">
        <f aca="false">MIN($C$226*(K70+J121)*0.3/0.55,$C$172*K83)</f>
        <v>0</v>
      </c>
      <c r="L227" s="1" t="n">
        <f aca="false">MIN($C$226*(L70+K121)*0.3/0.55,$C$172*L83)</f>
        <v>0</v>
      </c>
      <c r="M227" s="1" t="n">
        <f aca="false">MIN($C$226*(M70+L121)*0.3/0.55,$C$172*M83)</f>
        <v>0</v>
      </c>
      <c r="N227" s="1" t="n">
        <f aca="false">MIN($C$226*(N70+M121)*0.3/0.55,$C$172*N83)</f>
        <v>0</v>
      </c>
      <c r="O227" s="1" t="n">
        <f aca="false">MIN($C$226*(O70+N121)*0.3/0.55,$C$172*O83)</f>
        <v>0</v>
      </c>
      <c r="P227" s="1" t="n">
        <f aca="false">MIN($C$226*(P70+O121)*0.3/0.55,$C$172*P83)</f>
        <v>0</v>
      </c>
      <c r="Q227" s="1" t="n">
        <f aca="false">MIN($C$226*(Q70+P121)*0.3/0.55,$C$172*Q83)</f>
        <v>0</v>
      </c>
      <c r="R227" s="1" t="n">
        <f aca="false">MIN($C$226*(R70+Q121)*0.3/0.55,$C$172*R83)</f>
        <v>0</v>
      </c>
      <c r="S227" s="1" t="n">
        <f aca="false">MIN($C$226*(S70+R121)*0.3/0.55,$C$172*S83)</f>
        <v>0</v>
      </c>
      <c r="T227" s="1" t="n">
        <f aca="false">MIN($C$226*(T70+S121)*0.3/0.55,$C$172*T83)</f>
        <v>0</v>
      </c>
      <c r="U227" s="1" t="n">
        <f aca="false">MIN($C$226*(U70+T121)*0.3/0.55,$C$172*U83)</f>
        <v>0</v>
      </c>
      <c r="V227" s="1" t="n">
        <f aca="false">MIN($C$226*(V70+U121)*0.3/0.55,$C$172*V83)</f>
        <v>0</v>
      </c>
      <c r="W227" s="1" t="n">
        <f aca="false">MIN($C$226*(W70+V121)*0.3/0.55,$C$172*W83)</f>
        <v>0</v>
      </c>
      <c r="X227" s="1" t="n">
        <f aca="false">MIN($C$226*(X70+W121)*0.3/0.55,$C$172*X83)</f>
        <v>0</v>
      </c>
      <c r="Y227" s="1" t="n">
        <f aca="false">MIN($C$226*(Y70+X121)*0.3/0.55,$C$172*Y83)</f>
        <v>0</v>
      </c>
      <c r="Z227" s="1" t="n">
        <f aca="false">MIN($C$226*(Z70+Y121)*0.3/0.55,$C$172*Z83)</f>
        <v>0</v>
      </c>
      <c r="AA227" s="1" t="n">
        <f aca="false">MIN($C$226*(AA70+Z121)*0.3/0.55,$C$172*AA83)</f>
        <v>0</v>
      </c>
      <c r="AB227" s="1" t="n">
        <f aca="false">MIN($C$226*(AB70+AA121)*0.3/0.55,$C$172*AB83)</f>
        <v>0</v>
      </c>
      <c r="AC227" s="1" t="n">
        <f aca="false">MIN($C$226*(AC70+AB121)*0.3/0.55,$C$172*AC83)</f>
        <v>0</v>
      </c>
      <c r="AD227" s="1" t="n">
        <f aca="false">MIN($C$226*(AD70+AC121)*0.3/0.55,$C$172*AD83)</f>
        <v>0</v>
      </c>
      <c r="AE227" s="1" t="n">
        <f aca="false">MIN($C$226*(AE70+AD121)*0.3/0.55,$C$172*AE83)</f>
        <v>0</v>
      </c>
      <c r="AF227" s="1" t="n">
        <f aca="false">MIN($C$226*(AF70+AE121)*0.3/0.55,$C$172*AF83)</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0.368914477720798</v>
      </c>
      <c r="D232" s="1" t="n">
        <f aca="false">D216*D217</f>
        <v>1.30845850104721</v>
      </c>
      <c r="E232" s="1" t="n">
        <f aca="false">E216*E217</f>
        <v>2.97360542450067</v>
      </c>
      <c r="F232" s="1" t="n">
        <f aca="false">F216*F217</f>
        <v>6.14106302352698</v>
      </c>
      <c r="G232" s="1" t="n">
        <f aca="false">G216*G217</f>
        <v>10.7139427532393</v>
      </c>
      <c r="H232" s="1" t="n">
        <f aca="false">H216*H217</f>
        <v>16.2326902254055</v>
      </c>
      <c r="I232" s="1" t="n">
        <f aca="false">I216*I217</f>
        <v>22.410796102735</v>
      </c>
      <c r="J232" s="1" t="n">
        <f aca="false">J216*J217</f>
        <v>29.0139613993865</v>
      </c>
      <c r="K232" s="1" t="n">
        <f aca="false">K216*K217</f>
        <v>35.1912686577223</v>
      </c>
      <c r="L232" s="1" t="n">
        <f aca="false">L216*L217</f>
        <v>40.9701827465819</v>
      </c>
      <c r="M232" s="1" t="n">
        <f aca="false">M216*M217</f>
        <v>46.0074827648869</v>
      </c>
      <c r="N232" s="1" t="n">
        <f aca="false">N216*N217</f>
        <v>50.1254901651719</v>
      </c>
      <c r="O232" s="1" t="n">
        <f aca="false">O216*O217</f>
        <v>53.1917179256634</v>
      </c>
      <c r="P232" s="1" t="n">
        <f aca="false">P216*P217</f>
        <v>54.4504943922695</v>
      </c>
      <c r="Q232" s="1" t="n">
        <f aca="false">Q216*Q217</f>
        <v>54.0183875483411</v>
      </c>
      <c r="R232" s="1" t="n">
        <f aca="false">R216*R217</f>
        <v>52.3733620342553</v>
      </c>
      <c r="S232" s="1" t="n">
        <f aca="false">S216*S217</f>
        <v>49.8191501067804</v>
      </c>
      <c r="T232" s="1" t="n">
        <f aca="false">T216*T217</f>
        <v>46.6061629132317</v>
      </c>
      <c r="U232" s="1" t="n">
        <f aca="false">U216*U217</f>
        <v>43.6003909508498</v>
      </c>
      <c r="V232" s="1" t="n">
        <f aca="false">V216*V217</f>
        <v>40.7884702846293</v>
      </c>
      <c r="W232" s="1" t="n">
        <f aca="false">W216*W217</f>
        <v>38.1578988600253</v>
      </c>
      <c r="X232" s="1" t="n">
        <f aca="false">X216*X217</f>
        <v>35.6969809176837</v>
      </c>
      <c r="Y232" s="1" t="n">
        <f aca="false">Y216*Y217</f>
        <v>33.3947749930334</v>
      </c>
      <c r="Z232" s="1" t="n">
        <f aca="false">Z216*Z217</f>
        <v>31.241045269542</v>
      </c>
      <c r="AA232" s="1" t="n">
        <f aca="false">AA216*AA217</f>
        <v>29.2262160693455</v>
      </c>
      <c r="AB232" s="1" t="n">
        <f aca="false">AB216*AB217</f>
        <v>27.341329278916</v>
      </c>
      <c r="AC232" s="1" t="n">
        <f aca="false">AC216*AC217</f>
        <v>25.5780045204754</v>
      </c>
      <c r="AD232" s="1" t="n">
        <f aca="false">AD216*AD217</f>
        <v>23.9284018920751</v>
      </c>
      <c r="AE232" s="1" t="n">
        <f aca="false">AE216*AE217</f>
        <v>22.38518711068</v>
      </c>
      <c r="AF232" s="1" t="n">
        <f aca="false">AF216*AF217</f>
        <v>20.9414989032809</v>
      </c>
    </row>
    <row r="233" customFormat="false" ht="14.25" hidden="false" customHeight="true" outlineLevel="0" collapsed="false">
      <c r="B233" s="1" t="s">
        <v>1229</v>
      </c>
      <c r="C233" s="1" t="n">
        <f aca="false">IF(C81&gt;0,(C107+C109+C110+C184-C108-C229)/C81,0)</f>
        <v>0.0235631742617283</v>
      </c>
      <c r="D233" s="1" t="n">
        <f aca="false">IF(C81&gt;0,(D107+D109+D110+D184-D108-D229)/C81,0)</f>
        <v>0.115753116084497</v>
      </c>
      <c r="E233" s="1" t="n">
        <f aca="false">IF(D81&gt;0,(E107+E109+E110+E184-E108-E229)/D81,0)</f>
        <v>0.0791167751943167</v>
      </c>
      <c r="F233" s="1" t="n">
        <f aca="false">IF(E81&gt;0,(F107+F109+F110+F184-F108-F229)/E81,0)</f>
        <v>0.0683350191476662</v>
      </c>
      <c r="G233" s="1" t="n">
        <f aca="false">IF(F81&gt;0,(G107+G109+G110+G184-G108-G229)/F81,0)</f>
        <v>0.0441187259308648</v>
      </c>
      <c r="H233" s="1" t="n">
        <f aca="false">IF(G81&gt;0,(H107+H109+H110+H184-H108-H229)/G81,0)</f>
        <v>0.0360795893513176</v>
      </c>
      <c r="I233" s="1" t="n">
        <f aca="false">IF(H81&gt;0,(I107+I109+I110+I184-I108-I229)/H81,0)</f>
        <v>0.0335061005005528</v>
      </c>
      <c r="J233" s="1" t="n">
        <f aca="false">IF(I81&gt;0,(J107+J109+J110+J184-J108-J229)/I81,0)</f>
        <v>0.0325748165234095</v>
      </c>
      <c r="K233" s="1" t="n">
        <f aca="false">IF(J81&gt;0,(K107+K109+K110+K184-K108-K229)/J81,0)</f>
        <v>0.0317968557987248</v>
      </c>
      <c r="L233" s="1" t="n">
        <f aca="false">IF(K81&gt;0,(L107+L109+L110+L184-L108-L229)/K81,0)</f>
        <v>0.0338224681892563</v>
      </c>
      <c r="M233" s="1" t="n">
        <f aca="false">IF(L81&gt;0,(M107+M109+M110+M184-M108-M229)/L81,0)</f>
        <v>0.0356074727779405</v>
      </c>
      <c r="N233" s="1" t="n">
        <f aca="false">IF(M81&gt;0,(N107+N109+N110+N184-N108-N229)/M81,0)</f>
        <v>0.0347475995310292</v>
      </c>
      <c r="O233" s="1" t="n">
        <f aca="false">IF(N81&gt;0,(O107+O109+O110+O184-O108-O229)/N81,0)</f>
        <v>0.0336275378071076</v>
      </c>
      <c r="P233" s="1" t="n">
        <f aca="false">IF(O81&gt;0,(P107+P109+P110+P184-P108-P229)/O81,0)</f>
        <v>0.0330186028661599</v>
      </c>
      <c r="Q233" s="1" t="n">
        <f aca="false">IF(P81&gt;0,(Q107+Q109+Q110+Q184-Q108-Q229)/P81,0)</f>
        <v>0.0325534048577236</v>
      </c>
      <c r="R233" s="1" t="n">
        <f aca="false">IF(Q81&gt;0,(R107+R109+R110+R184-R108-R229)/Q81,0)</f>
        <v>0.0322092068329702</v>
      </c>
      <c r="S233" s="1" t="n">
        <f aca="false">IF(R81&gt;0,(S107+S109+S110+S184-S108-S229)/R81,0)</f>
        <v>0.0319466585756692</v>
      </c>
      <c r="T233" s="1" t="n">
        <f aca="false">IF(S81&gt;0,(T107+T109+T110+T184-T108-T229)/S81,0)</f>
        <v>0.0317368951073119</v>
      </c>
      <c r="U233" s="1" t="n">
        <f aca="false">IF(T81&gt;0,(U107+U109+U110+U184-U108-U229)/T81,0)</f>
        <v>0.0315577845904652</v>
      </c>
      <c r="V233" s="1" t="n">
        <f aca="false">IF(U81&gt;0,(V107+V109+V110+V184-V108-V229)/U81,0)</f>
        <v>0.0312425896962535</v>
      </c>
      <c r="W233" s="1" t="n">
        <f aca="false">IF(V81&gt;0,(W107+W109+W110+W184-W108-W229)/V81,0)</f>
        <v>0.0309338260720796</v>
      </c>
      <c r="X233" s="1" t="n">
        <f aca="false">IF(W81&gt;0,(X107+X109+X110+X184-X108-X229)/W81,0)</f>
        <v>0.0306237404950465</v>
      </c>
      <c r="Y233" s="1" t="n">
        <f aca="false">IF(X81&gt;0,(Y107+Y109+Y110+Y184-Y108-Y229)/X81,0)</f>
        <v>0.0303061643813515</v>
      </c>
      <c r="Z233" s="1" t="n">
        <f aca="false">IF(Y81&gt;0,(Z107+Z109+Z110+Z184-Z108-Z229)/Y81,0)</f>
        <v>0.0299816703740303</v>
      </c>
      <c r="AA233" s="1" t="n">
        <f aca="false">IF(Z81&gt;0,(AA107+AA109+AA110+AA184-AA108-AA229)/Z81,0)</f>
        <v>0.0296507489736862</v>
      </c>
      <c r="AB233" s="1" t="n">
        <f aca="false">IF(AA81&gt;0,(AB107+AB109+AB110+AB184-AB108-AB229)/AA81,0)</f>
        <v>0.0293138152771533</v>
      </c>
      <c r="AC233" s="1" t="n">
        <f aca="false">IF(AB81&gt;0,(AC107+AC109+AC110+AC184-AC108-AC229)/AB81,0)</f>
        <v>0.0289710001230255</v>
      </c>
      <c r="AD233" s="1" t="n">
        <f aca="false">IF(AC81&gt;0,(AD107+AD109+AD110+AD184-AD108-AD229)/AC81,0)</f>
        <v>0.0286147165491214</v>
      </c>
      <c r="AE233" s="1" t="n">
        <f aca="false">IF(AD81&gt;0,(AE107+AE109+AE110+AE184-AE108-AE229)/AD81,0)</f>
        <v>0.0284176564256128</v>
      </c>
      <c r="AF233" s="1" t="n">
        <f aca="false">IF(AE81&gt;0,(AF107+AF109+AF110+AF184-AF108-AF229)/AE81,0)</f>
        <v>0.0282827859410968</v>
      </c>
    </row>
    <row r="234" customFormat="false" ht="14.25" hidden="false" customHeight="true" outlineLevel="0" collapsed="false">
      <c r="B234" s="1" t="s">
        <v>1230</v>
      </c>
      <c r="C234" s="1" t="n">
        <f aca="false">(C232+0)/2*C233</f>
        <v>0.00434639806310482</v>
      </c>
      <c r="D234" s="1" t="n">
        <f aca="false">(D232+C232)/2*D233</f>
        <v>0.0970805745641662</v>
      </c>
      <c r="E234" s="1" t="n">
        <f aca="false">(E232+D232)/2*E233</f>
        <v>0.169391544482632</v>
      </c>
      <c r="F234" s="1" t="n">
        <f aca="false">(F232+E232)/2*F233</f>
        <v>0.311425521460299</v>
      </c>
      <c r="G234" s="1" t="n">
        <f aca="false">(G232+F232)/2*G233</f>
        <v>0.371810690214147</v>
      </c>
      <c r="H234" s="1" t="n">
        <f aca="false">(H232+G232)/2*H233</f>
        <v>0.486111726135088</v>
      </c>
      <c r="I234" s="1" t="n">
        <f aca="false">(I232+H232)/2*I233</f>
        <v>0.647396268301208</v>
      </c>
      <c r="J234" s="1" t="n">
        <f aca="false">(J232+I232)/2*J233</f>
        <v>0.837576020196217</v>
      </c>
      <c r="K234" s="1" t="n">
        <f aca="false">(K232+J232)/2*K233</f>
        <v>1.02076222082492</v>
      </c>
      <c r="L234" s="1" t="n">
        <f aca="false">(L232+K232)/2*L233</f>
        <v>1.28798413368484</v>
      </c>
      <c r="M234" s="1" t="n">
        <f aca="false">(M232+L232)/2*M233</f>
        <v>1.54852742849422</v>
      </c>
      <c r="N234" s="1" t="n">
        <f aca="false">(N232+M232)/2*N233</f>
        <v>1.67019502255048</v>
      </c>
      <c r="O234" s="1" t="n">
        <f aca="false">(O232+N232)/2*O233</f>
        <v>1.73715166059969</v>
      </c>
      <c r="P234" s="1" t="n">
        <f aca="false">(P232+O232)/2*P233</f>
        <v>1.77709773008035</v>
      </c>
      <c r="Q234" s="1" t="n">
        <f aca="false">(Q232+P232)/2*Q233</f>
        <v>1.76551571413866</v>
      </c>
      <c r="R234" s="1" t="n">
        <f aca="false">(R232+Q232)/2*R233</f>
        <v>1.71339693381371</v>
      </c>
      <c r="S234" s="1" t="n">
        <f aca="false">(S232+R232)/2*S233</f>
        <v>1.6323546471798</v>
      </c>
      <c r="T234" s="1" t="n">
        <f aca="false">(T232+S232)/2*T233</f>
        <v>1.53012002250292</v>
      </c>
      <c r="U234" s="1" t="n">
        <f aca="false">(U232+T232)/2*U233</f>
        <v>1.42335949774544</v>
      </c>
      <c r="V234" s="1" t="n">
        <f aca="false">(V232+U232)/2*V233</f>
        <v>1.31826328325707</v>
      </c>
      <c r="W234" s="1" t="n">
        <f aca="false">(W232+V232)/2*W233</f>
        <v>1.22105662607147</v>
      </c>
      <c r="X234" s="1" t="n">
        <f aca="false">(X232+W232)/2*X233</f>
        <v>1.13085633630271</v>
      </c>
      <c r="Y234" s="1" t="n">
        <f aca="false">(Y232+X232)/2*Y233</f>
        <v>1.0469530560132</v>
      </c>
      <c r="Z234" s="1" t="n">
        <f aca="false">(Z232+Y232)/2*Z233</f>
        <v>0.968944928733801</v>
      </c>
      <c r="AA234" s="1" t="n">
        <f aca="false">(AA232+Z232)/2*AA233</f>
        <v>0.896449793542817</v>
      </c>
      <c r="AB234" s="1" t="n">
        <f aca="false">(AB232+AA232)/2*AB233</f>
        <v>0.829105287510466</v>
      </c>
      <c r="AC234" s="1" t="n">
        <f aca="false">(AC232+AB232)/2*AC233</f>
        <v>0.766563013006298</v>
      </c>
      <c r="AD234" s="1" t="n">
        <f aca="false">(AD232+AC232)/2*AD233</f>
        <v>0.708305893430369</v>
      </c>
      <c r="AE234" s="1" t="n">
        <f aca="false">(AE232+AD232)/2*AE233</f>
        <v>0.658061830058667</v>
      </c>
      <c r="AF234" s="1" t="n">
        <f aca="false">(AF232+AE232)/2*AF233</f>
        <v>0.612699693034984</v>
      </c>
    </row>
    <row r="235" customFormat="false" ht="14.25" hidden="false" customHeight="true" outlineLevel="0" collapsed="false">
      <c r="B235" s="1" t="s">
        <v>1231</v>
      </c>
      <c r="C235" s="1" t="n">
        <f aca="false">MAX(0,MIN(C234,$C$231*C232))</f>
        <v>0.00184457238860399</v>
      </c>
      <c r="D235" s="1" t="n">
        <f aca="false">MAX(0,MIN(D234,$C$231*D232))</f>
        <v>0.00654229250523607</v>
      </c>
      <c r="E235" s="1" t="n">
        <f aca="false">MAX(0,MIN(E234,$C$231*E232))</f>
        <v>0.0148680271225033</v>
      </c>
      <c r="F235" s="1" t="n">
        <f aca="false">MAX(0,MIN(F234,$C$231*F232))</f>
        <v>0.0307053151176349</v>
      </c>
      <c r="G235" s="1" t="n">
        <f aca="false">MAX(0,MIN(G234,$C$231*G232))</f>
        <v>0.0535697137661963</v>
      </c>
      <c r="H235" s="1" t="n">
        <f aca="false">MAX(0,MIN(H234,$C$231*H232))</f>
        <v>0.0811634511270276</v>
      </c>
      <c r="I235" s="1" t="n">
        <f aca="false">MAX(0,MIN(I234,$C$231*I232))</f>
        <v>0.112053980513675</v>
      </c>
      <c r="J235" s="1" t="n">
        <f aca="false">MAX(0,MIN(J234,$C$231*J232))</f>
        <v>0.145069806996932</v>
      </c>
      <c r="K235" s="1" t="n">
        <f aca="false">MAX(0,MIN(K234,$C$231*K232))</f>
        <v>0.175956343288611</v>
      </c>
      <c r="L235" s="1" t="n">
        <f aca="false">MAX(0,MIN(L234,$C$231*L232))</f>
        <v>0.20485091373291</v>
      </c>
      <c r="M235" s="1" t="n">
        <f aca="false">MAX(0,MIN(M234,$C$231*M232))</f>
        <v>0.230037413824435</v>
      </c>
      <c r="N235" s="1" t="n">
        <f aca="false">MAX(0,MIN(N234,$C$231*N232))</f>
        <v>0.250627450825859</v>
      </c>
      <c r="O235" s="1" t="n">
        <f aca="false">MAX(0,MIN(O234,$C$231*O232))</f>
        <v>0.265958589628317</v>
      </c>
      <c r="P235" s="1" t="n">
        <f aca="false">MAX(0,MIN(P234,$C$231*P232))</f>
        <v>0.272252471961347</v>
      </c>
      <c r="Q235" s="1" t="n">
        <f aca="false">MAX(0,MIN(Q234,$C$231*Q232))</f>
        <v>0.270091937741706</v>
      </c>
      <c r="R235" s="1" t="n">
        <f aca="false">MAX(0,MIN(R234,$C$231*R232))</f>
        <v>0.261866810171276</v>
      </c>
      <c r="S235" s="1" t="n">
        <f aca="false">MAX(0,MIN(S234,$C$231*S232))</f>
        <v>0.249095750533902</v>
      </c>
      <c r="T235" s="1" t="n">
        <f aca="false">MAX(0,MIN(T234,$C$231*T232))</f>
        <v>0.233030814566158</v>
      </c>
      <c r="U235" s="1" t="n">
        <f aca="false">MAX(0,MIN(U234,$C$231*U232))</f>
        <v>0.218001954754249</v>
      </c>
      <c r="V235" s="1" t="n">
        <f aca="false">MAX(0,MIN(V234,$C$231*V232))</f>
        <v>0.203942351423147</v>
      </c>
      <c r="W235" s="1" t="n">
        <f aca="false">MAX(0,MIN(W234,$C$231*W232))</f>
        <v>0.190789494300126</v>
      </c>
      <c r="X235" s="1" t="n">
        <f aca="false">MAX(0,MIN(X234,$C$231*X232))</f>
        <v>0.178484904588418</v>
      </c>
      <c r="Y235" s="1" t="n">
        <f aca="false">MAX(0,MIN(Y234,$C$231*Y232))</f>
        <v>0.166973874965167</v>
      </c>
      <c r="Z235" s="1" t="n">
        <f aca="false">MAX(0,MIN(Z234,$C$231*Z232))</f>
        <v>0.15620522634771</v>
      </c>
      <c r="AA235" s="1" t="n">
        <f aca="false">MAX(0,MIN(AA234,$C$231*AA232))</f>
        <v>0.146131080346727</v>
      </c>
      <c r="AB235" s="1" t="n">
        <f aca="false">MAX(0,MIN(AB234,$C$231*AB232))</f>
        <v>0.13670664639458</v>
      </c>
      <c r="AC235" s="1" t="n">
        <f aca="false">MAX(0,MIN(AC234,$C$231*AC232))</f>
        <v>0.127890022602377</v>
      </c>
      <c r="AD235" s="1" t="n">
        <f aca="false">MAX(0,MIN(AD234,$C$231*AD232))</f>
        <v>0.119642009460375</v>
      </c>
      <c r="AE235" s="1" t="n">
        <f aca="false">MAX(0,MIN(AE234,$C$231*AE232))</f>
        <v>0.1119259355534</v>
      </c>
      <c r="AF235" s="1" t="n">
        <f aca="false">MAX(0,MIN(AF234,$C$231*AF232))</f>
        <v>0.104707494516404</v>
      </c>
    </row>
    <row r="236" customFormat="false" ht="14.25" hidden="false" customHeight="true" outlineLevel="0" collapsed="false">
      <c r="B236" s="1" t="s">
        <v>1232</v>
      </c>
      <c r="C236" s="1" t="n">
        <f aca="false">MAX(0,C234-C235)</f>
        <v>0.00250182567450083</v>
      </c>
      <c r="D236" s="1" t="n">
        <f aca="false">MAX(0,D234-D235)</f>
        <v>0.0905382820589301</v>
      </c>
      <c r="E236" s="1" t="n">
        <f aca="false">MAX(0,E234-E235)</f>
        <v>0.154523517360129</v>
      </c>
      <c r="F236" s="1" t="n">
        <f aca="false">MAX(0,F234-F235)</f>
        <v>0.280720206342664</v>
      </c>
      <c r="G236" s="1" t="n">
        <f aca="false">MAX(0,G234-G235)</f>
        <v>0.31824097644795</v>
      </c>
      <c r="H236" s="1" t="n">
        <f aca="false">MAX(0,H234-H235)</f>
        <v>0.40494827500806</v>
      </c>
      <c r="I236" s="1" t="n">
        <f aca="false">MAX(0,I234-I235)</f>
        <v>0.535342287787533</v>
      </c>
      <c r="J236" s="1" t="n">
        <f aca="false">MAX(0,J234-J235)</f>
        <v>0.692506213199285</v>
      </c>
      <c r="K236" s="1" t="n">
        <f aca="false">MAX(0,K234-K235)</f>
        <v>0.844805877536306</v>
      </c>
      <c r="L236" s="1" t="n">
        <f aca="false">MAX(0,L234-L235)</f>
        <v>1.08313321995193</v>
      </c>
      <c r="M236" s="1" t="n">
        <f aca="false">MAX(0,M234-M235)</f>
        <v>1.31849001466979</v>
      </c>
      <c r="N236" s="1" t="n">
        <f aca="false">MAX(0,N234-N235)</f>
        <v>1.41956757172462</v>
      </c>
      <c r="O236" s="1" t="n">
        <f aca="false">MAX(0,O234-O235)</f>
        <v>1.47119307097137</v>
      </c>
      <c r="P236" s="1" t="n">
        <f aca="false">MAX(0,P234-P235)</f>
        <v>1.504845258119</v>
      </c>
      <c r="Q236" s="1" t="n">
        <f aca="false">MAX(0,Q234-Q235)</f>
        <v>1.49542377639695</v>
      </c>
      <c r="R236" s="1" t="n">
        <f aca="false">MAX(0,R234-R235)</f>
        <v>1.45153012364243</v>
      </c>
      <c r="S236" s="1" t="n">
        <f aca="false">MAX(0,S234-S235)</f>
        <v>1.38325889664589</v>
      </c>
      <c r="T236" s="1" t="n">
        <f aca="false">MAX(0,T234-T235)</f>
        <v>1.29708920793676</v>
      </c>
      <c r="U236" s="1" t="n">
        <f aca="false">MAX(0,U234-U235)</f>
        <v>1.20535754299119</v>
      </c>
      <c r="V236" s="1" t="n">
        <f aca="false">MAX(0,V234-V235)</f>
        <v>1.11432093183393</v>
      </c>
      <c r="W236" s="1" t="n">
        <f aca="false">MAX(0,W234-W235)</f>
        <v>1.03026713177134</v>
      </c>
      <c r="X236" s="1" t="n">
        <f aca="false">MAX(0,X234-X235)</f>
        <v>0.952371431714289</v>
      </c>
      <c r="Y236" s="1" t="n">
        <f aca="false">MAX(0,Y234-Y235)</f>
        <v>0.879979181048035</v>
      </c>
      <c r="Z236" s="1" t="n">
        <f aca="false">MAX(0,Z234-Z235)</f>
        <v>0.812739702386091</v>
      </c>
      <c r="AA236" s="1" t="n">
        <f aca="false">MAX(0,AA234-AA235)</f>
        <v>0.750318713196089</v>
      </c>
      <c r="AB236" s="1" t="n">
        <f aca="false">MAX(0,AB234-AB235)</f>
        <v>0.692398641115886</v>
      </c>
      <c r="AC236" s="1" t="n">
        <f aca="false">MAX(0,AC234-AC235)</f>
        <v>0.638672990403921</v>
      </c>
      <c r="AD236" s="1" t="n">
        <f aca="false">MAX(0,AD234-AD235)</f>
        <v>0.588663883969994</v>
      </c>
      <c r="AE236" s="1" t="n">
        <f aca="false">MAX(0,AE234-AE235)</f>
        <v>0.546135894505267</v>
      </c>
      <c r="AF236" s="1" t="n">
        <f aca="false">MAX(0,AF234-AF235)</f>
        <v>0.507992198518579</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0.0779833747454677</v>
      </c>
      <c r="D238" s="1" t="n">
        <f aca="false">IF(D112&gt;0,D235/D112,0)</f>
        <v>0.104607816400351</v>
      </c>
      <c r="E238" s="1" t="n">
        <f aca="false">IF(E112&gt;0,E235/E112,0)</f>
        <v>0.129315013771207</v>
      </c>
      <c r="F238" s="1" t="n">
        <f aca="false">IF(F112&gt;0,F235/F112,0)</f>
        <v>0.130505148813518</v>
      </c>
      <c r="G238" s="1" t="n">
        <f aca="false">IF(G112&gt;0,G235/G112,0)</f>
        <v>0.150652515297366</v>
      </c>
      <c r="H238" s="1" t="n">
        <f aca="false">IF(H112&gt;0,H235/H112,0)</f>
        <v>0.178372536953023</v>
      </c>
      <c r="I238" s="1" t="n">
        <f aca="false">IF(I112&gt;0,I235/I112,0)</f>
        <v>0.206737662473735</v>
      </c>
      <c r="J238" s="1" t="n">
        <f aca="false">IF(J112&gt;0,J235/J112,0)</f>
        <v>0.234651179149104</v>
      </c>
      <c r="K238" s="1" t="n">
        <f aca="false">IF(K112&gt;0,K235/K112,0)</f>
        <v>0.273475789253569</v>
      </c>
      <c r="L238" s="1" t="n">
        <f aca="false">IF(L112&gt;0,L235/L112,0)</f>
        <v>0.306388248002835</v>
      </c>
      <c r="M238" s="1" t="n">
        <f aca="false">IF(M112&gt;0,M235/M112,0)</f>
        <v>0.331788946576118</v>
      </c>
      <c r="N238" s="1" t="n">
        <f aca="false">IF(N112&gt;0,N235/N112,0)</f>
        <v>0.349497979171089</v>
      </c>
      <c r="O238" s="1" t="n">
        <f aca="false">IF(O112&gt;0,O235/O112,0)</f>
        <v>0.359626482647482</v>
      </c>
      <c r="P238" s="1" t="n">
        <f aca="false">IF(P112&gt;0,P235/P112,0)</f>
        <v>0.358457959442277</v>
      </c>
      <c r="Q238" s="1" t="n">
        <f aca="false">IF(Q112&gt;0,Q235/Q112,0)</f>
        <v>0.347602790378088</v>
      </c>
      <c r="R238" s="1" t="n">
        <f aca="false">IF(R112&gt;0,R235/R112,0)</f>
        <v>0.330381234014508</v>
      </c>
      <c r="S238" s="1" t="n">
        <f aca="false">IF(S112&gt;0,S235/S112,0)</f>
        <v>0.308745746452268</v>
      </c>
      <c r="T238" s="1" t="n">
        <f aca="false">IF(T112&gt;0,T235/T112,0)</f>
        <v>0.284202456071073</v>
      </c>
      <c r="U238" s="1" t="n">
        <f aca="false">IF(U112&gt;0,U235/U112,0)</f>
        <v>0.261655561062173</v>
      </c>
      <c r="V238" s="1" t="n">
        <f aca="false">IF(V112&gt;0,V235/V112,0)</f>
        <v>0.240940397883704</v>
      </c>
      <c r="W238" s="1" t="n">
        <f aca="false">IF(W112&gt;0,W235/W112,0)</f>
        <v>0.221979937846917</v>
      </c>
      <c r="X238" s="1" t="n">
        <f aca="false">IF(X112&gt;0,X235/X112,0)</f>
        <v>0.204614996198776</v>
      </c>
      <c r="Y238" s="1" t="n">
        <f aca="false">IF(Y112&gt;0,Y235/Y112,0)</f>
        <v>0.188701926914381</v>
      </c>
      <c r="Z238" s="1" t="n">
        <f aca="false">IF(Z112&gt;0,Z235/Z112,0)</f>
        <v>0.17411098235415</v>
      </c>
      <c r="AA238" s="1" t="n">
        <f aca="false">IF(AA112&gt;0,AA235/AA112,0)</f>
        <v>0.16072486094681</v>
      </c>
      <c r="AB238" s="1" t="n">
        <f aca="false">IF(AB112&gt;0,AB235/AB112,0)</f>
        <v>0.148436322370934</v>
      </c>
      <c r="AC238" s="1" t="n">
        <f aca="false">IF(AC112&gt;0,AC235/AC112,0)</f>
        <v>0.137148524885483</v>
      </c>
      <c r="AD238" s="1" t="n">
        <f aca="false">IF(AD112&gt;0,AD235/AD112,0)</f>
        <v>0.127089858256129</v>
      </c>
      <c r="AE238" s="1" t="n">
        <f aca="false">IF(AE112&gt;0,AE235/AE112,0)</f>
        <v>0.117807771836967</v>
      </c>
      <c r="AF238" s="1" t="n">
        <f aca="false">IF(AF112&gt;0,AF235/AF112,0)</f>
        <v>0.109239457037181</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0.00250182567450083</v>
      </c>
      <c r="D243" s="1" t="n">
        <f aca="false">D236</f>
        <v>0.0905382820589301</v>
      </c>
      <c r="E243" s="1" t="n">
        <f aca="false">E236</f>
        <v>0.154523517360129</v>
      </c>
      <c r="F243" s="1" t="n">
        <f aca="false">F236</f>
        <v>0.280720206342664</v>
      </c>
      <c r="G243" s="1" t="n">
        <f aca="false">G236</f>
        <v>0.31824097644795</v>
      </c>
      <c r="H243" s="1" t="n">
        <f aca="false">H236</f>
        <v>0.40494827500806</v>
      </c>
      <c r="I243" s="1" t="n">
        <f aca="false">I236</f>
        <v>0.535342287787533</v>
      </c>
      <c r="J243" s="1" t="n">
        <f aca="false">J236</f>
        <v>0.692506213199285</v>
      </c>
      <c r="K243" s="1" t="n">
        <f aca="false">K236</f>
        <v>0.844805877536306</v>
      </c>
      <c r="L243" s="1" t="n">
        <f aca="false">L236</f>
        <v>1.08313321995193</v>
      </c>
      <c r="M243" s="1" t="n">
        <f aca="false">M236</f>
        <v>1.31849001466979</v>
      </c>
      <c r="N243" s="1" t="n">
        <f aca="false">N236</f>
        <v>1.41956757172462</v>
      </c>
      <c r="O243" s="1" t="n">
        <f aca="false">O236</f>
        <v>1.47119307097137</v>
      </c>
      <c r="P243" s="1" t="n">
        <f aca="false">P236</f>
        <v>1.504845258119</v>
      </c>
      <c r="Q243" s="1" t="n">
        <f aca="false">Q236</f>
        <v>1.49542377639695</v>
      </c>
      <c r="R243" s="1" t="n">
        <f aca="false">R236</f>
        <v>1.45153012364243</v>
      </c>
      <c r="S243" s="1" t="n">
        <f aca="false">S236</f>
        <v>1.38325889664589</v>
      </c>
      <c r="T243" s="1" t="n">
        <f aca="false">T236</f>
        <v>1.29708920793676</v>
      </c>
      <c r="U243" s="1" t="n">
        <f aca="false">U236</f>
        <v>1.20535754299119</v>
      </c>
      <c r="V243" s="1" t="n">
        <f aca="false">V236</f>
        <v>1.11432093183393</v>
      </c>
      <c r="W243" s="1" t="n">
        <f aca="false">W236</f>
        <v>1.03026713177134</v>
      </c>
      <c r="X243" s="1" t="n">
        <f aca="false">X236</f>
        <v>0.952371431714289</v>
      </c>
      <c r="Y243" s="1" t="n">
        <f aca="false">Y236</f>
        <v>0.879979181048035</v>
      </c>
      <c r="Z243" s="1" t="n">
        <f aca="false">Z236</f>
        <v>0.812739702386091</v>
      </c>
      <c r="AA243" s="1" t="n">
        <f aca="false">AA236</f>
        <v>0.750318713196089</v>
      </c>
      <c r="AB243" s="1" t="n">
        <f aca="false">AB236</f>
        <v>0.692398641115886</v>
      </c>
      <c r="AC243" s="1" t="n">
        <f aca="false">AC236</f>
        <v>0.638672990403921</v>
      </c>
      <c r="AD243" s="1" t="n">
        <f aca="false">AD236</f>
        <v>0.588663883969994</v>
      </c>
      <c r="AE243" s="1" t="n">
        <f aca="false">AE236</f>
        <v>0.546135894505267</v>
      </c>
      <c r="AF243" s="1" t="n">
        <f aca="false">AF236</f>
        <v>0.507992198518579</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0.00250182567450083</v>
      </c>
      <c r="D247" s="1" t="n">
        <f aca="false">MAX(0,C248+D243-D244-D245-D246)</f>
        <v>0.0930401077334309</v>
      </c>
      <c r="E247" s="1" t="n">
        <f aca="false">MAX(0,D248+E243-E244-E245-E246)</f>
        <v>0.24756362509356</v>
      </c>
      <c r="F247" s="1" t="n">
        <f aca="false">MAX(0,E248+F243-F244-F245-F246)</f>
        <v>0.528283831436224</v>
      </c>
      <c r="G247" s="1" t="n">
        <f aca="false">MAX(0,F248+G243-G244-G245-G246)</f>
        <v>0.846524807884174</v>
      </c>
      <c r="H247" s="1" t="n">
        <f aca="false">MAX(0,G248+H243-H244-H245-H246)</f>
        <v>1.25147308289223</v>
      </c>
      <c r="I247" s="1" t="n">
        <f aca="false">MAX(0,H248+I243-I244-I245-I246)</f>
        <v>1.78681537067977</v>
      </c>
      <c r="J247" s="1" t="n">
        <f aca="false">MAX(0,I248+J243-J244-J245-J246)</f>
        <v>2.47932158387905</v>
      </c>
      <c r="K247" s="1" t="n">
        <f aca="false">MAX(0,J248+K243-K244-K245-K246)</f>
        <v>3.32412746141536</v>
      </c>
      <c r="L247" s="1" t="n">
        <f aca="false">MAX(0,K248+L243-L244-L245-L246)</f>
        <v>4.40726068136728</v>
      </c>
      <c r="M247" s="1" t="n">
        <f aca="false">MAX(0,L248+M243-M244-M245-M246)</f>
        <v>5.72575069603707</v>
      </c>
      <c r="N247" s="1" t="n">
        <f aca="false">MAX(0,M248+N243-N244-N245-N246)</f>
        <v>7.14531826776169</v>
      </c>
      <c r="O247" s="1" t="n">
        <f aca="false">MAX(0,N248+O243-O244-O245-O246)</f>
        <v>8.61651133873305</v>
      </c>
      <c r="P247" s="1" t="n">
        <f aca="false">MAX(0,O248+P243-P244-P245-P246)</f>
        <v>10.1213565968521</v>
      </c>
      <c r="Q247" s="1" t="n">
        <f aca="false">MAX(0,P248+Q243-Q244-Q245-Q246)</f>
        <v>11.616780373249</v>
      </c>
      <c r="R247" s="1" t="n">
        <f aca="false">MAX(0,Q248+R243-R244-R245-R246)</f>
        <v>13.0683104968914</v>
      </c>
      <c r="S247" s="1" t="n">
        <f aca="false">MAX(0,R248+S243-S244-S245-S246)</f>
        <v>14.4515693935373</v>
      </c>
      <c r="T247" s="1" t="n">
        <f aca="false">MAX(0,S248+T243-T244-T245-T246)</f>
        <v>15.7486586014741</v>
      </c>
      <c r="U247" s="1" t="n">
        <f aca="false">MAX(0,T248+U243-U244-U245-U246)</f>
        <v>16.9540161444653</v>
      </c>
      <c r="V247" s="1" t="n">
        <f aca="false">MAX(0,U248+V243-V244-V245-V246)</f>
        <v>18.0683370762992</v>
      </c>
      <c r="W247" s="1" t="n">
        <f aca="false">MAX(0,V248+W243-W244-W245-W246)</f>
        <v>19.0986042080705</v>
      </c>
      <c r="X247" s="1" t="n">
        <f aca="false">MAX(0,W248+X243-X244-X245-X246)</f>
        <v>20.0509756397848</v>
      </c>
      <c r="Y247" s="1" t="n">
        <f aca="false">MAX(0,X248+Y243-Y244-Y245-Y246)</f>
        <v>20.9309548208329</v>
      </c>
      <c r="Z247" s="1" t="n">
        <f aca="false">MAX(0,Y248+Z243-Z244-Z245-Z246)</f>
        <v>21.743694523219</v>
      </c>
      <c r="AA247" s="1" t="n">
        <f aca="false">MAX(0,Z248+AA243-AA244-AA245-AA246)</f>
        <v>22.4940132364151</v>
      </c>
      <c r="AB247" s="1" t="n">
        <f aca="false">MAX(0,AA248+AB243-AB244-AB245-AB246)</f>
        <v>23.1864118775309</v>
      </c>
      <c r="AC247" s="1" t="n">
        <f aca="false">MAX(0,AB248+AC243-AC244-AC245-AC246)</f>
        <v>23.8250848679349</v>
      </c>
      <c r="AD247" s="1" t="n">
        <f aca="false">MAX(0,AC248+AD243-AD244-AD245-AD246)</f>
        <v>24.4137487519049</v>
      </c>
      <c r="AE247" s="1" t="n">
        <f aca="false">MAX(0,AD248+AE243-AE244-AE245-AE246)</f>
        <v>24.9598846464101</v>
      </c>
      <c r="AF247" s="1" t="n">
        <f aca="false">MAX(0,AE248+AF243-AF244-AF245-AF246)</f>
        <v>25.4678768449287</v>
      </c>
    </row>
    <row r="248" customFormat="false" ht="14.25" hidden="false" customHeight="true" outlineLevel="0" collapsed="false">
      <c r="B248" s="1" t="s">
        <v>1244</v>
      </c>
      <c r="C248" s="1" t="n">
        <f aca="false">MIN(C247,MAX(0,C276))</f>
        <v>0.00250182567450083</v>
      </c>
      <c r="D248" s="1" t="n">
        <f aca="false">MIN(D247,MAX(0,D276))</f>
        <v>0.0930401077334309</v>
      </c>
      <c r="E248" s="1" t="n">
        <f aca="false">MIN(E247,MAX(0,E276))</f>
        <v>0.24756362509356</v>
      </c>
      <c r="F248" s="1" t="n">
        <f aca="false">MIN(F247,MAX(0,F276))</f>
        <v>0.528283831436224</v>
      </c>
      <c r="G248" s="1" t="n">
        <f aca="false">MIN(G247,MAX(0,G276))</f>
        <v>0.846524807884174</v>
      </c>
      <c r="H248" s="1" t="n">
        <f aca="false">MIN(H247,MAX(0,H276))</f>
        <v>1.25147308289223</v>
      </c>
      <c r="I248" s="1" t="n">
        <f aca="false">MIN(I247,MAX(0,I276))</f>
        <v>1.78681537067977</v>
      </c>
      <c r="J248" s="1" t="n">
        <f aca="false">MIN(J247,MAX(0,J276))</f>
        <v>2.47932158387905</v>
      </c>
      <c r="K248" s="1" t="n">
        <f aca="false">MIN(K247,MAX(0,K276))</f>
        <v>3.32412746141536</v>
      </c>
      <c r="L248" s="1" t="n">
        <f aca="false">MIN(L247,MAX(0,L276))</f>
        <v>4.40726068136728</v>
      </c>
      <c r="M248" s="1" t="n">
        <f aca="false">MIN(M247,MAX(0,M276))</f>
        <v>5.72575069603707</v>
      </c>
      <c r="N248" s="1" t="n">
        <f aca="false">MIN(N247,MAX(0,N276))</f>
        <v>7.14531826776169</v>
      </c>
      <c r="O248" s="1" t="n">
        <f aca="false">MIN(O247,MAX(0,O276))</f>
        <v>8.61651133873305</v>
      </c>
      <c r="P248" s="1" t="n">
        <f aca="false">MIN(P247,MAX(0,P276))</f>
        <v>10.1213565968521</v>
      </c>
      <c r="Q248" s="1" t="n">
        <f aca="false">MIN(Q247,MAX(0,Q276))</f>
        <v>11.616780373249</v>
      </c>
      <c r="R248" s="1" t="n">
        <f aca="false">MIN(R247,MAX(0,R276))</f>
        <v>13.0683104968914</v>
      </c>
      <c r="S248" s="1" t="n">
        <f aca="false">MIN(S247,MAX(0,S276))</f>
        <v>14.4515693935373</v>
      </c>
      <c r="T248" s="1" t="n">
        <f aca="false">MIN(T247,MAX(0,T276))</f>
        <v>15.7486586014741</v>
      </c>
      <c r="U248" s="1" t="n">
        <f aca="false">MIN(U247,MAX(0,U276))</f>
        <v>16.9540161444653</v>
      </c>
      <c r="V248" s="1" t="n">
        <f aca="false">MIN(V247,MAX(0,V276))</f>
        <v>18.0683370762992</v>
      </c>
      <c r="W248" s="1" t="n">
        <f aca="false">MIN(W247,MAX(0,W276))</f>
        <v>19.0986042080705</v>
      </c>
      <c r="X248" s="1" t="n">
        <f aca="false">MIN(X247,MAX(0,X276))</f>
        <v>20.0509756397848</v>
      </c>
      <c r="Y248" s="1" t="n">
        <f aca="false">MIN(Y247,MAX(0,Y276))</f>
        <v>20.9309548208329</v>
      </c>
      <c r="Z248" s="1" t="n">
        <f aca="false">MIN(Z247,MAX(0,Z276))</f>
        <v>21.743694523219</v>
      </c>
      <c r="AA248" s="1" t="n">
        <f aca="false">MIN(AA247,MAX(0,AA276))</f>
        <v>22.4940132364151</v>
      </c>
      <c r="AB248" s="1" t="n">
        <f aca="false">MIN(AB247,MAX(0,AB276))</f>
        <v>23.1864118775309</v>
      </c>
      <c r="AC248" s="1" t="n">
        <f aca="false">MIN(AC247,MAX(0,AC276))</f>
        <v>23.8250848679349</v>
      </c>
      <c r="AD248" s="1" t="n">
        <f aca="false">MIN(AD247,MAX(0,AD276))</f>
        <v>24.4137487519049</v>
      </c>
      <c r="AE248" s="1" t="n">
        <f aca="false">MIN(AE247,MAX(0,AE276))</f>
        <v>24.9598846464101</v>
      </c>
      <c r="AF248" s="1" t="n">
        <f aca="false">MIN(AF247,MAX(0,AF276))</f>
        <v>25.4678768449287</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19.2975577088741</v>
      </c>
      <c r="D250" s="1" t="n">
        <f aca="false">D120-D248</f>
        <v>36.6491195627693</v>
      </c>
      <c r="E250" s="1" t="n">
        <f aca="false">E120-E248</f>
        <v>53.2401986792591</v>
      </c>
      <c r="F250" s="1" t="n">
        <f aca="false">F120-F248</f>
        <v>63.1245252749234</v>
      </c>
      <c r="G250" s="1" t="n">
        <f aca="false">G120-G248</f>
        <v>71.4902802916825</v>
      </c>
      <c r="H250" s="1" t="n">
        <f aca="false">H120-H248</f>
        <v>79.1498659403375</v>
      </c>
      <c r="I250" s="1" t="n">
        <f aca="false">I120-I248</f>
        <v>86.331285823552</v>
      </c>
      <c r="J250" s="1" t="n">
        <f aca="false">J120-J248</f>
        <v>93.310583517469</v>
      </c>
      <c r="K250" s="1" t="n">
        <f aca="false">K120-K248</f>
        <v>101.802487941424</v>
      </c>
      <c r="L250" s="1" t="n">
        <f aca="false">L120-L248</f>
        <v>111.009916201667</v>
      </c>
      <c r="M250" s="1" t="n">
        <f aca="false">M120-M248</f>
        <v>104.492432526975</v>
      </c>
      <c r="N250" s="1" t="n">
        <f aca="false">N120-N248</f>
        <v>99.9228378391686</v>
      </c>
      <c r="O250" s="1" t="n">
        <f aca="false">O120-O248</f>
        <v>97.0184646697877</v>
      </c>
      <c r="P250" s="1" t="n">
        <f aca="false">P120-P248</f>
        <v>94.0287986830174</v>
      </c>
      <c r="Q250" s="1" t="n">
        <f aca="false">Q120-Q248</f>
        <v>90.9157378263603</v>
      </c>
      <c r="R250" s="1" t="n">
        <f aca="false">R120-R248</f>
        <v>87.6509796765702</v>
      </c>
      <c r="S250" s="1" t="n">
        <f aca="false">S120-S248</f>
        <v>84.2101152534922</v>
      </c>
      <c r="T250" s="1" t="n">
        <f aca="false">T120-T248</f>
        <v>80.5737350097176</v>
      </c>
      <c r="U250" s="1" t="n">
        <f aca="false">U120-U248</f>
        <v>76.7422721795543</v>
      </c>
      <c r="V250" s="1" t="n">
        <f aca="false">V120-V248</f>
        <v>73.0513449574377</v>
      </c>
      <c r="W250" s="1" t="n">
        <f aca="false">W120-W248</f>
        <v>69.2332966300899</v>
      </c>
      <c r="X250" s="1" t="n">
        <f aca="false">X120-X248</f>
        <v>65.2354239115565</v>
      </c>
      <c r="Y250" s="1" t="n">
        <f aca="false">Y120-Y248</f>
        <v>61.0554569984506</v>
      </c>
      <c r="Z250" s="1" t="n">
        <f aca="false">Z120-Z248</f>
        <v>56.6911230338894</v>
      </c>
      <c r="AA250" s="1" t="n">
        <f aca="false">AA120-AA248</f>
        <v>52.1401508086324</v>
      </c>
      <c r="AB250" s="1" t="n">
        <f aca="false">AB120-AB248</f>
        <v>47.4001812494218</v>
      </c>
      <c r="AC250" s="1" t="n">
        <f aca="false">AC120-AC248</f>
        <v>42.4688582488759</v>
      </c>
      <c r="AD250" s="1" t="n">
        <f aca="false">AD120-AD248</f>
        <v>38.4679606187813</v>
      </c>
      <c r="AE250" s="1" t="n">
        <f aca="false">AE120-AE248</f>
        <v>35.2318704666353</v>
      </c>
      <c r="AF250" s="1" t="n">
        <f aca="false">AF120-AF248</f>
        <v>32.8331682584505</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0.000129627873428182</v>
      </c>
      <c r="D252" s="1" t="n">
        <f aca="false">IF(D120&gt;0,D248/D120,0)</f>
        <v>0.0025322438465185</v>
      </c>
      <c r="E252" s="1" t="n">
        <f aca="false">IF(E120&gt;0,E248/E120,0)</f>
        <v>0.00462841619144374</v>
      </c>
      <c r="F252" s="1" t="n">
        <f aca="false">IF(F120&gt;0,F248/F120,0)</f>
        <v>0.0082994582462731</v>
      </c>
      <c r="G252" s="1" t="n">
        <f aca="false">IF(G120&gt;0,G248/G120,0)</f>
        <v>0.011702546258699</v>
      </c>
      <c r="H252" s="1" t="n">
        <f aca="false">IF(H120&gt;0,H248/H120,0)</f>
        <v>0.0155653263751075</v>
      </c>
      <c r="I252" s="1" t="n">
        <f aca="false">IF(I120&gt;0,I248/I120,0)</f>
        <v>0.0202775065107364</v>
      </c>
      <c r="J252" s="1" t="n">
        <f aca="false">IF(J120&gt;0,J248/J120,0)</f>
        <v>0.025882910952421</v>
      </c>
      <c r="K252" s="1" t="n">
        <f aca="false">IF(K120&gt;0,K248/K120,0)</f>
        <v>0.0316202271772708</v>
      </c>
      <c r="L252" s="1" t="n">
        <f aca="false">IF(L120&gt;0,L248/L120,0)</f>
        <v>0.0381854833083786</v>
      </c>
      <c r="M252" s="1" t="n">
        <f aca="false">IF(M120&gt;0,M248/M120,0)</f>
        <v>0.0519492385793709</v>
      </c>
      <c r="N252" s="1" t="n">
        <f aca="false">IF(N120&gt;0,N248/N120,0)</f>
        <v>0.0667361662661452</v>
      </c>
      <c r="O252" s="1" t="n">
        <f aca="false">IF(O120&gt;0,O248/O120,0)</f>
        <v>0.081568734753516</v>
      </c>
      <c r="P252" s="1" t="n">
        <f aca="false">IF(P120&gt;0,P248/P120,0)</f>
        <v>0.0971804273325779</v>
      </c>
      <c r="Q252" s="1" t="n">
        <f aca="false">IF(Q120&gt;0,Q248/Q120,0)</f>
        <v>0.113298498634683</v>
      </c>
      <c r="R252" s="1" t="n">
        <f aca="false">IF(R120&gt;0,R248/R120,0)</f>
        <v>0.129749827211697</v>
      </c>
      <c r="S252" s="1" t="n">
        <f aca="false">IF(S120&gt;0,S248/S120,0)</f>
        <v>0.146476004795976</v>
      </c>
      <c r="T252" s="1" t="n">
        <f aca="false">IF(T120&gt;0,T248/T120,0)</f>
        <v>0.163499452318887</v>
      </c>
      <c r="U252" s="1" t="n">
        <f aca="false">IF(U120&gt;0,U248/U120,0)</f>
        <v>0.180946507569596</v>
      </c>
      <c r="V252" s="1" t="n">
        <f aca="false">IF(V120&gt;0,V248/V120,0)</f>
        <v>0.198292363109975</v>
      </c>
      <c r="W252" s="1" t="n">
        <f aca="false">IF(W120&gt;0,W248/W120,0)</f>
        <v>0.216214120004759</v>
      </c>
      <c r="X252" s="1" t="n">
        <f aca="false">IF(X120&gt;0,X248/X120,0)</f>
        <v>0.235101677937693</v>
      </c>
      <c r="Y252" s="1" t="n">
        <f aca="false">IF(Y120&gt;0,Y248/Y120,0)</f>
        <v>0.255297851880253</v>
      </c>
      <c r="Z252" s="1" t="n">
        <f aca="false">IF(Z120&gt;0,Z248/Z120,0)</f>
        <v>0.277219928603613</v>
      </c>
      <c r="AA252" s="1" t="n">
        <f aca="false">IF(AA120&gt;0,AA248/AA120,0)</f>
        <v>0.301390301937839</v>
      </c>
      <c r="AB252" s="1" t="n">
        <f aca="false">IF(AB120&gt;0,AB248/AB120,0)</f>
        <v>0.328481810077294</v>
      </c>
      <c r="AC252" s="1" t="n">
        <f aca="false">IF(AC120&gt;0,AC248/AC120,0)</f>
        <v>0.359385544859728</v>
      </c>
      <c r="AD252" s="1" t="n">
        <f aca="false">IF(AD120&gt;0,AD248/AD120,0)</f>
        <v>0.388248808695489</v>
      </c>
      <c r="AE252" s="1" t="n">
        <f aca="false">IF(AE120&gt;0,AE248/AE120,0)</f>
        <v>0.414672816892168</v>
      </c>
      <c r="AF252" s="1" t="n">
        <f aca="false">IF(AF120&gt;0,AF248/AF120,0)</f>
        <v>0.436833967551854</v>
      </c>
    </row>
    <row r="253" customFormat="false" ht="14.25" hidden="false" customHeight="true" outlineLevel="0" collapsed="false">
      <c r="B253" s="1" t="s">
        <v>1249</v>
      </c>
    </row>
    <row r="254" customFormat="false" ht="14.25" hidden="false" customHeight="true" outlineLevel="0" collapsed="false">
      <c r="B254" s="1" t="s">
        <v>1250</v>
      </c>
      <c r="C254" s="116" t="n">
        <f aca="false">C112</f>
        <v>0.0236534055447657</v>
      </c>
      <c r="D254" s="116" t="n">
        <f aca="false">D112</f>
        <v>0.0625411439638284</v>
      </c>
      <c r="E254" s="116" t="n">
        <f aca="false">E112</f>
        <v>0.114975258393498</v>
      </c>
      <c r="F254" s="116" t="n">
        <f aca="false">F112</f>
        <v>0.235280488140055</v>
      </c>
      <c r="G254" s="116" t="n">
        <f aca="false">G112</f>
        <v>0.355584595852633</v>
      </c>
      <c r="H254" s="116" t="n">
        <f aca="false">H112</f>
        <v>0.455022126799729</v>
      </c>
      <c r="I254" s="116" t="n">
        <f aca="false">I112</f>
        <v>0.5420104840738</v>
      </c>
      <c r="J254" s="116" t="n">
        <f aca="false">J112</f>
        <v>0.618236002576194</v>
      </c>
      <c r="K254" s="116" t="n">
        <f aca="false">K112</f>
        <v>0.643407388159918</v>
      </c>
      <c r="L254" s="116" t="n">
        <f aca="false">L112</f>
        <v>0.66859912241482</v>
      </c>
      <c r="M254" s="116" t="n">
        <f aca="false">M112</f>
        <v>0.69332452511844</v>
      </c>
      <c r="N254" s="116" t="n">
        <f aca="false">N112</f>
        <v>0.717107009946887</v>
      </c>
      <c r="O254" s="116" t="n">
        <f aca="false">O112</f>
        <v>0.73954116968916</v>
      </c>
      <c r="P254" s="116" t="n">
        <f aca="false">P112</f>
        <v>0.759510187428796</v>
      </c>
      <c r="Q254" s="116" t="n">
        <f aca="false">Q112</f>
        <v>0.777013146091049</v>
      </c>
      <c r="R254" s="116" t="n">
        <f aca="false">R112</f>
        <v>0.792620110377628</v>
      </c>
      <c r="S254" s="116" t="n">
        <f aca="false">S112</f>
        <v>0.806798970985701</v>
      </c>
      <c r="T254" s="116" t="n">
        <f aca="false">T112</f>
        <v>0.819946519068373</v>
      </c>
      <c r="U254" s="116" t="n">
        <f aca="false">U112</f>
        <v>0.833163850480704</v>
      </c>
      <c r="V254" s="116" t="n">
        <f aca="false">V112</f>
        <v>0.846443158617113</v>
      </c>
      <c r="W254" s="116" t="n">
        <f aca="false">W112</f>
        <v>0.859489808631714</v>
      </c>
      <c r="X254" s="116" t="n">
        <f aca="false">X112</f>
        <v>0.872296302344462</v>
      </c>
      <c r="Y254" s="116" t="n">
        <f aca="false">Y112</f>
        <v>0.884855166534295</v>
      </c>
      <c r="Z254" s="116" t="n">
        <f aca="false">Z112</f>
        <v>0.897158951351965</v>
      </c>
      <c r="AA254" s="116" t="n">
        <f aca="false">AA112</f>
        <v>0.909200228800247</v>
      </c>
      <c r="AB254" s="116" t="n">
        <f aca="false">AB112</f>
        <v>0.920978398083441</v>
      </c>
      <c r="AC254" s="116" t="n">
        <f aca="false">AC112</f>
        <v>0.932492877405452</v>
      </c>
      <c r="AD254" s="116" t="n">
        <f aca="false">AD112</f>
        <v>0.941396985582091</v>
      </c>
      <c r="AE254" s="116" t="n">
        <f aca="false">AE112</f>
        <v>0.950072595450609</v>
      </c>
      <c r="AF254" s="116" t="n">
        <f aca="false">AF112</f>
        <v>0.9585135019553</v>
      </c>
    </row>
    <row r="255" customFormat="false" ht="14.25" hidden="false" customHeight="true" outlineLevel="0" collapsed="false">
      <c r="B255" s="1" t="s">
        <v>1251</v>
      </c>
      <c r="C255" s="1" t="n">
        <f aca="false">MIN(C235,C254)</f>
        <v>0.00184457238860399</v>
      </c>
      <c r="D255" s="1" t="n">
        <f aca="false">MIN(D235,D254)</f>
        <v>0.00654229250523607</v>
      </c>
      <c r="E255" s="1" t="n">
        <f aca="false">MIN(E235,E254)</f>
        <v>0.0148680271225033</v>
      </c>
      <c r="F255" s="1" t="n">
        <f aca="false">MIN(F235,F254)</f>
        <v>0.0307053151176349</v>
      </c>
      <c r="G255" s="1" t="n">
        <f aca="false">MIN(G235,G254)</f>
        <v>0.0535697137661963</v>
      </c>
      <c r="H255" s="1" t="n">
        <f aca="false">MIN(H235,H254)</f>
        <v>0.0811634511270276</v>
      </c>
      <c r="I255" s="1" t="n">
        <f aca="false">MIN(I235,I254)</f>
        <v>0.112053980513675</v>
      </c>
      <c r="J255" s="1" t="n">
        <f aca="false">MIN(J235,J254)</f>
        <v>0.145069806996932</v>
      </c>
      <c r="K255" s="1" t="n">
        <f aca="false">MIN(K235,K254)</f>
        <v>0.175956343288611</v>
      </c>
      <c r="L255" s="1" t="n">
        <f aca="false">MIN(L235,L254)</f>
        <v>0.20485091373291</v>
      </c>
      <c r="M255" s="1" t="n">
        <f aca="false">MIN(M235,M254)</f>
        <v>0.230037413824435</v>
      </c>
      <c r="N255" s="1" t="n">
        <f aca="false">MIN(N235,N254)</f>
        <v>0.250627450825859</v>
      </c>
      <c r="O255" s="1" t="n">
        <f aca="false">MIN(O235,O254)</f>
        <v>0.265958589628317</v>
      </c>
      <c r="P255" s="1" t="n">
        <f aca="false">MIN(P235,P254)</f>
        <v>0.272252471961347</v>
      </c>
      <c r="Q255" s="1" t="n">
        <f aca="false">MIN(Q235,Q254)</f>
        <v>0.270091937741706</v>
      </c>
      <c r="R255" s="1" t="n">
        <f aca="false">MIN(R235,R254)</f>
        <v>0.261866810171276</v>
      </c>
      <c r="S255" s="1" t="n">
        <f aca="false">MIN(S235,S254)</f>
        <v>0.249095750533902</v>
      </c>
      <c r="T255" s="1" t="n">
        <f aca="false">MIN(T235,T254)</f>
        <v>0.233030814566158</v>
      </c>
      <c r="U255" s="1" t="n">
        <f aca="false">MIN(U235,U254)</f>
        <v>0.218001954754249</v>
      </c>
      <c r="V255" s="1" t="n">
        <f aca="false">MIN(V235,V254)</f>
        <v>0.203942351423147</v>
      </c>
      <c r="W255" s="1" t="n">
        <f aca="false">MIN(W235,W254)</f>
        <v>0.190789494300126</v>
      </c>
      <c r="X255" s="1" t="n">
        <f aca="false">MIN(X235,X254)</f>
        <v>0.178484904588418</v>
      </c>
      <c r="Y255" s="1" t="n">
        <f aca="false">MIN(Y235,Y254)</f>
        <v>0.166973874965167</v>
      </c>
      <c r="Z255" s="1" t="n">
        <f aca="false">MIN(Z235,Z254)</f>
        <v>0.15620522634771</v>
      </c>
      <c r="AA255" s="1" t="n">
        <f aca="false">MIN(AA235,AA254)</f>
        <v>0.146131080346727</v>
      </c>
      <c r="AB255" s="1" t="n">
        <f aca="false">MIN(AB235,AB254)</f>
        <v>0.13670664639458</v>
      </c>
      <c r="AC255" s="1" t="n">
        <f aca="false">MIN(AC235,AC254)</f>
        <v>0.127890022602377</v>
      </c>
      <c r="AD255" s="1" t="n">
        <f aca="false">MIN(AD235,AD254)</f>
        <v>0.119642009460375</v>
      </c>
      <c r="AE255" s="1" t="n">
        <f aca="false">MIN(AE235,AE254)</f>
        <v>0.1119259355534</v>
      </c>
      <c r="AF255" s="1" t="n">
        <f aca="false">MIN(AF235,AF254)</f>
        <v>0.104707494516404</v>
      </c>
    </row>
    <row r="256" customFormat="false" ht="14.25" hidden="false" customHeight="true" outlineLevel="0" collapsed="false">
      <c r="B256" s="1" t="s">
        <v>1252</v>
      </c>
      <c r="C256" s="1" t="n">
        <f aca="false">MIN(C254-C255,MAX(0,C107-C108+C109+C110+C184-C229-C235))</f>
        <v>0.0218088331561617</v>
      </c>
      <c r="D256" s="1" t="n">
        <f aca="false">MIN(D254-D255,MAX(0,D107-D108+D109+D110+D184-D229-D235))</f>
        <v>0.0559988514585923</v>
      </c>
      <c r="E256" s="1" t="n">
        <f aca="false">MIN(E254-E255,MAX(0,E107-E108+E109+E110+E184-E229-E235))</f>
        <v>0.100107231270995</v>
      </c>
      <c r="F256" s="1" t="n">
        <f aca="false">MIN(F254-F255,MAX(0,F107-F108+F109+F110+F184-F229-F235))</f>
        <v>0.20457517302242</v>
      </c>
      <c r="G256" s="1" t="n">
        <f aca="false">MIN(G254-G255,MAX(0,G107-G108+G109+G110+G184-G229-G235))</f>
        <v>0.302014882086437</v>
      </c>
      <c r="H256" s="1" t="n">
        <f aca="false">MIN(H254-H255,MAX(0,H107-H108+H109+H110+H184-H229-H235))</f>
        <v>0.373858675672701</v>
      </c>
      <c r="I256" s="1" t="n">
        <f aca="false">MIN(I254-I255,MAX(0,I107-I108+I109+I110+I184-I229-I235))</f>
        <v>0.429956503560125</v>
      </c>
      <c r="J256" s="1" t="n">
        <f aca="false">MIN(J254-J255,MAX(0,J107-J108+J109+J110+J184-J229-J235))</f>
        <v>0.473166195579262</v>
      </c>
      <c r="K256" s="1" t="n">
        <f aca="false">MIN(K254-K255,MAX(0,K107-K108+K109+K110+K184-K229-K235))</f>
        <v>0.467451044871307</v>
      </c>
      <c r="L256" s="1" t="n">
        <f aca="false">MIN(L254-L255,MAX(0,L107-L108+L109+L110+L184-L229-L235))</f>
        <v>0.46374820868191</v>
      </c>
      <c r="M256" s="1" t="n">
        <f aca="false">MIN(M254-M255,MAX(0,M107-M108+M109+M110+M184-M229-M235))</f>
        <v>0.463287111294005</v>
      </c>
      <c r="N256" s="1" t="n">
        <f aca="false">MIN(N254-N255,MAX(0,N107-N108+N109+N110+N184-N229-N235))</f>
        <v>0.466479559121028</v>
      </c>
      <c r="O256" s="1" t="n">
        <f aca="false">MIN(O254-O255,MAX(0,O107-O108+O109+O110+O184-O229-O235))</f>
        <v>0.473582580060843</v>
      </c>
      <c r="P256" s="1" t="n">
        <f aca="false">MIN(P254-P255,MAX(0,P107-P108+P109+P110+P184-P229-P235))</f>
        <v>0.487257715467449</v>
      </c>
      <c r="Q256" s="1" t="n">
        <f aca="false">MIN(Q254-Q255,MAX(0,Q107-Q108+Q109+Q110+Q184-Q229-Q235))</f>
        <v>0.506921208349343</v>
      </c>
      <c r="R256" s="1" t="n">
        <f aca="false">MIN(R254-R255,MAX(0,R107-R108+R109+R110+R184-R229-R235))</f>
        <v>0.530753300206352</v>
      </c>
      <c r="S256" s="1" t="n">
        <f aca="false">MIN(S254-S255,MAX(0,S107-S108+S109+S110+S184-S229-S235))</f>
        <v>0.557703220451799</v>
      </c>
      <c r="T256" s="1" t="n">
        <f aca="false">MIN(T254-T255,MAX(0,T107-T108+T109+T110+T184-T229-T235))</f>
        <v>0.586915704502214</v>
      </c>
      <c r="U256" s="1" t="n">
        <f aca="false">MIN(U254-U255,MAX(0,U107-U108+U109+U110+U184-U229-U235))</f>
        <v>0.615161895726455</v>
      </c>
      <c r="V256" s="1" t="n">
        <f aca="false">MIN(V254-V255,MAX(0,V107-V108+V109+V110+V184-V229-V235))</f>
        <v>0.642500807193966</v>
      </c>
      <c r="W256" s="1" t="n">
        <f aca="false">MIN(W254-W255,MAX(0,W107-W108+W109+W110+W184-W229-W235))</f>
        <v>0.668700314331588</v>
      </c>
      <c r="X256" s="1" t="n">
        <f aca="false">MIN(X254-X255,MAX(0,X107-X108+X109+X110+X184-X229-X235))</f>
        <v>0.693811397756044</v>
      </c>
      <c r="Y256" s="1" t="n">
        <f aca="false">MIN(Y254-Y255,MAX(0,Y107-Y108+Y109+Y110+Y184-Y229-Y235))</f>
        <v>0.717881291569128</v>
      </c>
      <c r="Z256" s="1" t="n">
        <f aca="false">MIN(Z254-Z255,MAX(0,Z107-Z108+Z109+Z110+Z184-Z229-Z235))</f>
        <v>0.740953725004255</v>
      </c>
      <c r="AA256" s="1" t="n">
        <f aca="false">MIN(AA254-AA255,MAX(0,AA107-AA108+AA109+AA110+AA184-AA229-AA235))</f>
        <v>0.76306914845352</v>
      </c>
      <c r="AB256" s="1" t="n">
        <f aca="false">MIN(AB254-AB255,MAX(0,AB107-AB108+AB109+AB110+AB184-AB229-AB235))</f>
        <v>0.784271751688861</v>
      </c>
      <c r="AC256" s="1" t="n">
        <f aca="false">MIN(AC254-AC255,MAX(0,AC107-AC108+AC109+AC110+AC184-AC229-AC235))</f>
        <v>0.804602854803074</v>
      </c>
      <c r="AD256" s="1" t="n">
        <f aca="false">MIN(AD254-AD255,MAX(0,AD107-AD108+AD109+AD110+AD184-AD229-AD235))</f>
        <v>0.821754976121716</v>
      </c>
      <c r="AE256" s="1" t="n">
        <f aca="false">MIN(AE254-AE255,MAX(0,AE107-AE108+AE109+AE110+AE184-AE229-AE235))</f>
        <v>0.838146659897209</v>
      </c>
      <c r="AF256" s="1" t="n">
        <f aca="false">MIN(AF254-AF255,MAX(0,AF107-AF108+AF109+AF110+AF184-AF229-AF235))</f>
        <v>0.853806007438896</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1367</v>
      </c>
      <c r="C261" s="1" t="n">
        <f aca="false">(1-$C$172)*C83+C181</f>
        <v>4.82044491317486</v>
      </c>
      <c r="D261" s="1" t="n">
        <f aca="false">(1-$C$172)*D83+D181</f>
        <v>12.5924327864198</v>
      </c>
      <c r="E261" s="1" t="n">
        <f aca="false">(1-$C$172)*E83+E181</f>
        <v>22.1158466864198</v>
      </c>
      <c r="F261" s="1" t="n">
        <f aca="false">(1-$C$172)*F83+F181</f>
        <v>31.8582991061198</v>
      </c>
      <c r="G261" s="1" t="n">
        <f aca="false">(1-$C$172)*G83+G181</f>
        <v>41.8248279314729</v>
      </c>
      <c r="H261" s="1" t="n">
        <f aca="false">(1-$C$172)*H83+H181</f>
        <v>52.0205869198091</v>
      </c>
      <c r="I261" s="1" t="n">
        <f aca="false">(1-$C$172)*I83+I181</f>
        <v>62.450848364877</v>
      </c>
      <c r="J261" s="1" t="n">
        <f aca="false">(1-$C$172)*J83+J181</f>
        <v>73.1210058231815</v>
      </c>
      <c r="K261" s="1" t="n">
        <f aca="false">(1-$C$172)*K83+K181</f>
        <v>84.036576903027</v>
      </c>
      <c r="L261" s="1" t="n">
        <f aca="false">(1-$C$172)*L83+L181</f>
        <v>95.203206117709</v>
      </c>
      <c r="M261" s="1" t="n">
        <f aca="false">(1-$C$172)*M83+M181</f>
        <v>106.626667804329</v>
      </c>
      <c r="N261" s="1" t="n">
        <f aca="false">(1-$C$172)*N83+N181</f>
        <v>113.458888498147</v>
      </c>
      <c r="O261" s="1" t="n">
        <f aca="false">(1-$C$172)*O83+O181</f>
        <v>116.068442933605</v>
      </c>
      <c r="P261" s="1" t="n">
        <f aca="false">(1-$C$172)*P83+P181</f>
        <v>118.738017121078</v>
      </c>
      <c r="Q261" s="1" t="n">
        <f aca="false">(1-$C$172)*Q83+Q181</f>
        <v>121.468991514862</v>
      </c>
      <c r="R261" s="1" t="n">
        <f aca="false">(1-$C$172)*R83+R181</f>
        <v>124.262778319704</v>
      </c>
      <c r="S261" s="1" t="n">
        <f aca="false">(1-$C$172)*S83+S181</f>
        <v>127.120822221057</v>
      </c>
      <c r="T261" s="1" t="n">
        <f aca="false">(1-$C$172)*T83+T181</f>
        <v>130.044601132142</v>
      </c>
      <c r="U261" s="1" t="n">
        <f aca="false">(1-$C$172)*U83+U181</f>
        <v>133.035626958181</v>
      </c>
      <c r="V261" s="1" t="n">
        <f aca="false">(1-$C$172)*V83+V181</f>
        <v>135.210942104959</v>
      </c>
      <c r="W261" s="1" t="n">
        <f aca="false">(1-$C$172)*W83+W181</f>
        <v>137.221573170814</v>
      </c>
      <c r="X261" s="1" t="n">
        <f aca="false">(1-$C$172)*X83+X181</f>
        <v>139.191078489022</v>
      </c>
      <c r="Y261" s="1" t="n">
        <f aca="false">(1-$C$172)*Y83+Y181</f>
        <v>141.119350101685</v>
      </c>
      <c r="Z261" s="1" t="n">
        <f aca="false">(1-$C$172)*Z83+Z181</f>
        <v>143.006283626154</v>
      </c>
      <c r="AA261" s="1" t="n">
        <f aca="false">(1-$C$172)*AA83+AA181</f>
        <v>144.851778011926</v>
      </c>
      <c r="AB261" s="1" t="n">
        <f aca="false">(1-$C$172)*AB83+AB181</f>
        <v>146.655735307429</v>
      </c>
      <c r="AC261" s="1" t="n">
        <f aca="false">(1-$C$172)*AC83+AC181</f>
        <v>148.418060436114</v>
      </c>
      <c r="AD261" s="1" t="n">
        <f aca="false">(1-$C$172)*AD83+AD181</f>
        <v>149.659794440703</v>
      </c>
      <c r="AE261" s="1" t="n">
        <f aca="false">(1-$C$172)*AE83+AE181</f>
        <v>150.877582052583</v>
      </c>
      <c r="AF261" s="1" t="n">
        <f aca="false">(1-$C$172)*AF83+AF181</f>
        <v>152.070442154107</v>
      </c>
    </row>
    <row r="262" customFormat="false" ht="14.25" hidden="false" customHeight="true" outlineLevel="0" collapsed="false">
      <c r="B262" s="1" t="s">
        <v>1257</v>
      </c>
      <c r="C262" s="1" t="n">
        <f aca="false">$C$260*C261</f>
        <v>0.241022245658743</v>
      </c>
      <c r="D262" s="1" t="n">
        <f aca="false">$C$260*D261</f>
        <v>0.629621639320988</v>
      </c>
      <c r="E262" s="1" t="n">
        <f aca="false">$C$260*E261</f>
        <v>1.10579233432099</v>
      </c>
      <c r="F262" s="1" t="n">
        <f aca="false">$C$260*F261</f>
        <v>1.59291495530599</v>
      </c>
      <c r="G262" s="1" t="n">
        <f aca="false">$C$260*G261</f>
        <v>2.09124139657364</v>
      </c>
      <c r="H262" s="1" t="n">
        <f aca="false">$C$260*H261</f>
        <v>2.60102934599045</v>
      </c>
      <c r="I262" s="1" t="n">
        <f aca="false">$C$260*I261</f>
        <v>3.12254241824385</v>
      </c>
      <c r="J262" s="1" t="n">
        <f aca="false">$C$260*J261</f>
        <v>3.65605029115908</v>
      </c>
      <c r="K262" s="1" t="n">
        <f aca="false">$C$260*K261</f>
        <v>4.20182884515135</v>
      </c>
      <c r="L262" s="1" t="n">
        <f aca="false">$C$260*L261</f>
        <v>4.76016030588545</v>
      </c>
      <c r="M262" s="1" t="n">
        <f aca="false">$C$260*M261</f>
        <v>5.33133339021643</v>
      </c>
      <c r="N262" s="1" t="n">
        <f aca="false">$C$260*N261</f>
        <v>5.67294442490737</v>
      </c>
      <c r="O262" s="1" t="n">
        <f aca="false">$C$260*O261</f>
        <v>5.80342214668024</v>
      </c>
      <c r="P262" s="1" t="n">
        <f aca="false">$C$260*P261</f>
        <v>5.93690085605388</v>
      </c>
      <c r="Q262" s="1" t="n">
        <f aca="false">$C$260*Q261</f>
        <v>6.07344957574312</v>
      </c>
      <c r="R262" s="1" t="n">
        <f aca="false">$C$260*R261</f>
        <v>6.21313891598521</v>
      </c>
      <c r="S262" s="1" t="n">
        <f aca="false">$C$260*S261</f>
        <v>6.35604111105287</v>
      </c>
      <c r="T262" s="1" t="n">
        <f aca="false">$C$260*T261</f>
        <v>6.50223005660709</v>
      </c>
      <c r="U262" s="1" t="n">
        <f aca="false">$C$260*U261</f>
        <v>6.65178134790905</v>
      </c>
      <c r="V262" s="1" t="n">
        <f aca="false">$C$260*V261</f>
        <v>6.76054710524795</v>
      </c>
      <c r="W262" s="1" t="n">
        <f aca="false">$C$260*W261</f>
        <v>6.86107865854069</v>
      </c>
      <c r="X262" s="1" t="n">
        <f aca="false">$C$260*X261</f>
        <v>6.95955392445111</v>
      </c>
      <c r="Y262" s="1" t="n">
        <f aca="false">$C$260*Y261</f>
        <v>7.05596750508426</v>
      </c>
      <c r="Z262" s="1" t="n">
        <f aca="false">$C$260*Z261</f>
        <v>7.15031418130768</v>
      </c>
      <c r="AA262" s="1" t="n">
        <f aca="false">$C$260*AA261</f>
        <v>7.24258890059628</v>
      </c>
      <c r="AB262" s="1" t="n">
        <f aca="false">$C$260*AB261</f>
        <v>7.33278676537146</v>
      </c>
      <c r="AC262" s="1" t="n">
        <f aca="false">$C$260*AC261</f>
        <v>7.42090302180568</v>
      </c>
      <c r="AD262" s="1" t="n">
        <f aca="false">$C$260*AD261</f>
        <v>7.48298972203513</v>
      </c>
      <c r="AE262" s="1" t="n">
        <f aca="false">$C$260*AE261</f>
        <v>7.54387910262916</v>
      </c>
      <c r="AF262" s="1" t="n">
        <f aca="false">$C$260*AF261</f>
        <v>7.60352210770537</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7.49061336803098</v>
      </c>
      <c r="G263" s="1" t="n">
        <f aca="false">MAX(0,(G70+F121-F227)*0.25/0.55)</f>
        <v>14.8696640340136</v>
      </c>
      <c r="H263" s="1" t="n">
        <f aca="false">MAX(0,(H70+G121-G227)*0.25/0.55)</f>
        <v>22.2501894108194</v>
      </c>
      <c r="I263" s="1" t="n">
        <f aca="false">MAX(0,(I70+H121-H227)*0.25/0.55)</f>
        <v>29.6322415557403</v>
      </c>
      <c r="J263" s="1" t="n">
        <f aca="false">MAX(0,(J70+I121-I227)*0.25/0.55)</f>
        <v>37.0158743636908</v>
      </c>
      <c r="K263" s="1" t="n">
        <f aca="false">MAX(0,(K70+J121-J227)*0.25/0.55)</f>
        <v>40.2040205191044</v>
      </c>
      <c r="L263" s="1" t="n">
        <f aca="false">MAX(0,(L70+K121-K227)*0.25/0.55)</f>
        <v>43.3921666745181</v>
      </c>
      <c r="M263" s="1" t="n">
        <f aca="false">MAX(0,(M70+L121-L227)*0.25/0.55)</f>
        <v>44.6628820486956</v>
      </c>
      <c r="N263" s="1" t="n">
        <f aca="false">MAX(0,(N70+M121-M227)*0.25/0.55)</f>
        <v>45.9354133739816</v>
      </c>
      <c r="O263" s="1" t="n">
        <f aca="false">MAX(0,(O70+N121-N227)*0.25/0.55)</f>
        <v>47.2098247534501</v>
      </c>
      <c r="P263" s="1" t="n">
        <f aca="false">MAX(0,(P70+O121-O227)*0.25/0.55)</f>
        <v>48.486182553014</v>
      </c>
      <c r="Q263" s="1" t="n">
        <f aca="false">MAX(0,(Q70+P121-P227)*0.25/0.55)</f>
        <v>49.7645554813024</v>
      </c>
      <c r="R263" s="1" t="n">
        <f aca="false">MAX(0,(R70+Q121-Q227)*0.25/0.55)</f>
        <v>51.0450146723594</v>
      </c>
      <c r="S263" s="1" t="n">
        <f aca="false">MAX(0,(S70+R121-R227)*0.25/0.55)</f>
        <v>52.3276337712607</v>
      </c>
      <c r="T263" s="1" t="n">
        <f aca="false">MAX(0,(T70+S121-S227)*0.25/0.55)</f>
        <v>53.6124890227532</v>
      </c>
      <c r="U263" s="1" t="n">
        <f aca="false">MAX(0,(U70+T121-T227)*0.25/0.55)</f>
        <v>54.8996593630235</v>
      </c>
      <c r="V263" s="1" t="n">
        <f aca="false">MAX(0,(V70+U121-U227)*0.25/0.55)</f>
        <v>56.1892265147052</v>
      </c>
      <c r="W263" s="1" t="n">
        <f aca="false">MAX(0,(W70+V121-V227)*0.25/0.55)</f>
        <v>57.4812750852413</v>
      </c>
      <c r="X263" s="1" t="n">
        <f aca="false">MAX(0,(X70+W121-W227)*0.25/0.55)</f>
        <v>58.7758926687174</v>
      </c>
      <c r="Y263" s="1" t="n">
        <f aca="false">MAX(0,(Y70+X121-X227)*0.25/0.55)</f>
        <v>60.0731699512902</v>
      </c>
      <c r="Z263" s="1" t="n">
        <f aca="false">MAX(0,(Z70+Y121-Y227)*0.25/0.55)</f>
        <v>61.3732008203377</v>
      </c>
      <c r="AA263" s="1" t="n">
        <f aca="false">MAX(0,(AA70+Z121-Z227)*0.25/0.55)</f>
        <v>62.6760824774627</v>
      </c>
      <c r="AB263" s="1" t="n">
        <f aca="false">MAX(0,(AB70+AA121-AA227)*0.25/0.55)</f>
        <v>63.9819155554842</v>
      </c>
      <c r="AC263" s="1" t="n">
        <f aca="false">MAX(0,(AC70+AB121-AB227)*0.25/0.55)</f>
        <v>65.2908042395598</v>
      </c>
      <c r="AD263" s="1" t="n">
        <f aca="false">MAX(0,(AD70+AC121-AC227)*0.25/0.55)</f>
        <v>66.6028563925833</v>
      </c>
      <c r="AE263" s="1" t="n">
        <f aca="false">MAX(0,(AE70+AD121-AD227)*0.25/0.55)</f>
        <v>67.9181836850085</v>
      </c>
      <c r="AF263" s="1" t="n">
        <f aca="false">MAX(0,(AF70+AE121-AE227)*0.25/0.55)</f>
        <v>69.2369017292564</v>
      </c>
    </row>
    <row r="264" customFormat="false" ht="14.25" hidden="false" customHeight="true" outlineLevel="0" collapsed="false">
      <c r="B264" s="1" t="s">
        <v>1259</v>
      </c>
      <c r="C264" s="1" t="n">
        <f aca="false">MAX(0,C262-C263)</f>
        <v>0.204658609295107</v>
      </c>
      <c r="D264" s="1" t="n">
        <f aca="false">MAX(0,D262-D263)</f>
        <v>0.555610730230079</v>
      </c>
      <c r="E264" s="1" t="n">
        <f aca="false">MAX(0,E262-E263)</f>
        <v>0.992805203775533</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0.00511646523237767</v>
      </c>
      <c r="D265" s="1" t="n">
        <f aca="false">D264*MAX(0,$C$10-01_Supuestos!$I$134)</f>
        <v>0.013890268255752</v>
      </c>
      <c r="E265" s="1" t="n">
        <f aca="false">E264*MAX(0,$C$10-01_Supuestos!$I$134)</f>
        <v>0.0248201300943883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6.62811175561544</v>
      </c>
      <c r="D266" s="1" t="n">
        <f aca="false">IF(D263&gt;0,D262/D263,0)</f>
        <v>8.50714640658732</v>
      </c>
      <c r="E266" s="1" t="n">
        <f aca="false">IF(E263&gt;0,E262/E263,0)</f>
        <v>9.78688748871386</v>
      </c>
      <c r="F266" s="1" t="n">
        <f aca="false">IF(F263&gt;0,F262/F263,0)</f>
        <v>0.212654809031308</v>
      </c>
      <c r="G266" s="1" t="n">
        <f aca="false">IF(G263&gt;0,G262/G263,0)</f>
        <v>0.140638106670738</v>
      </c>
      <c r="H266" s="1" t="n">
        <f aca="false">IF(H263&gt;0,H262/H263,0)</f>
        <v>0.116899200180547</v>
      </c>
      <c r="I266" s="1" t="n">
        <f aca="false">IF(I263&gt;0,I262/I263,0)</f>
        <v>0.105376517411622</v>
      </c>
      <c r="J266" s="1" t="n">
        <f aca="false">IF(J263&gt;0,J262/J263,0)</f>
        <v>0.0987697941493266</v>
      </c>
      <c r="K266" s="1" t="n">
        <f aca="false">IF(K263&gt;0,K262/K263,0)</f>
        <v>0.104512652985905</v>
      </c>
      <c r="L266" s="1" t="n">
        <f aca="false">IF(L263&gt;0,L262/L263,0)</f>
        <v>0.109700913106993</v>
      </c>
      <c r="M266" s="1" t="n">
        <f aca="false">IF(M263&gt;0,M262/M263,0)</f>
        <v>0.119368324337057</v>
      </c>
      <c r="N266" s="1" t="n">
        <f aca="false">IF(N263&gt;0,N262/N263,0)</f>
        <v>0.123498277434042</v>
      </c>
      <c r="O266" s="1" t="n">
        <f aca="false">IF(O263&gt;0,O262/O263,0)</f>
        <v>0.122928271328864</v>
      </c>
      <c r="P266" s="1" t="n">
        <f aca="false">IF(P263&gt;0,P262/P263,0)</f>
        <v>0.122445211057038</v>
      </c>
      <c r="Q266" s="1" t="n">
        <f aca="false">IF(Q263&gt;0,Q262/Q263,0)</f>
        <v>0.12204368183345</v>
      </c>
      <c r="R266" s="1" t="n">
        <f aca="false">IF(R263&gt;0,R262/R263,0)</f>
        <v>0.121718819278733</v>
      </c>
      <c r="S266" s="1" t="n">
        <f aca="false">IF(S263&gt;0,S262/S263,0)</f>
        <v>0.121466243607287</v>
      </c>
      <c r="T266" s="1" t="n">
        <f aca="false">IF(T263&gt;0,T262/T263,0)</f>
        <v>0.121282003039395</v>
      </c>
      <c r="U266" s="1" t="n">
        <f aca="false">IF(U263&gt;0,U262/U263,0)</f>
        <v>0.121162524960751</v>
      </c>
      <c r="V266" s="1" t="n">
        <f aca="false">IF(V263&gt;0,V262/V263,0)</f>
        <v>0.120317497224822</v>
      </c>
      <c r="W266" s="1" t="n">
        <f aca="false">IF(W263&gt;0,W262/W263,0)</f>
        <v>0.119361977415534</v>
      </c>
      <c r="X266" s="1" t="n">
        <f aca="false">IF(X263&gt;0,X262/X263,0)</f>
        <v>0.118408306679028</v>
      </c>
      <c r="Y266" s="1" t="n">
        <f aca="false">IF(Y263&gt;0,Y262/Y263,0)</f>
        <v>0.11745622065234</v>
      </c>
      <c r="Z266" s="1" t="n">
        <f aca="false">IF(Z263&gt;0,Z262/Z263,0)</f>
        <v>0.116505479357991</v>
      </c>
      <c r="AA266" s="1" t="n">
        <f aca="false">IF(AA263&gt;0,AA262/AA263,0)</f>
        <v>0.115555864602747</v>
      </c>
      <c r="AB266" s="1" t="n">
        <f aca="false">IF(AB263&gt;0,AB262/AB263,0)</f>
        <v>0.114607177695588</v>
      </c>
      <c r="AC266" s="1" t="n">
        <f aca="false">IF(AC263&gt;0,AC262/AC263,0)</f>
        <v>0.113659237441424</v>
      </c>
      <c r="AD266" s="1" t="n">
        <f aca="false">IF(AD263&gt;0,AD262/AD263,0)</f>
        <v>0.112352384377142</v>
      </c>
      <c r="AE266" s="1" t="n">
        <f aca="false">IF(AE263&gt;0,AE262/AE263,0)</f>
        <v>0.111073039550295</v>
      </c>
      <c r="AF266" s="1" t="n">
        <f aca="false">IF(AF263&gt;0,AF262/AF263,0)</f>
        <v>0.109818924847882</v>
      </c>
    </row>
    <row r="267" customFormat="false" ht="14.25" hidden="false" customHeight="true" outlineLevel="0" collapsed="false">
      <c r="B267" s="1" t="s">
        <v>1262</v>
      </c>
      <c r="C267" s="1" t="n">
        <f aca="false">C120-C264</f>
        <v>19.0954009252535</v>
      </c>
      <c r="D267" s="1" t="n">
        <f aca="false">D120-D264</f>
        <v>36.1865489402727</v>
      </c>
      <c r="E267" s="1" t="n">
        <f aca="false">E120-E264</f>
        <v>52.4949571005772</v>
      </c>
      <c r="F267" s="1" t="n">
        <f aca="false">F120-F264</f>
        <v>63.6528091063596</v>
      </c>
      <c r="G267" s="1" t="n">
        <f aca="false">G120-G264</f>
        <v>72.3368050995667</v>
      </c>
      <c r="H267" s="1" t="n">
        <f aca="false">H120-H264</f>
        <v>80.4013390232297</v>
      </c>
      <c r="I267" s="1" t="n">
        <f aca="false">I120-I264</f>
        <v>88.1181011942318</v>
      </c>
      <c r="J267" s="1" t="n">
        <f aca="false">J120-J264</f>
        <v>95.7899051013481</v>
      </c>
      <c r="K267" s="1" t="n">
        <f aca="false">K120-K264</f>
        <v>105.126615402839</v>
      </c>
      <c r="L267" s="1" t="n">
        <f aca="false">L120-L264</f>
        <v>115.417176883034</v>
      </c>
      <c r="M267" s="1" t="n">
        <f aca="false">M120-M264</f>
        <v>110.218183223012</v>
      </c>
      <c r="N267" s="1" t="n">
        <f aca="false">N120-N264</f>
        <v>107.06815610693</v>
      </c>
      <c r="O267" s="1" t="n">
        <f aca="false">O120-O264</f>
        <v>105.634976008521</v>
      </c>
      <c r="P267" s="1" t="n">
        <f aca="false">P120-P264</f>
        <v>104.150155279869</v>
      </c>
      <c r="Q267" s="1" t="n">
        <f aca="false">Q120-Q264</f>
        <v>102.532518199609</v>
      </c>
      <c r="R267" s="1" t="n">
        <f aca="false">R120-R264</f>
        <v>100.719290173462</v>
      </c>
      <c r="S267" s="1" t="n">
        <f aca="false">S120-S264</f>
        <v>98.6616846470295</v>
      </c>
      <c r="T267" s="1" t="n">
        <f aca="false">T120-T264</f>
        <v>96.3223936111917</v>
      </c>
      <c r="U267" s="1" t="n">
        <f aca="false">U120-U264</f>
        <v>93.6962883240196</v>
      </c>
      <c r="V267" s="1" t="n">
        <f aca="false">V120-V264</f>
        <v>91.1196820337369</v>
      </c>
      <c r="W267" s="1" t="n">
        <f aca="false">W120-W264</f>
        <v>88.3319008381605</v>
      </c>
      <c r="X267" s="1" t="n">
        <f aca="false">X120-X264</f>
        <v>85.2863995513414</v>
      </c>
      <c r="Y267" s="1" t="n">
        <f aca="false">Y120-Y264</f>
        <v>81.9864118192835</v>
      </c>
      <c r="Z267" s="1" t="n">
        <f aca="false">Z120-Z264</f>
        <v>78.4348175571084</v>
      </c>
      <c r="AA267" s="1" t="n">
        <f aca="false">AA120-AA264</f>
        <v>74.6341640450474</v>
      </c>
      <c r="AB267" s="1" t="n">
        <f aca="false">AB120-AB264</f>
        <v>70.5865931269528</v>
      </c>
      <c r="AC267" s="1" t="n">
        <f aca="false">AC120-AC264</f>
        <v>66.2939431168107</v>
      </c>
      <c r="AD267" s="1" t="n">
        <f aca="false">AD120-AD264</f>
        <v>62.8817093706861</v>
      </c>
      <c r="AE267" s="1" t="n">
        <f aca="false">AE120-AE264</f>
        <v>60.1917551130454</v>
      </c>
      <c r="AF267" s="1" t="n">
        <f aca="false">AF120-AF264</f>
        <v>58.3010451033792</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0.241022245658743</v>
      </c>
      <c r="D270" s="1" t="n">
        <f aca="false">01_Supuestos!$C$173*D261</f>
        <v>0.629621639320988</v>
      </c>
      <c r="E270" s="1" t="n">
        <f aca="false">01_Supuestos!$C$173*E261</f>
        <v>1.10579233432099</v>
      </c>
      <c r="F270" s="1" t="n">
        <f aca="false">01_Supuestos!$C$173*F261</f>
        <v>1.59291495530599</v>
      </c>
      <c r="G270" s="1" t="n">
        <f aca="false">01_Supuestos!$C$173*G261</f>
        <v>2.09124139657364</v>
      </c>
      <c r="H270" s="1" t="n">
        <f aca="false">01_Supuestos!$C$173*H261</f>
        <v>2.60102934599045</v>
      </c>
      <c r="I270" s="1" t="n">
        <f aca="false">01_Supuestos!$C$173*I261</f>
        <v>3.12254241824385</v>
      </c>
      <c r="J270" s="1" t="n">
        <f aca="false">01_Supuestos!$C$173*J261</f>
        <v>3.65605029115908</v>
      </c>
      <c r="K270" s="1" t="n">
        <f aca="false">01_Supuestos!$C$173*K261</f>
        <v>4.20182884515135</v>
      </c>
      <c r="L270" s="1" t="n">
        <f aca="false">01_Supuestos!$C$173*L261</f>
        <v>4.76016030588545</v>
      </c>
      <c r="M270" s="1" t="n">
        <f aca="false">01_Supuestos!$C$173*M261</f>
        <v>5.33133339021643</v>
      </c>
      <c r="N270" s="1" t="n">
        <f aca="false">01_Supuestos!$C$173*N261</f>
        <v>5.67294442490737</v>
      </c>
      <c r="O270" s="1" t="n">
        <f aca="false">01_Supuestos!$C$173*O261</f>
        <v>5.80342214668024</v>
      </c>
      <c r="P270" s="1" t="n">
        <f aca="false">01_Supuestos!$C$173*P261</f>
        <v>5.93690085605388</v>
      </c>
      <c r="Q270" s="1" t="n">
        <f aca="false">01_Supuestos!$C$173*Q261</f>
        <v>6.07344957574312</v>
      </c>
      <c r="R270" s="1" t="n">
        <f aca="false">01_Supuestos!$C$173*R261</f>
        <v>6.21313891598521</v>
      </c>
      <c r="S270" s="1" t="n">
        <f aca="false">01_Supuestos!$C$173*S261</f>
        <v>6.35604111105287</v>
      </c>
      <c r="T270" s="1" t="n">
        <f aca="false">01_Supuestos!$C$173*T261</f>
        <v>6.50223005660709</v>
      </c>
      <c r="U270" s="1" t="n">
        <f aca="false">01_Supuestos!$C$173*U261</f>
        <v>6.65178134790905</v>
      </c>
      <c r="V270" s="1" t="n">
        <f aca="false">01_Supuestos!$C$173*V261</f>
        <v>6.76054710524795</v>
      </c>
      <c r="W270" s="1" t="n">
        <f aca="false">01_Supuestos!$C$173*W261</f>
        <v>6.86107865854069</v>
      </c>
      <c r="X270" s="1" t="n">
        <f aca="false">01_Supuestos!$C$173*X261</f>
        <v>6.95955392445111</v>
      </c>
      <c r="Y270" s="1" t="n">
        <f aca="false">01_Supuestos!$C$173*Y261</f>
        <v>7.05596750508426</v>
      </c>
      <c r="Z270" s="1" t="n">
        <f aca="false">01_Supuestos!$C$173*Z261</f>
        <v>7.15031418130768</v>
      </c>
      <c r="AA270" s="1" t="n">
        <f aca="false">01_Supuestos!$C$173*AA261</f>
        <v>7.24258890059628</v>
      </c>
      <c r="AB270" s="1" t="n">
        <f aca="false">01_Supuestos!$C$173*AB261</f>
        <v>7.33278676537146</v>
      </c>
      <c r="AC270" s="1" t="n">
        <f aca="false">01_Supuestos!$C$173*AC261</f>
        <v>7.42090302180568</v>
      </c>
      <c r="AD270" s="1" t="n">
        <f aca="false">01_Supuestos!$C$173*AD261</f>
        <v>7.48298972203513</v>
      </c>
      <c r="AE270" s="1" t="n">
        <f aca="false">01_Supuestos!$C$173*AE261</f>
        <v>7.54387910262916</v>
      </c>
      <c r="AF270" s="1" t="n">
        <f aca="false">01_Supuestos!$C$173*AF261</f>
        <v>7.60352210770537</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1.59291495530599</v>
      </c>
      <c r="G271" s="1" t="n">
        <f aca="false">MIN(G270,G263)</f>
        <v>2.09124139657364</v>
      </c>
      <c r="H271" s="1" t="n">
        <f aca="false">MIN(H270,H263)</f>
        <v>2.60102934599045</v>
      </c>
      <c r="I271" s="1" t="n">
        <f aca="false">MIN(I270,I263)</f>
        <v>3.12254241824385</v>
      </c>
      <c r="J271" s="1" t="n">
        <f aca="false">MIN(J270,J263)</f>
        <v>3.65605029115908</v>
      </c>
      <c r="K271" s="1" t="n">
        <f aca="false">MIN(K270,K263)</f>
        <v>4.20182884515135</v>
      </c>
      <c r="L271" s="1" t="n">
        <f aca="false">MIN(L270,L263)</f>
        <v>4.76016030588545</v>
      </c>
      <c r="M271" s="1" t="n">
        <f aca="false">MIN(M270,M263)</f>
        <v>5.33133339021643</v>
      </c>
      <c r="N271" s="1" t="n">
        <f aca="false">MIN(N270,N263)</f>
        <v>5.67294442490737</v>
      </c>
      <c r="O271" s="1" t="n">
        <f aca="false">MIN(O270,O263)</f>
        <v>5.80342214668024</v>
      </c>
      <c r="P271" s="1" t="n">
        <f aca="false">MIN(P270,P263)</f>
        <v>5.93690085605388</v>
      </c>
      <c r="Q271" s="1" t="n">
        <f aca="false">MIN(Q270,Q263)</f>
        <v>6.07344957574312</v>
      </c>
      <c r="R271" s="1" t="n">
        <f aca="false">MIN(R270,R263)</f>
        <v>6.21313891598521</v>
      </c>
      <c r="S271" s="1" t="n">
        <f aca="false">MIN(S270,S263)</f>
        <v>6.35604111105287</v>
      </c>
      <c r="T271" s="1" t="n">
        <f aca="false">MIN(T270,T263)</f>
        <v>6.50223005660709</v>
      </c>
      <c r="U271" s="1" t="n">
        <f aca="false">MIN(U270,U263)</f>
        <v>6.65178134790905</v>
      </c>
      <c r="V271" s="1" t="n">
        <f aca="false">MIN(V270,V263)</f>
        <v>6.76054710524795</v>
      </c>
      <c r="W271" s="1" t="n">
        <f aca="false">MIN(W270,W263)</f>
        <v>6.86107865854069</v>
      </c>
      <c r="X271" s="1" t="n">
        <f aca="false">MIN(X270,X263)</f>
        <v>6.95955392445111</v>
      </c>
      <c r="Y271" s="1" t="n">
        <f aca="false">MIN(Y270,Y263)</f>
        <v>7.05596750508426</v>
      </c>
      <c r="Z271" s="1" t="n">
        <f aca="false">MIN(Z270,Z263)</f>
        <v>7.15031418130768</v>
      </c>
      <c r="AA271" s="1" t="n">
        <f aca="false">MIN(AA270,AA263)</f>
        <v>7.24258890059628</v>
      </c>
      <c r="AB271" s="1" t="n">
        <f aca="false">MIN(AB270,AB263)</f>
        <v>7.33278676537146</v>
      </c>
      <c r="AC271" s="1" t="n">
        <f aca="false">MIN(AC270,AC263)</f>
        <v>7.42090302180568</v>
      </c>
      <c r="AD271" s="1" t="n">
        <f aca="false">MIN(AD270,AD263)</f>
        <v>7.48298972203513</v>
      </c>
      <c r="AE271" s="1" t="n">
        <f aca="false">MIN(AE270,AE263)</f>
        <v>7.54387910262916</v>
      </c>
      <c r="AF271" s="1" t="n">
        <f aca="false">MIN(AF270,AF263)</f>
        <v>7.60352210770537</v>
      </c>
    </row>
    <row r="272" customFormat="false" ht="14.25" hidden="false" customHeight="true" outlineLevel="0" collapsed="false">
      <c r="B272" s="1" t="s">
        <v>1267</v>
      </c>
      <c r="C272" s="1" t="n">
        <f aca="false">MIN(C270-C271,MAX(0,C120))</f>
        <v>0.204658609295107</v>
      </c>
      <c r="D272" s="1" t="n">
        <f aca="false">MIN(D270-D271,MAX(0,D120))</f>
        <v>0.555610730230079</v>
      </c>
      <c r="E272" s="1" t="n">
        <f aca="false">MIN(E270-E271,MAX(0,E120))</f>
        <v>0.992805203775533</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0.00629621639320988</v>
      </c>
      <c r="E274" s="1" t="n">
        <f aca="false">IF(01_Supuestos!$C$174="Sí",01_Supuestos!$C$172*E271,01_Supuestos!$I$134*(E271+MIN(MIN(E270-E271,MAX(0,D120)),E264))+$C$10*MAX(0,MIN(E270-E271,MAX(0,D120))-E264))</f>
        <v>0.0110579233432099</v>
      </c>
      <c r="F274" s="1" t="n">
        <f aca="false">IF(01_Supuestos!$C$174="Sí",01_Supuestos!$C$172*F271,01_Supuestos!$I$134*(F271+MIN(MIN(F270-F271,MAX(0,E120)),F264))+$C$10*MAX(0,MIN(F270-F271,MAX(0,E120))-F264))</f>
        <v>0.0159291495530599</v>
      </c>
      <c r="G274" s="1" t="n">
        <f aca="false">IF(01_Supuestos!$C$174="Sí",01_Supuestos!$C$172*G271,01_Supuestos!$I$134*(G271+MIN(MIN(G270-G271,MAX(0,F120)),G264))+$C$10*MAX(0,MIN(G270-G271,MAX(0,F120))-G264))</f>
        <v>0.0209124139657364</v>
      </c>
      <c r="H274" s="1" t="n">
        <f aca="false">IF(01_Supuestos!$C$174="Sí",01_Supuestos!$C$172*H271,01_Supuestos!$I$134*(H271+MIN(MIN(H270-H271,MAX(0,G120)),H264))+$C$10*MAX(0,MIN(H270-H271,MAX(0,G120))-H264))</f>
        <v>0.0260102934599045</v>
      </c>
      <c r="I274" s="1" t="n">
        <f aca="false">IF(01_Supuestos!$C$174="Sí",01_Supuestos!$C$172*I271,01_Supuestos!$I$134*(I271+MIN(MIN(I270-I271,MAX(0,H120)),I264))+$C$10*MAX(0,MIN(I270-I271,MAX(0,H120))-I264))</f>
        <v>0.0312254241824385</v>
      </c>
      <c r="J274" s="1" t="n">
        <f aca="false">IF(01_Supuestos!$C$174="Sí",01_Supuestos!$C$172*J271,01_Supuestos!$I$134*(J271+MIN(MIN(J270-J271,MAX(0,I120)),J264))+$C$10*MAX(0,MIN(J270-J271,MAX(0,I120))-J264))</f>
        <v>0.0365605029115908</v>
      </c>
      <c r="K274" s="1" t="n">
        <f aca="false">IF(01_Supuestos!$C$174="Sí",01_Supuestos!$C$172*K271,01_Supuestos!$I$134*(K271+MIN(MIN(K270-K271,MAX(0,J120)),K264))+$C$10*MAX(0,MIN(K270-K271,MAX(0,J120))-K264))</f>
        <v>0.0420182884515135</v>
      </c>
      <c r="L274" s="1" t="n">
        <f aca="false">IF(01_Supuestos!$C$174="Sí",01_Supuestos!$C$172*L271,01_Supuestos!$I$134*(L271+MIN(MIN(L270-L271,MAX(0,K120)),L264))+$C$10*MAX(0,MIN(L270-L271,MAX(0,K120))-L264))</f>
        <v>0.0476016030588545</v>
      </c>
      <c r="M274" s="1" t="n">
        <f aca="false">IF(01_Supuestos!$C$174="Sí",01_Supuestos!$C$172*M271,01_Supuestos!$I$134*(M271+MIN(MIN(M270-M271,MAX(0,L120)),M264))+$C$10*MAX(0,MIN(M270-M271,MAX(0,L120))-M264))</f>
        <v>0.0533133339021643</v>
      </c>
      <c r="N274" s="1" t="n">
        <f aca="false">IF(01_Supuestos!$C$174="Sí",01_Supuestos!$C$172*N271,01_Supuestos!$I$134*(N271+MIN(MIN(N270-N271,MAX(0,M120)),N264))+$C$10*MAX(0,MIN(N270-N271,MAX(0,M120))-N264))</f>
        <v>0.0567294442490737</v>
      </c>
      <c r="O274" s="1" t="n">
        <f aca="false">IF(01_Supuestos!$C$174="Sí",01_Supuestos!$C$172*O271,01_Supuestos!$I$134*(O271+MIN(MIN(O270-O271,MAX(0,N120)),O264))+$C$10*MAX(0,MIN(O270-O271,MAX(0,N120))-O264))</f>
        <v>0.0580342214668024</v>
      </c>
      <c r="P274" s="1" t="n">
        <f aca="false">IF(01_Supuestos!$C$174="Sí",01_Supuestos!$C$172*P271,01_Supuestos!$I$134*(P271+MIN(MIN(P270-P271,MAX(0,O120)),P264))+$C$10*MAX(0,MIN(P270-P271,MAX(0,O120))-P264))</f>
        <v>0.0593690085605388</v>
      </c>
      <c r="Q274" s="1" t="n">
        <f aca="false">IF(01_Supuestos!$C$174="Sí",01_Supuestos!$C$172*Q271,01_Supuestos!$I$134*(Q271+MIN(MIN(Q270-Q271,MAX(0,P120)),Q264))+$C$10*MAX(0,MIN(Q270-Q271,MAX(0,P120))-Q264))</f>
        <v>0.0607344957574312</v>
      </c>
      <c r="R274" s="1" t="n">
        <f aca="false">IF(01_Supuestos!$C$174="Sí",01_Supuestos!$C$172*R271,01_Supuestos!$I$134*(R271+MIN(MIN(R270-R271,MAX(0,Q120)),R264))+$C$10*MAX(0,MIN(R270-R271,MAX(0,Q120))-R264))</f>
        <v>0.0621313891598521</v>
      </c>
      <c r="S274" s="1" t="n">
        <f aca="false">IF(01_Supuestos!$C$174="Sí",01_Supuestos!$C$172*S271,01_Supuestos!$I$134*(S271+MIN(MIN(S270-S271,MAX(0,R120)),S264))+$C$10*MAX(0,MIN(S270-S271,MAX(0,R120))-S264))</f>
        <v>0.0635604111105287</v>
      </c>
      <c r="T274" s="1" t="n">
        <f aca="false">IF(01_Supuestos!$C$174="Sí",01_Supuestos!$C$172*T271,01_Supuestos!$I$134*(T271+MIN(MIN(T270-T271,MAX(0,S120)),T264))+$C$10*MAX(0,MIN(T270-T271,MAX(0,S120))-T264))</f>
        <v>0.0650223005660709</v>
      </c>
      <c r="U274" s="1" t="n">
        <f aca="false">IF(01_Supuestos!$C$174="Sí",01_Supuestos!$C$172*U271,01_Supuestos!$I$134*(U271+MIN(MIN(U270-U271,MAX(0,T120)),U264))+$C$10*MAX(0,MIN(U270-U271,MAX(0,T120))-U264))</f>
        <v>0.0665178134790905</v>
      </c>
      <c r="V274" s="1" t="n">
        <f aca="false">IF(01_Supuestos!$C$174="Sí",01_Supuestos!$C$172*V271,01_Supuestos!$I$134*(V271+MIN(MIN(V270-V271,MAX(0,U120)),V264))+$C$10*MAX(0,MIN(V270-V271,MAX(0,U120))-V264))</f>
        <v>0.0676054710524795</v>
      </c>
      <c r="W274" s="1" t="n">
        <f aca="false">IF(01_Supuestos!$C$174="Sí",01_Supuestos!$C$172*W271,01_Supuestos!$I$134*(W271+MIN(MIN(W270-W271,MAX(0,V120)),W264))+$C$10*MAX(0,MIN(W270-W271,MAX(0,V120))-W264))</f>
        <v>0.0686107865854069</v>
      </c>
      <c r="X274" s="1" t="n">
        <f aca="false">IF(01_Supuestos!$C$174="Sí",01_Supuestos!$C$172*X271,01_Supuestos!$I$134*(X271+MIN(MIN(X270-X271,MAX(0,W120)),X264))+$C$10*MAX(0,MIN(X270-X271,MAX(0,W120))-X264))</f>
        <v>0.0695955392445111</v>
      </c>
      <c r="Y274" s="1" t="n">
        <f aca="false">IF(01_Supuestos!$C$174="Sí",01_Supuestos!$C$172*Y271,01_Supuestos!$I$134*(Y271+MIN(MIN(Y270-Y271,MAX(0,X120)),Y264))+$C$10*MAX(0,MIN(Y270-Y271,MAX(0,X120))-Y264))</f>
        <v>0.0705596750508426</v>
      </c>
      <c r="Z274" s="1" t="n">
        <f aca="false">IF(01_Supuestos!$C$174="Sí",01_Supuestos!$C$172*Z271,01_Supuestos!$I$134*(Z271+MIN(MIN(Z270-Z271,MAX(0,Y120)),Z264))+$C$10*MAX(0,MIN(Z270-Z271,MAX(0,Y120))-Z264))</f>
        <v>0.0715031418130768</v>
      </c>
      <c r="AA274" s="1" t="n">
        <f aca="false">IF(01_Supuestos!$C$174="Sí",01_Supuestos!$C$172*AA271,01_Supuestos!$I$134*(AA271+MIN(MIN(AA270-AA271,MAX(0,Z120)),AA264))+$C$10*MAX(0,MIN(AA270-AA271,MAX(0,Z120))-AA264))</f>
        <v>0.0724258890059628</v>
      </c>
      <c r="AB274" s="1" t="n">
        <f aca="false">IF(01_Supuestos!$C$174="Sí",01_Supuestos!$C$172*AB271,01_Supuestos!$I$134*(AB271+MIN(MIN(AB270-AB271,MAX(0,AA120)),AB264))+$C$10*MAX(0,MIN(AB270-AB271,MAX(0,AA120))-AB264))</f>
        <v>0.0733278676537146</v>
      </c>
      <c r="AC274" s="1" t="n">
        <f aca="false">IF(01_Supuestos!$C$174="Sí",01_Supuestos!$C$172*AC271,01_Supuestos!$I$134*(AC271+MIN(MIN(AC270-AC271,MAX(0,AB120)),AC264))+$C$10*MAX(0,MIN(AC270-AC271,MAX(0,AB120))-AC264))</f>
        <v>0.0742090302180568</v>
      </c>
      <c r="AD274" s="1" t="n">
        <f aca="false">IF(01_Supuestos!$C$174="Sí",01_Supuestos!$C$172*AD271,01_Supuestos!$I$134*(AD271+MIN(MIN(AD270-AD271,MAX(0,AC120)),AD264))+$C$10*MAX(0,MIN(AD270-AD271,MAX(0,AC120))-AD264))</f>
        <v>0.0748298972203513</v>
      </c>
      <c r="AE274" s="1" t="n">
        <f aca="false">IF(01_Supuestos!$C$174="Sí",01_Supuestos!$C$172*AE271,01_Supuestos!$I$134*(AE271+MIN(MIN(AE270-AE271,MAX(0,AD120)),AE264))+$C$10*MAX(0,MIN(AE270-AE271,MAX(0,AD120))-AE264))</f>
        <v>0.0754387910262916</v>
      </c>
      <c r="AF274" s="1" t="n">
        <f aca="false">IF(01_Supuestos!$C$174="Sí",01_Supuestos!$C$172*AF271,01_Supuestos!$I$134*(AF271+MIN(MIN(AF270-AF271,MAX(0,AE120)),AF264))+$C$10*MAX(0,MIN(AF270-AF271,MAX(0,AE120))-AF264))</f>
        <v>0.0760352210770537</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19.0954009252535</v>
      </c>
      <c r="D276" s="1" t="n">
        <f aca="false">D120-MAX(D264,D272)</f>
        <v>36.1865489402727</v>
      </c>
      <c r="E276" s="1" t="n">
        <f aca="false">E120-MAX(E264,E272)</f>
        <v>52.4949571005772</v>
      </c>
      <c r="F276" s="1" t="n">
        <f aca="false">F120-MAX(F264,F272)</f>
        <v>63.6528091063596</v>
      </c>
      <c r="G276" s="1" t="n">
        <f aca="false">G120-MAX(G264,G272)</f>
        <v>72.3368050995667</v>
      </c>
      <c r="H276" s="1" t="n">
        <f aca="false">H120-MAX(H264,H272)</f>
        <v>80.4013390232297</v>
      </c>
      <c r="I276" s="1" t="n">
        <f aca="false">I120-MAX(I264,I272)</f>
        <v>88.1181011942318</v>
      </c>
      <c r="J276" s="1" t="n">
        <f aca="false">J120-MAX(J264,J272)</f>
        <v>95.7899051013481</v>
      </c>
      <c r="K276" s="1" t="n">
        <f aca="false">K120-MAX(K264,K272)</f>
        <v>105.126615402839</v>
      </c>
      <c r="L276" s="1" t="n">
        <f aca="false">L120-MAX(L264,L272)</f>
        <v>115.417176883034</v>
      </c>
      <c r="M276" s="1" t="n">
        <f aca="false">M120-MAX(M264,M272)</f>
        <v>110.218183223012</v>
      </c>
      <c r="N276" s="1" t="n">
        <f aca="false">N120-MAX(N264,N272)</f>
        <v>107.06815610693</v>
      </c>
      <c r="O276" s="1" t="n">
        <f aca="false">O120-MAX(O264,O272)</f>
        <v>105.634976008521</v>
      </c>
      <c r="P276" s="1" t="n">
        <f aca="false">P120-MAX(P264,P272)</f>
        <v>104.150155279869</v>
      </c>
      <c r="Q276" s="1" t="n">
        <f aca="false">Q120-MAX(Q264,Q272)</f>
        <v>102.532518199609</v>
      </c>
      <c r="R276" s="1" t="n">
        <f aca="false">R120-MAX(R264,R272)</f>
        <v>100.719290173462</v>
      </c>
      <c r="S276" s="1" t="n">
        <f aca="false">S120-MAX(S264,S272)</f>
        <v>98.6616846470295</v>
      </c>
      <c r="T276" s="1" t="n">
        <f aca="false">T120-MAX(T264,T272)</f>
        <v>96.3223936111917</v>
      </c>
      <c r="U276" s="1" t="n">
        <f aca="false">U120-MAX(U264,U272)</f>
        <v>93.6962883240196</v>
      </c>
      <c r="V276" s="1" t="n">
        <f aca="false">V120-MAX(V264,V272)</f>
        <v>91.1196820337369</v>
      </c>
      <c r="W276" s="1" t="n">
        <f aca="false">W120-MAX(W264,W272)</f>
        <v>88.3319008381605</v>
      </c>
      <c r="X276" s="1" t="n">
        <f aca="false">X120-MAX(X264,X272)</f>
        <v>85.2863995513414</v>
      </c>
      <c r="Y276" s="1" t="n">
        <f aca="false">Y120-MAX(Y264,Y272)</f>
        <v>81.9864118192835</v>
      </c>
      <c r="Z276" s="1" t="n">
        <f aca="false">Z120-MAX(Z264,Z272)</f>
        <v>78.4348175571084</v>
      </c>
      <c r="AA276" s="1" t="n">
        <f aca="false">AA120-MAX(AA264,AA272)</f>
        <v>74.6341640450474</v>
      </c>
      <c r="AB276" s="1" t="n">
        <f aca="false">AB120-MAX(AB264,AB272)</f>
        <v>70.5865931269528</v>
      </c>
      <c r="AC276" s="1" t="n">
        <f aca="false">AC120-MAX(AC264,AC272)</f>
        <v>66.2939431168107</v>
      </c>
      <c r="AD276" s="1" t="n">
        <f aca="false">AD120-MAX(AD264,AD272)</f>
        <v>62.8817093706861</v>
      </c>
      <c r="AE276" s="1" t="n">
        <f aca="false">AE120-MAX(AE264,AE272)</f>
        <v>60.1917551130454</v>
      </c>
      <c r="AF276" s="1" t="n">
        <f aca="false">AF120-MAX(AF264,AF272)</f>
        <v>58.3010451033792</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2.15158778078157</v>
      </c>
      <c r="D284" s="1" t="n">
        <f aca="false">$C$279*D87</f>
        <v>5.60164986037079</v>
      </c>
      <c r="E284" s="1" t="n">
        <f aca="false">$C$279*E87</f>
        <v>9.7086560997431</v>
      </c>
      <c r="F284" s="1" t="n">
        <f aca="false">$C$279*F87</f>
        <v>12.2301621893589</v>
      </c>
      <c r="G284" s="1" t="n">
        <f aca="false">$C$279*G87</f>
        <v>14.8794201054532</v>
      </c>
      <c r="H284" s="1" t="n">
        <f aca="false">$C$279*H87</f>
        <v>18.185176948938</v>
      </c>
      <c r="I284" s="1" t="n">
        <f aca="false">$C$279*I87</f>
        <v>21.9383193693201</v>
      </c>
      <c r="J284" s="1" t="n">
        <f aca="false">$C$279*J87</f>
        <v>26.0994260542934</v>
      </c>
      <c r="K284" s="1" t="n">
        <f aca="false">$C$279*K87</f>
        <v>31.6869826530955</v>
      </c>
      <c r="L284" s="1" t="n">
        <f aca="false">$C$279*L87</f>
        <v>37.4171296022407</v>
      </c>
      <c r="M284" s="1" t="n">
        <f aca="false">$C$279*M87</f>
        <v>47.2982423405846</v>
      </c>
      <c r="N284" s="1" t="n">
        <f aca="false">$C$279*N87</f>
        <v>53.3771310372805</v>
      </c>
      <c r="O284" s="1" t="n">
        <f aca="false">$C$279*O87</f>
        <v>54.5112390495504</v>
      </c>
      <c r="P284" s="1" t="n">
        <f aca="false">$C$279*P87</f>
        <v>55.7183843070107</v>
      </c>
      <c r="Q284" s="1" t="n">
        <f aca="false">$C$279*Q87</f>
        <v>56.9993681125375</v>
      </c>
      <c r="R284" s="1" t="n">
        <f aca="false">$C$279*R87</f>
        <v>58.3460169037838</v>
      </c>
      <c r="S284" s="1" t="n">
        <f aca="false">$C$279*S87</f>
        <v>59.7517848729779</v>
      </c>
      <c r="T284" s="1" t="n">
        <f aca="false">$C$279*T87</f>
        <v>61.2112649699939</v>
      </c>
      <c r="U284" s="1" t="n">
        <f aca="false">$C$279*U87</f>
        <v>62.7079767210921</v>
      </c>
      <c r="V284" s="1" t="n">
        <f aca="false">$C$279*V87</f>
        <v>63.7387572516071</v>
      </c>
      <c r="W284" s="1" t="n">
        <f aca="false">$C$279*W87</f>
        <v>64.6793322214143</v>
      </c>
      <c r="X284" s="1" t="n">
        <f aca="false">$C$279*X87</f>
        <v>65.6002479768173</v>
      </c>
      <c r="Y284" s="1" t="n">
        <f aca="false">$C$279*Y87</f>
        <v>66.5015606850455</v>
      </c>
      <c r="Z284" s="1" t="n">
        <f aca="false">$C$279*Z87</f>
        <v>67.3833281831141</v>
      </c>
      <c r="AA284" s="1" t="n">
        <f aca="false">$C$279*AA87</f>
        <v>68.2456098631937</v>
      </c>
      <c r="AB284" s="1" t="n">
        <f aca="false">$C$279*AB87</f>
        <v>69.0883593554204</v>
      </c>
      <c r="AC284" s="1" t="n">
        <f aca="false">$C$279*AC87</f>
        <v>69.9115316294489</v>
      </c>
      <c r="AD284" s="1" t="n">
        <f aca="false">$C$279*AD87</f>
        <v>70.4790803082826</v>
      </c>
      <c r="AE284" s="1" t="n">
        <f aca="false">$C$279*AE87</f>
        <v>71.0365783916254</v>
      </c>
      <c r="AF284" s="1" t="n">
        <f aca="false">$C$279*AF87</f>
        <v>71.5835643720453</v>
      </c>
    </row>
    <row r="285" customFormat="false" ht="14.25" hidden="false" customHeight="true" outlineLevel="0" collapsed="false">
      <c r="B285" s="84" t="s">
        <v>1280</v>
      </c>
      <c r="C285" s="1" t="n">
        <f aca="false">MAX(0/$C$280,0-C284)</f>
        <v>0</v>
      </c>
      <c r="D285" s="1" t="n">
        <f aca="false">MAX(C284*(1-$C$340)/$C$280,C284-D341-D284)</f>
        <v>0.106503595148688</v>
      </c>
      <c r="E285" s="1" t="n">
        <f aca="false">MAX(D284*(1-$C$340)/$C$280,D284-E341-E284)</f>
        <v>0.277281668088354</v>
      </c>
      <c r="F285" s="1" t="n">
        <f aca="false">MAX(E284*(1-$C$340)/$C$280,E284-F341-F284)</f>
        <v>0.480578476937284</v>
      </c>
      <c r="G285" s="1" t="n">
        <f aca="false">MAX(F284*(1-$C$340)/$C$280,F284-G341-G284)</f>
        <v>0.605393028373265</v>
      </c>
      <c r="H285" s="1" t="n">
        <f aca="false">MAX(G284*(1-$C$340)/$C$280,G284-H341-H284)</f>
        <v>0.736531295219932</v>
      </c>
      <c r="I285" s="1" t="n">
        <f aca="false">MAX(H284*(1-$C$340)/$C$280,H284-I341-I284)</f>
        <v>0.900166258972432</v>
      </c>
      <c r="J285" s="1" t="n">
        <f aca="false">MAX(I284*(1-$C$340)/$C$280,I284-J341-J284)</f>
        <v>1.08594680878135</v>
      </c>
      <c r="K285" s="1" t="n">
        <f aca="false">MAX(J284*(1-$C$340)/$C$280,J284-K341-K284)</f>
        <v>1.29192158968752</v>
      </c>
      <c r="L285" s="1" t="n">
        <f aca="false">MAX(K284*(1-$C$340)/$C$280,K284-L341-L284)</f>
        <v>1.56850564132823</v>
      </c>
      <c r="M285" s="1" t="n">
        <f aca="false">MAX(L284*(1-$C$340)/$C$280,L284-M341-M284)</f>
        <v>1.85214791531091</v>
      </c>
      <c r="N285" s="1" t="n">
        <f aca="false">MAX(M284*(1-$C$340)/$C$280,M284-N341-N284)</f>
        <v>2.34126299585894</v>
      </c>
      <c r="O285" s="1" t="n">
        <f aca="false">MAX(N284*(1-$C$340)/$C$280,N284-O341-O284)</f>
        <v>2.64216798634539</v>
      </c>
      <c r="P285" s="1" t="n">
        <f aca="false">MAX(O284*(1-$C$340)/$C$280,O284-P341-P284)</f>
        <v>2.69830633295275</v>
      </c>
      <c r="Q285" s="1" t="n">
        <f aca="false">MAX(P284*(1-$C$340)/$C$280,P284-Q341-Q284)</f>
        <v>2.75806002319703</v>
      </c>
      <c r="R285" s="1" t="n">
        <f aca="false">MAX(Q284*(1-$C$340)/$C$280,Q284-R341-R284)</f>
        <v>2.82146872157061</v>
      </c>
      <c r="S285" s="1" t="n">
        <f aca="false">MAX(R284*(1-$C$340)/$C$280,R284-S341-S284)</f>
        <v>2.8881278367373</v>
      </c>
      <c r="T285" s="1" t="n">
        <f aca="false">MAX(S284*(1-$C$340)/$C$280,S284-T341-T284)</f>
        <v>2.95771335121241</v>
      </c>
      <c r="U285" s="1" t="n">
        <f aca="false">MAX(T284*(1-$C$340)/$C$280,T284-U341-U284)</f>
        <v>3.0299576160147</v>
      </c>
      <c r="V285" s="1" t="n">
        <f aca="false">MAX(U284*(1-$C$340)/$C$280,U284-V341-V284)</f>
        <v>3.10404484769406</v>
      </c>
      <c r="W285" s="1" t="n">
        <f aca="false">MAX(V284*(1-$C$340)/$C$280,V284-W341-W284)</f>
        <v>3.15506848395455</v>
      </c>
      <c r="X285" s="1" t="n">
        <f aca="false">MAX(W284*(1-$C$340)/$C$280,W284-X341-X284)</f>
        <v>3.20162694496001</v>
      </c>
      <c r="Y285" s="1" t="n">
        <f aca="false">MAX(X284*(1-$C$340)/$C$280,X284-Y341-Y284)</f>
        <v>3.24721227485246</v>
      </c>
      <c r="Z285" s="1" t="n">
        <f aca="false">MAX(Y284*(1-$C$340)/$C$280,Y284-Z341-Z284)</f>
        <v>3.29182725390975</v>
      </c>
      <c r="AA285" s="1" t="n">
        <f aca="false">MAX(Z284*(1-$C$340)/$C$280,Z284-AA341-AA284)</f>
        <v>3.33547474506415</v>
      </c>
      <c r="AB285" s="1" t="n">
        <f aca="false">MAX(AA284*(1-$C$340)/$C$280,AA284-AB341-AB284)</f>
        <v>3.37815768822809</v>
      </c>
      <c r="AC285" s="1" t="n">
        <f aca="false">MAX(AB284*(1-$C$340)/$C$280,AB284-AC341-AC284)</f>
        <v>3.41987378809331</v>
      </c>
      <c r="AD285" s="1" t="n">
        <f aca="false">MAX(AC284*(1-$C$340)/$C$280,AC284-AD341-AD284)</f>
        <v>3.46062081565772</v>
      </c>
      <c r="AE285" s="1" t="n">
        <f aca="false">MAX(AD284*(1-$C$340)/$C$280,AD284-AE341-AE284)</f>
        <v>3.48871447525999</v>
      </c>
      <c r="AF285" s="1" t="n">
        <f aca="false">MAX(AE284*(1-$C$340)/$C$280,AE284-AF341-AF284)</f>
        <v>3.51631063038546</v>
      </c>
    </row>
    <row r="286" customFormat="false" ht="14.25" hidden="false" customHeight="true" outlineLevel="0" collapsed="false">
      <c r="B286" s="84" t="s">
        <v>1281</v>
      </c>
      <c r="C286" s="1" t="n">
        <f aca="false">C284-0+C285</f>
        <v>2.15158778078157</v>
      </c>
      <c r="D286" s="1" t="n">
        <f aca="false">D284-C284+D285+D341</f>
        <v>3.57808155254572</v>
      </c>
      <c r="E286" s="1" t="n">
        <f aca="false">E284-D284+E285+E341</f>
        <v>4.44030440606438</v>
      </c>
      <c r="F286" s="1" t="n">
        <f aca="false">F284-E284+F285+F341</f>
        <v>3.0991711275505</v>
      </c>
      <c r="G286" s="1" t="n">
        <f aca="false">G284-F284+G285+G341</f>
        <v>3.37695256636115</v>
      </c>
      <c r="H286" s="1" t="n">
        <f aca="false">H284-G284+H285+H341</f>
        <v>4.1910823397593</v>
      </c>
      <c r="I286" s="1" t="n">
        <f aca="false">I284-H284+I285+I341</f>
        <v>4.83516044884394</v>
      </c>
      <c r="J286" s="1" t="n">
        <f aca="false">J284-I284+J285+J341</f>
        <v>5.4664366874478</v>
      </c>
      <c r="K286" s="1" t="n">
        <f aca="false">K284-J284+K285+K341</f>
        <v>7.14047244903256</v>
      </c>
      <c r="L286" s="1" t="n">
        <f aca="false">L284-K284+L285+L341</f>
        <v>7.61552241700437</v>
      </c>
      <c r="M286" s="1" t="n">
        <f aca="false">M284-L284+M285+M341</f>
        <v>12.1074319496772</v>
      </c>
      <c r="N286" s="1" t="n">
        <f aca="false">N284-M284+N285+N341</f>
        <v>8.89313411596073</v>
      </c>
      <c r="O286" s="1" t="n">
        <f aca="false">O284-N284+O285+O341</f>
        <v>4.31004730898809</v>
      </c>
      <c r="P286" s="1" t="n">
        <f aca="false">P284-O284+P285+P341</f>
        <v>4.45056398090855</v>
      </c>
      <c r="Q286" s="1" t="n">
        <f aca="false">Q284-P284+Q285+Q341</f>
        <v>4.59622767179396</v>
      </c>
      <c r="R286" s="1" t="n">
        <f aca="false">R284-Q284+R285+R341</f>
        <v>4.7381111939422</v>
      </c>
      <c r="S286" s="1" t="n">
        <f aca="false">S284-R284+S285+S341</f>
        <v>4.87735597496931</v>
      </c>
      <c r="T286" s="1" t="n">
        <f aca="false">T284-S284+T285+T341</f>
        <v>5.01471129695816</v>
      </c>
      <c r="U286" s="1" t="n">
        <f aca="false">U284-T284+U285+U341</f>
        <v>5.13878201681279</v>
      </c>
      <c r="V286" s="1" t="n">
        <f aca="false">V284-U284+V285+V341</f>
        <v>4.76190514542</v>
      </c>
      <c r="W286" s="1" t="n">
        <f aca="false">W284-V284+W285+W341</f>
        <v>4.73303102627787</v>
      </c>
      <c r="X286" s="1" t="n">
        <f aca="false">X284-W284+X285+X341</f>
        <v>4.76933602257717</v>
      </c>
      <c r="Y286" s="1" t="n">
        <f aca="false">Y284-X284+Y285+Y341</f>
        <v>4.80452746284875</v>
      </c>
      <c r="Z286" s="1" t="n">
        <f aca="false">Z284-Y284+Z285+Z341</f>
        <v>4.83861035882886</v>
      </c>
      <c r="AA286" s="1" t="n">
        <f aca="false">AA284-Z284+AA285+AA341</f>
        <v>4.87158970697487</v>
      </c>
      <c r="AB286" s="1" t="n">
        <f aca="false">AB284-AA284+AB285+AB341</f>
        <v>4.90336327908674</v>
      </c>
      <c r="AC286" s="1" t="n">
        <f aca="false">AC284-AB284+AC285+AC341</f>
        <v>4.93392965567601</v>
      </c>
      <c r="AD286" s="1" t="n">
        <f aca="false">AD284-AC284+AD285+AD341</f>
        <v>4.72728481078587</v>
      </c>
      <c r="AE286" s="1" t="n">
        <f aca="false">AE284-AD284+AE285+AE341</f>
        <v>4.75100336168562</v>
      </c>
      <c r="AF286" s="1" t="n">
        <f aca="false">AF284-AE284+AF285+AF341</f>
        <v>4.77366239472161</v>
      </c>
    </row>
    <row r="287" customFormat="false" ht="14.25" hidden="false" customHeight="true" outlineLevel="0" collapsed="false">
      <c r="B287" s="84" t="s">
        <v>1282</v>
      </c>
      <c r="C287" s="1" t="n">
        <f aca="false">C284*(1-$C$340)*$C$175</f>
        <v>0.0915930918278716</v>
      </c>
      <c r="D287" s="1" t="n">
        <f aca="false">D284*(1-$C$340)*$C$175</f>
        <v>0.238462234555984</v>
      </c>
      <c r="E287" s="1" t="n">
        <f aca="false">E284*(1-$C$340)*$C$175</f>
        <v>0.413297490166064</v>
      </c>
      <c r="F287" s="1" t="n">
        <f aca="false">F284*(1-$C$340)*$C$175</f>
        <v>0.520638004401008</v>
      </c>
      <c r="G287" s="1" t="n">
        <f aca="false">G284*(1-$C$340)*$C$175</f>
        <v>0.633416913889142</v>
      </c>
      <c r="H287" s="1" t="n">
        <f aca="false">H284*(1-$C$340)*$C$175</f>
        <v>0.774142982716291</v>
      </c>
      <c r="I287" s="1" t="n">
        <f aca="false">I284*(1-$C$340)*$C$175</f>
        <v>0.933914255551958</v>
      </c>
      <c r="J287" s="1" t="n">
        <f aca="false">J284*(1-$C$340)*$C$175</f>
        <v>1.11105256713127</v>
      </c>
      <c r="K287" s="1" t="n">
        <f aca="false">K284*(1-$C$340)*$C$175</f>
        <v>1.34891485154227</v>
      </c>
      <c r="L287" s="1" t="n">
        <f aca="false">L284*(1-$C$340)*$C$175</f>
        <v>1.59284720716739</v>
      </c>
      <c r="M287" s="1" t="n">
        <f aca="false">M284*(1-$C$340)*$C$175</f>
        <v>2.01348617643869</v>
      </c>
      <c r="N287" s="1" t="n">
        <f aca="false">N284*(1-$C$340)*$C$175</f>
        <v>2.27226446825703</v>
      </c>
      <c r="O287" s="1" t="n">
        <f aca="false">O284*(1-$C$340)*$C$175</f>
        <v>2.32054344633936</v>
      </c>
      <c r="P287" s="1" t="n">
        <f aca="false">P284*(1-$C$340)*$C$175</f>
        <v>2.37193161994945</v>
      </c>
      <c r="Q287" s="1" t="n">
        <f aca="false">Q284*(1-$C$340)*$C$175</f>
        <v>2.42646310055072</v>
      </c>
      <c r="R287" s="1" t="n">
        <f aca="false">R284*(1-$C$340)*$C$175</f>
        <v>2.48378993959407</v>
      </c>
      <c r="S287" s="1" t="n">
        <f aca="false">S284*(1-$C$340)*$C$175</f>
        <v>2.54363348204267</v>
      </c>
      <c r="T287" s="1" t="n">
        <f aca="false">T284*(1-$C$340)*$C$175</f>
        <v>2.60576354977264</v>
      </c>
      <c r="U287" s="1" t="n">
        <f aca="false">U284*(1-$C$340)*$C$175</f>
        <v>2.66947856901689</v>
      </c>
      <c r="V287" s="1" t="n">
        <f aca="false">V284*(1-$C$340)*$C$175</f>
        <v>2.71335889620091</v>
      </c>
      <c r="W287" s="1" t="n">
        <f aca="false">W284*(1-$C$340)*$C$175</f>
        <v>2.75339917266561</v>
      </c>
      <c r="X287" s="1" t="n">
        <f aca="false">X284*(1-$C$340)*$C$175</f>
        <v>2.79260255637311</v>
      </c>
      <c r="Y287" s="1" t="n">
        <f aca="false">Y284*(1-$C$340)*$C$175</f>
        <v>2.83097143836239</v>
      </c>
      <c r="Z287" s="1" t="n">
        <f aca="false">Z284*(1-$C$340)*$C$175</f>
        <v>2.86850828075517</v>
      </c>
      <c r="AA287" s="1" t="n">
        <f aca="false">AA284*(1-$C$340)*$C$175</f>
        <v>2.90521561187616</v>
      </c>
      <c r="AB287" s="1" t="n">
        <f aca="false">AB284*(1-$C$340)*$C$175</f>
        <v>2.94109145776025</v>
      </c>
      <c r="AC287" s="1" t="n">
        <f aca="false">AC284*(1-$C$340)*$C$175</f>
        <v>2.97613390146564</v>
      </c>
      <c r="AD287" s="1" t="n">
        <f aca="false">AD284*(1-$C$340)*$C$175</f>
        <v>3.00029444872359</v>
      </c>
      <c r="AE287" s="1" t="n">
        <f aca="false">AE284*(1-$C$340)*$C$175</f>
        <v>3.02402714213149</v>
      </c>
      <c r="AF287" s="1" t="n">
        <f aca="false">AF284*(1-$C$340)*$C$175</f>
        <v>3.04731233531797</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2.97124026869837</v>
      </c>
      <c r="D289" s="1" t="n">
        <f aca="false">(1-$C$279)*D87</f>
        <v>7.73561171194062</v>
      </c>
      <c r="E289" s="1" t="n">
        <f aca="false">(1-$C$279)*E87</f>
        <v>13.4071917567881</v>
      </c>
      <c r="F289" s="1" t="n">
        <f aca="false">(1-$C$279)*F87</f>
        <v>16.8892715948289</v>
      </c>
      <c r="G289" s="1" t="n">
        <f aca="false">(1-$C$279)*G87</f>
        <v>20.5477706218163</v>
      </c>
      <c r="H289" s="1" t="n">
        <f aca="false">(1-$C$279)*H87</f>
        <v>25.1128634056763</v>
      </c>
      <c r="I289" s="1" t="n">
        <f aca="false">(1-$C$279)*I87</f>
        <v>30.2957743671564</v>
      </c>
      <c r="J289" s="1" t="n">
        <f aca="false">(1-$C$279)*J87</f>
        <v>36.0420645511671</v>
      </c>
      <c r="K289" s="1" t="n">
        <f aca="false">(1-$C$279)*K87</f>
        <v>43.758214139989</v>
      </c>
      <c r="L289" s="1" t="n">
        <f aca="false">(1-$C$279)*L87</f>
        <v>51.6712742126181</v>
      </c>
      <c r="M289" s="1" t="n">
        <f aca="false">(1-$C$279)*M87</f>
        <v>65.316620375093</v>
      </c>
      <c r="N289" s="1" t="n">
        <f aca="false">(1-$C$279)*N87</f>
        <v>73.7112761943398</v>
      </c>
      <c r="O289" s="1" t="n">
        <f aca="false">(1-$C$279)*O87</f>
        <v>75.2774253541411</v>
      </c>
      <c r="P289" s="1" t="n">
        <f aca="false">(1-$C$279)*P87</f>
        <v>76.9444354715862</v>
      </c>
      <c r="Q289" s="1" t="n">
        <f aca="false">(1-$C$279)*Q87</f>
        <v>78.71341310779</v>
      </c>
      <c r="R289" s="1" t="n">
        <f aca="false">(1-$C$279)*R87</f>
        <v>80.5730709623681</v>
      </c>
      <c r="S289" s="1" t="n">
        <f aca="false">(1-$C$279)*S87</f>
        <v>82.5143695864933</v>
      </c>
      <c r="T289" s="1" t="n">
        <f aca="false">(1-$C$279)*T87</f>
        <v>84.5298421014202</v>
      </c>
      <c r="U289" s="1" t="n">
        <f aca="false">(1-$C$279)*U87</f>
        <v>86.5967297576986</v>
      </c>
      <c r="V289" s="1" t="n">
        <f aca="false">(1-$C$279)*V87</f>
        <v>88.0201885855527</v>
      </c>
      <c r="W289" s="1" t="n">
        <f aca="false">(1-$C$279)*W87</f>
        <v>89.3190778295722</v>
      </c>
      <c r="X289" s="1" t="n">
        <f aca="false">(1-$C$279)*X87</f>
        <v>90.5908186346525</v>
      </c>
      <c r="Y289" s="1" t="n">
        <f aca="false">(1-$C$279)*Y87</f>
        <v>91.8354885650628</v>
      </c>
      <c r="Z289" s="1" t="n">
        <f aca="false">(1-$C$279)*Z87</f>
        <v>93.0531674909671</v>
      </c>
      <c r="AA289" s="1" t="n">
        <f aca="false">(1-$C$279)*AA87</f>
        <v>94.2439374301246</v>
      </c>
      <c r="AB289" s="1" t="n">
        <f aca="false">(1-$C$279)*AB87</f>
        <v>95.4077343479615</v>
      </c>
      <c r="AC289" s="1" t="n">
        <f aca="false">(1-$C$279)*AC87</f>
        <v>96.5444960597152</v>
      </c>
      <c r="AD289" s="1" t="n">
        <f aca="false">(1-$C$279)*AD87</f>
        <v>97.3282537590569</v>
      </c>
      <c r="AE289" s="1" t="n">
        <f aca="false">(1-$C$279)*AE87</f>
        <v>98.0981320646255</v>
      </c>
      <c r="AF289" s="1" t="n">
        <f aca="false">(1-$C$279)*AF87</f>
        <v>98.853493656634</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0.588305573202276</v>
      </c>
      <c r="E290" s="1" t="n">
        <f aca="false">MAX(D289*(1-$C$340)/$C$281+IF(AND(01_Supuestos!$C$189&gt;0,E$39=01_Supuestos!$C$189),01_Supuestos!$C$190*D289*(1-$C$340)*(1-1/$C$281),0),D289-E342-E289)</f>
        <v>1.53165111896424</v>
      </c>
      <c r="F290" s="1" t="n">
        <f aca="false">MAX(E289*(1-$C$340)/$C$281+IF(AND(01_Supuestos!$C$189&gt;0,F$39=01_Supuestos!$C$189),01_Supuestos!$C$190*E289*(1-$C$340)*(1-1/$C$281),0),E289-F342-F289)</f>
        <v>2.65462396784404</v>
      </c>
      <c r="G290" s="1" t="n">
        <f aca="false">MAX(F289*(1-$C$340)/$C$281+IF(AND(01_Supuestos!$C$189&gt;0,G$39=01_Supuestos!$C$189),01_Supuestos!$C$190*F289*(1-$C$340)*(1-1/$C$281),0),F289-G342-G289)</f>
        <v>3.34407577577613</v>
      </c>
      <c r="H290" s="1" t="n">
        <f aca="false">MAX(G289*(1-$C$340)/$C$281+IF(AND(01_Supuestos!$C$189&gt;0,H$39=01_Supuestos!$C$189),01_Supuestos!$C$190*G289*(1-$C$340)*(1-1/$C$281),0),G289-H342-H289)</f>
        <v>4.06845858311963</v>
      </c>
      <c r="I290" s="1" t="n">
        <f aca="false">MAX(H289*(1-$C$340)/$C$281+IF(AND(01_Supuestos!$C$189&gt;0,I$39=01_Supuestos!$C$189),01_Supuestos!$C$190*H289*(1-$C$340)*(1-1/$C$281),0),H289-I342-I289)</f>
        <v>4.97234695432391</v>
      </c>
      <c r="J290" s="1" t="n">
        <f aca="false">MAX(I289*(1-$C$340)/$C$281+IF(AND(01_Supuestos!$C$189&gt;0,J$39=01_Supuestos!$C$189),01_Supuestos!$C$190*I289*(1-$C$340)*(1-1/$C$281),0),I289-J342-J289)</f>
        <v>5.99856332469696</v>
      </c>
      <c r="K290" s="1" t="n">
        <f aca="false">MAX(J289*(1-$C$340)/$C$281+IF(AND(01_Supuestos!$C$189&gt;0,K$39=01_Supuestos!$C$189),01_Supuestos!$C$190*J289*(1-$C$340)*(1-1/$C$281),0),J289-K342-K289)</f>
        <v>7.13632878113108</v>
      </c>
      <c r="L290" s="1" t="n">
        <f aca="false">MAX(K289*(1-$C$340)/$C$281+IF(AND(01_Supuestos!$C$189&gt;0,L$39=01_Supuestos!$C$189),01_Supuestos!$C$190*K289*(1-$C$340)*(1-1/$C$281),0),K289-L342-L289)</f>
        <v>8.66412639971782</v>
      </c>
      <c r="M290" s="1" t="n">
        <f aca="false">MAX(L289*(1-$C$340)/$C$281+IF(AND(01_Supuestos!$C$189&gt;0,M$39=01_Supuestos!$C$189),01_Supuestos!$C$190*L289*(1-$C$340)*(1-1/$C$281),0),L289-M342-M289)</f>
        <v>10.2309122940984</v>
      </c>
      <c r="N290" s="1" t="n">
        <f aca="false">MAX(M289*(1-$C$340)/$C$281+IF(AND(01_Supuestos!$C$189&gt;0,N$39=01_Supuestos!$C$189),01_Supuestos!$C$190*M289*(1-$C$340)*(1-1/$C$281),0),M289-N342-N289)</f>
        <v>12.9326908342684</v>
      </c>
      <c r="O290" s="1" t="n">
        <f aca="false">MAX(N289*(1-$C$340)/$C$281+IF(AND(01_Supuestos!$C$189&gt;0,O$39=01_Supuestos!$C$189),01_Supuestos!$C$190*N289*(1-$C$340)*(1-1/$C$281),0),N289-O342-O289)</f>
        <v>14.5948326864793</v>
      </c>
      <c r="P290" s="1" t="n">
        <f aca="false">MAX(O289*(1-$C$340)/$C$281+IF(AND(01_Supuestos!$C$189&gt;0,P$39=01_Supuestos!$C$189),01_Supuestos!$C$190*O289*(1-$C$340)*(1-1/$C$281),0),O289-P342-P289)</f>
        <v>14.9049302201199</v>
      </c>
      <c r="Q290" s="1" t="n">
        <f aca="false">MAX(P289*(1-$C$340)/$C$281+IF(AND(01_Supuestos!$C$189&gt;0,Q$39=01_Supuestos!$C$189),01_Supuestos!$C$190*P289*(1-$C$340)*(1-1/$C$281),0),P289-Q342-Q289)</f>
        <v>15.2349982233741</v>
      </c>
      <c r="R290" s="1" t="n">
        <f aca="false">MAX(Q289*(1-$C$340)/$C$281+IF(AND(01_Supuestos!$C$189&gt;0,R$39=01_Supuestos!$C$189),01_Supuestos!$C$190*Q289*(1-$C$340)*(1-1/$C$281),0),Q289-R342-R289)</f>
        <v>15.5852557953424</v>
      </c>
      <c r="S290" s="1" t="n">
        <f aca="false">MAX(R289*(1-$C$340)/$C$281+IF(AND(01_Supuestos!$C$189&gt;0,S$39=01_Supuestos!$C$189),01_Supuestos!$C$190*R289*(1-$C$340)*(1-1/$C$281),0),R289-S342-S289)</f>
        <v>15.9534680505489</v>
      </c>
      <c r="T290" s="1" t="n">
        <f aca="false">MAX(S289*(1-$C$340)/$C$281+IF(AND(01_Supuestos!$C$189&gt;0,T$39=01_Supuestos!$C$189),01_Supuestos!$C$190*S289*(1-$C$340)*(1-1/$C$281),0),S289-T342-T289)</f>
        <v>16.3378451781257</v>
      </c>
      <c r="U290" s="1" t="n">
        <f aca="false">MAX(T289*(1-$C$340)/$C$281+IF(AND(01_Supuestos!$C$189&gt;0,U$39=01_Supuestos!$C$189),01_Supuestos!$C$190*T289*(1-$C$340)*(1-1/$C$281),0),T289-U342-U289)</f>
        <v>16.7369087360812</v>
      </c>
      <c r="V290" s="1" t="n">
        <f aca="false">MAX(U289*(1-$C$340)/$C$281+IF(AND(01_Supuestos!$C$189&gt;0,V$39=01_Supuestos!$C$189),01_Supuestos!$C$190*U289*(1-$C$340)*(1-1/$C$281),0),U289-V342-V289)</f>
        <v>17.1461524920243</v>
      </c>
      <c r="W290" s="1" t="n">
        <f aca="false">MAX(V289*(1-$C$340)/$C$281+IF(AND(01_Supuestos!$C$189&gt;0,W$39=01_Supuestos!$C$189),01_Supuestos!$C$190*V289*(1-$C$340)*(1-1/$C$281),0),V289-W342-W289)</f>
        <v>17.4279973399394</v>
      </c>
      <c r="X290" s="1" t="n">
        <f aca="false">MAX(W289*(1-$C$340)/$C$281+IF(AND(01_Supuestos!$C$189&gt;0,X$39=01_Supuestos!$C$189),01_Supuestos!$C$190*W289*(1-$C$340)*(1-1/$C$281),0),W289-X342-X289)</f>
        <v>17.6851774102553</v>
      </c>
      <c r="Y290" s="1" t="n">
        <f aca="false">MAX(X289*(1-$C$340)/$C$281+IF(AND(01_Supuestos!$C$189&gt;0,Y$39=01_Supuestos!$C$189),01_Supuestos!$C$190*X289*(1-$C$340)*(1-1/$C$281),0),X289-Y342-Y289)</f>
        <v>17.9369820896612</v>
      </c>
      <c r="Z290" s="1" t="n">
        <f aca="false">MAX(Y289*(1-$C$340)/$C$281+IF(AND(01_Supuestos!$C$189&gt;0,Z$39=01_Supuestos!$C$189),01_Supuestos!$C$190*Y289*(1-$C$340)*(1-1/$C$281),0),Y289-Z342-Z289)</f>
        <v>18.1834267358824</v>
      </c>
      <c r="AA290" s="1" t="n">
        <f aca="false">MAX(Z289*(1-$C$340)/$C$281+IF(AND(01_Supuestos!$C$189&gt;0,AA$39=01_Supuestos!$C$189),01_Supuestos!$C$190*Z289*(1-$C$340)*(1-1/$C$281),0),Z289-AA342-AA289)</f>
        <v>18.4245271632115</v>
      </c>
      <c r="AB290" s="1" t="n">
        <f aca="false">MAX(AA289*(1-$C$340)/$C$281+IF(AND(01_Supuestos!$C$189&gt;0,AB$39=01_Supuestos!$C$189),01_Supuestos!$C$190*AA289*(1-$C$340)*(1-1/$C$281),0),AA289-AB342-AB289)</f>
        <v>18.6602996111647</v>
      </c>
      <c r="AC290" s="1" t="n">
        <f aca="false">MAX(AB289*(1-$C$340)/$C$281+IF(AND(01_Supuestos!$C$189&gt;0,AC$39=01_Supuestos!$C$189),01_Supuestos!$C$190*AB289*(1-$C$340)*(1-1/$C$281),0),AB289-AC342-AC289)</f>
        <v>18.8907314008964</v>
      </c>
      <c r="AD290" s="1" t="n">
        <f aca="false">MAX(AC289*(1-$C$340)/$C$281+IF(AND(01_Supuestos!$C$189&gt;0,AD$39=01_Supuestos!$C$189),01_Supuestos!$C$190*AC289*(1-$C$340)*(1-1/$C$281),0),AC289-AD342-AD289)</f>
        <v>19.1158102198236</v>
      </c>
      <c r="AE290" s="1" t="n">
        <f aca="false">MAX(AD289*(1-$C$340)/$C$281+IF(AND(01_Supuestos!$C$189&gt;0,AE$39=01_Supuestos!$C$189),01_Supuestos!$C$190*AD289*(1-$C$340)*(1-1/$C$281),0),AD289-AE342-AE289)</f>
        <v>19.2709942442933</v>
      </c>
      <c r="AF290" s="1" t="n">
        <f aca="false">MAX(AE289*(1-$C$340)/$C$281+IF(AND(01_Supuestos!$C$189&gt;0,AF$39=01_Supuestos!$C$189),01_Supuestos!$C$190*AE289*(1-$C$340)*(1-1/$C$281),0),AE289-AF342-AF289)</f>
        <v>19.4234301487959</v>
      </c>
    </row>
    <row r="291" customFormat="false" ht="14.25" hidden="false" customHeight="true" outlineLevel="0" collapsed="false">
      <c r="B291" s="84" t="s">
        <v>1281</v>
      </c>
      <c r="C291" s="1" t="n">
        <f aca="false">C289-0+C290</f>
        <v>2.97124026869837</v>
      </c>
      <c r="D291" s="1" t="n">
        <f aca="false">D289-C289+D290+D342</f>
        <v>5.38238941913151</v>
      </c>
      <c r="E291" s="1" t="n">
        <f aca="false">E289-D289+E290+E342</f>
        <v>7.28058728093113</v>
      </c>
      <c r="F291" s="1" t="n">
        <f aca="false">F289-E289+F290+F342</f>
        <v>6.27077572345277</v>
      </c>
      <c r="G291" s="1" t="n">
        <f aca="false">G289-F289+G290+G342</f>
        <v>7.17146751871178</v>
      </c>
      <c r="H291" s="1" t="n">
        <f aca="false">H289-G289+H290+H342</f>
        <v>8.8390290731978</v>
      </c>
      <c r="I291" s="1" t="n">
        <f aca="false">I289-H289+I290+I342</f>
        <v>10.4063865498607</v>
      </c>
      <c r="J291" s="1" t="n">
        <f aca="false">J289-I289+J290+J342</f>
        <v>12.0478112523792</v>
      </c>
      <c r="K291" s="1" t="n">
        <f aca="false">K289-J289+K290+K342</f>
        <v>15.2128990154647</v>
      </c>
      <c r="L291" s="1" t="n">
        <f aca="false">L289-K289+L290+L342</f>
        <v>17.0147686137468</v>
      </c>
      <c r="M291" s="1" t="n">
        <f aca="false">M289-L289+M290+M342</f>
        <v>24.3929711986995</v>
      </c>
      <c r="N291" s="1" t="n">
        <f aca="false">N289-M289+N290+N342</f>
        <v>21.9805128572661</v>
      </c>
      <c r="O291" s="1" t="n">
        <f aca="false">O289-N289+O290+O342</f>
        <v>16.898094608224</v>
      </c>
      <c r="P291" s="1" t="n">
        <f aca="false">P289-O289+P290+P342</f>
        <v>17.3247145911065</v>
      </c>
      <c r="Q291" s="1" t="n">
        <f aca="false">Q289-P289+Q290+Q342</f>
        <v>17.7734202142937</v>
      </c>
      <c r="R291" s="1" t="n">
        <f aca="false">R289-Q289+R290+R342</f>
        <v>18.2320477809984</v>
      </c>
      <c r="S291" s="1" t="n">
        <f aca="false">S289-R289+S290+S342</f>
        <v>18.7004973842978</v>
      </c>
      <c r="T291" s="1" t="n">
        <f aca="false">T289-S289+T290+T342</f>
        <v>19.1784613889174</v>
      </c>
      <c r="U291" s="1" t="n">
        <f aca="false">U289-T289+U290+U342</f>
        <v>19.6490948133738</v>
      </c>
      <c r="V291" s="1" t="n">
        <f aca="false">V289-U289+V290+V342</f>
        <v>19.4355786174554</v>
      </c>
      <c r="W291" s="1" t="n">
        <f aca="false">W289-V289+W290+W342</f>
        <v>19.6070884698145</v>
      </c>
      <c r="X291" s="1" t="n">
        <f aca="false">X289-W289+X290+X342</f>
        <v>19.8501089936314</v>
      </c>
      <c r="Y291" s="1" t="n">
        <f aca="false">Y289-X289+Y290+Y342</f>
        <v>20.087560206418</v>
      </c>
      <c r="Z291" s="1" t="n">
        <f aca="false">Z289-Y289+Z290+Z342</f>
        <v>20.3194605474374</v>
      </c>
      <c r="AA291" s="1" t="n">
        <f aca="false">AA289-Z289+AA290+AA342</f>
        <v>20.5458287772787</v>
      </c>
      <c r="AB291" s="1" t="n">
        <f aca="false">AB289-AA289+AB290+AB342</f>
        <v>20.7665359033028</v>
      </c>
      <c r="AC291" s="1" t="n">
        <f aca="false">AC289-AB289+AC290+AC342</f>
        <v>20.9815704561296</v>
      </c>
      <c r="AD291" s="1" t="n">
        <f aca="false">AD289-AC289+AD290+AD342</f>
        <v>20.8650128797625</v>
      </c>
      <c r="AE291" s="1" t="n">
        <f aca="false">AE289-AD289+AE290+AE342</f>
        <v>21.0141550874525</v>
      </c>
      <c r="AF291" s="1" t="n">
        <f aca="false">AF289-AE289+AF290+AF342</f>
        <v>21.1597730614505</v>
      </c>
    </row>
    <row r="292" customFormat="false" ht="14.25" hidden="false" customHeight="true" outlineLevel="0" collapsed="false">
      <c r="B292" s="84" t="s">
        <v>1282</v>
      </c>
      <c r="C292" s="1" t="n">
        <f aca="false">C289*(1-$C$340)*$C$175</f>
        <v>0.126485698238489</v>
      </c>
      <c r="D292" s="1" t="n">
        <f aca="false">D289*(1-$C$340)*$C$175</f>
        <v>0.329304990577312</v>
      </c>
      <c r="E292" s="1" t="n">
        <f aca="false">E289*(1-$C$340)*$C$175</f>
        <v>0.570744153086469</v>
      </c>
      <c r="F292" s="1" t="n">
        <f aca="false">F289*(1-$C$340)*$C$175</f>
        <v>0.718976291791868</v>
      </c>
      <c r="G292" s="1" t="n">
        <f aca="false">G289*(1-$C$340)*$C$175</f>
        <v>0.87471859537072</v>
      </c>
      <c r="H292" s="1" t="n">
        <f aca="false">H289*(1-$C$340)*$C$175</f>
        <v>1.06905459517964</v>
      </c>
      <c r="I292" s="1" t="n">
        <f aca="false">I289*(1-$C$340)*$C$175</f>
        <v>1.28969111480985</v>
      </c>
      <c r="J292" s="1" t="n">
        <f aca="false">J289*(1-$C$340)*$C$175</f>
        <v>1.53431068794318</v>
      </c>
      <c r="K292" s="1" t="n">
        <f aca="false">K289*(1-$C$340)*$C$175</f>
        <v>1.86278717593933</v>
      </c>
      <c r="L292" s="1" t="n">
        <f aca="false">L289*(1-$C$340)*$C$175</f>
        <v>2.19964614323115</v>
      </c>
      <c r="M292" s="1" t="n">
        <f aca="false">M289*(1-$C$340)*$C$175</f>
        <v>2.78052852936771</v>
      </c>
      <c r="N292" s="1" t="n">
        <f aca="false">N289*(1-$C$340)*$C$175</f>
        <v>3.13788902759304</v>
      </c>
      <c r="O292" s="1" t="n">
        <f aca="false">O289*(1-$C$340)*$C$175</f>
        <v>3.20455999732578</v>
      </c>
      <c r="P292" s="1" t="n">
        <f aca="false">P289*(1-$C$340)*$C$175</f>
        <v>3.27552461802543</v>
      </c>
      <c r="Q292" s="1" t="n">
        <f aca="false">Q289*(1-$C$340)*$C$175</f>
        <v>3.35082999599862</v>
      </c>
      <c r="R292" s="1" t="n">
        <f aca="false">R289*(1-$C$340)*$C$175</f>
        <v>3.42999563086801</v>
      </c>
      <c r="S292" s="1" t="n">
        <f aca="false">S289*(1-$C$340)*$C$175</f>
        <v>3.51263671329702</v>
      </c>
      <c r="T292" s="1" t="n">
        <f aca="false">T289*(1-$C$340)*$C$175</f>
        <v>3.59843537825746</v>
      </c>
      <c r="U292" s="1" t="n">
        <f aca="false">U289*(1-$C$340)*$C$175</f>
        <v>3.68642278578523</v>
      </c>
      <c r="V292" s="1" t="n">
        <f aca="false">V289*(1-$C$340)*$C$175</f>
        <v>3.74701942808698</v>
      </c>
      <c r="W292" s="1" t="n">
        <f aca="false">W289*(1-$C$340)*$C$175</f>
        <v>3.80231314320489</v>
      </c>
      <c r="X292" s="1" t="n">
        <f aca="false">X289*(1-$C$340)*$C$175</f>
        <v>3.85645114927716</v>
      </c>
      <c r="Y292" s="1" t="n">
        <f aca="false">Y289*(1-$C$340)*$C$175</f>
        <v>3.90943674821472</v>
      </c>
      <c r="Z292" s="1" t="n">
        <f aca="false">Z289*(1-$C$340)*$C$175</f>
        <v>3.96127334009047</v>
      </c>
      <c r="AA292" s="1" t="n">
        <f aca="false">AA289*(1-$C$340)*$C$175</f>
        <v>4.01196441640041</v>
      </c>
      <c r="AB292" s="1" t="n">
        <f aca="false">AB289*(1-$C$340)*$C$175</f>
        <v>4.06150725119272</v>
      </c>
      <c r="AC292" s="1" t="n">
        <f aca="false">AC289*(1-$C$340)*$C$175</f>
        <v>4.10989919726208</v>
      </c>
      <c r="AD292" s="1" t="n">
        <f aca="false">AD289*(1-$C$340)*$C$175</f>
        <v>4.14326376252305</v>
      </c>
      <c r="AE292" s="1" t="n">
        <f aca="false">AE289*(1-$C$340)*$C$175</f>
        <v>4.17603748199111</v>
      </c>
      <c r="AF292" s="1" t="n">
        <f aca="false">AF289*(1-$C$340)*$C$175</f>
        <v>4.20819322496291</v>
      </c>
    </row>
    <row r="293" customFormat="false" ht="14.25" hidden="false" customHeight="true" outlineLevel="0" collapsed="false">
      <c r="B293" s="144" t="s">
        <v>1285</v>
      </c>
    </row>
    <row r="294" customFormat="false" ht="14.25" hidden="false" customHeight="true" outlineLevel="0" collapsed="false">
      <c r="B294" s="84" t="s">
        <v>1286</v>
      </c>
      <c r="C294" s="116" t="n">
        <f aca="false">C85</f>
        <v>1.41920433268594</v>
      </c>
      <c r="D294" s="116" t="n">
        <f aca="false">D85</f>
        <v>3.7524686378297</v>
      </c>
      <c r="E294" s="116" t="n">
        <f aca="false">E85</f>
        <v>6.8985155036099</v>
      </c>
      <c r="F294" s="116" t="n">
        <f aca="false">F85</f>
        <v>14.1168292884033</v>
      </c>
      <c r="G294" s="116" t="n">
        <f aca="false">G85</f>
        <v>21.335075751158</v>
      </c>
      <c r="H294" s="116" t="n">
        <f aca="false">H85</f>
        <v>27.3013276079837</v>
      </c>
      <c r="I294" s="116" t="n">
        <f aca="false">I85</f>
        <v>32.520629044428</v>
      </c>
      <c r="J294" s="116" t="n">
        <f aca="false">J85</f>
        <v>37.0941601545716</v>
      </c>
      <c r="K294" s="116" t="n">
        <f aca="false">K85</f>
        <v>38.6044432895951</v>
      </c>
      <c r="L294" s="116" t="n">
        <f aca="false">L85</f>
        <v>40.1159473448892</v>
      </c>
      <c r="M294" s="116" t="n">
        <f aca="false">M85</f>
        <v>32.0927578759113</v>
      </c>
      <c r="N294" s="116" t="n">
        <f aca="false">N85</f>
        <v>26.8915128730083</v>
      </c>
      <c r="O294" s="116" t="n">
        <f aca="false">O85</f>
        <v>27.7327938633435</v>
      </c>
      <c r="P294" s="116" t="n">
        <f aca="false">P85</f>
        <v>28.4816320285799</v>
      </c>
      <c r="Q294" s="116" t="n">
        <f aca="false">Q85</f>
        <v>29.1379929784143</v>
      </c>
      <c r="R294" s="116" t="n">
        <f aca="false">R85</f>
        <v>29.7232541391611</v>
      </c>
      <c r="S294" s="116" t="n">
        <f aca="false">S85</f>
        <v>30.2549614119638</v>
      </c>
      <c r="T294" s="116" t="n">
        <f aca="false">T85</f>
        <v>30.747994465064</v>
      </c>
      <c r="U294" s="116" t="n">
        <f aca="false">U85</f>
        <v>31.2436443930264</v>
      </c>
      <c r="V294" s="116" t="n">
        <f aca="false">V85</f>
        <v>31.7416184481417</v>
      </c>
      <c r="W294" s="116" t="n">
        <f aca="false">W85</f>
        <v>32.2308678236893</v>
      </c>
      <c r="X294" s="116" t="n">
        <f aca="false">X85</f>
        <v>32.7111113379173</v>
      </c>
      <c r="Y294" s="116" t="n">
        <f aca="false">Y85</f>
        <v>33.1820687450361</v>
      </c>
      <c r="Z294" s="116" t="n">
        <f aca="false">Z85</f>
        <v>33.6434606756987</v>
      </c>
      <c r="AA294" s="116" t="n">
        <f aca="false">AA85</f>
        <v>34.0950085800093</v>
      </c>
      <c r="AB294" s="116" t="n">
        <f aca="false">AB85</f>
        <v>34.536689928129</v>
      </c>
      <c r="AC294" s="116" t="n">
        <f aca="false">AC85</f>
        <v>34.9684829027044</v>
      </c>
      <c r="AD294" s="116" t="n">
        <f aca="false">AD85</f>
        <v>35.3023869593284</v>
      </c>
      <c r="AE294" s="116" t="n">
        <f aca="false">AE85</f>
        <v>35.6277223293978</v>
      </c>
      <c r="AF294" s="116" t="n">
        <f aca="false">AF85</f>
        <v>35.9442563233237</v>
      </c>
    </row>
    <row r="295" customFormat="false" ht="14.25" hidden="false" customHeight="true" outlineLevel="0" collapsed="false">
      <c r="B295" s="84" t="s">
        <v>1287</v>
      </c>
      <c r="C295" s="1" t="n">
        <f aca="false">MAX(0/$C$282,0-C294)</f>
        <v>0</v>
      </c>
      <c r="D295" s="1" t="n">
        <f aca="false">MAX(C294/$C$282,C294-D294)</f>
        <v>0.141920433268594</v>
      </c>
      <c r="E295" s="1" t="n">
        <f aca="false">MAX(D294/$C$282,D294-E294)</f>
        <v>0.37524686378297</v>
      </c>
      <c r="F295" s="1" t="n">
        <f aca="false">MAX(E294/$C$282,E294-F294)</f>
        <v>0.68985155036099</v>
      </c>
      <c r="G295" s="1" t="n">
        <f aca="false">MAX(F294/$C$282,F294-G294)</f>
        <v>1.41168292884033</v>
      </c>
      <c r="H295" s="1" t="n">
        <f aca="false">MAX(G294/$C$282,G294-H294)</f>
        <v>2.1335075751158</v>
      </c>
      <c r="I295" s="1" t="n">
        <f aca="false">MAX(H294/$C$282,H294-I294)</f>
        <v>2.73013276079837</v>
      </c>
      <c r="J295" s="1" t="n">
        <f aca="false">MAX(I294/$C$282,I294-J294)</f>
        <v>3.2520629044428</v>
      </c>
      <c r="K295" s="1" t="n">
        <f aca="false">MAX(J294/$C$282,J294-K294)</f>
        <v>3.70941601545716</v>
      </c>
      <c r="L295" s="1" t="n">
        <f aca="false">MAX(K294/$C$282,K294-L294)</f>
        <v>3.86044432895951</v>
      </c>
      <c r="M295" s="1" t="n">
        <f aca="false">MAX(L294/$C$282,L294-M294)</f>
        <v>8.02318946897783</v>
      </c>
      <c r="N295" s="1" t="n">
        <f aca="false">MAX(M294/$C$282,M294-N294)</f>
        <v>5.20124500290308</v>
      </c>
      <c r="O295" s="1" t="n">
        <f aca="false">MAX(N294/$C$282,N294-O294)</f>
        <v>2.68915128730083</v>
      </c>
      <c r="P295" s="1" t="n">
        <f aca="false">MAX(O294/$C$282,O294-P294)</f>
        <v>2.77327938633435</v>
      </c>
      <c r="Q295" s="1" t="n">
        <f aca="false">MAX(P294/$C$282,P294-Q294)</f>
        <v>2.84816320285799</v>
      </c>
      <c r="R295" s="1" t="n">
        <f aca="false">MAX(Q294/$C$282,Q294-R294)</f>
        <v>2.91379929784143</v>
      </c>
      <c r="S295" s="1" t="n">
        <f aca="false">MAX(R294/$C$282,R294-S294)</f>
        <v>2.97232541391611</v>
      </c>
      <c r="T295" s="1" t="n">
        <f aca="false">MAX(S294/$C$282,S294-T294)</f>
        <v>3.02549614119638</v>
      </c>
      <c r="U295" s="1" t="n">
        <f aca="false">MAX(T294/$C$282,T294-U294)</f>
        <v>3.0747994465064</v>
      </c>
      <c r="V295" s="1" t="n">
        <f aca="false">MAX(U294/$C$282,U294-V294)</f>
        <v>3.12436443930264</v>
      </c>
      <c r="W295" s="1" t="n">
        <f aca="false">MAX(V294/$C$282,V294-W294)</f>
        <v>3.17416184481417</v>
      </c>
      <c r="X295" s="1" t="n">
        <f aca="false">MAX(W294/$C$282,W294-X294)</f>
        <v>3.22308678236893</v>
      </c>
      <c r="Y295" s="1" t="n">
        <f aca="false">MAX(X294/$C$282,X294-Y294)</f>
        <v>3.27111113379173</v>
      </c>
      <c r="Z295" s="1" t="n">
        <f aca="false">MAX(Y294/$C$282,Y294-Z294)</f>
        <v>3.31820687450361</v>
      </c>
      <c r="AA295" s="1" t="n">
        <f aca="false">MAX(Z294/$C$282,Z294-AA294)</f>
        <v>3.36434606756987</v>
      </c>
      <c r="AB295" s="1" t="n">
        <f aca="false">MAX(AA294/$C$282,AA294-AB294)</f>
        <v>3.40950085800093</v>
      </c>
      <c r="AC295" s="1" t="n">
        <f aca="false">MAX(AB294/$C$282,AB294-AC294)</f>
        <v>3.4536689928129</v>
      </c>
      <c r="AD295" s="1" t="n">
        <f aca="false">MAX(AC294/$C$282,AC294-AD294)</f>
        <v>3.49684829027044</v>
      </c>
      <c r="AE295" s="1" t="n">
        <f aca="false">MAX(AD294/$C$282,AD294-AE294)</f>
        <v>3.53023869593284</v>
      </c>
      <c r="AF295" s="1" t="n">
        <f aca="false">MAX(AE294/$C$282,AE294-AF294)</f>
        <v>3.56277223293978</v>
      </c>
    </row>
    <row r="296" customFormat="false" ht="14.25" hidden="false" customHeight="true" outlineLevel="0" collapsed="false">
      <c r="B296" s="84" t="s">
        <v>1288</v>
      </c>
      <c r="C296" s="1" t="n">
        <f aca="false">C294-0+C295</f>
        <v>1.41920433268594</v>
      </c>
      <c r="D296" s="1" t="n">
        <f aca="false">D294-C294+D295</f>
        <v>2.47518473841235</v>
      </c>
      <c r="E296" s="1" t="n">
        <f aca="false">E294-D294+E295</f>
        <v>3.52129372956317</v>
      </c>
      <c r="F296" s="1" t="n">
        <f aca="false">F294-E294+F295</f>
        <v>7.90816533515436</v>
      </c>
      <c r="G296" s="1" t="n">
        <f aca="false">G294-F294+G295</f>
        <v>8.62992939159503</v>
      </c>
      <c r="H296" s="1" t="n">
        <f aca="false">H294-G294+H295</f>
        <v>8.09975943194154</v>
      </c>
      <c r="I296" s="1" t="n">
        <f aca="false">I294-H294+I295</f>
        <v>7.94943419724267</v>
      </c>
      <c r="J296" s="1" t="n">
        <f aca="false">J294-I294+J295</f>
        <v>7.82559401458642</v>
      </c>
      <c r="K296" s="1" t="n">
        <f aca="false">K294-J294+K295</f>
        <v>5.21969915048061</v>
      </c>
      <c r="L296" s="1" t="n">
        <f aca="false">L294-K294+L295</f>
        <v>5.37194838425361</v>
      </c>
      <c r="M296" s="1" t="n">
        <f aca="false">M294-L294+M295</f>
        <v>0</v>
      </c>
      <c r="N296" s="1" t="n">
        <f aca="false">N294-M294+N295</f>
        <v>0</v>
      </c>
      <c r="O296" s="1" t="n">
        <f aca="false">O294-N294+O295</f>
        <v>3.53043227763606</v>
      </c>
      <c r="P296" s="1" t="n">
        <f aca="false">P294-O294+P295</f>
        <v>3.5221175515707</v>
      </c>
      <c r="Q296" s="1" t="n">
        <f aca="false">Q294-P294+Q295</f>
        <v>3.50452415269245</v>
      </c>
      <c r="R296" s="1" t="n">
        <f aca="false">R294-Q294+R295</f>
        <v>3.49906045858817</v>
      </c>
      <c r="S296" s="1" t="n">
        <f aca="false">S294-R294+S295</f>
        <v>3.50403268671883</v>
      </c>
      <c r="T296" s="1" t="n">
        <f aca="false">T294-S294+T295</f>
        <v>3.51852919429658</v>
      </c>
      <c r="U296" s="1" t="n">
        <f aca="false">U294-T294+U295</f>
        <v>3.57044937446882</v>
      </c>
      <c r="V296" s="1" t="n">
        <f aca="false">V294-U294+V295</f>
        <v>3.62233849441795</v>
      </c>
      <c r="W296" s="1" t="n">
        <f aca="false">W294-V294+W295</f>
        <v>3.66341122036174</v>
      </c>
      <c r="X296" s="1" t="n">
        <f aca="false">X294-W294+X295</f>
        <v>3.70333029659698</v>
      </c>
      <c r="Y296" s="1" t="n">
        <f aca="false">Y294-X294+Y295</f>
        <v>3.74206854091047</v>
      </c>
      <c r="Z296" s="1" t="n">
        <f aca="false">Z294-Y294+Z295</f>
        <v>3.77959880516622</v>
      </c>
      <c r="AA296" s="1" t="n">
        <f aca="false">AA294-Z294+AA295</f>
        <v>3.81589397188045</v>
      </c>
      <c r="AB296" s="1" t="n">
        <f aca="false">AB294-AA294+AB295</f>
        <v>3.8511822061207</v>
      </c>
      <c r="AC296" s="1" t="n">
        <f aca="false">AC294-AB294+AC295</f>
        <v>3.8854619673883</v>
      </c>
      <c r="AD296" s="1" t="n">
        <f aca="false">AD294-AC294+AD295</f>
        <v>3.83075234689442</v>
      </c>
      <c r="AE296" s="1" t="n">
        <f aca="false">AE294-AD294+AE295</f>
        <v>3.85557406600225</v>
      </c>
      <c r="AF296" s="1" t="n">
        <f aca="false">AF294-AE294+AF295</f>
        <v>3.8793062268657</v>
      </c>
    </row>
    <row r="297" customFormat="false" ht="14.25" hidden="false" customHeight="true" outlineLevel="0" collapsed="false">
      <c r="B297" s="84" t="s">
        <v>1289</v>
      </c>
      <c r="C297" s="1" t="n">
        <f aca="false">C294*01_Supuestos!$I$126</f>
        <v>0.0567681733074377</v>
      </c>
      <c r="D297" s="1" t="n">
        <f aca="false">D294*01_Supuestos!$I$126</f>
        <v>0.150098745513188</v>
      </c>
      <c r="E297" s="1" t="n">
        <f aca="false">E294*01_Supuestos!$I$126</f>
        <v>0.275940620144396</v>
      </c>
      <c r="F297" s="1" t="n">
        <f aca="false">F294*01_Supuestos!$I$126</f>
        <v>0.564673171536131</v>
      </c>
      <c r="G297" s="1" t="n">
        <f aca="false">G294*01_Supuestos!$I$126</f>
        <v>0.853403030046319</v>
      </c>
      <c r="H297" s="1" t="n">
        <f aca="false">H294*01_Supuestos!$I$126</f>
        <v>1.09205310431935</v>
      </c>
      <c r="I297" s="1" t="n">
        <f aca="false">I294*01_Supuestos!$I$126</f>
        <v>1.30082516177712</v>
      </c>
      <c r="J297" s="1" t="n">
        <f aca="false">J294*01_Supuestos!$I$126</f>
        <v>1.48376640618287</v>
      </c>
      <c r="K297" s="1" t="n">
        <f aca="false">K294*01_Supuestos!$I$126</f>
        <v>1.5441777315838</v>
      </c>
      <c r="L297" s="1" t="n">
        <f aca="false">L294*01_Supuestos!$I$126</f>
        <v>1.60463789379557</v>
      </c>
      <c r="M297" s="1" t="n">
        <f aca="false">M294*01_Supuestos!$I$126</f>
        <v>1.28371031503645</v>
      </c>
      <c r="N297" s="1" t="n">
        <f aca="false">N294*01_Supuestos!$I$126</f>
        <v>1.07566051492033</v>
      </c>
      <c r="O297" s="1" t="n">
        <f aca="false">O294*01_Supuestos!$I$126</f>
        <v>1.10931175453374</v>
      </c>
      <c r="P297" s="1" t="n">
        <f aca="false">P294*01_Supuestos!$I$126</f>
        <v>1.13926528114319</v>
      </c>
      <c r="Q297" s="1" t="n">
        <f aca="false">Q294*01_Supuestos!$I$126</f>
        <v>1.16551971913657</v>
      </c>
      <c r="R297" s="1" t="n">
        <f aca="false">R294*01_Supuestos!$I$126</f>
        <v>1.18893016556644</v>
      </c>
      <c r="S297" s="1" t="n">
        <f aca="false">S294*01_Supuestos!$I$126</f>
        <v>1.21019845647855</v>
      </c>
      <c r="T297" s="1" t="n">
        <f aca="false">T294*01_Supuestos!$I$126</f>
        <v>1.22991977860256</v>
      </c>
      <c r="U297" s="1" t="n">
        <f aca="false">U294*01_Supuestos!$I$126</f>
        <v>1.24974577572106</v>
      </c>
      <c r="V297" s="1" t="n">
        <f aca="false">V294*01_Supuestos!$I$126</f>
        <v>1.26966473792567</v>
      </c>
      <c r="W297" s="1" t="n">
        <f aca="false">W294*01_Supuestos!$I$126</f>
        <v>1.28923471294757</v>
      </c>
      <c r="X297" s="1" t="n">
        <f aca="false">X294*01_Supuestos!$I$126</f>
        <v>1.30844445351669</v>
      </c>
      <c r="Y297" s="1" t="n">
        <f aca="false">Y294*01_Supuestos!$I$126</f>
        <v>1.32728274980144</v>
      </c>
      <c r="Z297" s="1" t="n">
        <f aca="false">Z294*01_Supuestos!$I$126</f>
        <v>1.34573842702795</v>
      </c>
      <c r="AA297" s="1" t="n">
        <f aca="false">AA294*01_Supuestos!$I$126</f>
        <v>1.36380034320037</v>
      </c>
      <c r="AB297" s="1" t="n">
        <f aca="false">AB294*01_Supuestos!$I$126</f>
        <v>1.38146759712516</v>
      </c>
      <c r="AC297" s="1" t="n">
        <f aca="false">AC294*01_Supuestos!$I$126</f>
        <v>1.39873931610818</v>
      </c>
      <c r="AD297" s="1" t="n">
        <f aca="false">AD294*01_Supuestos!$I$126</f>
        <v>1.41209547837314</v>
      </c>
      <c r="AE297" s="1" t="n">
        <f aca="false">AE294*01_Supuestos!$I$126</f>
        <v>1.42510889317591</v>
      </c>
      <c r="AF297" s="1" t="n">
        <f aca="false">AF294*01_Supuestos!$I$126</f>
        <v>1.43777025293295</v>
      </c>
    </row>
    <row r="298" customFormat="false" ht="14.25" hidden="false" customHeight="true" outlineLevel="0" collapsed="false">
      <c r="B298" s="84" t="s">
        <v>1290</v>
      </c>
      <c r="C298" s="116" t="n">
        <f aca="false">C86</f>
        <v>0.344317493798204</v>
      </c>
      <c r="D298" s="116" t="n">
        <f aca="false">D86</f>
        <v>0.899459484744269</v>
      </c>
      <c r="E298" s="116" t="n">
        <f aca="false">E86</f>
        <v>1.57970333474427</v>
      </c>
      <c r="F298" s="116" t="n">
        <f aca="false">F86</f>
        <v>2.27559279329427</v>
      </c>
      <c r="G298" s="116" t="n">
        <f aca="false">G86</f>
        <v>2.98748770939092</v>
      </c>
      <c r="H298" s="116" t="n">
        <f aca="false">H86</f>
        <v>3.71575620855779</v>
      </c>
      <c r="I298" s="116" t="n">
        <f aca="false">I86</f>
        <v>4.4607748832055</v>
      </c>
      <c r="J298" s="116" t="n">
        <f aca="false">J86</f>
        <v>5.22292898737011</v>
      </c>
      <c r="K298" s="116" t="n">
        <f aca="false">K86</f>
        <v>6.0026126359305</v>
      </c>
      <c r="L298" s="116" t="n">
        <f aca="false">L86</f>
        <v>6.80022900840779</v>
      </c>
      <c r="M298" s="116" t="n">
        <f aca="false">M86</f>
        <v>7.61619055745205</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9.6579244360685</v>
      </c>
      <c r="W298" s="116" t="n">
        <f aca="false">W86</f>
        <v>9.80154094077241</v>
      </c>
      <c r="X298" s="116" t="n">
        <f aca="false">X86</f>
        <v>9.94221989207301</v>
      </c>
      <c r="Y298" s="116" t="n">
        <f aca="false">Y86</f>
        <v>10.0799535786918</v>
      </c>
      <c r="Z298" s="116" t="n">
        <f aca="false">Z86</f>
        <v>10.2147345447253</v>
      </c>
      <c r="AA298" s="116" t="n">
        <f aca="false">AA86</f>
        <v>10.3465555722804</v>
      </c>
      <c r="AB298" s="116" t="n">
        <f aca="false">AB86</f>
        <v>10.4754096648164</v>
      </c>
      <c r="AC298" s="116" t="n">
        <f aca="false">AC86</f>
        <v>10.601290031151</v>
      </c>
      <c r="AD298" s="116" t="n">
        <f aca="false">AD86</f>
        <v>10.689985317193</v>
      </c>
      <c r="AE298" s="116" t="n">
        <f aca="false">AE86</f>
        <v>10.7769701466131</v>
      </c>
      <c r="AF298" s="116" t="n">
        <f aca="false">AF86</f>
        <v>10.8621744395791</v>
      </c>
    </row>
    <row r="299" customFormat="false" ht="14.25" hidden="false" customHeight="true" outlineLevel="0" collapsed="false">
      <c r="B299" s="144" t="s">
        <v>1291</v>
      </c>
      <c r="C299" s="1" t="n">
        <f aca="false">C286+C291+C296</f>
        <v>6.54203238216588</v>
      </c>
      <c r="D299" s="1" t="n">
        <f aca="false">D286+D291+D296</f>
        <v>11.4356557100896</v>
      </c>
      <c r="E299" s="1" t="n">
        <f aca="false">E286+E291+E296</f>
        <v>15.2421854165587</v>
      </c>
      <c r="F299" s="1" t="n">
        <f aca="false">F286+F291+F296</f>
        <v>17.2781121861576</v>
      </c>
      <c r="G299" s="1" t="n">
        <f aca="false">G286+G291+G296</f>
        <v>19.178349476668</v>
      </c>
      <c r="H299" s="1" t="n">
        <f aca="false">H286+H291+H296</f>
        <v>21.1298708448986</v>
      </c>
      <c r="I299" s="1" t="n">
        <f aca="false">I286+I291+I296</f>
        <v>23.1909811959474</v>
      </c>
      <c r="J299" s="1" t="n">
        <f aca="false">J286+J291+J296</f>
        <v>25.3398419544134</v>
      </c>
      <c r="K299" s="1" t="n">
        <f aca="false">K286+K291+K296</f>
        <v>27.5730706149779</v>
      </c>
      <c r="L299" s="1" t="n">
        <f aca="false">L286+L291+L296</f>
        <v>30.0022394150048</v>
      </c>
      <c r="M299" s="1" t="n">
        <f aca="false">M286+M291+M296</f>
        <v>36.5004031483767</v>
      </c>
      <c r="N299" s="1" t="n">
        <f aca="false">N286+N291+N296</f>
        <v>30.8736469732269</v>
      </c>
      <c r="O299" s="1" t="n">
        <f aca="false">O286+O291+O296</f>
        <v>24.7385741948481</v>
      </c>
      <c r="P299" s="1" t="n">
        <f aca="false">P286+P291+P296</f>
        <v>25.2973961235858</v>
      </c>
      <c r="Q299" s="1" t="n">
        <f aca="false">Q286+Q291+Q296</f>
        <v>25.8741720387801</v>
      </c>
      <c r="R299" s="1" t="n">
        <f aca="false">R286+R291+R296</f>
        <v>26.4692194335288</v>
      </c>
      <c r="S299" s="1" t="n">
        <f aca="false">S286+S291+S296</f>
        <v>27.081886045986</v>
      </c>
      <c r="T299" s="1" t="n">
        <f aca="false">T286+T291+T296</f>
        <v>27.7117018801722</v>
      </c>
      <c r="U299" s="1" t="n">
        <f aca="false">U286+U291+U296</f>
        <v>28.3583262046554</v>
      </c>
      <c r="V299" s="1" t="n">
        <f aca="false">V286+V291+V296</f>
        <v>27.8198222572933</v>
      </c>
      <c r="W299" s="1" t="n">
        <f aca="false">W286+W291+W296</f>
        <v>28.0035307164541</v>
      </c>
      <c r="X299" s="1" t="n">
        <f aca="false">X286+X291+X296</f>
        <v>28.3227753128055</v>
      </c>
      <c r="Y299" s="1" t="n">
        <f aca="false">Y286+Y291+Y296</f>
        <v>28.6341562101772</v>
      </c>
      <c r="Z299" s="1" t="n">
        <f aca="false">Z286+Z291+Z296</f>
        <v>28.9376697114325</v>
      </c>
      <c r="AA299" s="1" t="n">
        <f aca="false">AA286+AA291+AA296</f>
        <v>29.233312456134</v>
      </c>
      <c r="AB299" s="1" t="n">
        <f aca="false">AB286+AB291+AB296</f>
        <v>29.5210813885103</v>
      </c>
      <c r="AC299" s="1" t="n">
        <f aca="false">AC286+AC291+AC296</f>
        <v>29.800962079194</v>
      </c>
      <c r="AD299" s="1" t="n">
        <f aca="false">AD286+AD291+AD296</f>
        <v>29.4230500374428</v>
      </c>
      <c r="AE299" s="1" t="n">
        <f aca="false">AE286+AE291+AE296</f>
        <v>29.6207325151403</v>
      </c>
      <c r="AF299" s="1" t="n">
        <f aca="false">AF286+AF291+AF296</f>
        <v>29.8127416830379</v>
      </c>
    </row>
    <row r="300" customFormat="false" ht="14.25" hidden="false" customHeight="true" outlineLevel="0" collapsed="false">
      <c r="B300" s="144" t="s">
        <v>1292</v>
      </c>
      <c r="C300" s="1" t="n">
        <f aca="false">C285+C290+C295</f>
        <v>0</v>
      </c>
      <c r="D300" s="1" t="n">
        <f aca="false">D285+D290+D295</f>
        <v>0.836729601619559</v>
      </c>
      <c r="E300" s="1" t="n">
        <f aca="false">E285+E290+E295</f>
        <v>2.18417965083557</v>
      </c>
      <c r="F300" s="1" t="n">
        <f aca="false">F285+F290+F295</f>
        <v>3.82505399514232</v>
      </c>
      <c r="G300" s="1" t="n">
        <f aca="false">G285+G290+G295</f>
        <v>5.36115173298972</v>
      </c>
      <c r="H300" s="1" t="n">
        <f aca="false">H285+H290+H295</f>
        <v>6.93849745345536</v>
      </c>
      <c r="I300" s="1" t="n">
        <f aca="false">I285+I290+I295</f>
        <v>8.60264597409471</v>
      </c>
      <c r="J300" s="1" t="n">
        <f aca="false">J285+J290+J295</f>
        <v>10.3365730379211</v>
      </c>
      <c r="K300" s="1" t="n">
        <f aca="false">K285+K290+K295</f>
        <v>12.1376663862758</v>
      </c>
      <c r="L300" s="1" t="n">
        <f aca="false">L285+L290+L295</f>
        <v>14.0930763700056</v>
      </c>
      <c r="M300" s="1" t="n">
        <f aca="false">M285+M290+M295</f>
        <v>20.1062496783871</v>
      </c>
      <c r="N300" s="1" t="n">
        <f aca="false">N285+N290+N295</f>
        <v>20.4751988330304</v>
      </c>
      <c r="O300" s="1" t="n">
        <f aca="false">O285+O290+O295</f>
        <v>19.9261519601255</v>
      </c>
      <c r="P300" s="1" t="n">
        <f aca="false">P285+P290+P295</f>
        <v>20.376515939407</v>
      </c>
      <c r="Q300" s="1" t="n">
        <f aca="false">Q285+Q290+Q295</f>
        <v>20.8412214494291</v>
      </c>
      <c r="R300" s="1" t="n">
        <f aca="false">R285+R290+R295</f>
        <v>21.3205238147545</v>
      </c>
      <c r="S300" s="1" t="n">
        <f aca="false">S285+S290+S295</f>
        <v>21.8139213012023</v>
      </c>
      <c r="T300" s="1" t="n">
        <f aca="false">T285+T290+T295</f>
        <v>22.3210546705345</v>
      </c>
      <c r="U300" s="1" t="n">
        <f aca="false">U285+U290+U295</f>
        <v>22.8416657986023</v>
      </c>
      <c r="V300" s="1" t="n">
        <f aca="false">V285+V290+V295</f>
        <v>23.374561779021</v>
      </c>
      <c r="W300" s="1" t="n">
        <f aca="false">W285+W290+W295</f>
        <v>23.7572276687082</v>
      </c>
      <c r="X300" s="1" t="n">
        <f aca="false">X285+X290+X295</f>
        <v>24.1098911375842</v>
      </c>
      <c r="Y300" s="1" t="n">
        <f aca="false">Y285+Y290+Y295</f>
        <v>24.4553054983054</v>
      </c>
      <c r="Z300" s="1" t="n">
        <f aca="false">Z285+Z290+Z295</f>
        <v>24.7934608642958</v>
      </c>
      <c r="AA300" s="1" t="n">
        <f aca="false">AA285+AA290+AA295</f>
        <v>25.1243479758455</v>
      </c>
      <c r="AB300" s="1" t="n">
        <f aca="false">AB285+AB290+AB295</f>
        <v>25.4479581573937</v>
      </c>
      <c r="AC300" s="1" t="n">
        <f aca="false">AC285+AC290+AC295</f>
        <v>25.7642741818026</v>
      </c>
      <c r="AD300" s="1" t="n">
        <f aca="false">AD285+AD290+AD295</f>
        <v>26.0732793257518</v>
      </c>
      <c r="AE300" s="1" t="n">
        <f aca="false">AE285+AE290+AE295</f>
        <v>26.2899474154861</v>
      </c>
      <c r="AF300" s="1" t="n">
        <f aca="false">AF285+AF290+AF295</f>
        <v>26.5025130121211</v>
      </c>
    </row>
    <row r="301" customFormat="false" ht="14.25" hidden="false" customHeight="true" outlineLevel="0" collapsed="false">
      <c r="B301" s="144" t="s">
        <v>1293</v>
      </c>
      <c r="C301" s="1" t="n">
        <f aca="false">C284+C289+C294</f>
        <v>6.54203238216588</v>
      </c>
      <c r="D301" s="1" t="n">
        <f aca="false">D284+D289+D294</f>
        <v>17.0897302101411</v>
      </c>
      <c r="E301" s="1" t="n">
        <f aca="false">E284+E289+E294</f>
        <v>30.0143633601411</v>
      </c>
      <c r="F301" s="1" t="n">
        <f aca="false">F284+F289+F294</f>
        <v>43.2362630725911</v>
      </c>
      <c r="G301" s="1" t="n">
        <f aca="false">G284+G289+G294</f>
        <v>56.7622664784275</v>
      </c>
      <c r="H301" s="1" t="n">
        <f aca="false">H284+H289+H294</f>
        <v>70.599367962598</v>
      </c>
      <c r="I301" s="1" t="n">
        <f aca="false">I284+I289+I294</f>
        <v>84.7547227809045</v>
      </c>
      <c r="J301" s="1" t="n">
        <f aca="false">J284+J289+J294</f>
        <v>99.2356507600321</v>
      </c>
      <c r="K301" s="1" t="n">
        <f aca="false">K284+K289+K294</f>
        <v>114.04964008268</v>
      </c>
      <c r="L301" s="1" t="n">
        <f aca="false">L284+L289+L294</f>
        <v>129.204351159748</v>
      </c>
      <c r="M301" s="1" t="n">
        <f aca="false">M284+M289+M294</f>
        <v>144.707620591589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183.500564285301</v>
      </c>
      <c r="W301" s="1" t="n">
        <f aca="false">W284+W289+W294</f>
        <v>186.229277874676</v>
      </c>
      <c r="X301" s="1" t="n">
        <f aca="false">X284+X289+X294</f>
        <v>188.902177949387</v>
      </c>
      <c r="Y301" s="1" t="n">
        <f aca="false">Y284+Y289+Y294</f>
        <v>191.519117995144</v>
      </c>
      <c r="Z301" s="1" t="n">
        <f aca="false">Z284+Z289+Z294</f>
        <v>194.07995634978</v>
      </c>
      <c r="AA301" s="1" t="n">
        <f aca="false">AA284+AA289+AA294</f>
        <v>196.584555873328</v>
      </c>
      <c r="AB301" s="1" t="n">
        <f aca="false">AB284+AB289+AB294</f>
        <v>199.032783631511</v>
      </c>
      <c r="AC301" s="1" t="n">
        <f aca="false">AC284+AC289+AC294</f>
        <v>201.424510591869</v>
      </c>
      <c r="AD301" s="1" t="n">
        <f aca="false">AD284+AD289+AD294</f>
        <v>203.109721026668</v>
      </c>
      <c r="AE301" s="1" t="n">
        <f aca="false">AE284+AE289+AE294</f>
        <v>204.762432785649</v>
      </c>
      <c r="AF301" s="1" t="n">
        <f aca="false">AF284+AF289+AF294</f>
        <v>206.381314352003</v>
      </c>
    </row>
    <row r="302" customFormat="false" ht="14.25" hidden="false" customHeight="true" outlineLevel="0" collapsed="false">
      <c r="B302" s="144" t="s">
        <v>1294</v>
      </c>
      <c r="C302" s="1" t="n">
        <f aca="false">C287+C292+C297</f>
        <v>0.274846963373799</v>
      </c>
      <c r="D302" s="1" t="n">
        <f aca="false">D287+D292+D297</f>
        <v>0.717865970646485</v>
      </c>
      <c r="E302" s="1" t="n">
        <f aca="false">E287+E292+E297</f>
        <v>1.25998226339693</v>
      </c>
      <c r="F302" s="1" t="n">
        <f aca="false">F287+F292+F297</f>
        <v>1.80428746772901</v>
      </c>
      <c r="G302" s="1" t="n">
        <f aca="false">G287+G292+G297</f>
        <v>2.36153853930618</v>
      </c>
      <c r="H302" s="1" t="n">
        <f aca="false">H287+H292+H297</f>
        <v>2.93525068221528</v>
      </c>
      <c r="I302" s="1" t="n">
        <f aca="false">I287+I292+I297</f>
        <v>3.52443053213893</v>
      </c>
      <c r="J302" s="1" t="n">
        <f aca="false">J287+J292+J297</f>
        <v>4.12912966125732</v>
      </c>
      <c r="K302" s="1" t="n">
        <f aca="false">K287+K292+K297</f>
        <v>4.75587975906541</v>
      </c>
      <c r="L302" s="1" t="n">
        <f aca="false">L287+L292+L297</f>
        <v>5.3971312441941</v>
      </c>
      <c r="M302" s="1" t="n">
        <f aca="false">M287+M292+M297</f>
        <v>6.07772502084285</v>
      </c>
      <c r="N302" s="1" t="n">
        <f aca="false">N287+N292+N297</f>
        <v>6.48581401077041</v>
      </c>
      <c r="O302" s="1" t="n">
        <f aca="false">O287+O292+O297</f>
        <v>6.63441519819889</v>
      </c>
      <c r="P302" s="1" t="n">
        <f aca="false">P287+P292+P297</f>
        <v>6.78672151911807</v>
      </c>
      <c r="Q302" s="1" t="n">
        <f aca="false">Q287+Q292+Q297</f>
        <v>6.94281281568591</v>
      </c>
      <c r="R302" s="1" t="n">
        <f aca="false">R287+R292+R297</f>
        <v>7.10271573602852</v>
      </c>
      <c r="S302" s="1" t="n">
        <f aca="false">S287+S292+S297</f>
        <v>7.26646865181824</v>
      </c>
      <c r="T302" s="1" t="n">
        <f aca="false">T287+T292+T297</f>
        <v>7.43411870663266</v>
      </c>
      <c r="U302" s="1" t="n">
        <f aca="false">U287+U292+U297</f>
        <v>7.60564713052317</v>
      </c>
      <c r="V302" s="1" t="n">
        <f aca="false">V287+V292+V297</f>
        <v>7.73004306221356</v>
      </c>
      <c r="W302" s="1" t="n">
        <f aca="false">W287+W292+W297</f>
        <v>7.84494702881807</v>
      </c>
      <c r="X302" s="1" t="n">
        <f aca="false">X287+X292+X297</f>
        <v>7.95749815916697</v>
      </c>
      <c r="Y302" s="1" t="n">
        <f aca="false">Y287+Y292+Y297</f>
        <v>8.06769093637855</v>
      </c>
      <c r="Z302" s="1" t="n">
        <f aca="false">Z287+Z292+Z297</f>
        <v>8.17552004787359</v>
      </c>
      <c r="AA302" s="1" t="n">
        <f aca="false">AA287+AA292+AA297</f>
        <v>8.28098037147693</v>
      </c>
      <c r="AB302" s="1" t="n">
        <f aca="false">AB287+AB292+AB297</f>
        <v>8.38406630607813</v>
      </c>
      <c r="AC302" s="1" t="n">
        <f aca="false">AC287+AC292+AC297</f>
        <v>8.48477241483589</v>
      </c>
      <c r="AD302" s="1" t="n">
        <f aca="false">AD287+AD292+AD297</f>
        <v>8.55565368961978</v>
      </c>
      <c r="AE302" s="1" t="n">
        <f aca="false">AE287+AE292+AE297</f>
        <v>8.62517351729851</v>
      </c>
      <c r="AF302" s="1" t="n">
        <f aca="false">AF287+AF292+AF297</f>
        <v>8.69327581321382</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11.8267027723829</v>
      </c>
      <c r="D307" s="116" t="n">
        <f aca="false">D81</f>
        <v>31.2705719819142</v>
      </c>
      <c r="E307" s="116" t="n">
        <f aca="false">E81</f>
        <v>57.4876291967492</v>
      </c>
      <c r="F307" s="116" t="n">
        <f aca="false">F81</f>
        <v>117.640244070027</v>
      </c>
      <c r="G307" s="116" t="n">
        <f aca="false">G81</f>
        <v>177.792297926316</v>
      </c>
      <c r="H307" s="116" t="n">
        <f aca="false">H81</f>
        <v>227.511063399864</v>
      </c>
      <c r="I307" s="116" t="n">
        <f aca="false">I81</f>
        <v>271.0052420369</v>
      </c>
      <c r="J307" s="116" t="n">
        <f aca="false">J81</f>
        <v>309.118001288097</v>
      </c>
      <c r="K307" s="116" t="n">
        <f aca="false">K81</f>
        <v>321.703694079959</v>
      </c>
      <c r="L307" s="116" t="n">
        <f aca="false">L81</f>
        <v>334.29956120741</v>
      </c>
      <c r="M307" s="116" t="n">
        <f aca="false">M81</f>
        <v>346.66226255922</v>
      </c>
      <c r="N307" s="116" t="n">
        <f aca="false">N81</f>
        <v>358.553504973444</v>
      </c>
      <c r="O307" s="116" t="n">
        <f aca="false">O81</f>
        <v>369.77058484458</v>
      </c>
      <c r="P307" s="116" t="n">
        <f aca="false">P81</f>
        <v>379.755093714398</v>
      </c>
      <c r="Q307" s="116" t="n">
        <f aca="false">Q81</f>
        <v>388.506573045524</v>
      </c>
      <c r="R307" s="116" t="n">
        <f aca="false">R81</f>
        <v>396.310055188814</v>
      </c>
      <c r="S307" s="116" t="n">
        <f aca="false">S81</f>
        <v>403.39948549285</v>
      </c>
      <c r="T307" s="116" t="n">
        <f aca="false">T81</f>
        <v>409.973259534186</v>
      </c>
      <c r="U307" s="116" t="n">
        <f aca="false">U81</f>
        <v>416.581925240352</v>
      </c>
      <c r="V307" s="116" t="n">
        <f aca="false">V81</f>
        <v>423.221579308556</v>
      </c>
      <c r="W307" s="116" t="n">
        <f aca="false">W81</f>
        <v>429.744904315857</v>
      </c>
      <c r="X307" s="116" t="n">
        <f aca="false">X81</f>
        <v>436.148151172231</v>
      </c>
      <c r="Y307" s="116" t="n">
        <f aca="false">Y81</f>
        <v>442.427583267148</v>
      </c>
      <c r="Z307" s="116" t="n">
        <f aca="false">Z81</f>
        <v>448.579475675982</v>
      </c>
      <c r="AA307" s="116" t="n">
        <f aca="false">AA81</f>
        <v>454.600114400124</v>
      </c>
      <c r="AB307" s="116" t="n">
        <f aca="false">AB81</f>
        <v>460.489199041721</v>
      </c>
      <c r="AC307" s="116" t="n">
        <f aca="false">AC81</f>
        <v>466.246438702726</v>
      </c>
      <c r="AD307" s="116" t="n">
        <f aca="false">AD81</f>
        <v>470.698492791046</v>
      </c>
      <c r="AE307" s="116" t="n">
        <f aca="false">AE81</f>
        <v>475.036297725304</v>
      </c>
      <c r="AF307" s="116" t="n">
        <f aca="false">AF81</f>
        <v>479.25675097765</v>
      </c>
    </row>
    <row r="308" customFormat="false" ht="14.25" hidden="false" customHeight="true" outlineLevel="0" collapsed="false">
      <c r="B308" s="84" t="s">
        <v>1300</v>
      </c>
      <c r="C308" s="1" t="n">
        <f aca="false">C301</f>
        <v>6.54203238216588</v>
      </c>
      <c r="D308" s="1" t="n">
        <f aca="false">D301</f>
        <v>17.0897302101411</v>
      </c>
      <c r="E308" s="1" t="n">
        <f aca="false">E301</f>
        <v>30.0143633601411</v>
      </c>
      <c r="F308" s="1" t="n">
        <f aca="false">F301</f>
        <v>43.2362630725911</v>
      </c>
      <c r="G308" s="1" t="n">
        <f aca="false">G301</f>
        <v>56.7622664784275</v>
      </c>
      <c r="H308" s="1" t="n">
        <f aca="false">H301</f>
        <v>70.599367962598</v>
      </c>
      <c r="I308" s="1" t="n">
        <f aca="false">I301</f>
        <v>84.7547227809045</v>
      </c>
      <c r="J308" s="1" t="n">
        <f aca="false">J301</f>
        <v>99.2356507600321</v>
      </c>
      <c r="K308" s="1" t="n">
        <f aca="false">K301</f>
        <v>114.04964008268</v>
      </c>
      <c r="L308" s="1" t="n">
        <f aca="false">L301</f>
        <v>129.204351159748</v>
      </c>
      <c r="M308" s="1" t="n">
        <f aca="false">M301</f>
        <v>144.707620591589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183.500564285301</v>
      </c>
      <c r="W308" s="1" t="n">
        <f aca="false">W301</f>
        <v>186.229277874676</v>
      </c>
      <c r="X308" s="1" t="n">
        <f aca="false">X301</f>
        <v>188.902177949387</v>
      </c>
      <c r="Y308" s="1" t="n">
        <f aca="false">Y301</f>
        <v>191.519117995144</v>
      </c>
      <c r="Z308" s="1" t="n">
        <f aca="false">Z301</f>
        <v>194.07995634978</v>
      </c>
      <c r="AA308" s="1" t="n">
        <f aca="false">AA301</f>
        <v>196.584555873328</v>
      </c>
      <c r="AB308" s="1" t="n">
        <f aca="false">AB301</f>
        <v>199.032783631511</v>
      </c>
      <c r="AC308" s="1" t="n">
        <f aca="false">AC301</f>
        <v>201.424510591869</v>
      </c>
      <c r="AD308" s="1" t="n">
        <f aca="false">AD301</f>
        <v>203.109721026668</v>
      </c>
      <c r="AE308" s="1" t="n">
        <f aca="false">AE301</f>
        <v>204.762432785649</v>
      </c>
      <c r="AF308" s="1" t="n">
        <f aca="false">AF301</f>
        <v>206.381314352003</v>
      </c>
    </row>
    <row r="309" customFormat="false" ht="14.25" hidden="false" customHeight="true" outlineLevel="0" collapsed="false">
      <c r="B309" s="84" t="s">
        <v>1301</v>
      </c>
      <c r="C309" s="1" t="n">
        <f aca="false">C307-C308</f>
        <v>5.28467039021698</v>
      </c>
      <c r="D309" s="1" t="n">
        <f aca="false">D307-D308</f>
        <v>14.1808417717731</v>
      </c>
      <c r="E309" s="1" t="n">
        <f aca="false">E307-E308</f>
        <v>27.4732658366081</v>
      </c>
      <c r="F309" s="1" t="n">
        <f aca="false">F307-F308</f>
        <v>74.4039809974362</v>
      </c>
      <c r="G309" s="1" t="n">
        <f aca="false">G307-G308</f>
        <v>121.030031447889</v>
      </c>
      <c r="H309" s="1" t="n">
        <f aca="false">H307-H308</f>
        <v>156.911695437266</v>
      </c>
      <c r="I309" s="1" t="n">
        <f aca="false">I307-I308</f>
        <v>186.250519255996</v>
      </c>
      <c r="J309" s="1" t="n">
        <f aca="false">J307-J308</f>
        <v>209.882350528065</v>
      </c>
      <c r="K309" s="1" t="n">
        <f aca="false">K307-K308</f>
        <v>207.654053997279</v>
      </c>
      <c r="L309" s="1" t="n">
        <f aca="false">L307-L308</f>
        <v>205.095210047662</v>
      </c>
      <c r="M309" s="1" t="n">
        <f aca="false">M307-M308</f>
        <v>201.954641967631</v>
      </c>
      <c r="N309" s="1" t="n">
        <f aca="false">N307-N308</f>
        <v>204.573584868815</v>
      </c>
      <c r="O309" s="1" t="n">
        <f aca="false">O307-O308</f>
        <v>212.249126577545</v>
      </c>
      <c r="P309" s="1" t="n">
        <f aca="false">P307-P308</f>
        <v>218.610641907221</v>
      </c>
      <c r="Q309" s="1" t="n">
        <f aca="false">Q307-Q308</f>
        <v>223.655798846783</v>
      </c>
      <c r="R309" s="1" t="n">
        <f aca="false">R307-R308</f>
        <v>227.667713183501</v>
      </c>
      <c r="S309" s="1" t="n">
        <f aca="false">S307-S308</f>
        <v>230.878369621415</v>
      </c>
      <c r="T309" s="1" t="n">
        <f aca="false">T307-T308</f>
        <v>233.484157997708</v>
      </c>
      <c r="U309" s="1" t="n">
        <f aca="false">U307-U308</f>
        <v>236.033574368535</v>
      </c>
      <c r="V309" s="1" t="n">
        <f aca="false">V307-V308</f>
        <v>239.721015023255</v>
      </c>
      <c r="W309" s="1" t="n">
        <f aca="false">W307-W308</f>
        <v>243.515626441181</v>
      </c>
      <c r="X309" s="1" t="n">
        <f aca="false">X307-X308</f>
        <v>247.245973222844</v>
      </c>
      <c r="Y309" s="1" t="n">
        <f aca="false">Y307-Y308</f>
        <v>250.908465272003</v>
      </c>
      <c r="Z309" s="1" t="n">
        <f aca="false">Z307-Z308</f>
        <v>254.499519326203</v>
      </c>
      <c r="AA309" s="1" t="n">
        <f aca="false">AA307-AA308</f>
        <v>258.015558526796</v>
      </c>
      <c r="AB309" s="1" t="n">
        <f aca="false">AB307-AB308</f>
        <v>261.45641541021</v>
      </c>
      <c r="AC309" s="1" t="n">
        <f aca="false">AC307-AC308</f>
        <v>264.821928110857</v>
      </c>
      <c r="AD309" s="1" t="n">
        <f aca="false">AD307-AD308</f>
        <v>267.588771764378</v>
      </c>
      <c r="AE309" s="1" t="n">
        <f aca="false">AE307-AE308</f>
        <v>270.273864939656</v>
      </c>
      <c r="AF309" s="1" t="n">
        <f aca="false">AF307-AF308</f>
        <v>272.875436625647</v>
      </c>
    </row>
    <row r="310" customFormat="false" ht="14.25" hidden="false" customHeight="true" outlineLevel="0" collapsed="false">
      <c r="B310" s="84" t="s">
        <v>1302</v>
      </c>
      <c r="C310" s="1" t="n">
        <f aca="false">IF(C307&gt;0,100*C308/C307,0)</f>
        <v>55.3157757328824</v>
      </c>
      <c r="D310" s="1" t="n">
        <f aca="false">IF(D307&gt;0,100*D308/D307,0)</f>
        <v>54.6511596270935</v>
      </c>
      <c r="E310" s="1" t="n">
        <f aca="false">IF(E307&gt;0,100*E308/E307,0)</f>
        <v>52.2101255166013</v>
      </c>
      <c r="F310" s="1" t="n">
        <f aca="false">IF(F307&gt;0,100*F308/F307,0)</f>
        <v>36.7529525413548</v>
      </c>
      <c r="G310" s="1" t="n">
        <f aca="false">IF(G307&gt;0,100*G308/G307,0)</f>
        <v>31.9261672977261</v>
      </c>
      <c r="H310" s="1" t="n">
        <f aca="false">IF(H307&gt;0,100*H308/H307,0)</f>
        <v>31.0311801578262</v>
      </c>
      <c r="I310" s="1" t="n">
        <f aca="false">IF(I307&gt;0,100*I308/I307,0)</f>
        <v>31.2742005076656</v>
      </c>
      <c r="J310" s="1" t="n">
        <f aca="false">IF(J307&gt;0,100*J308/J307,0)</f>
        <v>32.1028378633779</v>
      </c>
      <c r="K310" s="1" t="n">
        <f aca="false">IF(K307&gt;0,100*K308/K307,0)</f>
        <v>35.4517657650312</v>
      </c>
      <c r="L310" s="1" t="n">
        <f aca="false">IF(L307&gt;0,100*L308/L307,0)</f>
        <v>38.649273332305</v>
      </c>
      <c r="M310" s="1" t="n">
        <f aca="false">IF(M307&gt;0,100*M308/M307,0)</f>
        <v>41.7431131739841</v>
      </c>
      <c r="N310" s="1" t="n">
        <f aca="false">IF(N307&gt;0,100*N308/N307,0)</f>
        <v>42.9447538425355</v>
      </c>
      <c r="O310" s="1" t="n">
        <f aca="false">IF(O307&gt;0,100*O308/O307,0)</f>
        <v>42.59978070815</v>
      </c>
      <c r="P310" s="1" t="n">
        <f aca="false">IF(P307&gt;0,100*P308/P307,0)</f>
        <v>42.4337828443635</v>
      </c>
      <c r="Q310" s="1" t="n">
        <f aca="false">IF(Q307&gt;0,100*Q308/Q307,0)</f>
        <v>42.4319138043065</v>
      </c>
      <c r="R310" s="1" t="n">
        <f aca="false">IF(R307&gt;0,100*R308/R307,0)</f>
        <v>42.5531322754268</v>
      </c>
      <c r="S310" s="1" t="n">
        <f aca="false">IF(S307&gt;0,100*S308/S307,0)</f>
        <v>42.766816041091</v>
      </c>
      <c r="T310" s="1" t="n">
        <f aca="false">IF(T307&gt;0,100*T308/T307,0)</f>
        <v>43.0489300050949</v>
      </c>
      <c r="U310" s="1" t="n">
        <f aca="false">IF(U307&gt;0,100*U308/U307,0)</f>
        <v>43.3404187586025</v>
      </c>
      <c r="V310" s="1" t="n">
        <f aca="false">IF(V307&gt;0,100*V308/V307,0)</f>
        <v>43.3580358981453</v>
      </c>
      <c r="W310" s="1" t="n">
        <f aca="false">IF(W307&gt;0,100*W308/W307,0)</f>
        <v>43.3348426018333</v>
      </c>
      <c r="X310" s="1" t="n">
        <f aca="false">IF(X307&gt;0,100*X308/X307,0)</f>
        <v>43.311470527085</v>
      </c>
      <c r="Y310" s="1" t="n">
        <f aca="false">IF(Y307&gt;0,100*Y308/Y307,0)</f>
        <v>43.2882408869839</v>
      </c>
      <c r="Z310" s="1" t="n">
        <f aca="false">IF(Z307&gt;0,100*Z308/Z307,0)</f>
        <v>43.2654561507329</v>
      </c>
      <c r="AA310" s="1" t="n">
        <f aca="false">IF(AA307&gt;0,100*AA308/AA307,0)</f>
        <v>43.2434022003568</v>
      </c>
      <c r="AB310" s="1" t="n">
        <f aca="false">IF(AB307&gt;0,100*AB308/AB307,0)</f>
        <v>43.2220308414831</v>
      </c>
      <c r="AC310" s="1" t="n">
        <f aca="false">IF(AC307&gt;0,100*AC308/AC307,0)</f>
        <v>43.2012973980687</v>
      </c>
      <c r="AD310" s="1" t="n">
        <f aca="false">IF(AD307&gt;0,100*AD308/AD307,0)</f>
        <v>43.150705629481</v>
      </c>
      <c r="AE310" s="1" t="n">
        <f aca="false">IF(AE307&gt;0,100*AE308/AE307,0)</f>
        <v>43.1045866949846</v>
      </c>
      <c r="AF310" s="1" t="n">
        <f aca="false">IF(AF307&gt;0,100*AF308/AF307,0)</f>
        <v>43.0627871033636</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0.55357665388876</v>
      </c>
      <c r="D313" s="116" t="n">
        <f aca="false">D111</f>
        <v>1.42828368911724</v>
      </c>
      <c r="E313" s="116" t="n">
        <f aca="false">E111</f>
        <v>2.56406832333937</v>
      </c>
      <c r="F313" s="116" t="n">
        <f aca="false">F111</f>
        <v>5.25232231519187</v>
      </c>
      <c r="G313" s="116" t="n">
        <f aca="false">G111</f>
        <v>7.80108948551008</v>
      </c>
      <c r="H313" s="116" t="n">
        <f aca="false">H111</f>
        <v>9.73116546168079</v>
      </c>
      <c r="I313" s="116" t="n">
        <f aca="false">I111</f>
        <v>11.2792050011858</v>
      </c>
      <c r="J313" s="116" t="n">
        <f aca="false">J111</f>
        <v>12.5091975008267</v>
      </c>
      <c r="K313" s="116" t="n">
        <f aca="false">K111</f>
        <v>12.4841295794165</v>
      </c>
      <c r="L313" s="116" t="n">
        <f aca="false">L111</f>
        <v>12.4794900332596</v>
      </c>
      <c r="M313" s="116" t="n">
        <f aca="false">M111</f>
        <v>12.512414471571</v>
      </c>
      <c r="N313" s="116" t="n">
        <f aca="false">N111</f>
        <v>12.5917626576767</v>
      </c>
      <c r="O313" s="116" t="n">
        <f aca="false">O111</f>
        <v>12.7241359868209</v>
      </c>
      <c r="P313" s="116" t="n">
        <f aca="false">P111</f>
        <v>12.9472962336558</v>
      </c>
      <c r="Q313" s="116" t="n">
        <f aca="false">Q111</f>
        <v>13.2553942813638</v>
      </c>
      <c r="R313" s="116" t="n">
        <f aca="false">R111</f>
        <v>13.6195072119713</v>
      </c>
      <c r="S313" s="116" t="n">
        <f aca="false">S111</f>
        <v>14.024429714961</v>
      </c>
      <c r="T313" s="116" t="n">
        <f aca="false">T111</f>
        <v>14.4576234701719</v>
      </c>
      <c r="U313" s="116" t="n">
        <f aca="false">U111</f>
        <v>14.8757720780868</v>
      </c>
      <c r="V313" s="116" t="n">
        <f aca="false">V111</f>
        <v>15.2795277045336</v>
      </c>
      <c r="W313" s="116" t="n">
        <f aca="false">W111</f>
        <v>15.669500222863</v>
      </c>
      <c r="X313" s="116" t="n">
        <f aca="false">X111</f>
        <v>16.0462599531352</v>
      </c>
      <c r="Y313" s="116" t="n">
        <f aca="false">Y111</f>
        <v>16.4103402240666</v>
      </c>
      <c r="Z313" s="116" t="n">
        <f aca="false">Z111</f>
        <v>16.7622397691973</v>
      </c>
      <c r="AA313" s="116" t="n">
        <f aca="false">AA111</f>
        <v>17.1024249679981</v>
      </c>
      <c r="AB313" s="116" t="n">
        <f aca="false">AB111</f>
        <v>17.4313319419445</v>
      </c>
      <c r="AC313" s="116" t="n">
        <f aca="false">AC111</f>
        <v>17.7493685149341</v>
      </c>
      <c r="AD313" s="116" t="n">
        <f aca="false">AD111</f>
        <v>18.000191746823</v>
      </c>
      <c r="AE313" s="116" t="n">
        <f aca="false">AE111</f>
        <v>18.2437187632834</v>
      </c>
      <c r="AF313" s="116" t="n">
        <f aca="false">AF111</f>
        <v>18.4801412189103</v>
      </c>
    </row>
    <row r="314" customFormat="false" ht="14.25" hidden="false" customHeight="true" outlineLevel="0" collapsed="false">
      <c r="B314" s="84" t="s">
        <v>1306</v>
      </c>
      <c r="C314" s="1" t="n">
        <f aca="false">C302</f>
        <v>0.274846963373799</v>
      </c>
      <c r="D314" s="1" t="n">
        <f aca="false">D302</f>
        <v>0.717865970646485</v>
      </c>
      <c r="E314" s="1" t="n">
        <f aca="false">E302</f>
        <v>1.25998226339693</v>
      </c>
      <c r="F314" s="1" t="n">
        <f aca="false">F302</f>
        <v>1.80428746772901</v>
      </c>
      <c r="G314" s="1" t="n">
        <f aca="false">G302</f>
        <v>2.36153853930618</v>
      </c>
      <c r="H314" s="1" t="n">
        <f aca="false">H302</f>
        <v>2.93525068221528</v>
      </c>
      <c r="I314" s="1" t="n">
        <f aca="false">I302</f>
        <v>3.52443053213893</v>
      </c>
      <c r="J314" s="1" t="n">
        <f aca="false">J302</f>
        <v>4.12912966125732</v>
      </c>
      <c r="K314" s="1" t="n">
        <f aca="false">K302</f>
        <v>4.75587975906541</v>
      </c>
      <c r="L314" s="1" t="n">
        <f aca="false">L302</f>
        <v>5.3971312441941</v>
      </c>
      <c r="M314" s="1" t="n">
        <f aca="false">M302</f>
        <v>6.07772502084285</v>
      </c>
      <c r="N314" s="1" t="n">
        <f aca="false">N302</f>
        <v>6.48581401077041</v>
      </c>
      <c r="O314" s="1" t="n">
        <f aca="false">O302</f>
        <v>6.63441519819889</v>
      </c>
      <c r="P314" s="1" t="n">
        <f aca="false">P302</f>
        <v>6.78672151911807</v>
      </c>
      <c r="Q314" s="1" t="n">
        <f aca="false">Q302</f>
        <v>6.94281281568591</v>
      </c>
      <c r="R314" s="1" t="n">
        <f aca="false">R302</f>
        <v>7.10271573602852</v>
      </c>
      <c r="S314" s="1" t="n">
        <f aca="false">S302</f>
        <v>7.26646865181824</v>
      </c>
      <c r="T314" s="1" t="n">
        <f aca="false">T302</f>
        <v>7.43411870663266</v>
      </c>
      <c r="U314" s="1" t="n">
        <f aca="false">U302</f>
        <v>7.60564713052317</v>
      </c>
      <c r="V314" s="1" t="n">
        <f aca="false">V302</f>
        <v>7.73004306221356</v>
      </c>
      <c r="W314" s="1" t="n">
        <f aca="false">W302</f>
        <v>7.84494702881807</v>
      </c>
      <c r="X314" s="1" t="n">
        <f aca="false">X302</f>
        <v>7.95749815916697</v>
      </c>
      <c r="Y314" s="1" t="n">
        <f aca="false">Y302</f>
        <v>8.06769093637855</v>
      </c>
      <c r="Z314" s="1" t="n">
        <f aca="false">Z302</f>
        <v>8.17552004787359</v>
      </c>
      <c r="AA314" s="1" t="n">
        <f aca="false">AA302</f>
        <v>8.28098037147693</v>
      </c>
      <c r="AB314" s="1" t="n">
        <f aca="false">AB302</f>
        <v>8.38406630607813</v>
      </c>
      <c r="AC314" s="1" t="n">
        <f aca="false">AC302</f>
        <v>8.48477241483589</v>
      </c>
      <c r="AD314" s="1" t="n">
        <f aca="false">AD302</f>
        <v>8.55565368961978</v>
      </c>
      <c r="AE314" s="1" t="n">
        <f aca="false">AE302</f>
        <v>8.62517351729851</v>
      </c>
      <c r="AF314" s="1" t="n">
        <f aca="false">AF302</f>
        <v>8.69327581321382</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2.91780442741297</v>
      </c>
      <c r="AE315" s="116" t="n">
        <f aca="false">AE56</f>
        <v>3.84524940612637</v>
      </c>
      <c r="AF315" s="116" t="n">
        <f aca="false">AF56</f>
        <v>4.81724300600832</v>
      </c>
    </row>
    <row r="316" customFormat="false" ht="14.25" hidden="false" customHeight="true" outlineLevel="0" collapsed="false">
      <c r="B316" s="84" t="s">
        <v>1308</v>
      </c>
      <c r="C316" s="1" t="n">
        <f aca="false">IF(C313&gt;0,100*(C314+C315)/C313,0)</f>
        <v>242.937803450801</v>
      </c>
      <c r="D316" s="1" t="n">
        <f aca="false">IF(D313&gt;0,100*(D314+D315)/D313,0)</f>
        <v>127.048707793339</v>
      </c>
      <c r="E316" s="1" t="n">
        <f aca="false">IF(E313&gt;0,100*(E314+E315)/E313,0)</f>
        <v>92.9831312096973</v>
      </c>
      <c r="F316" s="1" t="n">
        <f aca="false">IF(F313&gt;0,100*(F314+F315)/F313,0)</f>
        <v>56.290537005458</v>
      </c>
      <c r="G316" s="1" t="n">
        <f aca="false">IF(G313&gt;0,100*(G314+G315)/G313,0)</f>
        <v>45.4118407288504</v>
      </c>
      <c r="H316" s="1" t="n">
        <f aca="false">IF(H313&gt;0,100*(H314+H315)/H313,0)</f>
        <v>42.6039150843106</v>
      </c>
      <c r="I316" s="1" t="n">
        <f aca="false">IF(I313&gt;0,100*(I314+I315)/I313,0)</f>
        <v>42.2485670676765</v>
      </c>
      <c r="J316" s="1" t="n">
        <f aca="false">IF(J313&gt;0,100*(J314+J315)/J313,0)</f>
        <v>43.1764181301429</v>
      </c>
      <c r="K316" s="1" t="n">
        <f aca="false">IF(K313&gt;0,100*(K314+K315)/K313,0)</f>
        <v>48.5381925976792</v>
      </c>
      <c r="L316" s="1" t="n">
        <f aca="false">IF(L313&gt;0,100*(L314+L315)/L313,0)</f>
        <v>53.9558475874622</v>
      </c>
      <c r="M316" s="1" t="n">
        <f aca="false">IF(M313&gt;0,100*(M314+M315)/M313,0)</f>
        <v>59.5202109077667</v>
      </c>
      <c r="N316" s="1" t="n">
        <f aca="false">IF(N313&gt;0,100*(N314+N315)/N313,0)</f>
        <v>62.6580007034018</v>
      </c>
      <c r="O316" s="1" t="n">
        <f aca="false">IF(O313&gt;0,100*(O314+O315)/O313,0)</f>
        <v>63.4498581947295</v>
      </c>
      <c r="P316" s="1" t="n">
        <f aca="false">IF(P313&gt;0,100*(P314+P315)/P313,0)</f>
        <v>63.8104526845868</v>
      </c>
      <c r="Q316" s="1" t="n">
        <f aca="false">IF(Q313&gt;0,100*(Q314+Q315)/Q313,0)</f>
        <v>63.783050316463</v>
      </c>
      <c r="R316" s="1" t="n">
        <f aca="false">IF(R313&gt;0,100*(R314+R315)/R313,0)</f>
        <v>63.5294261350086</v>
      </c>
      <c r="S316" s="1" t="n">
        <f aca="false">IF(S313&gt;0,100*(S314+S315)/S313,0)</f>
        <v>63.139035567905</v>
      </c>
      <c r="T316" s="1" t="n">
        <f aca="false">IF(T313&gt;0,100*(T314+T315)/T313,0)</f>
        <v>62.6814653514032</v>
      </c>
      <c r="U316" s="1" t="n">
        <f aca="false">IF(U313&gt;0,100*(U314+U315)/U313,0)</f>
        <v>62.3462225004856</v>
      </c>
      <c r="V316" s="1" t="n">
        <f aca="false">IF(V313&gt;0,100*(V314+V315)/V313,0)</f>
        <v>61.7859330694957</v>
      </c>
      <c r="W316" s="1" t="n">
        <f aca="false">IF(W313&gt;0,100*(W314+W315)/W313,0)</f>
        <v>61.2544528122486</v>
      </c>
      <c r="X316" s="1" t="n">
        <f aca="false">IF(X313&gt;0,100*(X314+X315)/X313,0)</f>
        <v>60.7908058858883</v>
      </c>
      <c r="Y316" s="1" t="n">
        <f aca="false">IF(Y313&gt;0,100*(Y314+Y315)/Y313,0)</f>
        <v>60.3873667241589</v>
      </c>
      <c r="Z316" s="1" t="n">
        <f aca="false">IF(Z313&gt;0,100*(Z314+Z315)/Z313,0)</f>
        <v>60.0376418470209</v>
      </c>
      <c r="AA316" s="1" t="n">
        <f aca="false">IF(AA313&gt;0,100*(AA314+AA315)/AA313,0)</f>
        <v>59.7360734319663</v>
      </c>
      <c r="AB316" s="1" t="n">
        <f aca="false">IF(AB313&gt;0,100*(AB314+AB315)/AB313,0)</f>
        <v>59.4778788322833</v>
      </c>
      <c r="AC316" s="1" t="n">
        <f aca="false">IF(AC313&gt;0,100*(AC314+AC315)/AC313,0)</f>
        <v>59.2589285405896</v>
      </c>
      <c r="AD316" s="1" t="n">
        <f aca="false">IF(AD313&gt;0,100*(AD314+AD315)/AD313,0)</f>
        <v>63.7407549786674</v>
      </c>
      <c r="AE316" s="1" t="n">
        <f aca="false">IF(AE313&gt;0,100*(AE314+AE315)/AE313,0)</f>
        <v>68.3546106209574</v>
      </c>
      <c r="AF316" s="1" t="n">
        <f aca="false">IF(AF313&gt;0,100*(AF314+AF315)/AF313,0)</f>
        <v>73.1083093964518</v>
      </c>
    </row>
    <row r="318" customFormat="false" ht="14.25" hidden="false" customHeight="true" outlineLevel="0" collapsed="false">
      <c r="B318" s="146"/>
    </row>
    <row r="319" customFormat="false" ht="14.25" hidden="false" customHeight="true" outlineLevel="0" collapsed="false"/>
    <row r="320" customFormat="false" ht="14.25" hidden="false" customHeight="true" outlineLevel="0" collapsed="false"/>
    <row r="321" customFormat="false" ht="14.25" hidden="false" customHeight="true" outlineLevel="0" collapsed="false"/>
    <row r="322" customFormat="false" ht="14.25" hidden="false" customHeight="true" outlineLevel="0" collapsed="false"/>
    <row r="323" customFormat="false" ht="14.25" hidden="false" customHeight="true" outlineLevel="0" collapsed="false"/>
    <row r="330" customFormat="false" ht="14.25" hidden="false" customHeight="true" outlineLevel="0" collapsed="false">
      <c r="B330" s="1" t="s">
        <v>1323</v>
      </c>
      <c r="C330" s="1" t="n">
        <f aca="false">C343</f>
        <v>0</v>
      </c>
      <c r="D330" s="1" t="n">
        <f aca="false">D343</f>
        <v>0.0512282804947994</v>
      </c>
      <c r="E330" s="1" t="n">
        <f aca="false">E343</f>
        <v>0.133372615723114</v>
      </c>
      <c r="F330" s="1" t="n">
        <f aca="false">F343</f>
        <v>0.231158478565312</v>
      </c>
      <c r="G330" s="1" t="n">
        <f aca="false">G343</f>
        <v>0.291194337841878</v>
      </c>
      <c r="H330" s="1" t="n">
        <f aca="false">H343</f>
        <v>0.354271907272695</v>
      </c>
      <c r="I330" s="1" t="n">
        <f aca="false">I343</f>
        <v>0.432980403546143</v>
      </c>
      <c r="J330" s="1" t="n">
        <f aca="false">J343</f>
        <v>0.522340937364765</v>
      </c>
      <c r="K330" s="1" t="n">
        <f aca="false">K343</f>
        <v>0.621414906054605</v>
      </c>
      <c r="L330" s="1" t="n">
        <f aca="false">L343</f>
        <v>0.754451967930845</v>
      </c>
      <c r="M330" s="1" t="n">
        <f aca="false">M343</f>
        <v>0.890884038148588</v>
      </c>
      <c r="N330" s="1" t="n">
        <f aca="false">N343</f>
        <v>1.12614862715678</v>
      </c>
      <c r="O330" s="1" t="n">
        <f aca="false">O343</f>
        <v>1.2708840723162</v>
      </c>
      <c r="P330" s="1" t="n">
        <f aca="false">P343</f>
        <v>1.29788664403691</v>
      </c>
      <c r="Q330" s="1" t="n">
        <f aca="false">Q343</f>
        <v>1.32662819778597</v>
      </c>
      <c r="R330" s="1" t="n">
        <f aca="false">R343</f>
        <v>1.35712781220328</v>
      </c>
      <c r="S330" s="1" t="n">
        <f aca="false">S343</f>
        <v>1.38919087866152</v>
      </c>
      <c r="T330" s="1" t="n">
        <f aca="false">T343</f>
        <v>1.42266154459471</v>
      </c>
      <c r="U330" s="1" t="n">
        <f aca="false">U343</f>
        <v>1.45741107071414</v>
      </c>
      <c r="V330" s="1" t="n">
        <f aca="false">V343</f>
        <v>1.49304706478791</v>
      </c>
      <c r="W330" s="1" t="n">
        <f aca="false">W343</f>
        <v>1.5175894583716</v>
      </c>
      <c r="X330" s="1" t="n">
        <f aca="false">X343</f>
        <v>1.53998410050987</v>
      </c>
      <c r="Y330" s="1" t="n">
        <f aca="false">Y343</f>
        <v>1.5619106661147</v>
      </c>
      <c r="Z330" s="1" t="n">
        <f aca="false">Z343</f>
        <v>1.58337049250108</v>
      </c>
      <c r="AA330" s="1" t="n">
        <f aca="false">AA343</f>
        <v>1.60436495674081</v>
      </c>
      <c r="AB330" s="1" t="n">
        <f aca="false">AB343</f>
        <v>1.62489547293318</v>
      </c>
      <c r="AC330" s="1" t="n">
        <f aca="false">AC343</f>
        <v>1.64496093703382</v>
      </c>
      <c r="AD330" s="1" t="n">
        <f aca="false">AD343</f>
        <v>1.66456027689164</v>
      </c>
      <c r="AE330" s="1" t="n">
        <f aca="false">AE343</f>
        <v>1.67807334067339</v>
      </c>
      <c r="AF330" s="1" t="n">
        <f aca="false">AF343</f>
        <v>1.69134710456251</v>
      </c>
    </row>
    <row r="331" customFormat="false" ht="14.25" hidden="false" customHeight="true" outlineLevel="0" collapsed="false">
      <c r="B331" s="1" t="s">
        <v>1324</v>
      </c>
      <c r="C331" s="1" t="n">
        <f aca="false">C330*$C$338</f>
        <v>0</v>
      </c>
      <c r="D331" s="1" t="n">
        <f aca="false">D330*$C$338</f>
        <v>0.0179298981731798</v>
      </c>
      <c r="E331" s="1" t="n">
        <f aca="false">E330*$C$338</f>
        <v>0.0466804155030899</v>
      </c>
      <c r="F331" s="1" t="n">
        <f aca="false">F330*$C$338</f>
        <v>0.0809054674978592</v>
      </c>
      <c r="G331" s="1" t="n">
        <f aca="false">G330*$C$338</f>
        <v>0.101918018244657</v>
      </c>
      <c r="H331" s="1" t="n">
        <f aca="false">H330*$C$338</f>
        <v>0.123995167545443</v>
      </c>
      <c r="I331" s="1" t="n">
        <f aca="false">I330*$C$338</f>
        <v>0.15154314124115</v>
      </c>
      <c r="J331" s="1" t="n">
        <f aca="false">J330*$C$338</f>
        <v>0.182819328077668</v>
      </c>
      <c r="K331" s="1" t="n">
        <f aca="false">K330*$C$338</f>
        <v>0.217495217119112</v>
      </c>
      <c r="L331" s="1" t="n">
        <f aca="false">L330*$C$338</f>
        <v>0.264058188775796</v>
      </c>
      <c r="M331" s="1" t="n">
        <f aca="false">M330*$C$338</f>
        <v>0.311809413352006</v>
      </c>
      <c r="N331" s="1" t="n">
        <f aca="false">N330*$C$338</f>
        <v>0.394152019504871</v>
      </c>
      <c r="O331" s="1" t="n">
        <f aca="false">O330*$C$338</f>
        <v>0.444809425310671</v>
      </c>
      <c r="P331" s="1" t="n">
        <f aca="false">P330*$C$338</f>
        <v>0.45426032541292</v>
      </c>
      <c r="Q331" s="1" t="n">
        <f aca="false">Q330*$C$338</f>
        <v>0.464319869225089</v>
      </c>
      <c r="R331" s="1" t="n">
        <f aca="false">R330*$C$338</f>
        <v>0.474994734271146</v>
      </c>
      <c r="S331" s="1" t="n">
        <f aca="false">S330*$C$338</f>
        <v>0.486216807531531</v>
      </c>
      <c r="T331" s="1" t="n">
        <f aca="false">T330*$C$338</f>
        <v>0.497931540608149</v>
      </c>
      <c r="U331" s="1" t="n">
        <f aca="false">U330*$C$338</f>
        <v>0.510093874749949</v>
      </c>
      <c r="V331" s="1" t="n">
        <f aca="false">V330*$C$338</f>
        <v>0.522566472675767</v>
      </c>
      <c r="W331" s="1" t="n">
        <f aca="false">W330*$C$338</f>
        <v>0.531156310430059</v>
      </c>
      <c r="X331" s="1" t="n">
        <f aca="false">X330*$C$338</f>
        <v>0.538994435178453</v>
      </c>
      <c r="Y331" s="1" t="n">
        <f aca="false">Y330*$C$338</f>
        <v>0.546668733140145</v>
      </c>
      <c r="Z331" s="1" t="n">
        <f aca="false">Z330*$C$338</f>
        <v>0.554179672375379</v>
      </c>
      <c r="AA331" s="1" t="n">
        <f aca="false">AA330*$C$338</f>
        <v>0.561527734859284</v>
      </c>
      <c r="AB331" s="1" t="n">
        <f aca="false">AB330*$C$338</f>
        <v>0.568713415526614</v>
      </c>
      <c r="AC331" s="1" t="n">
        <f aca="false">AC330*$C$338</f>
        <v>0.575736327961837</v>
      </c>
      <c r="AD331" s="1" t="n">
        <f aca="false">AD330*$C$338</f>
        <v>0.582596096912074</v>
      </c>
      <c r="AE331" s="1" t="n">
        <f aca="false">AE330*$C$338</f>
        <v>0.587325669235688</v>
      </c>
      <c r="AF331" s="1" t="n">
        <f aca="false">AF330*$C$338</f>
        <v>0.591971486596878</v>
      </c>
    </row>
    <row r="332" customFormat="false" ht="14.25" hidden="false" customHeight="true" outlineLevel="0" collapsed="false">
      <c r="B332" s="1" t="s">
        <v>1325</v>
      </c>
      <c r="C332" s="1" t="n">
        <f aca="false">IF($C$339&lt;=0,C331,IF($C$339=1,0,0))</f>
        <v>0</v>
      </c>
      <c r="D332" s="1" t="n">
        <f aca="false">IF($C$339&lt;=0,D331,IF($C$339=1,C331,0))</f>
        <v>0.0179298981731798</v>
      </c>
      <c r="E332" s="1" t="n">
        <f aca="false">IF($C$339&lt;=0,E331,IF($C$339=1,D331,C331))</f>
        <v>0.0466804155030899</v>
      </c>
      <c r="F332" s="1" t="n">
        <f aca="false">IF($C$339&lt;=0,F331,IF($C$339=1,E331,D331))</f>
        <v>0.0809054674978592</v>
      </c>
      <c r="G332" s="1" t="n">
        <f aca="false">IF($C$339&lt;=0,G331,IF($C$339=1,F331,E331))</f>
        <v>0.101918018244657</v>
      </c>
      <c r="H332" s="1" t="n">
        <f aca="false">IF($C$339&lt;=0,H331,IF($C$339=1,G331,F331))</f>
        <v>0.123995167545443</v>
      </c>
      <c r="I332" s="1" t="n">
        <f aca="false">IF($C$339&lt;=0,I331,IF($C$339=1,H331,G331))</f>
        <v>0.15154314124115</v>
      </c>
      <c r="J332" s="1" t="n">
        <f aca="false">IF($C$339&lt;=0,J331,IF($C$339=1,I331,H331))</f>
        <v>0.182819328077668</v>
      </c>
      <c r="K332" s="1" t="n">
        <f aca="false">IF($C$339&lt;=0,K331,IF($C$339=1,J331,I331))</f>
        <v>0.217495217119112</v>
      </c>
      <c r="L332" s="1" t="n">
        <f aca="false">IF($C$339&lt;=0,L331,IF($C$339=1,K331,J331))</f>
        <v>0.264058188775796</v>
      </c>
      <c r="M332" s="1" t="n">
        <f aca="false">IF($C$339&lt;=0,M331,IF($C$339=1,L331,K331))</f>
        <v>0.311809413352006</v>
      </c>
      <c r="N332" s="1" t="n">
        <f aca="false">IF($C$339&lt;=0,N331,IF($C$339=1,M331,L331))</f>
        <v>0.394152019504871</v>
      </c>
      <c r="O332" s="1" t="n">
        <f aca="false">IF($C$339&lt;=0,O331,IF($C$339=1,N331,M331))</f>
        <v>0.444809425310671</v>
      </c>
      <c r="P332" s="1" t="n">
        <f aca="false">IF($C$339&lt;=0,P331,IF($C$339=1,O331,N331))</f>
        <v>0.45426032541292</v>
      </c>
      <c r="Q332" s="1" t="n">
        <f aca="false">IF($C$339&lt;=0,Q331,IF($C$339=1,P331,O331))</f>
        <v>0.464319869225089</v>
      </c>
      <c r="R332" s="1" t="n">
        <f aca="false">IF($C$339&lt;=0,R331,IF($C$339=1,Q331,P331))</f>
        <v>0.474994734271146</v>
      </c>
      <c r="S332" s="1" t="n">
        <f aca="false">IF($C$339&lt;=0,S331,IF($C$339=1,R331,Q331))</f>
        <v>0.486216807531531</v>
      </c>
      <c r="T332" s="1" t="n">
        <f aca="false">IF($C$339&lt;=0,T331,IF($C$339=1,S331,R331))</f>
        <v>0.497931540608149</v>
      </c>
      <c r="U332" s="1" t="n">
        <f aca="false">IF($C$339&lt;=0,U331,IF($C$339=1,T331,S331))</f>
        <v>0.510093874749949</v>
      </c>
      <c r="V332" s="1" t="n">
        <f aca="false">IF($C$339&lt;=0,V331,IF($C$339=1,U331,T331))</f>
        <v>0.522566472675767</v>
      </c>
      <c r="W332" s="1" t="n">
        <f aca="false">IF($C$339&lt;=0,W331,IF($C$339=1,V331,U331))</f>
        <v>0.531156310430059</v>
      </c>
      <c r="X332" s="1" t="n">
        <f aca="false">IF($C$339&lt;=0,X331,IF($C$339=1,W331,V331))</f>
        <v>0.538994435178453</v>
      </c>
      <c r="Y332" s="1" t="n">
        <f aca="false">IF($C$339&lt;=0,Y331,IF($C$339=1,X331,W331))</f>
        <v>0.546668733140145</v>
      </c>
      <c r="Z332" s="1" t="n">
        <f aca="false">IF($C$339&lt;=0,Z331,IF($C$339=1,Y331,X331))</f>
        <v>0.554179672375379</v>
      </c>
      <c r="AA332" s="1" t="n">
        <f aca="false">IF($C$339&lt;=0,AA331,IF($C$339=1,Z331,Y331))</f>
        <v>0.561527734859284</v>
      </c>
      <c r="AB332" s="1" t="n">
        <f aca="false">IF($C$339&lt;=0,AB331,IF($C$339=1,AA331,Z331))</f>
        <v>0.568713415526614</v>
      </c>
      <c r="AC332" s="1" t="n">
        <f aca="false">IF($C$339&lt;=0,AC331,IF($C$339=1,AB331,AA331))</f>
        <v>0.575736327961837</v>
      </c>
      <c r="AD332" s="1" t="n">
        <f aca="false">IF($C$339&lt;=0,AD331,IF($C$339=1,AC331,AB331))</f>
        <v>0.582596096912074</v>
      </c>
      <c r="AE332" s="1" t="n">
        <f aca="false">IF($C$339&lt;=0,AE331,IF($C$339=1,AD331,AC331))</f>
        <v>0.587325669235688</v>
      </c>
      <c r="AF332" s="1" t="n">
        <f aca="false">IF($C$339&lt;=0,AF331,IF($C$339=1,AE331,AD331))</f>
        <v>0.591971486596878</v>
      </c>
    </row>
    <row r="333" customFormat="false" ht="14.25" hidden="false" customHeight="true" outlineLevel="0" collapsed="false">
      <c r="B333" s="1" t="s">
        <v>1326</v>
      </c>
      <c r="C333" s="1" t="n">
        <f aca="false">C330-C331</f>
        <v>0</v>
      </c>
      <c r="D333" s="1" t="n">
        <f aca="false">D330-D331</f>
        <v>0.0332983823216196</v>
      </c>
      <c r="E333" s="1" t="n">
        <f aca="false">E330-E331</f>
        <v>0.0866922002200241</v>
      </c>
      <c r="F333" s="1" t="n">
        <f aca="false">F330-F331</f>
        <v>0.150253011067453</v>
      </c>
      <c r="G333" s="1" t="n">
        <f aca="false">G330-G331</f>
        <v>0.189276319597221</v>
      </c>
      <c r="H333" s="1" t="n">
        <f aca="false">H330-H331</f>
        <v>0.230276739727252</v>
      </c>
      <c r="I333" s="1" t="n">
        <f aca="false">I330-I331</f>
        <v>0.281437262304993</v>
      </c>
      <c r="J333" s="1" t="n">
        <f aca="false">J330-J331</f>
        <v>0.339521609287097</v>
      </c>
      <c r="K333" s="1" t="n">
        <f aca="false">K330-K331</f>
        <v>0.403919688935493</v>
      </c>
      <c r="L333" s="1" t="n">
        <f aca="false">L330-L331</f>
        <v>0.490393779155049</v>
      </c>
      <c r="M333" s="1" t="n">
        <f aca="false">M330-M331</f>
        <v>0.579074624796582</v>
      </c>
      <c r="N333" s="1" t="n">
        <f aca="false">N330-N331</f>
        <v>0.731996607651904</v>
      </c>
      <c r="O333" s="1" t="n">
        <f aca="false">O330-O331</f>
        <v>0.826074647005532</v>
      </c>
      <c r="P333" s="1" t="n">
        <f aca="false">P330-P331</f>
        <v>0.843626318623995</v>
      </c>
      <c r="Q333" s="1" t="n">
        <f aca="false">Q330-Q331</f>
        <v>0.86230832856088</v>
      </c>
      <c r="R333" s="1" t="n">
        <f aca="false">R330-R331</f>
        <v>0.882133077932129</v>
      </c>
      <c r="S333" s="1" t="n">
        <f aca="false">S330-S331</f>
        <v>0.902974071129987</v>
      </c>
      <c r="T333" s="1" t="n">
        <f aca="false">T330-T331</f>
        <v>0.924730003986563</v>
      </c>
      <c r="U333" s="1" t="n">
        <f aca="false">U330-U331</f>
        <v>0.947317195964192</v>
      </c>
      <c r="V333" s="1" t="n">
        <f aca="false">V330-V331</f>
        <v>0.970480592112139</v>
      </c>
      <c r="W333" s="1" t="n">
        <f aca="false">W330-W331</f>
        <v>0.986433147941538</v>
      </c>
      <c r="X333" s="1" t="n">
        <f aca="false">X330-X331</f>
        <v>1.00098966533141</v>
      </c>
      <c r="Y333" s="1" t="n">
        <f aca="false">Y330-Y331</f>
        <v>1.01524193297455</v>
      </c>
      <c r="Z333" s="1" t="n">
        <f aca="false">Z330-Z331</f>
        <v>1.0291908201257</v>
      </c>
      <c r="AA333" s="1" t="n">
        <f aca="false">AA330-AA331</f>
        <v>1.04283722188153</v>
      </c>
      <c r="AB333" s="1" t="n">
        <f aca="false">AB330-AB331</f>
        <v>1.05618205740657</v>
      </c>
      <c r="AC333" s="1" t="n">
        <f aca="false">AC330-AC331</f>
        <v>1.06922460907198</v>
      </c>
      <c r="AD333" s="1" t="n">
        <f aca="false">AD330-AD331</f>
        <v>1.08196417997957</v>
      </c>
      <c r="AE333" s="1" t="n">
        <f aca="false">AE330-AE331</f>
        <v>1.09074767143771</v>
      </c>
      <c r="AF333" s="1" t="n">
        <f aca="false">AF330-AF331</f>
        <v>1.09937561796563</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01_Supuestos!$C$191</f>
        <v>0.35</v>
      </c>
      <c r="D338" s="1" t="s">
        <v>1347</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0.0215158778078157</v>
      </c>
      <c r="E341" s="1" t="n">
        <f aca="false">D284*$C$340</f>
        <v>0.0560164986037079</v>
      </c>
      <c r="F341" s="1" t="n">
        <f aca="false">E284*$C$340</f>
        <v>0.097086560997431</v>
      </c>
      <c r="G341" s="1" t="n">
        <f aca="false">F284*$C$340</f>
        <v>0.122301621893589</v>
      </c>
      <c r="H341" s="1" t="n">
        <f aca="false">G284*$C$340</f>
        <v>0.148794201054532</v>
      </c>
      <c r="I341" s="1" t="n">
        <f aca="false">H284*$C$340</f>
        <v>0.18185176948938</v>
      </c>
      <c r="J341" s="1" t="n">
        <f aca="false">I284*$C$340</f>
        <v>0.219383193693201</v>
      </c>
      <c r="K341" s="1" t="n">
        <f aca="false">J284*$C$340</f>
        <v>0.260994260542934</v>
      </c>
      <c r="L341" s="1" t="n">
        <f aca="false">K284*$C$340</f>
        <v>0.316869826530955</v>
      </c>
      <c r="M341" s="1" t="n">
        <f aca="false">L284*$C$340</f>
        <v>0.374171296022407</v>
      </c>
      <c r="N341" s="1" t="n">
        <f aca="false">M284*$C$340</f>
        <v>0.472982423405846</v>
      </c>
      <c r="O341" s="1" t="n">
        <f aca="false">N284*$C$340</f>
        <v>0.533771310372805</v>
      </c>
      <c r="P341" s="1" t="n">
        <f aca="false">O284*$C$340</f>
        <v>0.545112390495504</v>
      </c>
      <c r="Q341" s="1" t="n">
        <f aca="false">P284*$C$340</f>
        <v>0.557183843070107</v>
      </c>
      <c r="R341" s="1" t="n">
        <f aca="false">Q284*$C$340</f>
        <v>0.569993681125375</v>
      </c>
      <c r="S341" s="1" t="n">
        <f aca="false">R284*$C$340</f>
        <v>0.583460169037838</v>
      </c>
      <c r="T341" s="1" t="n">
        <f aca="false">S284*$C$340</f>
        <v>0.597517848729779</v>
      </c>
      <c r="U341" s="1" t="n">
        <f aca="false">T284*$C$340</f>
        <v>0.612112649699939</v>
      </c>
      <c r="V341" s="1" t="n">
        <f aca="false">U284*$C$340</f>
        <v>0.627079767210921</v>
      </c>
      <c r="W341" s="1" t="n">
        <f aca="false">V284*$C$340</f>
        <v>0.637387572516071</v>
      </c>
      <c r="X341" s="1" t="n">
        <f aca="false">W284*$C$340</f>
        <v>0.646793322214143</v>
      </c>
      <c r="Y341" s="1" t="n">
        <f aca="false">X284*$C$340</f>
        <v>0.656002479768174</v>
      </c>
      <c r="Z341" s="1" t="n">
        <f aca="false">Y284*$C$340</f>
        <v>0.665015606850455</v>
      </c>
      <c r="AA341" s="1" t="n">
        <f aca="false">Z284*$C$340</f>
        <v>0.673833281831141</v>
      </c>
      <c r="AB341" s="1" t="n">
        <f aca="false">AA284*$C$340</f>
        <v>0.682456098631937</v>
      </c>
      <c r="AC341" s="1" t="n">
        <f aca="false">AB284*$C$340</f>
        <v>0.690883593554204</v>
      </c>
      <c r="AD341" s="1" t="n">
        <f aca="false">AC284*$C$340</f>
        <v>0.699115316294489</v>
      </c>
      <c r="AE341" s="1" t="n">
        <f aca="false">AD284*$C$340</f>
        <v>0.704790803082826</v>
      </c>
      <c r="AF341" s="1" t="n">
        <f aca="false">AE284*$C$340</f>
        <v>0.710365783916254</v>
      </c>
    </row>
    <row r="342" customFormat="false" ht="14.25" hidden="false" customHeight="true" outlineLevel="0" collapsed="false">
      <c r="B342" s="1" t="s">
        <v>1336</v>
      </c>
      <c r="C342" s="1" t="n">
        <f aca="false">0*$C$340</f>
        <v>0</v>
      </c>
      <c r="D342" s="1" t="n">
        <f aca="false">C289*$C$340</f>
        <v>0.0297124026869837</v>
      </c>
      <c r="E342" s="1" t="n">
        <f aca="false">D289*$C$340</f>
        <v>0.0773561171194062</v>
      </c>
      <c r="F342" s="1" t="n">
        <f aca="false">E289*$C$340</f>
        <v>0.134071917567881</v>
      </c>
      <c r="G342" s="1" t="n">
        <f aca="false">F289*$C$340</f>
        <v>0.168892715948289</v>
      </c>
      <c r="H342" s="1" t="n">
        <f aca="false">G289*$C$340</f>
        <v>0.205477706218163</v>
      </c>
      <c r="I342" s="1" t="n">
        <f aca="false">H289*$C$340</f>
        <v>0.251128634056763</v>
      </c>
      <c r="J342" s="1" t="n">
        <f aca="false">I289*$C$340</f>
        <v>0.302957743671564</v>
      </c>
      <c r="K342" s="1" t="n">
        <f aca="false">J289*$C$340</f>
        <v>0.360420645511671</v>
      </c>
      <c r="L342" s="1" t="n">
        <f aca="false">K289*$C$340</f>
        <v>0.43758214139989</v>
      </c>
      <c r="M342" s="1" t="n">
        <f aca="false">L289*$C$340</f>
        <v>0.516712742126181</v>
      </c>
      <c r="N342" s="1" t="n">
        <f aca="false">M289*$C$340</f>
        <v>0.65316620375093</v>
      </c>
      <c r="O342" s="1" t="n">
        <f aca="false">N289*$C$340</f>
        <v>0.737112761943398</v>
      </c>
      <c r="P342" s="1" t="n">
        <f aca="false">O289*$C$340</f>
        <v>0.752774253541411</v>
      </c>
      <c r="Q342" s="1" t="n">
        <f aca="false">P289*$C$340</f>
        <v>0.769444354715862</v>
      </c>
      <c r="R342" s="1" t="n">
        <f aca="false">Q289*$C$340</f>
        <v>0.7871341310779</v>
      </c>
      <c r="S342" s="1" t="n">
        <f aca="false">R289*$C$340</f>
        <v>0.805730709623681</v>
      </c>
      <c r="T342" s="1" t="n">
        <f aca="false">S289*$C$340</f>
        <v>0.825143695864933</v>
      </c>
      <c r="U342" s="1" t="n">
        <f aca="false">T289*$C$340</f>
        <v>0.845298421014202</v>
      </c>
      <c r="V342" s="1" t="n">
        <f aca="false">U289*$C$340</f>
        <v>0.865967297576986</v>
      </c>
      <c r="W342" s="1" t="n">
        <f aca="false">V289*$C$340</f>
        <v>0.880201885855527</v>
      </c>
      <c r="X342" s="1" t="n">
        <f aca="false">W289*$C$340</f>
        <v>0.893190778295722</v>
      </c>
      <c r="Y342" s="1" t="n">
        <f aca="false">X289*$C$340</f>
        <v>0.905908186346525</v>
      </c>
      <c r="Z342" s="1" t="n">
        <f aca="false">Y289*$C$340</f>
        <v>0.918354885650628</v>
      </c>
      <c r="AA342" s="1" t="n">
        <f aca="false">Z289*$C$340</f>
        <v>0.930531674909671</v>
      </c>
      <c r="AB342" s="1" t="n">
        <f aca="false">AA289*$C$340</f>
        <v>0.942439374301246</v>
      </c>
      <c r="AC342" s="1" t="n">
        <f aca="false">AB289*$C$340</f>
        <v>0.954077343479615</v>
      </c>
      <c r="AD342" s="1" t="n">
        <f aca="false">AC289*$C$340</f>
        <v>0.965444960597152</v>
      </c>
      <c r="AE342" s="1" t="n">
        <f aca="false">AD289*$C$340</f>
        <v>0.973282537590569</v>
      </c>
      <c r="AF342" s="1" t="n">
        <f aca="false">AE289*$C$340</f>
        <v>0.980981320646255</v>
      </c>
    </row>
    <row r="343" customFormat="false" ht="14.25" hidden="false" customHeight="true" outlineLevel="0" collapsed="false">
      <c r="B343" s="1" t="s">
        <v>1337</v>
      </c>
      <c r="C343" s="1" t="n">
        <f aca="false">C341+C342</f>
        <v>0</v>
      </c>
      <c r="D343" s="1" t="n">
        <f aca="false">D341+D342</f>
        <v>0.0512282804947994</v>
      </c>
      <c r="E343" s="1" t="n">
        <f aca="false">E341+E342</f>
        <v>0.133372615723114</v>
      </c>
      <c r="F343" s="1" t="n">
        <f aca="false">F341+F342</f>
        <v>0.231158478565312</v>
      </c>
      <c r="G343" s="1" t="n">
        <f aca="false">G341+G342</f>
        <v>0.291194337841878</v>
      </c>
      <c r="H343" s="1" t="n">
        <f aca="false">H341+H342</f>
        <v>0.354271907272695</v>
      </c>
      <c r="I343" s="1" t="n">
        <f aca="false">I341+I342</f>
        <v>0.432980403546143</v>
      </c>
      <c r="J343" s="1" t="n">
        <f aca="false">J341+J342</f>
        <v>0.522340937364765</v>
      </c>
      <c r="K343" s="1" t="n">
        <f aca="false">K341+K342</f>
        <v>0.621414906054605</v>
      </c>
      <c r="L343" s="1" t="n">
        <f aca="false">L341+L342</f>
        <v>0.754451967930845</v>
      </c>
      <c r="M343" s="1" t="n">
        <f aca="false">M341+M342</f>
        <v>0.890884038148588</v>
      </c>
      <c r="N343" s="1" t="n">
        <f aca="false">N341+N342</f>
        <v>1.12614862715678</v>
      </c>
      <c r="O343" s="1" t="n">
        <f aca="false">O341+O342</f>
        <v>1.2708840723162</v>
      </c>
      <c r="P343" s="1" t="n">
        <f aca="false">P341+P342</f>
        <v>1.29788664403691</v>
      </c>
      <c r="Q343" s="1" t="n">
        <f aca="false">Q341+Q342</f>
        <v>1.32662819778597</v>
      </c>
      <c r="R343" s="1" t="n">
        <f aca="false">R341+R342</f>
        <v>1.35712781220328</v>
      </c>
      <c r="S343" s="1" t="n">
        <f aca="false">S341+S342</f>
        <v>1.38919087866152</v>
      </c>
      <c r="T343" s="1" t="n">
        <f aca="false">T341+T342</f>
        <v>1.42266154459471</v>
      </c>
      <c r="U343" s="1" t="n">
        <f aca="false">U341+U342</f>
        <v>1.45741107071414</v>
      </c>
      <c r="V343" s="1" t="n">
        <f aca="false">V341+V342</f>
        <v>1.49304706478791</v>
      </c>
      <c r="W343" s="1" t="n">
        <f aca="false">W341+W342</f>
        <v>1.5175894583716</v>
      </c>
      <c r="X343" s="1" t="n">
        <f aca="false">X341+X342</f>
        <v>1.53998410050987</v>
      </c>
      <c r="Y343" s="1" t="n">
        <f aca="false">Y341+Y342</f>
        <v>1.5619106661147</v>
      </c>
      <c r="Z343" s="1" t="n">
        <f aca="false">Z341+Z342</f>
        <v>1.58337049250108</v>
      </c>
      <c r="AA343" s="1" t="n">
        <f aca="false">AA341+AA342</f>
        <v>1.60436495674081</v>
      </c>
      <c r="AB343" s="1" t="n">
        <f aca="false">AB341+AB342</f>
        <v>1.62489547293318</v>
      </c>
      <c r="AC343" s="1" t="n">
        <f aca="false">AC341+AC342</f>
        <v>1.64496093703382</v>
      </c>
      <c r="AD343" s="1" t="n">
        <f aca="false">AD341+AD342</f>
        <v>1.66456027689164</v>
      </c>
      <c r="AE343" s="1" t="n">
        <f aca="false">AE341+AE342</f>
        <v>1.67807334067339</v>
      </c>
      <c r="AF343" s="1" t="n">
        <f aca="false">AF341+AF342</f>
        <v>1.69134710456251</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0</v>
      </c>
      <c r="AE345" s="1" t="n">
        <f aca="false">IF(AND(AE$39&gt;=4,AE$39&lt;=01_Supuestos!$I$145,01_Supuestos!$C$200="Sí"),IF(AD122&gt;=01_Supuestos!$C$201,01_Supuestos!$C$202*01_Supuestos!$I$89/1000000000000,0),0)</f>
        <v>0</v>
      </c>
      <c r="AF345" s="1" t="n">
        <f aca="false">IF(AND(AF$39&gt;=4,AF$39&lt;=01_Supuestos!$I$145,01_Supuestos!$C$200="Sí"),IF(AE122&gt;=01_Supuestos!$C$201,01_Supuestos!$C$202*01_Supuestos!$I$89/1000000000000,0),0)</f>
        <v>0</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1.134486</v>
      </c>
      <c r="AE346" s="1" t="n">
        <f aca="false">IF(AND(AE$39&gt;=4,AE$39&lt;=01_Supuestos!$I$145,01_Supuestos!$C$200="Sí"),IF(AD122&lt;01_Supuestos!$C$201,01_Supuestos!$C$202*01_Supuestos!$I$89/1000000000000,0),0)</f>
        <v>1.134486</v>
      </c>
      <c r="AF346" s="1" t="n">
        <f aca="false">IF(AND(AF$39&gt;=4,AF$39&lt;=01_Supuestos!$I$145,01_Supuestos!$C$200="Sí"),IF(AE122&lt;01_Supuestos!$C$201,01_Supuestos!$C$202*01_Supuestos!$I$89/1000000000000,0),0)</f>
        <v>1.134486</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1</v>
      </c>
      <c r="AE347" s="1" t="n">
        <f aca="false">AD347+IF(AE346&gt;0,1,0)</f>
        <v>2</v>
      </c>
      <c r="AF347" s="1" t="n">
        <f aca="false">AE347+IF(AF346&gt;0,1,0)</f>
        <v>3</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1372</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184.103744421541</v>
      </c>
      <c r="M72" s="116" t="n">
        <f aca="false">IF($C$173="Sí",(M83-M326)+M181,$C$15*L83)</f>
        <v>196.061207163606</v>
      </c>
      <c r="N72" s="116" t="n">
        <f aca="false">IF($C$173="Sí",(N83-N326)+N181,$C$15*M83)</f>
        <v>206.407236836123</v>
      </c>
      <c r="O72" s="116" t="n">
        <f aca="false">IF($C$173="Sí",(O83-O326)+O181,$C$15*N83)</f>
        <v>212.384033685215</v>
      </c>
      <c r="P72" s="116" t="n">
        <f aca="false">IF($C$173="Sí",(P83-P326)+P181,$C$15*O83)</f>
        <v>217.629465148308</v>
      </c>
      <c r="Q72" s="116" t="n">
        <f aca="false">IF($C$173="Sí",(Q83-Q326)+Q181,$C$15*P83)</f>
        <v>222.62860188112</v>
      </c>
      <c r="R72" s="116" t="n">
        <f aca="false">IF($C$173="Sí",(R83-R326)+R181,$C$15*Q83)</f>
        <v>227.747719169596</v>
      </c>
      <c r="S72" s="116" t="n">
        <f aca="false">IF($C$173="Sí",(S83-S326)+S181,$C$15*R83)</f>
        <v>232.983795809085</v>
      </c>
      <c r="T72" s="116" t="n">
        <f aca="false">IF($C$173="Sí",(T83-T326)+T181,$C$15*S83)</f>
        <v>238.339895290104</v>
      </c>
      <c r="U72" s="116" t="n">
        <f aca="false">IF($C$173="Sí",(U83-U326)+U181,$C$15*T83)</f>
        <v>243.818837859428</v>
      </c>
      <c r="V72" s="116" t="n">
        <f aca="false">IF($C$173="Sí",(V83-V326)+V181,$C$15*U83)</f>
        <v>249.423479079321</v>
      </c>
      <c r="W72" s="116" t="n">
        <f aca="false">IF($C$173="Sí",(W83-W326)+W181,$C$15*V83)</f>
        <v>255.155531964059</v>
      </c>
      <c r="X72" s="116" t="n">
        <f aca="false">IF($C$173="Sí",(X83-X326)+X181,$C$15*W83)</f>
        <v>261.018553633059</v>
      </c>
      <c r="Y72" s="116" t="n">
        <f aca="false">IF($C$173="Sí",(Y83-Y326)+Y181,$C$15*X83)</f>
        <v>267.01592627486</v>
      </c>
      <c r="Z72" s="116" t="n">
        <f aca="false">IF($C$173="Sí",(Z83-Z326)+Z181,$C$15*Y83)</f>
        <v>273.150778308802</v>
      </c>
      <c r="AA72" s="116" t="n">
        <f aca="false">IF($C$173="Sí",(AA83-AA326)+AA181,$C$15*Z83)</f>
        <v>279.426309587788</v>
      </c>
      <c r="AB72" s="116" t="n">
        <f aca="false">IF($C$173="Sí",(AB83-AB326)+AB181,$C$15*AA83)</f>
        <v>285.845819579093</v>
      </c>
      <c r="AC72" s="116" t="n">
        <f aca="false">IF($C$173="Sí",(AC83-AC326)+AC181,$C$15*AB83)</f>
        <v>292.412669965461</v>
      </c>
      <c r="AD72" s="116" t="n">
        <f aca="false">IF($C$173="Sí",(AD83-AD326)+AD181,$C$15*AC83)</f>
        <v>299.130291907188</v>
      </c>
      <c r="AE72" s="116" t="n">
        <f aca="false">IF($C$173="Sí",(AE83-AE326)+AE181,$C$15*AD83)</f>
        <v>306.002195010963</v>
      </c>
      <c r="AF72" s="116" t="n">
        <f aca="false">IF($C$173="Sí",(AF83-AF326)+AF181,$C$15*AE83)</f>
        <v>313.031969176547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13.0197065435384</v>
      </c>
      <c r="M73" s="116" t="n">
        <f aca="false">M72-L72</f>
        <v>11.9574627420655</v>
      </c>
      <c r="N73" s="116" t="n">
        <f aca="false">N72-M72</f>
        <v>10.3460296725163</v>
      </c>
      <c r="O73" s="116" t="n">
        <f aca="false">O72-N72</f>
        <v>5.9767968490921</v>
      </c>
      <c r="P73" s="116" t="n">
        <f aca="false">P72-O72</f>
        <v>5.24543146309276</v>
      </c>
      <c r="Q73" s="116" t="n">
        <f aca="false">Q72-P72</f>
        <v>4.99913673281267</v>
      </c>
      <c r="R73" s="116" t="n">
        <f aca="false">R72-Q72</f>
        <v>5.11911728847554</v>
      </c>
      <c r="S73" s="116" t="n">
        <f aca="false">S72-R72</f>
        <v>5.2360766394888</v>
      </c>
      <c r="T73" s="116" t="n">
        <f aca="false">T72-S72</f>
        <v>5.35609948101947</v>
      </c>
      <c r="U73" s="116" t="n">
        <f aca="false">U72-T72</f>
        <v>5.47894256932401</v>
      </c>
      <c r="V73" s="116" t="n">
        <f aca="false">V72-U72</f>
        <v>5.60464121989347</v>
      </c>
      <c r="W73" s="116" t="n">
        <f aca="false">W72-V72</f>
        <v>5.73205288473793</v>
      </c>
      <c r="X73" s="116" t="n">
        <f aca="false">X72-W72</f>
        <v>5.86302166899918</v>
      </c>
      <c r="Y73" s="116" t="n">
        <f aca="false">Y72-X72</f>
        <v>5.99737264180146</v>
      </c>
      <c r="Z73" s="116" t="n">
        <f aca="false">Z72-Y72</f>
        <v>6.13485203394146</v>
      </c>
      <c r="AA73" s="116" t="n">
        <f aca="false">AA72-Z72</f>
        <v>6.27553127898631</v>
      </c>
      <c r="AB73" s="116" t="n">
        <f aca="false">AB72-AA72</f>
        <v>6.41950999130523</v>
      </c>
      <c r="AC73" s="116" t="n">
        <f aca="false">AC72-AB72</f>
        <v>6.566850386368</v>
      </c>
      <c r="AD73" s="116" t="n">
        <f aca="false">AD72-AC72</f>
        <v>6.71762194172737</v>
      </c>
      <c r="AE73" s="116" t="n">
        <f aca="false">AE72-AD72</f>
        <v>6.8719031037744</v>
      </c>
      <c r="AF73" s="116" t="n">
        <f aca="false">AF72-AE72</f>
        <v>7.02977416558451</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17.4899578012604</v>
      </c>
      <c r="N75" s="116" t="n">
        <f aca="false">$C$19*M81</f>
        <v>18.1128747087215</v>
      </c>
      <c r="O75" s="116" t="n">
        <f aca="false">$C$19*N81</f>
        <v>18.7404693289776</v>
      </c>
      <c r="P75" s="116" t="n">
        <f aca="false">$C$19*O81</f>
        <v>19.3424506087601</v>
      </c>
      <c r="Q75" s="116" t="n">
        <f aca="false">$C$19*P81</f>
        <v>19.8168251209916</v>
      </c>
      <c r="R75" s="116" t="n">
        <f aca="false">$C$19*Q81</f>
        <v>20.2954531809996</v>
      </c>
      <c r="S75" s="116" t="n">
        <f aca="false">$C$19*R81</f>
        <v>20.7730434718159</v>
      </c>
      <c r="T75" s="116" t="n">
        <f aca="false">$C$19*S81</f>
        <v>21.2497482164089</v>
      </c>
      <c r="U75" s="116" t="n">
        <f aca="false">$C$19*T81</f>
        <v>21.7263395365145</v>
      </c>
      <c r="V75" s="116" t="n">
        <f aca="false">$C$19*U81</f>
        <v>22.2035741550798</v>
      </c>
      <c r="W75" s="116" t="n">
        <f aca="false">$C$19*V81</f>
        <v>22.6822051323471</v>
      </c>
      <c r="X75" s="116" t="n">
        <f aca="false">$C$19*W81</f>
        <v>23.1560403740575</v>
      </c>
      <c r="Y75" s="116" t="n">
        <f aca="false">$C$19*X81</f>
        <v>23.6258680429697</v>
      </c>
      <c r="Z75" s="116" t="n">
        <f aca="false">$C$19*Y81</f>
        <v>24.0924822994164</v>
      </c>
      <c r="AA75" s="116" t="n">
        <f aca="false">$C$19*Z81</f>
        <v>24.5566818844498</v>
      </c>
      <c r="AB75" s="116" t="n">
        <f aca="false">$C$19*AA81</f>
        <v>25.0192713143661</v>
      </c>
      <c r="AC75" s="116" t="n">
        <f aca="false">$C$19*AB81</f>
        <v>25.4812136230104</v>
      </c>
      <c r="AD75" s="116" t="n">
        <f aca="false">$C$19*AC81</f>
        <v>25.943477289881</v>
      </c>
      <c r="AE75" s="116" t="n">
        <f aca="false">$C$19*AD81</f>
        <v>26.4070375231695</v>
      </c>
      <c r="AF75" s="116" t="n">
        <f aca="false">$C$19*AE81</f>
        <v>26.8728775655087</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649.988715964279</v>
      </c>
      <c r="F76" s="116" t="n">
        <f aca="false">(IF($C$173="Sí",(MAX(0,F74-E96)+MAX(0,E276+F53-F75))/F327,F73+MAX(0,F74-E96)+MAX(0,E276+F53-F75)))+IF($C$173="Sí",MAX(0,$C$226*(F70+E121)*0.3/0.55-E227)/F327,0)</f>
        <v>763.012780646039</v>
      </c>
      <c r="G76" s="116" t="n">
        <f aca="false">(IF($C$173="Sí",(MAX(0,G74-F96)+MAX(0,F276+G53-G75))/G327,G73+MAX(0,G74-F96)+MAX(0,F276+G53-G75)))+IF($C$173="Sí",MAX(0,$C$226*(G70+F121)*0.3/0.55-F227)/G327,0)</f>
        <v>16911.3142551436</v>
      </c>
      <c r="H76" s="116" t="n">
        <f aca="false">(IF($C$173="Sí",(MAX(0,H74-G96)+MAX(0,G276+H53-H75))/H327,H73+MAX(0,H74-G96)+MAX(0,G276+H53-H75)))+IF($C$173="Sí",MAX(0,$C$226*(H70+G121)*0.3/0.55-G227)/H327,0)</f>
        <v>840.812729426237</v>
      </c>
      <c r="I76" s="116" t="n">
        <f aca="false">(IF($C$173="Sí",(MAX(0,I74-H96)+MAX(0,H276+I53-I75))/I327,I73+MAX(0,I74-H96)+MAX(0,H276+I53-I75)))+IF($C$173="Sí",MAX(0,$C$226*(I70+H121)*0.3/0.55-H227)/I327,0)</f>
        <v>915.917464721825</v>
      </c>
      <c r="J76" s="116" t="n">
        <f aca="false">(IF($C$173="Sí",(MAX(0,J74-I96)+MAX(0,I276+J53-J75))/J327,J73+MAX(0,J74-I96)+MAX(0,I276+J53-J75)))+IF($C$173="Sí",MAX(0,$C$226*(J70+I121)*0.3/0.55-I227)/J327,0)</f>
        <v>1008.16606044506</v>
      </c>
      <c r="K76" s="116" t="n">
        <f aca="false">(IF($C$173="Sí",(MAX(0,K74-J96)+MAX(0,J276+K53-K75))/K327,K73+MAX(0,K74-J96)+MAX(0,J276+K53-K75)))+IF($C$173="Sí",MAX(0,$C$226*(K70+J121)*0.3/0.55-J227)/K327,0)</f>
        <v>1111.68683636638</v>
      </c>
      <c r="L76" s="116" t="n">
        <f aca="false">(IF($C$173="Sí",(MAX(0,L74-K96)+MAX(0,K276+L53-L75))/L327,L73+MAX(0,L74-K96)+MAX(0,K276+L53-L75)))+IF($C$173="Sí",MAX(0,$C$226*(L70+K121)*0.3/0.55-K227)/L327,0)</f>
        <v>1225.26134695679</v>
      </c>
      <c r="M76" s="116" t="n">
        <f aca="false">(IF($C$173="Sí",(MAX(0,M74-L96)+MAX(0,L276+M53-M75))/M327,M73+MAX(0,M74-L96)+MAX(0,L276+M53-M75)))+IF($C$173="Sí",MAX(0,$C$226*(M70+L121)*0.3/0.55-L227)/M327,0)</f>
        <v>1163.88447150542</v>
      </c>
      <c r="N76" s="116" t="n">
        <f aca="false">(IF($C$173="Sí",(MAX(0,N74-M96)+MAX(0,M276+N53-N75))/N327,N73+MAX(0,N74-M96)+MAX(0,M276+N53-N75)))+IF($C$173="Sí",MAX(0,$C$226*(N70+M121)*0.3/0.55-M227)/N327,0)</f>
        <v>965.067154301793</v>
      </c>
      <c r="O76" s="116" t="n">
        <f aca="false">(IF($C$173="Sí",(MAX(0,O74-N96)+MAX(0,N276+O53-O75))/O327,O73+MAX(0,O74-N96)+MAX(0,N276+O53-O75)))+IF($C$173="Sí",MAX(0,$C$226*(O70+N121)*0.3/0.55-N227)/O327,0)</f>
        <v>920.546644369325</v>
      </c>
      <c r="P76" s="116" t="n">
        <f aca="false">(IF($C$173="Sí",(MAX(0,P74-O96)+MAX(0,O276+P53-P75))/P327,P73+MAX(0,P74-O96)+MAX(0,O276+P53-P75)))+IF($C$173="Sí",MAX(0,$C$226*(P70+O121)*0.3/0.55-O227)/P327,0)</f>
        <v>977.197490700088</v>
      </c>
      <c r="Q76" s="116" t="n">
        <f aca="false">(IF($C$173="Sí",(MAX(0,Q74-P96)+MAX(0,P276+Q53-Q75))/Q327,Q73+MAX(0,Q74-P96)+MAX(0,P276+Q53-Q75)))+IF($C$173="Sí",MAX(0,$C$226*(Q70+P121)*0.3/0.55-P227)/Q327,0)</f>
        <v>978.739610527956</v>
      </c>
      <c r="R76" s="116" t="n">
        <f aca="false">(IF($C$173="Sí",(MAX(0,R74-Q96)+MAX(0,Q276+R53-R75))/R327,R73+MAX(0,R74-Q96)+MAX(0,Q276+R53-R75)))+IF($C$173="Sí",MAX(0,$C$226*(R70+Q121)*0.3/0.55-Q227)/R327,0)</f>
        <v>983.629675516897</v>
      </c>
      <c r="S76" s="116" t="n">
        <f aca="false">(IF($C$173="Sí",(MAX(0,S74-R96)+MAX(0,R276+S53-S75))/S327,S73+MAX(0,S74-R96)+MAX(0,R276+S53-S75)))+IF($C$173="Sí",MAX(0,$C$226*(S70+R121)*0.3/0.55-R227)/S327,0)</f>
        <v>988.508615749113</v>
      </c>
      <c r="T76" s="116" t="n">
        <f aca="false">(IF($C$173="Sí",(MAX(0,T74-S96)+MAX(0,S276+T53-T75))/T327,T73+MAX(0,T74-S96)+MAX(0,S276+T53-T75)))+IF($C$173="Sí",MAX(0,$C$226*(T70+S121)*0.3/0.55-S227)/T327,0)</f>
        <v>993.578446723932</v>
      </c>
      <c r="U76" s="116" t="n">
        <f aca="false">(IF($C$173="Sí",(MAX(0,U74-T96)+MAX(0,T276+U53-U75))/U327,U73+MAX(0,U74-T96)+MAX(0,T276+U53-U75)))+IF($C$173="Sí",MAX(0,$C$226*(U70+T121)*0.3/0.55-T227)/U327,0)</f>
        <v>998.872741875941</v>
      </c>
      <c r="V76" s="116" t="n">
        <f aca="false">(IF($C$173="Sí",(MAX(0,V74-U96)+MAX(0,U276+V53-V75))/V327,V73+MAX(0,V74-U96)+MAX(0,U276+V53-V75)))+IF($C$173="Sí",MAX(0,$C$226*(V70+U121)*0.3/0.55-U227)/V327,0)</f>
        <v>1004.39571931726</v>
      </c>
      <c r="W76" s="116" t="n">
        <f aca="false">(IF($C$173="Sí",(MAX(0,W74-V96)+MAX(0,V276+W53-W75))/W327,W73+MAX(0,W74-V96)+MAX(0,V276+W53-W75)))+IF($C$173="Sí",MAX(0,$C$226*(W70+V121)*0.3/0.55-V227)/W327,0)</f>
        <v>1010.15164079516</v>
      </c>
      <c r="X76" s="116" t="n">
        <f aca="false">(IF($C$173="Sí",(MAX(0,X74-W96)+MAX(0,W276+X53-X75))/X327,X73+MAX(0,X74-W96)+MAX(0,W276+X53-X75)))+IF($C$173="Sí",MAX(0,$C$226*(X70+W121)*0.3/0.55-W227)/X327,0)</f>
        <v>1015.89821322431</v>
      </c>
      <c r="Y76" s="116" t="n">
        <f aca="false">(IF($C$173="Sí",(MAX(0,Y74-X96)+MAX(0,X276+Y53-Y75))/Y327,Y73+MAX(0,Y74-X96)+MAX(0,X276+Y53-Y75)))+IF($C$173="Sí",MAX(0,$C$226*(Y70+X121)*0.3/0.55-X227)/Y327,0)</f>
        <v>1021.92082054996</v>
      </c>
      <c r="Z76" s="116" t="n">
        <f aca="false">(IF($C$173="Sí",(MAX(0,Z74-Y96)+MAX(0,Y276+Z53-Z75))/Z327,Z73+MAX(0,Z74-Y96)+MAX(0,Y276+Z53-Z75)))+IF($C$173="Sí",MAX(0,$C$226*(Z70+Y121)*0.3/0.55-Y227)/Z327,0)</f>
        <v>1028.22750064744</v>
      </c>
      <c r="AA76" s="116" t="n">
        <f aca="false">(IF($C$173="Sí",(MAX(0,AA74-Z96)+MAX(0,Z276+AA53-AA75))/AA327,AA73+MAX(0,AA74-Z96)+MAX(0,Z276+AA53-AA75)))+IF($C$173="Sí",MAX(0,$C$226*(AA70+Z121)*0.3/0.55-Z227)/AA327,0)</f>
        <v>1034.82356302786</v>
      </c>
      <c r="AB76" s="116" t="n">
        <f aca="false">(IF($C$173="Sí",(MAX(0,AB74-AA96)+MAX(0,AA276+AB53-AB75))/AB327,AB73+MAX(0,AB74-AA96)+MAX(0,AA276+AB53-AB75)))+IF($C$173="Sí",MAX(0,$C$226*(AB70+AA121)*0.3/0.55-AA227)/AB327,0)</f>
        <v>1041.71406394409</v>
      </c>
      <c r="AC76" s="116" t="n">
        <f aca="false">(IF($C$173="Sí",(MAX(0,AC74-AB96)+MAX(0,AB276+AC53-AC75))/AC327,AC73+MAX(0,AC74-AB96)+MAX(0,AB276+AC53-AC75)))+IF($C$173="Sí",MAX(0,$C$226*(AC70+AB121)*0.3/0.55-AB227)/AC327,0)</f>
        <v>1048.90864272349</v>
      </c>
      <c r="AD76" s="116" t="n">
        <f aca="false">(IF($C$173="Sí",(MAX(0,AD74-AC96)+MAX(0,AC276+AD53-AD75))/AD327,AD73+MAX(0,AD74-AC96)+MAX(0,AC276+AD53-AD75)))+IF($C$173="Sí",MAX(0,$C$226*(AD70+AC121)*0.3/0.55-AC227)/AD327,0)</f>
        <v>1056.41094857446</v>
      </c>
      <c r="AE76" s="116" t="n">
        <f aca="false">(IF($C$173="Sí",(MAX(0,AE74-AD96)+MAX(0,AD276+AE53-AE75))/AE327,AE73+MAX(0,AE74-AD96)+MAX(0,AD276+AE53-AE75)))+IF($C$173="Sí",MAX(0,$C$226*(AE70+AD121)*0.3/0.55-AD227)/AE327,0)</f>
        <v>1064.22437769719</v>
      </c>
      <c r="AF76" s="116" t="n">
        <f aca="false">(IF($C$173="Sí",(MAX(0,AF74-AE96)+MAX(0,AE276+AF53-AF75))/AF327,AF73+MAX(0,AF74-AE96)+MAX(0,AE276+AF53-AF75)))+IF($C$173="Sí",MAX(0,$C$226*(AF70+AE121)*0.3/0.55-AE227)/AF327,0)</f>
        <v>1072.35214965695</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MIN(MIN(MIN(0+C207*C41,0+C76),C209),IF(01_Supuestos!$C$179&gt;0,01_Supuestos!$C$179/(1-01_Supuestos!$C$179)*64_Inflacion!$C$5,1E+099))</f>
        <v>13</v>
      </c>
      <c r="D78" s="116" t="n">
        <f aca="false">MIN(MIN(MIN(C83+D207*D41,C83+D76),D209),IF(01_Supuestos!$C$179&gt;0,01_Supuestos!$C$179/(1-01_Supuestos!$C$179)*64_Inflacion!$C$5*D41/$C$41,1E+099))</f>
        <v>26.299</v>
      </c>
      <c r="E78" s="116" t="n">
        <f aca="false">MIN(MIN(MIN(D83+E207*E41,D83+E76),E209),IF(01_Supuestos!$C$179&gt;0,01_Supuestos!$C$179/(1-01_Supuestos!$C$179)*64_Inflacion!$C$5*E41/$C$41,1E+099))</f>
        <v>39.903877</v>
      </c>
      <c r="F78" s="116" t="n">
        <f aca="false">MIN(MIN(MIN(E83+F207*F41,E83+F76),F209),IF(01_Supuestos!$C$179&gt;0,01_Supuestos!$C$179/(1-01_Supuestos!$C$179)*64_Inflacion!$C$5*F41/$C$41,1E+099))</f>
        <v>53.821666171</v>
      </c>
      <c r="G78" s="116" t="n">
        <f aca="false">MIN(MIN(MIN(F83+G207*G41,F83+G76),G209),IF(01_Supuestos!$C$179&gt;0,01_Supuestos!$C$179/(1-01_Supuestos!$C$179)*64_Inflacion!$C$5*G41/$C$41,1E+099))</f>
        <v>68.059564492933</v>
      </c>
      <c r="H78" s="116" t="n">
        <f aca="false">MIN(MIN(MIN(G83+H207*H41,G83+H76),H209),IF(01_Supuestos!$C$179&gt;0,01_Supuestos!$C$179/(1-01_Supuestos!$C$179)*64_Inflacion!$C$5*H41/$C$41,1E+099))</f>
        <v>82.6249344762704</v>
      </c>
      <c r="I78" s="116" t="n">
        <f aca="false">MIN(MIN(MIN(H83+I207*I41,H83+I76),I209),IF(01_Supuestos!$C$179&gt;0,01_Supuestos!$C$179/(1-01_Supuestos!$C$179)*64_Inflacion!$C$5*I41/$C$41,1E+099))</f>
        <v>97.5253079692246</v>
      </c>
      <c r="J78" s="116" t="n">
        <f aca="false">MIN(MIN(MIN(I83+J207*J41,I83+J76),J209),IF(01_Supuestos!$C$179&gt;0,01_Supuestos!$C$179/(1-01_Supuestos!$C$179)*64_Inflacion!$C$5*J41/$C$41,1E+099))</f>
        <v>112.768390052517</v>
      </c>
      <c r="K78" s="116" t="n">
        <f aca="false">MIN(MIN(MIN(J83+K207*K41,J83+K76),K209),IF(01_Supuestos!$C$179&gt;0,01_Supuestos!$C$179/(1-01_Supuestos!$C$179)*64_Inflacion!$C$5*K41/$C$41,1E+099))</f>
        <v>128.362063023725</v>
      </c>
      <c r="L78" s="116" t="n">
        <f aca="false">MIN(MIN(MIN(K83+L207*L41,K83+L76),L209),IF(01_Supuestos!$C$179&gt;0,01_Supuestos!$C$179/(1-01_Supuestos!$C$179)*64_Inflacion!$C$5*L41/$C$41,1E+099))</f>
        <v>140.326308610884</v>
      </c>
      <c r="M78" s="116" t="n">
        <f aca="false">MIN(MIN(MIN(L83+M207*M41,L83+M76),M209),IF(01_Supuestos!$C$179&gt;0,01_Supuestos!$C$179/(1-01_Supuestos!$C$179)*64_Inflacion!$C$5*M41/$C$41,1E+099))</f>
        <v>152.565731846548</v>
      </c>
      <c r="N78" s="116" t="n">
        <f aca="false">MIN(MIN(MIN(M83+N207*N41,M83+N76),N209),IF(01_Supuestos!$C$179&gt;0,01_Supuestos!$C$179/(1-01_Supuestos!$C$179)*64_Inflacion!$C$5*N41/$C$41,1E+099))</f>
        <v>162.084126425925</v>
      </c>
      <c r="O78" s="116" t="n">
        <f aca="false">MIN(MIN(MIN(N83+O207*O41,N83+O76),O209),IF(01_Supuestos!$C$179&gt;0,01_Supuestos!$C$179/(1-01_Supuestos!$C$179)*64_Inflacion!$C$5*O41/$C$41,1E+099))</f>
        <v>165.812061333721</v>
      </c>
      <c r="P78" s="116" t="n">
        <f aca="false">MIN(MIN(MIN(O83+P207*P41,O83+P76),P209),IF(01_Supuestos!$C$179&gt;0,01_Supuestos!$C$179/(1-01_Supuestos!$C$179)*64_Inflacion!$C$5*P41/$C$41,1E+099))</f>
        <v>169.625738744397</v>
      </c>
      <c r="Q78" s="116" t="n">
        <f aca="false">MIN(MIN(MIN(P83+Q207*Q41,P83+Q76),Q209),IF(01_Supuestos!$C$179&gt;0,01_Supuestos!$C$179/(1-01_Supuestos!$C$179)*64_Inflacion!$C$5*Q41/$C$41,1E+099))</f>
        <v>173.527130735518</v>
      </c>
      <c r="R78" s="116" t="n">
        <f aca="false">MIN(MIN(MIN(Q83+R207*R41,Q83+R76),R209),IF(01_Supuestos!$C$179&gt;0,01_Supuestos!$C$179/(1-01_Supuestos!$C$179)*64_Inflacion!$C$5*R41/$C$41,1E+099))</f>
        <v>177.518254742435</v>
      </c>
      <c r="S78" s="116" t="n">
        <f aca="false">MIN(MIN(MIN(R83+S207*S41,R83+S76),S209),IF(01_Supuestos!$C$179&gt;0,01_Supuestos!$C$179/(1-01_Supuestos!$C$179)*64_Inflacion!$C$5*S41/$C$41,1E+099))</f>
        <v>181.601174601511</v>
      </c>
      <c r="T78" s="116" t="n">
        <f aca="false">MIN(MIN(MIN(S83+T207*T41,S83+T76),T209),IF(01_Supuestos!$C$179&gt;0,01_Supuestos!$C$179/(1-01_Supuestos!$C$179)*64_Inflacion!$C$5*T41/$C$41,1E+099))</f>
        <v>185.778001617345</v>
      </c>
      <c r="U78" s="116" t="n">
        <f aca="false">MIN(MIN(MIN(T83+U207*U41,T83+U76),U209),IF(01_Supuestos!$C$179&gt;0,01_Supuestos!$C$179/(1-01_Supuestos!$C$179)*64_Inflacion!$C$5*U41/$C$41,1E+099))</f>
        <v>190.050895654544</v>
      </c>
      <c r="V78" s="116" t="n">
        <f aca="false">MIN(MIN(MIN(U83+V207*V41,U83+V76),V209),IF(01_Supuestos!$C$179&gt;0,01_Supuestos!$C$179/(1-01_Supuestos!$C$179)*64_Inflacion!$C$5*V41/$C$41,1E+099))</f>
        <v>194.422066254599</v>
      </c>
      <c r="W78" s="116" t="n">
        <f aca="false">MIN(MIN(MIN(V83+W207*W41,V83+W76),W209),IF(01_Supuestos!$C$179&gt;0,01_Supuestos!$C$179/(1-01_Supuestos!$C$179)*64_Inflacion!$C$5*W41/$C$41,1E+099))</f>
        <v>198.893773778455</v>
      </c>
      <c r="X78" s="116" t="n">
        <f aca="false">MIN(MIN(MIN(W83+X207*X41,W83+X76),X209),IF(01_Supuestos!$C$179&gt;0,01_Supuestos!$C$179/(1-01_Supuestos!$C$179)*64_Inflacion!$C$5*X41/$C$41,1E+099))</f>
        <v>203.468330575359</v>
      </c>
      <c r="Y78" s="116" t="n">
        <f aca="false">MIN(MIN(MIN(X83+Y207*Y41,X83+Y76),Y209),IF(01_Supuestos!$C$179&gt;0,01_Supuestos!$C$179/(1-01_Supuestos!$C$179)*64_Inflacion!$C$5*Y41/$C$41,1E+099))</f>
        <v>208.148102178592</v>
      </c>
      <c r="Z78" s="116" t="n">
        <f aca="false">MIN(MIN(MIN(Y83+Z207*Z41,Y83+Z76),Z209),IF(01_Supuestos!$C$179&gt;0,01_Supuestos!$C$179/(1-01_Supuestos!$C$179)*64_Inflacion!$C$5*Z41/$C$41,1E+099))</f>
        <v>212.9355085287</v>
      </c>
      <c r="AA78" s="116" t="n">
        <f aca="false">MIN(MIN(MIN(Z83+AA207*AA41,Z83+AA76),AA209),IF(01_Supuestos!$C$179&gt;0,01_Supuestos!$C$179/(1-01_Supuestos!$C$179)*64_Inflacion!$C$5*AA41/$C$41,1E+099))</f>
        <v>217.83302522486</v>
      </c>
      <c r="AB78" s="116" t="n">
        <f aca="false">MIN(MIN(MIN(AA83+AB207*AB41,AA83+AB76),AB209),IF(01_Supuestos!$C$179&gt;0,01_Supuestos!$C$179/(1-01_Supuestos!$C$179)*64_Inflacion!$C$5*AB41/$C$41,1E+099))</f>
        <v>222.843184805032</v>
      </c>
      <c r="AC78" s="116" t="n">
        <f aca="false">MIN(MIN(MIN(AB83+AC207*AC41,AB83+AC76),AC209),IF(01_Supuestos!$C$179&gt;0,01_Supuestos!$C$179/(1-01_Supuestos!$C$179)*64_Inflacion!$C$5*AC41/$C$41,1E+099))</f>
        <v>227.968578055547</v>
      </c>
      <c r="AD78" s="116" t="n">
        <f aca="false">MIN(MIN(MIN(AC83+AD207*AD41,AC83+AD76),AD209),IF(01_Supuestos!$C$179&gt;0,01_Supuestos!$C$179/(1-01_Supuestos!$C$179)*64_Inflacion!$C$5*AD41/$C$41,1E+099))</f>
        <v>233.211855350825</v>
      </c>
      <c r="AE78" s="116" t="n">
        <f aca="false">MIN(MIN(MIN(AD83+AE207*AE41,AD83+AE76),AE209),IF(01_Supuestos!$C$179&gt;0,01_Supuestos!$C$179/(1-01_Supuestos!$C$179)*64_Inflacion!$C$5*AE41/$C$41,1E+099))</f>
        <v>238.575728023894</v>
      </c>
      <c r="AF78" s="116" t="n">
        <f aca="false">MIN(MIN(MIN(AE83+AF207*AF41,AE83+AF76),AF209),IF(01_Supuestos!$C$179&gt;0,01_Supuestos!$C$179/(1-01_Supuestos!$C$179)*64_Inflacion!$C$5*AF41/$C$41,1E+099))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140.326308610884</v>
      </c>
      <c r="M79" s="116" t="n">
        <f aca="false">MAX(0,MIN(M67,$C$9*(M69+M68+L121),M78))</f>
        <v>152.565731846548</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349.799156025208</v>
      </c>
      <c r="M81" s="116" t="n">
        <f aca="false">M69+M80+L121</f>
        <v>362.25749417443</v>
      </c>
      <c r="N81" s="116" t="n">
        <f aca="false">N69+N80+M121</f>
        <v>374.809386579552</v>
      </c>
      <c r="O81" s="116" t="n">
        <f aca="false">O69+O80+N121</f>
        <v>386.849012175203</v>
      </c>
      <c r="P81" s="116" t="n">
        <f aca="false">P69+P80+O121</f>
        <v>396.336502419832</v>
      </c>
      <c r="Q81" s="116" t="n">
        <f aca="false">Q69+Q80+P121</f>
        <v>405.909063619993</v>
      </c>
      <c r="R81" s="116" t="n">
        <f aca="false">R69+R80+Q121</f>
        <v>415.460869436317</v>
      </c>
      <c r="S81" s="116" t="n">
        <f aca="false">S69+S80+R121</f>
        <v>424.994964328178</v>
      </c>
      <c r="T81" s="116" t="n">
        <f aca="false">T69+T80+S121</f>
        <v>434.52679073029</v>
      </c>
      <c r="U81" s="116" t="n">
        <f aca="false">U69+U80+T121</f>
        <v>444.071483101595</v>
      </c>
      <c r="V81" s="116" t="n">
        <f aca="false">V69+V80+U121</f>
        <v>453.644102646941</v>
      </c>
      <c r="W81" s="116" t="n">
        <f aca="false">W69+W80+V121</f>
        <v>463.12080748115</v>
      </c>
      <c r="X81" s="116" t="n">
        <f aca="false">X69+X80+W121</f>
        <v>472.517360859393</v>
      </c>
      <c r="Y81" s="116" t="n">
        <f aca="false">Y69+Y80+X121</f>
        <v>481.849645988328</v>
      </c>
      <c r="Z81" s="116" t="n">
        <f aca="false">Z69+Z80+Y121</f>
        <v>491.133637688995</v>
      </c>
      <c r="AA81" s="116" t="n">
        <f aca="false">AA69+AA80+Z121</f>
        <v>500.385426287322</v>
      </c>
      <c r="AB81" s="116" t="n">
        <f aca="false">AB69+AB80+AA121</f>
        <v>509.624272460208</v>
      </c>
      <c r="AC81" s="116" t="n">
        <f aca="false">AC69+AC80+AB121</f>
        <v>518.869545797619</v>
      </c>
      <c r="AD81" s="116" t="n">
        <f aca="false">AD69+AD80+AC121</f>
        <v>528.14075046339</v>
      </c>
      <c r="AE81" s="116" t="n">
        <f aca="false">AE69+AE80+AD121</f>
        <v>537.457551310175</v>
      </c>
      <c r="AF81" s="116" t="n">
        <f aca="false">AF69+AF80+AE121</f>
        <v>546.839799343693</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140.326308610884</v>
      </c>
      <c r="M83" s="136" t="n">
        <f aca="false">M79+M82</f>
        <v>152.565731846548</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112.825554906248</v>
      </c>
      <c r="M84" s="116" t="n">
        <f aca="false">M67-M79+M80-M82</f>
        <v>108.471649149728</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41.9758987230249</v>
      </c>
      <c r="M85" s="116" t="n">
        <f aca="false">IF(AND($C$31&gt;0,M$39&gt;10),MIN(M83,MAX(01_Supuestos!$I$137*M81,L85*(1-1/MAX(1,$C$31)))),MIN(IF(M$39&lt;=10,01_Supuestos!$I$136,01_Supuestos!$I$137)*M81,M83))</f>
        <v>33.5807189784199</v>
      </c>
      <c r="N85" s="116" t="n">
        <f aca="false">IF(AND($C$31&gt;0,N$39&gt;10),MIN(N83,MAX(01_Supuestos!$I$137*N81,M85*(1-1/MAX(1,$C$31)))),MIN(IF(N$39&lt;=10,01_Supuestos!$I$136,01_Supuestos!$I$137)*N81,N83))</f>
        <v>28.1107039934664</v>
      </c>
      <c r="O85" s="116" t="n">
        <f aca="false">IF(AND($C$31&gt;0,O$39&gt;10),MIN(O83,MAX(01_Supuestos!$I$137*O81,N85*(1-1/MAX(1,$C$31)))),MIN(IF(O$39&lt;=10,01_Supuestos!$I$136,01_Supuestos!$I$137)*O81,O83))</f>
        <v>29.0136759131402</v>
      </c>
      <c r="P85" s="116" t="n">
        <f aca="false">IF(AND($C$31&gt;0,P$39&gt;10),MIN(P83,MAX(01_Supuestos!$I$137*P81,O85*(1-1/MAX(1,$C$31)))),MIN(IF(P$39&lt;=10,01_Supuestos!$I$136,01_Supuestos!$I$137)*P81,P83))</f>
        <v>29.7252376814874</v>
      </c>
      <c r="Q85" s="116" t="n">
        <f aca="false">IF(AND($C$31&gt;0,Q$39&gt;10),MIN(Q83,MAX(01_Supuestos!$I$137*Q81,P85*(1-1/MAX(1,$C$31)))),MIN(IF(Q$39&lt;=10,01_Supuestos!$I$136,01_Supuestos!$I$137)*Q81,Q83))</f>
        <v>30.4431797714994</v>
      </c>
      <c r="R85" s="116" t="n">
        <f aca="false">IF(AND($C$31&gt;0,R$39&gt;10),MIN(R83,MAX(01_Supuestos!$I$137*R81,Q85*(1-1/MAX(1,$C$31)))),MIN(IF(R$39&lt;=10,01_Supuestos!$I$136,01_Supuestos!$I$137)*R81,R83))</f>
        <v>31.1595652077238</v>
      </c>
      <c r="S85" s="116" t="n">
        <f aca="false">IF(AND($C$31&gt;0,S$39&gt;10),MIN(S83,MAX(01_Supuestos!$I$137*S81,R85*(1-1/MAX(1,$C$31)))),MIN(IF(S$39&lt;=10,01_Supuestos!$I$136,01_Supuestos!$I$137)*S81,S83))</f>
        <v>31.8746223246133</v>
      </c>
      <c r="T85" s="116" t="n">
        <f aca="false">IF(AND($C$31&gt;0,T$39&gt;10),MIN(T83,MAX(01_Supuestos!$I$137*T81,S85*(1-1/MAX(1,$C$31)))),MIN(IF(T$39&lt;=10,01_Supuestos!$I$136,01_Supuestos!$I$137)*T81,T83))</f>
        <v>32.5895093047718</v>
      </c>
      <c r="U85" s="116" t="n">
        <f aca="false">IF(AND($C$31&gt;0,U$39&gt;10),MIN(U83,MAX(01_Supuestos!$I$137*U81,T85*(1-1/MAX(1,$C$31)))),MIN(IF(U$39&lt;=10,01_Supuestos!$I$136,01_Supuestos!$I$137)*U81,U83))</f>
        <v>33.3053612326197</v>
      </c>
      <c r="V85" s="116" t="n">
        <f aca="false">IF(AND($C$31&gt;0,V$39&gt;10),MIN(V83,MAX(01_Supuestos!$I$137*V81,U85*(1-1/MAX(1,$C$31)))),MIN(IF(V$39&lt;=10,01_Supuestos!$I$136,01_Supuestos!$I$137)*V81,V83))</f>
        <v>34.0233076985206</v>
      </c>
      <c r="W85" s="116" t="n">
        <f aca="false">IF(AND($C$31&gt;0,W$39&gt;10),MIN(W83,MAX(01_Supuestos!$I$137*W81,V85*(1-1/MAX(1,$C$31)))),MIN(IF(W$39&lt;=10,01_Supuestos!$I$136,01_Supuestos!$I$137)*W81,W83))</f>
        <v>34.7340605610863</v>
      </c>
      <c r="X85" s="116" t="n">
        <f aca="false">IF(AND($C$31&gt;0,X$39&gt;10),MIN(X83,MAX(01_Supuestos!$I$137*X81,W85*(1-1/MAX(1,$C$31)))),MIN(IF(X$39&lt;=10,01_Supuestos!$I$136,01_Supuestos!$I$137)*X81,X83))</f>
        <v>35.4388020644545</v>
      </c>
      <c r="Y85" s="116" t="n">
        <f aca="false">IF(AND($C$31&gt;0,Y$39&gt;10),MIN(Y83,MAX(01_Supuestos!$I$137*Y81,X85*(1-1/MAX(1,$C$31)))),MIN(IF(Y$39&lt;=10,01_Supuestos!$I$136,01_Supuestos!$I$137)*Y81,Y83))</f>
        <v>36.1387234491246</v>
      </c>
      <c r="Z85" s="116" t="n">
        <f aca="false">IF(AND($C$31&gt;0,Z$39&gt;10),MIN(Z83,MAX(01_Supuestos!$I$137*Z81,Y85*(1-1/MAX(1,$C$31)))),MIN(IF(Z$39&lt;=10,01_Supuestos!$I$136,01_Supuestos!$I$137)*Z81,Z83))</f>
        <v>36.8350228266747</v>
      </c>
      <c r="AA85" s="116" t="n">
        <f aca="false">IF(AND($C$31&gt;0,AA$39&gt;10),MIN(AA83,MAX(01_Supuestos!$I$137*AA81,Z85*(1-1/MAX(1,$C$31)))),MIN(IF(AA$39&lt;=10,01_Supuestos!$I$136,01_Supuestos!$I$137)*AA81,AA83))</f>
        <v>37.5289069715491</v>
      </c>
      <c r="AB85" s="116" t="n">
        <f aca="false">IF(AND($C$31&gt;0,AB$39&gt;10),MIN(AB83,MAX(01_Supuestos!$I$137*AB81,AA85*(1-1/MAX(1,$C$31)))),MIN(IF(AB$39&lt;=10,01_Supuestos!$I$136,01_Supuestos!$I$137)*AB81,AB83))</f>
        <v>38.2218204345156</v>
      </c>
      <c r="AC85" s="116" t="n">
        <f aca="false">IF(AND($C$31&gt;0,AC$39&gt;10),MIN(AC83,MAX(01_Supuestos!$I$137*AC81,AB85*(1-1/MAX(1,$C$31)))),MIN(IF(AC$39&lt;=10,01_Supuestos!$I$136,01_Supuestos!$I$137)*AC81,AC83))</f>
        <v>38.9152159348214</v>
      </c>
      <c r="AD85" s="116" t="n">
        <f aca="false">IF(AND($C$31&gt;0,AD$39&gt;10),MIN(AD83,MAX(01_Supuestos!$I$137*AD81,AC85*(1-1/MAX(1,$C$31)))),MIN(IF(AD$39&lt;=10,01_Supuestos!$I$136,01_Supuestos!$I$137)*AD81,AD83))</f>
        <v>39.6105562847542</v>
      </c>
      <c r="AE85" s="116" t="n">
        <f aca="false">IF(AND($C$31&gt;0,AE$39&gt;10),MIN(AE83,MAX(01_Supuestos!$I$137*AE81,AD85*(1-1/MAX(1,$C$31)))),MIN(IF(AE$39&lt;=10,01_Supuestos!$I$136,01_Supuestos!$I$137)*AE81,AE83))</f>
        <v>40.3093163482631</v>
      </c>
      <c r="AF85" s="116" t="n">
        <f aca="false">IF(AND($C$31&gt;0,AF$39&gt;10),MIN(AF83,MAX(01_Supuestos!$I$137*AF81,AE85*(1-1/MAX(1,$C$31)))),MIN(IF(AF$39&lt;=10,01_Supuestos!$I$136,01_Supuestos!$I$137)*AF81,AF83))</f>
        <v>41.012984950777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7.0163154305442</v>
      </c>
      <c r="M86" s="116" t="n">
        <f aca="false">01_Supuestos!$I$127*M83</f>
        <v>7.62828659232739</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91.3340944573148</v>
      </c>
      <c r="M87" s="116" t="n">
        <f aca="false">M83-M85-M86</f>
        <v>111.356726275801</v>
      </c>
      <c r="N87" s="116" t="n">
        <f aca="false">N83-N85-N86</f>
        <v>125.869216111162</v>
      </c>
      <c r="O87" s="116" t="n">
        <f aca="false">O83-O85-O86</f>
        <v>128.507782353895</v>
      </c>
      <c r="P87" s="116" t="n">
        <f aca="false">P83-P85-P86</f>
        <v>131.419214125689</v>
      </c>
      <c r="Q87" s="116" t="n">
        <f aca="false">Q83-Q85-Q86</f>
        <v>134.407594427242</v>
      </c>
      <c r="R87" s="116" t="n">
        <f aca="false">R83-R85-R86</f>
        <v>137.482776797589</v>
      </c>
      <c r="S87" s="116" t="n">
        <f aca="false">S83-S85-S86</f>
        <v>140.646493546822</v>
      </c>
      <c r="T87" s="116" t="n">
        <f aca="false">T83-T85-T86</f>
        <v>143.899592231706</v>
      </c>
      <c r="U87" s="116" t="n">
        <f aca="false">U83-U85-U86</f>
        <v>147.242989639197</v>
      </c>
      <c r="V87" s="116" t="n">
        <f aca="false">V83-V85-V86</f>
        <v>150.677655243348</v>
      </c>
      <c r="W87" s="116" t="n">
        <f aca="false">W83-W85-W86</f>
        <v>154.215024528446</v>
      </c>
      <c r="X87" s="116" t="n">
        <f aca="false">X83-X85-X86</f>
        <v>157.856111982137</v>
      </c>
      <c r="Y87" s="116" t="n">
        <f aca="false">Y83-Y85-Y86</f>
        <v>161.601973620538</v>
      </c>
      <c r="Z87" s="116" t="n">
        <f aca="false">Z83-Z85-Z86</f>
        <v>165.45371027559</v>
      </c>
      <c r="AA87" s="116" t="n">
        <f aca="false">AA83-AA85-AA86</f>
        <v>169.412466992068</v>
      </c>
      <c r="AB87" s="116" t="n">
        <f aca="false">AB83-AB85-AB86</f>
        <v>173.479205130264</v>
      </c>
      <c r="AC87" s="116" t="n">
        <f aca="false">AC83-AC85-AC86</f>
        <v>177.654933217948</v>
      </c>
      <c r="AD87" s="116" t="n">
        <f aca="false">AD83-AD85-AD86</f>
        <v>181.940706298529</v>
      </c>
      <c r="AE87" s="116" t="n">
        <f aca="false">AE83-AE85-AE86</f>
        <v>186.337625274436</v>
      </c>
      <c r="AF87" s="116" t="n">
        <f aca="false">AF83-AF85-AF86</f>
        <v>190.846836329244</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0.394667742968111</v>
      </c>
      <c r="M88" s="116" t="n">
        <f aca="false">M86/01_Supuestos!$I$131*01_Supuestos!$I$129*01_Supuestos!$I$130*01_Supuestos!$I$128</f>
        <v>0.429091120818416</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0.0205024786342065</v>
      </c>
      <c r="M90" s="116" t="n">
        <f aca="false">M83-L83-M73+M185-M228</f>
        <v>1.38267108761706</v>
      </c>
      <c r="N90" s="116" t="n">
        <f aca="false">N83-M83-N73+N185-N228</f>
        <v>0.298391844541719</v>
      </c>
      <c r="O90" s="116" t="n">
        <f aca="false">O83-N83-O73+O185-O228</f>
        <v>-1.09693638404811</v>
      </c>
      <c r="P90" s="116" t="n">
        <f aca="false">P83-O83-P73+P185-P228</f>
        <v>-0.253334207352701</v>
      </c>
      <c r="Q90" s="116" t="n">
        <f aca="false">Q83-P83-Q73+Q185-Q228</f>
        <v>0.107778759809314</v>
      </c>
      <c r="R90" s="116" t="n">
        <f aca="false">R83-Q83-R73+R185-R228</f>
        <v>0.105257260476762</v>
      </c>
      <c r="S90" s="116" t="n">
        <f aca="false">S83-R83-S73+S185-S228</f>
        <v>0.108458524089471</v>
      </c>
      <c r="T90" s="116" t="n">
        <f aca="false">T83-S83-T73+T185-T228</f>
        <v>0.111359991321066</v>
      </c>
      <c r="U90" s="116" t="n">
        <f aca="false">U83-T83-U73+U185-U228</f>
        <v>0.114268470880354</v>
      </c>
      <c r="V90" s="116" t="n">
        <f aca="false">V83-U83-V73+V185-V228</f>
        <v>0.117213674235643</v>
      </c>
      <c r="W90" s="116" t="n">
        <f aca="false">W83-V83-W73+W185-W228</f>
        <v>0.121404671956064</v>
      </c>
      <c r="X90" s="116" t="n">
        <f aca="false">X83-W83-X73+X185-X228</f>
        <v>0.125065411498809</v>
      </c>
      <c r="Y90" s="116" t="n">
        <f aca="false">Y83-X83-Y73+Y185-Y228</f>
        <v>0.128440441548022</v>
      </c>
      <c r="Z90" s="116" t="n">
        <f aca="false">Z83-Y83-Z73+Z185-Z228</f>
        <v>0.131854750325033</v>
      </c>
      <c r="AA90" s="116" t="n">
        <f aca="false">AA83-Z83-AA73+AA185-AA228</f>
        <v>0.135309761318297</v>
      </c>
      <c r="AB90" s="116" t="n">
        <f aca="false">AB83-AA83-AB73+AB185-AB228</f>
        <v>0.138780392926364</v>
      </c>
      <c r="AC90" s="116" t="n">
        <f aca="false">AC83-AB83-AC73+AC185-AC228</f>
        <v>0.142280676700921</v>
      </c>
      <c r="AD90" s="116" t="n">
        <f aca="false">AD83-AC83-AD73+AD185-AD228</f>
        <v>0.145819135792166</v>
      </c>
      <c r="AE90" s="116" t="n">
        <f aca="false">AE83-AD83-AE73+AE185-AE228</f>
        <v>0.149397118528086</v>
      </c>
      <c r="AF90" s="116" t="n">
        <f aca="false">AF83-AE83-AF73+AF185-AF228</f>
        <v>0.153015961830945</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0.0205024786342065</v>
      </c>
      <c r="M92" s="116" t="n">
        <f aca="false">IF(M90&gt;0,IF($C$20="BC",MIN(M90-M91,MAX(0,L276+M53-M75)),MIN(M90,MAX(0,L276+M53-M75))),0)</f>
        <v>1.38267108761706</v>
      </c>
      <c r="N92" s="116" t="n">
        <f aca="false">IF(N90&gt;0,IF($C$20="BC",MIN(N90-N91,MAX(0,M276+N53-N75)),MIN(N90,MAX(0,M276+N53-N75))),0)</f>
        <v>0.298391844541719</v>
      </c>
      <c r="O92" s="116" t="n">
        <f aca="false">IF(O90&gt;0,IF($C$20="BC",MIN(O90-O91,MAX(0,N276+O53-O75)),MIN(O90,MAX(0,N276+O53-O75))),0)</f>
        <v>0</v>
      </c>
      <c r="P92" s="116" t="n">
        <f aca="false">IF(P90&gt;0,IF($C$20="BC",MIN(P90-P91,MAX(0,O276+P53-P75)),MIN(P90,MAX(0,O276+P53-P75))),0)</f>
        <v>0</v>
      </c>
      <c r="Q92" s="116" t="n">
        <f aca="false">IF(Q90&gt;0,IF($C$20="BC",MIN(Q90-Q91,MAX(0,P276+Q53-Q75)),MIN(Q90,MAX(0,P276+Q53-Q75))),0)</f>
        <v>0.107778759809314</v>
      </c>
      <c r="R92" s="116" t="n">
        <f aca="false">IF(R90&gt;0,IF($C$20="BC",MIN(R90-R91,MAX(0,Q276+R53-R75)),MIN(R90,MAX(0,Q276+R53-R75))),0)</f>
        <v>0.105257260476762</v>
      </c>
      <c r="S92" s="116" t="n">
        <f aca="false">IF(S90&gt;0,IF($C$20="BC",MIN(S90-S91,MAX(0,R276+S53-S75)),MIN(S90,MAX(0,R276+S53-S75))),0)</f>
        <v>0.108458524089471</v>
      </c>
      <c r="T92" s="116" t="n">
        <f aca="false">IF(T90&gt;0,IF($C$20="BC",MIN(T90-T91,MAX(0,S276+T53-T75)),MIN(T90,MAX(0,S276+T53-T75))),0)</f>
        <v>0.111359991321066</v>
      </c>
      <c r="U92" s="116" t="n">
        <f aca="false">IF(U90&gt;0,IF($C$20="BC",MIN(U90-U91,MAX(0,T276+U53-U75)),MIN(U90,MAX(0,T276+U53-U75))),0)</f>
        <v>0.114268470880354</v>
      </c>
      <c r="V92" s="116" t="n">
        <f aca="false">IF(V90&gt;0,IF($C$20="BC",MIN(V90-V91,MAX(0,U276+V53-V75)),MIN(V90,MAX(0,U276+V53-V75))),0)</f>
        <v>0.117213674235643</v>
      </c>
      <c r="W92" s="116" t="n">
        <f aca="false">IF(W90&gt;0,IF($C$20="BC",MIN(W90-W91,MAX(0,V276+W53-W75)),MIN(W90,MAX(0,V276+W53-W75))),0)</f>
        <v>0.121404671956064</v>
      </c>
      <c r="X92" s="116" t="n">
        <f aca="false">IF(X90&gt;0,IF($C$20="BC",MIN(X90-X91,MAX(0,W276+X53-X75)),MIN(X90,MAX(0,W276+X53-X75))),0)</f>
        <v>0.125065411498809</v>
      </c>
      <c r="Y92" s="116" t="n">
        <f aca="false">IF(Y90&gt;0,IF($C$20="BC",MIN(Y90-Y91,MAX(0,X276+Y53-Y75)),MIN(Y90,MAX(0,X276+Y53-Y75))),0)</f>
        <v>0.128440441548022</v>
      </c>
      <c r="Z92" s="116" t="n">
        <f aca="false">IF(Z90&gt;0,IF($C$20="BC",MIN(Z90-Z91,MAX(0,Y276+Z53-Z75)),MIN(Z90,MAX(0,Y276+Z53-Z75))),0)</f>
        <v>0.131854750325033</v>
      </c>
      <c r="AA92" s="116" t="n">
        <f aca="false">IF(AA90&gt;0,IF($C$20="BC",MIN(AA90-AA91,MAX(0,Z276+AA53-AA75)),MIN(AA90,MAX(0,Z276+AA53-AA75))),0)</f>
        <v>0.135309761318297</v>
      </c>
      <c r="AB92" s="116" t="n">
        <f aca="false">IF(AB90&gt;0,IF($C$20="BC",MIN(AB90-AB91,MAX(0,AA276+AB53-AB75)),MIN(AB90,MAX(0,AA276+AB53-AB75))),0)</f>
        <v>0.138780392926364</v>
      </c>
      <c r="AC92" s="116" t="n">
        <f aca="false">IF(AC90&gt;0,IF($C$20="BC",MIN(AC90-AC91,MAX(0,AB276+AC53-AC75)),MIN(AC90,MAX(0,AB276+AC53-AC75))),0)</f>
        <v>0.142280676700921</v>
      </c>
      <c r="AD92" s="116" t="n">
        <f aca="false">IF(AD90&gt;0,IF($C$20="BC",MIN(AD90-AD91,MAX(0,AC276+AD53-AD75)),MIN(AD90,MAX(0,AC276+AD53-AD75))),0)</f>
        <v>0.145819135792166</v>
      </c>
      <c r="AE92" s="116" t="n">
        <f aca="false">IF(AE90&gt;0,IF($C$20="BC",MIN(AE90-AE91,MAX(0,AD276+AE53-AE75)),MIN(AE90,MAX(0,AD276+AE53-AE75))),0)</f>
        <v>0.149397118528086</v>
      </c>
      <c r="AF92" s="116" t="n">
        <f aca="false">IF(AF90&gt;0,IF($C$20="BC",MIN(AF90-AF91,MAX(0,AE276+AF53-AF75)),MIN(AF90,MAX(0,AE276+AF53-AF75))),0)</f>
        <v>0.153015961830945</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1.09693638404811</v>
      </c>
      <c r="P94" s="116" t="n">
        <f aca="false">IF(P90&lt;0,-P90-P93,0)</f>
        <v>0.253334207352701</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8.74497890063019</v>
      </c>
      <c r="M100" s="116" t="n">
        <f aca="false">$C$21*$C$22*M81</f>
        <v>9.05643735436075</v>
      </c>
      <c r="N100" s="116" t="n">
        <f aca="false">$C$21*$C$22*N81</f>
        <v>9.37023466448881</v>
      </c>
      <c r="O100" s="116" t="n">
        <f aca="false">$C$21*$C$22*O81</f>
        <v>9.67122530438007</v>
      </c>
      <c r="P100" s="116" t="n">
        <f aca="false">$C$21*$C$22*P81</f>
        <v>9.90841256049581</v>
      </c>
      <c r="Q100" s="116" t="n">
        <f aca="false">$C$21*$C$22*Q81</f>
        <v>10.1477265904998</v>
      </c>
      <c r="R100" s="116" t="n">
        <f aca="false">$C$21*$C$22*R81</f>
        <v>10.3865217359079</v>
      </c>
      <c r="S100" s="116" t="n">
        <f aca="false">$C$21*$C$22*S81</f>
        <v>10.6248741082044</v>
      </c>
      <c r="T100" s="116" t="n">
        <f aca="false">$C$21*$C$22*T81</f>
        <v>10.8631697682573</v>
      </c>
      <c r="U100" s="116" t="n">
        <f aca="false">$C$21*$C$22*U81</f>
        <v>11.1017870775399</v>
      </c>
      <c r="V100" s="116" t="n">
        <f aca="false">$C$21*$C$22*V81</f>
        <v>11.3411025661735</v>
      </c>
      <c r="W100" s="116" t="n">
        <f aca="false">$C$21*$C$22*W81</f>
        <v>11.5780201870288</v>
      </c>
      <c r="X100" s="116" t="n">
        <f aca="false">$C$21*$C$22*X81</f>
        <v>11.8129340214848</v>
      </c>
      <c r="Y100" s="116" t="n">
        <f aca="false">$C$21*$C$22*Y81</f>
        <v>12.0462411497082</v>
      </c>
      <c r="Z100" s="116" t="n">
        <f aca="false">$C$21*$C$22*Z81</f>
        <v>12.2783409422249</v>
      </c>
      <c r="AA100" s="116" t="n">
        <f aca="false">$C$21*$C$22*AA81</f>
        <v>12.509635657183</v>
      </c>
      <c r="AB100" s="116" t="n">
        <f aca="false">$C$21*$C$22*AB81</f>
        <v>12.7406068115052</v>
      </c>
      <c r="AC100" s="116" t="n">
        <f aca="false">$C$21*$C$22*AC81</f>
        <v>12.9717386449405</v>
      </c>
      <c r="AD100" s="116" t="n">
        <f aca="false">$C$21*$C$22*AD81</f>
        <v>13.2035187615847</v>
      </c>
      <c r="AE100" s="116" t="n">
        <f aca="false">$C$21*$C$22*AE81</f>
        <v>13.4364387827544</v>
      </c>
      <c r="AF100" s="116" t="n">
        <f aca="false">$C$21*$C$22*AF81</f>
        <v>13.6709949835923</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0.00874497890063019</v>
      </c>
      <c r="N102" s="116" t="n">
        <f aca="false">M104*$C$24</f>
        <v>0.00905643735436075</v>
      </c>
      <c r="O102" s="116" t="n">
        <f aca="false">N104*$C$24</f>
        <v>0.00937023466448881</v>
      </c>
      <c r="P102" s="116" t="n">
        <f aca="false">O104*$C$24</f>
        <v>0.00967122530438007</v>
      </c>
      <c r="Q102" s="116" t="n">
        <f aca="false">P104*$C$24</f>
        <v>0.00990841256049581</v>
      </c>
      <c r="R102" s="116" t="n">
        <f aca="false">Q104*$C$24</f>
        <v>0.0101477265904998</v>
      </c>
      <c r="S102" s="116" t="n">
        <f aca="false">R104*$C$24</f>
        <v>0.0103865217359079</v>
      </c>
      <c r="T102" s="116" t="n">
        <f aca="false">S104*$C$24</f>
        <v>0.0106248741082044</v>
      </c>
      <c r="U102" s="116" t="n">
        <f aca="false">T104*$C$24</f>
        <v>0.0108631697682573</v>
      </c>
      <c r="V102" s="116" t="n">
        <f aca="false">U104*$C$24</f>
        <v>0.0111017870775399</v>
      </c>
      <c r="W102" s="116" t="n">
        <f aca="false">V104*$C$24</f>
        <v>0.0113411025661735</v>
      </c>
      <c r="X102" s="116" t="n">
        <f aca="false">W104*$C$24</f>
        <v>0.0115780201870288</v>
      </c>
      <c r="Y102" s="116" t="n">
        <f aca="false">X104*$C$24</f>
        <v>0.0118129340214848</v>
      </c>
      <c r="Z102" s="116" t="n">
        <f aca="false">Y104*$C$24</f>
        <v>0.0120462411497082</v>
      </c>
      <c r="AA102" s="116" t="n">
        <f aca="false">Z104*$C$24</f>
        <v>0.0122783409422249</v>
      </c>
      <c r="AB102" s="116" t="n">
        <f aca="false">AA104*$C$24</f>
        <v>0.012509635657183</v>
      </c>
      <c r="AC102" s="116" t="n">
        <f aca="false">AB104*$C$24</f>
        <v>0.0127406068115052</v>
      </c>
      <c r="AD102" s="116" t="n">
        <f aca="false">AC104*$C$24</f>
        <v>0.0129717386449405</v>
      </c>
      <c r="AE102" s="116" t="n">
        <f aca="false">AD104*$C$24</f>
        <v>0.0132035187615847</v>
      </c>
      <c r="AF102" s="116" t="n">
        <f aca="false">AE104*$C$24</f>
        <v>0.0134364387827544</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0.325045098565004</v>
      </c>
      <c r="M103" s="116" t="n">
        <f aca="false">MIN(MAX(0,M100-L104-M101),MAX(0,L276))</f>
        <v>0.311458453730564</v>
      </c>
      <c r="N103" s="116" t="n">
        <f aca="false">MIN(MAX(0,N100-M104-N101),MAX(0,M276))</f>
        <v>0.313797310128054</v>
      </c>
      <c r="O103" s="116" t="n">
        <f aca="false">MIN(MAX(0,O100-N104-O101),MAX(0,N276))</f>
        <v>0.300990639891268</v>
      </c>
      <c r="P103" s="116" t="n">
        <f aca="false">MIN(MAX(0,P100-O104-P101),MAX(0,O276))</f>
        <v>0.237187256115735</v>
      </c>
      <c r="Q103" s="116" t="n">
        <f aca="false">MIN(MAX(0,Q100-P104-Q101),MAX(0,P276))</f>
        <v>0.239314030004008</v>
      </c>
      <c r="R103" s="116" t="n">
        <f aca="false">MIN(MAX(0,R100-Q104-R101),MAX(0,Q276))</f>
        <v>0.238795145408108</v>
      </c>
      <c r="S103" s="116" t="n">
        <f aca="false">MIN(MAX(0,S100-R104-S101),MAX(0,R276))</f>
        <v>0.23835237229652</v>
      </c>
      <c r="T103" s="116" t="n">
        <f aca="false">MIN(MAX(0,T100-S104-T101),MAX(0,S276))</f>
        <v>0.23829566005281</v>
      </c>
      <c r="U103" s="116" t="n">
        <f aca="false">MIN(MAX(0,U100-T104-U101),MAX(0,T276))</f>
        <v>0.238617309282631</v>
      </c>
      <c r="V103" s="116" t="n">
        <f aca="false">MIN(MAX(0,V100-U104-V101),MAX(0,U276))</f>
        <v>0.23931548863364</v>
      </c>
      <c r="W103" s="116" t="n">
        <f aca="false">MIN(MAX(0,W100-V104-W101),MAX(0,V276))</f>
        <v>0.23691762085523</v>
      </c>
      <c r="X103" s="116" t="n">
        <f aca="false">MIN(MAX(0,X100-W104-X101),MAX(0,W276))</f>
        <v>0.234913834456071</v>
      </c>
      <c r="Y103" s="116" t="n">
        <f aca="false">MIN(MAX(0,Y100-X104-Y101),MAX(0,X276))</f>
        <v>0.233307128223368</v>
      </c>
      <c r="Z103" s="116" t="n">
        <f aca="false">MIN(MAX(0,Z100-Y104-Z101),MAX(0,Y276))</f>
        <v>0.232099792516692</v>
      </c>
      <c r="AA103" s="116" t="n">
        <f aca="false">MIN(MAX(0,AA100-Z104-AA101),MAX(0,Z276))</f>
        <v>0.231294714958155</v>
      </c>
      <c r="AB103" s="116" t="n">
        <f aca="false">MIN(MAX(0,AB100-AA104-AB101),MAX(0,AA276))</f>
        <v>0.230971154322155</v>
      </c>
      <c r="AC103" s="116" t="n">
        <f aca="false">MIN(MAX(0,AC100-AB104-AC101),MAX(0,AB276))</f>
        <v>0.231131833435285</v>
      </c>
      <c r="AD103" s="116" t="n">
        <f aca="false">MIN(MAX(0,AD100-AC104-AD101),MAX(0,AC276))</f>
        <v>0.231780116644259</v>
      </c>
      <c r="AE103" s="116" t="n">
        <f aca="false">MIN(MAX(0,AE100-AD104-AE101),MAX(0,AD276))</f>
        <v>0.232920021169623</v>
      </c>
      <c r="AF103" s="116" t="n">
        <f aca="false">MIN(MAX(0,AF100-AE104-AF101),MAX(0,AE276))</f>
        <v>0.234556200837972</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8.74497890063019</v>
      </c>
      <c r="M104" s="136" t="n">
        <f aca="false">L104+M101+M103</f>
        <v>9.05643735436075</v>
      </c>
      <c r="N104" s="136" t="n">
        <f aca="false">M104+N101+N103</f>
        <v>9.37023466448881</v>
      </c>
      <c r="O104" s="136" t="n">
        <f aca="false">N104+O101+O103</f>
        <v>9.67122530438007</v>
      </c>
      <c r="P104" s="136" t="n">
        <f aca="false">O104+P101+P103</f>
        <v>9.90841256049581</v>
      </c>
      <c r="Q104" s="136" t="n">
        <f aca="false">P104+Q101+Q103</f>
        <v>10.1477265904998</v>
      </c>
      <c r="R104" s="136" t="n">
        <f aca="false">Q104+R101+R103</f>
        <v>10.3865217359079</v>
      </c>
      <c r="S104" s="136" t="n">
        <f aca="false">R104+S101+S103</f>
        <v>10.6248741082044</v>
      </c>
      <c r="T104" s="136" t="n">
        <f aca="false">S104+T101+T103</f>
        <v>10.8631697682573</v>
      </c>
      <c r="U104" s="136" t="n">
        <f aca="false">T104+U101+U103</f>
        <v>11.1017870775399</v>
      </c>
      <c r="V104" s="136" t="n">
        <f aca="false">U104+V101+V103</f>
        <v>11.3411025661735</v>
      </c>
      <c r="W104" s="136" t="n">
        <f aca="false">V104+W101+W103</f>
        <v>11.5780201870288</v>
      </c>
      <c r="X104" s="136" t="n">
        <f aca="false">W104+X101+X103</f>
        <v>11.8129340214848</v>
      </c>
      <c r="Y104" s="136" t="n">
        <f aca="false">X104+Y101+Y103</f>
        <v>12.0462411497082</v>
      </c>
      <c r="Z104" s="136" t="n">
        <f aca="false">Y104+Z101+Z103</f>
        <v>12.2783409422249</v>
      </c>
      <c r="AA104" s="136" t="n">
        <f aca="false">Z104+AA101+AA103</f>
        <v>12.509635657183</v>
      </c>
      <c r="AB104" s="136" t="n">
        <f aca="false">AA104+AB101+AB103</f>
        <v>12.7406068115052</v>
      </c>
      <c r="AC104" s="136" t="n">
        <f aca="false">AB104+AC101+AC103</f>
        <v>12.9717386449405</v>
      </c>
      <c r="AD104" s="136" t="n">
        <f aca="false">AC104+AD101+AD103</f>
        <v>13.2035187615847</v>
      </c>
      <c r="AE104" s="136" t="n">
        <f aca="false">AD104+AE101+AE103</f>
        <v>13.4364387827544</v>
      </c>
      <c r="AF104" s="136" t="n">
        <f aca="false">AE104+AF101+AF103</f>
        <v>13.6709949835923</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68.0979582039688</v>
      </c>
      <c r="M105" s="139" t="n">
        <f aca="false">M104/($C$36*(1+$C$23)^(M$39-1))</f>
        <v>70.5233139430076</v>
      </c>
      <c r="N105" s="139" t="n">
        <f aca="false">N104/($C$36*(1+$C$23)^(N$39-1))</f>
        <v>72.9668825727819</v>
      </c>
      <c r="O105" s="139" t="n">
        <f aca="false">O104/($C$36*(1+$C$23)^(O$39-1))</f>
        <v>75.3107244788641</v>
      </c>
      <c r="P105" s="139" t="n">
        <f aca="false">P104/($C$36*(1+$C$23)^(P$39-1))</f>
        <v>77.1577235439298</v>
      </c>
      <c r="Q105" s="139" t="n">
        <f aca="false">Q104/($C$36*(1+$C$23)^(Q$39-1))</f>
        <v>79.0212839936482</v>
      </c>
      <c r="R105" s="139" t="n">
        <f aca="false">R104/($C$36*(1+$C$23)^(R$39-1))</f>
        <v>80.8808038411049</v>
      </c>
      <c r="S105" s="139" t="n">
        <f aca="false">S104/($C$36*(1+$C$23)^(S$39-1))</f>
        <v>82.7368757734564</v>
      </c>
      <c r="T105" s="139" t="n">
        <f aca="false">T104/($C$36*(1+$C$23)^(T$39-1))</f>
        <v>84.5925060823293</v>
      </c>
      <c r="U105" s="139" t="n">
        <f aca="false">U104/($C$36*(1+$C$23)^(U$39-1))</f>
        <v>86.4506411034556</v>
      </c>
      <c r="V105" s="139" t="n">
        <f aca="false">V104/($C$36*(1+$C$23)^(V$39-1))</f>
        <v>88.3142129116577</v>
      </c>
      <c r="W105" s="139" t="n">
        <f aca="false">W104/($C$36*(1+$C$23)^(W$39-1))</f>
        <v>90.1591123020519</v>
      </c>
      <c r="X105" s="139" t="n">
        <f aca="false">X104/($C$36*(1+$C$23)^(X$39-1))</f>
        <v>91.9884080227278</v>
      </c>
      <c r="Y105" s="139" t="n">
        <f aca="false">Y104/($C$36*(1+$C$23)^(Y$39-1))</f>
        <v>93.8051921736076</v>
      </c>
      <c r="Z105" s="139" t="n">
        <f aca="false">Z104/($C$36*(1+$C$23)^(Z$39-1))</f>
        <v>95.612574689855</v>
      </c>
      <c r="AA105" s="139" t="n">
        <f aca="false">AA104/($C$36*(1+$C$23)^(AA$39-1))</f>
        <v>97.4136879928138</v>
      </c>
      <c r="AB105" s="139" t="n">
        <f aca="false">AB104/($C$36*(1+$C$23)^(AB$39-1))</f>
        <v>99.2122816992228</v>
      </c>
      <c r="AC105" s="139" t="n">
        <f aca="false">AC104/($C$36*(1+$C$23)^(AC$39-1))</f>
        <v>101.012126628723</v>
      </c>
      <c r="AD105" s="139" t="n">
        <f aca="false">AD104/($C$36*(1+$C$23)^(AD$39-1))</f>
        <v>102.817019799433</v>
      </c>
      <c r="AE105" s="139" t="n">
        <f aca="false">AE104/($C$36*(1+$C$23)^(AE$39-1))</f>
        <v>104.63078951194</v>
      </c>
      <c r="AF105" s="139" t="n">
        <f aca="false">AF104/($C$36*(1+$C$23)^(AF$39-1))</f>
        <v>106.457300306608</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5.64194141882068</v>
      </c>
      <c r="M107" s="116" t="n">
        <f aca="false">M87*(1-$C$340)*$C$175+M85*01_Supuestos!$I$126+M55*M88</f>
        <v>6.1696887618482</v>
      </c>
      <c r="N107" s="116" t="n">
        <f aca="false">N87*(1-$C$340)*$C$175+N85*01_Supuestos!$I$126+N55*N88</f>
        <v>6.57697823678314</v>
      </c>
      <c r="O107" s="116" t="n">
        <f aca="false">O87*(1-$C$340)*$C$175+O85*01_Supuestos!$I$126+O55*O88</f>
        <v>6.72749048535197</v>
      </c>
      <c r="P107" s="116" t="n">
        <f aca="false">P87*(1-$C$340)*$C$175+P85*01_Supuestos!$I$126+P55*P88</f>
        <v>6.8820919274786</v>
      </c>
      <c r="Q107" s="116" t="n">
        <f aca="false">Q87*(1-$C$340)*$C$175+Q85*01_Supuestos!$I$126+Q55*Q88</f>
        <v>7.04027873019039</v>
      </c>
      <c r="R107" s="116" t="n">
        <f aca="false">R87*(1-$C$340)*$C$175+R85*01_Supuestos!$I$126+R55*R88</f>
        <v>7.2021572603493</v>
      </c>
      <c r="S107" s="116" t="n">
        <f aca="false">S87*(1-$C$340)*$C$175+S85*01_Supuestos!$I$126+S55*S88</f>
        <v>7.36781164663203</v>
      </c>
      <c r="T107" s="116" t="n">
        <f aca="false">T87*(1-$C$340)*$C$175+T85*01_Supuestos!$I$126+T55*T88</f>
        <v>7.53732521864316</v>
      </c>
      <c r="U107" s="116" t="n">
        <f aca="false">U87*(1-$C$340)*$C$175+U85*01_Supuestos!$I$126+U55*U88</f>
        <v>7.71078336963863</v>
      </c>
      <c r="V107" s="116" t="n">
        <f aca="false">V87*(1-$C$340)*$C$175+V85*01_Supuestos!$I$126+V55*V88</f>
        <v>7.88827355036344</v>
      </c>
      <c r="W107" s="116" t="n">
        <f aca="false">W87*(1-$C$340)*$C$175+W85*01_Supuestos!$I$126+W55*W88</f>
        <v>8.06991610498707</v>
      </c>
      <c r="X107" s="116" t="n">
        <f aca="false">X87*(1-$C$340)*$C$175+X85*01_Supuestos!$I$126+X55*X88</f>
        <v>8.25580255296914</v>
      </c>
      <c r="Y107" s="116" t="n">
        <f aca="false">Y87*(1-$C$340)*$C$175+Y85*01_Supuestos!$I$126+Y55*Y88</f>
        <v>8.44602657252016</v>
      </c>
      <c r="Z107" s="116" t="n">
        <f aca="false">Z87*(1-$C$340)*$C$175+Z85*01_Supuestos!$I$126+Z55*Z88</f>
        <v>8.64068405714921</v>
      </c>
      <c r="AA107" s="116" t="n">
        <f aca="false">AA87*(1-$C$340)*$C$175+AA85*01_Supuestos!$I$126+AA55*AA88</f>
        <v>8.83987316178471</v>
      </c>
      <c r="AB107" s="116" t="n">
        <f aca="false">AB87*(1-$C$340)*$C$175+AB85*01_Supuestos!$I$126+AB55*AB88</f>
        <v>9.04369367788781</v>
      </c>
      <c r="AC107" s="116" t="n">
        <f aca="false">AC87*(1-$C$340)*$C$175+AC85*01_Supuestos!$I$126+AC55*AC88</f>
        <v>9.25224776621439</v>
      </c>
      <c r="AD107" s="116" t="n">
        <f aca="false">AD87*(1-$C$340)*$C$175+AD85*01_Supuestos!$I$126+AD55*AD88</f>
        <v>9.46564000617352</v>
      </c>
      <c r="AE107" s="116" t="n">
        <f aca="false">AE87*(1-$C$340)*$C$175+AE85*01_Supuestos!$I$126+AE55*AE88</f>
        <v>9.68397744635119</v>
      </c>
      <c r="AF107" s="116" t="n">
        <f aca="false">AF87*(1-$C$340)*$C$175+AF85*01_Supuestos!$I$126+AF55*AF88</f>
        <v>9.9073696564738</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2.28439055019087</v>
      </c>
      <c r="M109" s="116" t="n">
        <f aca="false">(M70+L121)*(0.3*$C$5+0.25*01_Supuestos!$I$134)/0.55-L227*$C$5</f>
        <v>2.39247540239275</v>
      </c>
      <c r="N109" s="116" t="n">
        <f aca="false">(N70+M121)*(0.3*$C$5+0.25*01_Supuestos!$I$134)/0.55-M227*$C$5</f>
        <v>2.52772956292409</v>
      </c>
      <c r="O109" s="116" t="n">
        <f aca="false">(O70+N121)*(0.3*$C$5+0.25*01_Supuestos!$I$134)/0.55-N227*$C$5</f>
        <v>2.67166104305489</v>
      </c>
      <c r="P109" s="116" t="n">
        <f aca="false">(P70+O121)*(0.3*$C$5+0.25*01_Supuestos!$I$134)/0.55-O227*$C$5</f>
        <v>2.81812576608843</v>
      </c>
      <c r="Q109" s="116" t="n">
        <f aca="false">(Q70+P121)*(0.3*$C$5+0.25*01_Supuestos!$I$134)/0.55-P227*$C$5</f>
        <v>2.96362491360306</v>
      </c>
      <c r="R109" s="116" t="n">
        <f aca="false">(R70+Q121)*(0.3*$C$5+0.25*01_Supuestos!$I$134)/0.55-Q227*$C$5</f>
        <v>3.10787194364441</v>
      </c>
      <c r="S109" s="116" t="n">
        <f aca="false">(S70+R121)*(0.3*$C$5+0.25*01_Supuestos!$I$134)/0.55-R227*$C$5</f>
        <v>3.2510061544561</v>
      </c>
      <c r="T109" s="116" t="n">
        <f aca="false">(T70+S121)*(0.3*$C$5+0.25*01_Supuestos!$I$134)/0.55-S227*$C$5</f>
        <v>3.39345788946507</v>
      </c>
      <c r="U109" s="116" t="n">
        <f aca="false">(U70+T121)*(0.3*$C$5+0.25*01_Supuestos!$I$134)/0.55-T227*$C$5</f>
        <v>3.53564820558868</v>
      </c>
      <c r="V109" s="116" t="n">
        <f aca="false">(V70+U121)*(0.3*$C$5+0.25*01_Supuestos!$I$134)/0.55-U227*$C$5</f>
        <v>3.67799441040691</v>
      </c>
      <c r="W109" s="116" t="n">
        <f aca="false">(W70+V121)*(0.3*$C$5+0.25*01_Supuestos!$I$134)/0.55-V227*$C$5</f>
        <v>3.82091069100454</v>
      </c>
      <c r="X109" s="116" t="n">
        <f aca="false">(X70+W121)*(0.3*$C$5+0.25*01_Supuestos!$I$134)/0.55-W227*$C$5</f>
        <v>3.96481294589254</v>
      </c>
      <c r="Y109" s="116" t="n">
        <f aca="false">(Y70+X121)*(0.3*$C$5+0.25*01_Supuestos!$I$134)/0.55-X227*$C$5</f>
        <v>4.1101175754399</v>
      </c>
      <c r="Z109" s="116" t="n">
        <f aca="false">(Z70+Y121)*(0.3*$C$5+0.25*01_Supuestos!$I$134)/0.55-Y227*$C$5</f>
        <v>4.25724078904254</v>
      </c>
      <c r="AA109" s="116" t="n">
        <f aca="false">(AA70+Z121)*(0.3*$C$5+0.25*01_Supuestos!$I$134)/0.55-Z227*$C$5</f>
        <v>4.40659914523745</v>
      </c>
      <c r="AB109" s="116" t="n">
        <f aca="false">(AB70+AA121)*(0.3*$C$5+0.25*01_Supuestos!$I$134)/0.55-AA227*$C$5</f>
        <v>4.55860998925911</v>
      </c>
      <c r="AC109" s="116" t="n">
        <f aca="false">(AC70+AB121)*(0.3*$C$5+0.25*01_Supuestos!$I$134)/0.55-AB227*$C$5</f>
        <v>4.71369203772379</v>
      </c>
      <c r="AD109" s="116" t="n">
        <f aca="false">(AD70+AC121)*(0.3*$C$5+0.25*01_Supuestos!$I$134)/0.55-AC227*$C$5</f>
        <v>4.87226598392195</v>
      </c>
      <c r="AE109" s="116" t="n">
        <f aca="false">(AE70+AD121)*(0.3*$C$5+0.25*01_Supuestos!$I$134)/0.55-AD227*$C$5</f>
        <v>5.03475511300029</v>
      </c>
      <c r="AF109" s="116" t="n">
        <f aca="false">(AF70+AE121)*(0.3*$C$5+0.25*01_Supuestos!$I$134)/0.55-AE227*$C$5</f>
        <v>5.20158590095563</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1.2286350843469</v>
      </c>
      <c r="F110" s="116" t="n">
        <f aca="false">E120*$C$10</f>
        <v>1.85752021492381</v>
      </c>
      <c r="G110" s="116" t="n">
        <f aca="false">F120*$C$10</f>
        <v>2.16515359000362</v>
      </c>
      <c r="H110" s="116" t="n">
        <f aca="false">G120*$C$10</f>
        <v>2.54956750465803</v>
      </c>
      <c r="I110" s="116" t="n">
        <f aca="false">H120*$C$10</f>
        <v>2.99211665248276</v>
      </c>
      <c r="J110" s="116" t="n">
        <f aca="false">I120*$C$10</f>
        <v>3.49600720239699</v>
      </c>
      <c r="K110" s="116" t="n">
        <f aca="false">J120*$C$10</f>
        <v>4.0464219473949</v>
      </c>
      <c r="L110" s="116" t="n">
        <f aca="false">K120*$C$10</f>
        <v>4.64192118986067</v>
      </c>
      <c r="M110" s="116" t="n">
        <f aca="false">L120*$C$10</f>
        <v>5.25406099202584</v>
      </c>
      <c r="N110" s="116" t="n">
        <f aca="false">M120*$C$10</f>
        <v>5.24270562425883</v>
      </c>
      <c r="O110" s="116" t="n">
        <f aca="false">N120*$C$10</f>
        <v>5.27041664918005</v>
      </c>
      <c r="P110" s="116" t="n">
        <f aca="false">O120*$C$10</f>
        <v>5.34864083669356</v>
      </c>
      <c r="Q110" s="116" t="n">
        <f aca="false">P120*$C$10</f>
        <v>5.40083121861658</v>
      </c>
      <c r="R110" s="116" t="n">
        <f aca="false">Q120*$C$10</f>
        <v>5.44159884056858</v>
      </c>
      <c r="S110" s="116" t="n">
        <f aca="false">R120*$C$10</f>
        <v>5.48379577269796</v>
      </c>
      <c r="T110" s="116" t="n">
        <f aca="false">S120*$C$10</f>
        <v>5.52725212681819</v>
      </c>
      <c r="U110" s="116" t="n">
        <f aca="false">T120*$C$10</f>
        <v>5.57199878290119</v>
      </c>
      <c r="V110" s="116" t="n">
        <f aca="false">U120*$C$10</f>
        <v>5.61805699957359</v>
      </c>
      <c r="W110" s="116" t="n">
        <f aca="false">V120*$C$10</f>
        <v>5.66544792832573</v>
      </c>
      <c r="X110" s="116" t="n">
        <f aca="false">W120*$C$10</f>
        <v>5.71427283376621</v>
      </c>
      <c r="Y110" s="116" t="n">
        <f aca="false">X120*$C$10</f>
        <v>5.76457390048888</v>
      </c>
      <c r="Z110" s="116" t="n">
        <f aca="false">Y120*$C$10</f>
        <v>5.81638558438626</v>
      </c>
      <c r="AA110" s="116" t="n">
        <f aca="false">Z120*$C$10</f>
        <v>5.86973184544716</v>
      </c>
      <c r="AB110" s="116" t="n">
        <f aca="false">AA120*$C$10</f>
        <v>5.92463747558935</v>
      </c>
      <c r="AC110" s="116" t="n">
        <f aca="false">AB120*$C$10</f>
        <v>5.98112637791782</v>
      </c>
      <c r="AD110" s="116" t="n">
        <f aca="false">AC120*$C$10</f>
        <v>6.03922290170727</v>
      </c>
      <c r="AE110" s="116" t="n">
        <f aca="false">AD120*$C$10</f>
        <v>6.09895203855732</v>
      </c>
      <c r="AF110" s="116" t="n">
        <f aca="false">AE120*$C$10</f>
        <v>6.16033967712035</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0.349799156025208</v>
      </c>
      <c r="M112" s="116" t="n">
        <f aca="false">M81*$C$7</f>
        <v>0.36225749417443</v>
      </c>
      <c r="N112" s="116" t="n">
        <f aca="false">N81*$C$7</f>
        <v>0.374809386579552</v>
      </c>
      <c r="O112" s="116" t="n">
        <f aca="false">O81*$C$7</f>
        <v>0.386849012175203</v>
      </c>
      <c r="P112" s="116" t="n">
        <f aca="false">P81*$C$7</f>
        <v>0.396336502419832</v>
      </c>
      <c r="Q112" s="116" t="n">
        <f aca="false">Q81*$C$7</f>
        <v>0.405909063619993</v>
      </c>
      <c r="R112" s="116" t="n">
        <f aca="false">R81*$C$7</f>
        <v>0.415460869436317</v>
      </c>
      <c r="S112" s="116" t="n">
        <f aca="false">S81*$C$7</f>
        <v>0.424994964328178</v>
      </c>
      <c r="T112" s="116" t="n">
        <f aca="false">T81*$C$7</f>
        <v>0.43452679073029</v>
      </c>
      <c r="U112" s="116" t="n">
        <f aca="false">U81*$C$7</f>
        <v>0.444071483101595</v>
      </c>
      <c r="V112" s="116" t="n">
        <f aca="false">V81*$C$7</f>
        <v>0.453644102646941</v>
      </c>
      <c r="W112" s="116" t="n">
        <f aca="false">W81*$C$7</f>
        <v>0.46312080748115</v>
      </c>
      <c r="X112" s="116" t="n">
        <f aca="false">X81*$C$7</f>
        <v>0.472517360859393</v>
      </c>
      <c r="Y112" s="116" t="n">
        <f aca="false">Y81*$C$7</f>
        <v>0.481849645988328</v>
      </c>
      <c r="Z112" s="116" t="n">
        <f aca="false">Z81*$C$7</f>
        <v>0.491133637688996</v>
      </c>
      <c r="AA112" s="116" t="n">
        <f aca="false">AA81*$C$7</f>
        <v>0.500385426287322</v>
      </c>
      <c r="AB112" s="116" t="n">
        <f aca="false">AB81*$C$7</f>
        <v>0.509624272460208</v>
      </c>
      <c r="AC112" s="116" t="n">
        <f aca="false">AC81*$C$7</f>
        <v>0.518869545797619</v>
      </c>
      <c r="AD112" s="116" t="n">
        <f aca="false">AD81*$C$7</f>
        <v>0.52814075046339</v>
      </c>
      <c r="AE112" s="116" t="n">
        <f aca="false">AE81*$C$7</f>
        <v>0.537457551310175</v>
      </c>
      <c r="AF112" s="116" t="n">
        <f aca="false">AF81*$C$7</f>
        <v>0.546839799343693</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-2.47949637376709</v>
      </c>
      <c r="F113" s="136" t="n">
        <f aca="false">F107+F109+F110-F111-F112-F108-F97-F98-F102+F184-F190-F229-F265-F268-F274</f>
        <v>-6.30123517222942</v>
      </c>
      <c r="G113" s="136" t="n">
        <f aca="false">G107+G109+G110-G111-G112-G108-G97-G98-G102+G184-G190-G229-G265-G268-G274</f>
        <v>-4.97591948674164</v>
      </c>
      <c r="H113" s="136" t="n">
        <f aca="false">H107+H109+H110-H111-H112-H108-H97-H98-H102+H184-H190-H229-H265-H268-H274</f>
        <v>-3.78573367514692</v>
      </c>
      <c r="I113" s="136" t="n">
        <f aca="false">I107+I109+I110-I111-I112-I108-I97-I98-I102+I184-I190-I229-I265-I268-I274</f>
        <v>-2.54618059436743</v>
      </c>
      <c r="J113" s="136" t="n">
        <f aca="false">J107+J109+J110-J111-J112-J108-J97-J98-J102+J184-J190-J229-J265-J268-J274</f>
        <v>-1.25210463335795</v>
      </c>
      <c r="K113" s="136" t="n">
        <f aca="false">K107+K109+K110-K111-K112-K108-K97-K98-K102+K184-K190-K229-K265-K268-K274</f>
        <v>0.0833046933371094</v>
      </c>
      <c r="L113" s="136" t="n">
        <f aca="false">L107+L109+L110-L111-L112-L108-L97-L98-L102+L184-L190-L229-L265-L268-L274</f>
        <v>1.29991690192385</v>
      </c>
      <c r="M113" s="136" t="n">
        <f aca="false">M107+M109+M110-M111-M112-M108-M97-M98-M102+M184-M190-M229-M265-M268-M274</f>
        <v>2.39799662132672</v>
      </c>
      <c r="N113" s="136" t="n">
        <f aca="false">N107+N109+N110-N111-N112-N108-N97-N98-N102+N184-N190-N229-N265-N268-N274</f>
        <v>2.71287100574224</v>
      </c>
      <c r="O113" s="136" t="n">
        <f aca="false">O107+O109+O110-O111-O112-O108-O97-O98-O102+O184-O190-O229-O265-O268-O274</f>
        <v>2.76693607578977</v>
      </c>
      <c r="P113" s="136" t="n">
        <f aca="false">P107+P109+P110-P111-P112-P108-P97-P98-P102+P184-P190-P229-P265-P268-P274</f>
        <v>2.67209062662369</v>
      </c>
      <c r="Q113" s="136" t="n">
        <f aca="false">Q107+Q109+Q110-Q111-Q112-Q108-Q97-Q98-Q102+Q184-Q190-Q229-Q265-Q268-Q274</f>
        <v>2.56422234031169</v>
      </c>
      <c r="R113" s="136" t="n">
        <f aca="false">R107+R109+R110-R111-R112-R108-R97-R98-R102+R184-R190-R229-R265-R268-R274</f>
        <v>2.46133085745195</v>
      </c>
      <c r="S113" s="136" t="n">
        <f aca="false">S107+S109+S110-S111-S112-S108-S97-S98-S102+S184-S190-S229-S265-S268-S274</f>
        <v>2.37571259036204</v>
      </c>
      <c r="T113" s="136" t="n">
        <f aca="false">T107+T109+T110-T111-T112-T108-T97-T98-T102+T184-T190-T229-T265-T268-T274</f>
        <v>2.30695723883855</v>
      </c>
      <c r="U113" s="136" t="n">
        <f aca="false">U107+U109+U110-U111-U112-U108-U97-U98-U102+U184-U190-U229-U265-U268-U274</f>
        <v>2.25488838631598</v>
      </c>
      <c r="V113" s="136" t="n">
        <f aca="false">V107+V109+V110-V111-V112-V108-V97-V98-V102+V184-V190-V229-V265-V268-V274</f>
        <v>2.21935582978376</v>
      </c>
      <c r="W113" s="136" t="n">
        <f aca="false">W107+W109+W110-W111-W112-W108-W97-W98-W102+W184-W190-W229-W265-W268-W274</f>
        <v>2.2004133921119</v>
      </c>
      <c r="X113" s="136" t="n">
        <f aca="false">X107+X109+X110-X111-X112-X108-X97-X98-X102+X184-X190-X229-X265-X268-X274</f>
        <v>2.19806330999078</v>
      </c>
      <c r="Y113" s="136" t="n">
        <f aca="false">Y107+Y109+Y110-Y111-Y112-Y108-Y97-Y98-Y102+Y184-Y190-Y229-Y265-Y268-Y274</f>
        <v>2.2122780850006</v>
      </c>
      <c r="Z113" s="136" t="n">
        <f aca="false">Z107+Z109+Z110-Z111-Z112-Z108-Z97-Z98-Z102+Z184-Z190-Z229-Z265-Z268-Z274</f>
        <v>2.24305263545528</v>
      </c>
      <c r="AA113" s="136" t="n">
        <f aca="false">AA107+AA109+AA110-AA111-AA112-AA108-AA97-AA98-AA102+AA184-AA190-AA229-AA265-AA268-AA274</f>
        <v>2.29039994586218</v>
      </c>
      <c r="AB113" s="136" t="n">
        <f aca="false">AB107+AB109+AB110-AB111-AB112-AB108-AB97-AB98-AB102+AB184-AB190-AB229-AB265-AB268-AB274</f>
        <v>2.35435727965015</v>
      </c>
      <c r="AC113" s="136" t="n">
        <f aca="false">AC107+AC109+AC110-AC111-AC112-AC108-AC97-AC98-AC102+AC184-AC190-AC229-AC265-AC268-AC274</f>
        <v>2.43498703877901</v>
      </c>
      <c r="AD113" s="136" t="n">
        <f aca="false">AD107+AD109+AD110-AD111-AD112-AD108-AD97-AD98-AD102+AD184-AD190-AD229-AD265-AD268-AD274</f>
        <v>2.53237716949274</v>
      </c>
      <c r="AE113" s="136" t="n">
        <f aca="false">AE107+AE109+AE110-AE111-AE112-AE108-AE97-AE98-AE102+AE184-AE190-AE229-AE265-AE268-AE274</f>
        <v>2.646640464403</v>
      </c>
      <c r="AF113" s="136" t="n">
        <f aca="false">AF107+AF109+AF110-AF111-AF112-AF108-AF97-AF98-AF102+AF184-AF190-AF229-AF265-AF268-AF274</f>
        <v>2.77791400849764</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35.1038595527686</v>
      </c>
      <c r="E114" s="116" t="n">
        <f aca="false">D120+E53+E56-E57+(E58-E65)+E113-E92+E94-E95-E103+E60-E245</f>
        <v>53.0720061406802</v>
      </c>
      <c r="F114" s="116" t="n">
        <f aca="false">E120+F53+F56-F57+(F58-F65)+F113-F92+F94-F95-F103+F60-F245</f>
        <v>61.8615311429605</v>
      </c>
      <c r="G114" s="116" t="n">
        <f aca="false">F120+G53+G56-G57+(G58-G65)+G113-G92+G94-G95-G103+G60-G245</f>
        <v>72.8447858473724</v>
      </c>
      <c r="H114" s="116" t="n">
        <f aca="false">G120+H53+H56-H57+(H58-H65)+H113-H92+H94-H95-H103+H60-H245</f>
        <v>85.489047213793</v>
      </c>
      <c r="I114" s="116" t="n">
        <f aca="false">H120+I53+I56-I57+(I58-I65)+I113-I92+I94-I95-I103+I60-I245</f>
        <v>99.8859200684854</v>
      </c>
      <c r="J114" s="116" t="n">
        <f aca="false">I120+J53+J56-J57+(J58-J65)+J113-J92+J94-J95-J103+J60-J245</f>
        <v>115.612055639854</v>
      </c>
      <c r="K114" s="116" t="n">
        <f aca="false">J120+K53+K56-K57+(K58-K65)+K113-K92+K94-K95-K103+K60-K245</f>
        <v>132.709624403642</v>
      </c>
      <c r="L114" s="116" t="n">
        <f aca="false">K120+L53+L56-L57+(L58-L65)+L113-L92+L94-L95-L103+L60-L245</f>
        <v>151.415945245519</v>
      </c>
      <c r="M114" s="116" t="n">
        <f aca="false">L120+M53+M56-M57+(M58-M65)+M113-M92+M94-M95-M103+M60-M245</f>
        <v>152.189585885865</v>
      </c>
      <c r="N114" s="116" t="n">
        <f aca="false">M120+N53+N56-N57+(N58-N65)+N113-N92+N94-N95-N103+N60-N245</f>
        <v>153.296203839458</v>
      </c>
      <c r="O114" s="116" t="n">
        <f aca="false">N120+O53+O56-O57+(O58-O65)+O113-O92+O94-O95-O103+O60-O245</f>
        <v>155.585245695606</v>
      </c>
      <c r="P114" s="116" t="n">
        <f aca="false">O120+P53+P56-P57+(P58-P65)+P113-P92+P94-P95-P103+P60-P245</f>
        <v>156.981554015669</v>
      </c>
      <c r="Q114" s="116" t="n">
        <f aca="false">P120+Q53+Q56-Q57+(Q58-Q65)+Q113-Q92+Q94-Q95-Q103+Q60-Q245</f>
        <v>158.038474927985</v>
      </c>
      <c r="R114" s="116" t="n">
        <f aca="false">Q120+R53+R56-R57+(R58-R65)+R113-R92+R94-R95-R103+R60-R245</f>
        <v>159.141210077394</v>
      </c>
      <c r="S114" s="116" t="n">
        <f aca="false">R120+S53+S56-S57+(S58-S65)+S113-S92+S94-S95-S103+S60-S245</f>
        <v>160.297201928025</v>
      </c>
      <c r="T114" s="116" t="n">
        <f aca="false">S120+T53+T56-T57+(T58-T65)+T113-T92+T94-T95-T103+T60-T245</f>
        <v>161.506922464587</v>
      </c>
      <c r="U114" s="116" t="n">
        <f aca="false">T120+U53+U56-U57+(U58-U65)+U113-U92+U94-U95-U103+U60-U245</f>
        <v>162.770802659847</v>
      </c>
      <c r="V114" s="116" t="n">
        <f aca="false">U120+V53+V56-V57+(V58-V65)+V113-V92+V94-V95-V103+V60-V245</f>
        <v>164.08929663909</v>
      </c>
      <c r="W114" s="116" t="n">
        <f aca="false">V120+W53+W56-W57+(W58-W65)+W113-W92+W94-W95-W103+W60-W245</f>
        <v>165.465351499718</v>
      </c>
      <c r="X114" s="116" t="n">
        <f aca="false">W120+X53+X56-X57+(X58-X65)+X113-X92+X94-X95-X103+X60-X245</f>
        <v>166.90017475253</v>
      </c>
      <c r="Y114" s="116" t="n">
        <f aca="false">X120+Y53+Y56-Y57+(Y58-Y65)+Y113-Y92+Y94-Y95-Y103+Y60-Y245</f>
        <v>168.394723353179</v>
      </c>
      <c r="Z114" s="116" t="n">
        <f aca="false">Y120+Z53+Z56-Z57+(Z58-Z65)+Z113-Z92+Z94-Z95-Z103+Z60-Z245</f>
        <v>169.949676791088</v>
      </c>
      <c r="AA114" s="116" t="n">
        <f aca="false">Z120+AA53+AA56-AA57+(AA58-AA65)+AA113-AA92+AA94-AA95-AA103+AA60-AA245</f>
        <v>171.565756391272</v>
      </c>
      <c r="AB114" s="116" t="n">
        <f aca="false">AA120+AB53+AB56-AB57+(AB58-AB65)+AB113-AB92+AB94-AB95-AB103+AB60-AB245</f>
        <v>173.243682363016</v>
      </c>
      <c r="AC114" s="116" t="n">
        <f aca="false">AB120+AC53+AC56-AC57+(AC58-AC65)+AC113-AC92+AC94-AC95-AC103+AC60-AC245</f>
        <v>174.984212801844</v>
      </c>
      <c r="AD114" s="116" t="n">
        <f aca="false">AC120+AD53+AD56-AD57+(AD58-AD65)+AD113-AD92+AD94-AD95-AD103+AD60-AD245</f>
        <v>176.788149699702</v>
      </c>
      <c r="AE114" s="116" t="n">
        <f aca="false">AD120+AE53+AE56-AE57+(AE58-AE65)+AE113-AE92+AE94-AE95-AE103+AE60-AE245</f>
        <v>178.656345524985</v>
      </c>
      <c r="AF114" s="116" t="n">
        <f aca="false">AE120+AF53+AF56-AF57+(AF58-AF65)+AF113-AF92+AF94-AF95-AF103+AF60-AF245</f>
        <v>180.589702818232</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0.0833046933371094</v>
      </c>
      <c r="L115" s="116" t="n">
        <f aca="false">IF(L113&gt;0,MIN(L113,01_Supuestos!$I$106*L81),0)</f>
        <v>1.29991690192385</v>
      </c>
      <c r="M115" s="116" t="n">
        <f aca="false">IF(M113&gt;0,MIN(M113,01_Supuestos!$I$106*M81),0)</f>
        <v>2.39799662132672</v>
      </c>
      <c r="N115" s="116" t="n">
        <f aca="false">IF(N113&gt;0,MIN(N113,01_Supuestos!$I$106*N81),0)</f>
        <v>2.71287100574224</v>
      </c>
      <c r="O115" s="116" t="n">
        <f aca="false">IF(O113&gt;0,MIN(O113,01_Supuestos!$I$106*O81),0)</f>
        <v>2.76693607578977</v>
      </c>
      <c r="P115" s="116" t="n">
        <f aca="false">IF(P113&gt;0,MIN(P113,01_Supuestos!$I$106*P81),0)</f>
        <v>2.67209062662369</v>
      </c>
      <c r="Q115" s="116" t="n">
        <f aca="false">IF(Q113&gt;0,MIN(Q113,01_Supuestos!$I$106*Q81),0)</f>
        <v>2.56422234031169</v>
      </c>
      <c r="R115" s="116" t="n">
        <f aca="false">IF(R113&gt;0,MIN(R113,01_Supuestos!$I$106*R81),0)</f>
        <v>2.46133085745195</v>
      </c>
      <c r="S115" s="116" t="n">
        <f aca="false">IF(S113&gt;0,MIN(S113,01_Supuestos!$I$106*S81),0)</f>
        <v>2.37571259036204</v>
      </c>
      <c r="T115" s="116" t="n">
        <f aca="false">IF(T113&gt;0,MIN(T113,01_Supuestos!$I$106*T81),0)</f>
        <v>2.30695723883855</v>
      </c>
      <c r="U115" s="116" t="n">
        <f aca="false">IF(U113&gt;0,MIN(U113,01_Supuestos!$I$106*U81),0)</f>
        <v>2.25488838631598</v>
      </c>
      <c r="V115" s="116" t="n">
        <f aca="false">IF(V113&gt;0,MIN(V113,01_Supuestos!$I$106*V81),0)</f>
        <v>2.21935582978376</v>
      </c>
      <c r="W115" s="116" t="n">
        <f aca="false">IF(W113&gt;0,MIN(W113,01_Supuestos!$I$106*W81),0)</f>
        <v>2.2004133921119</v>
      </c>
      <c r="X115" s="116" t="n">
        <f aca="false">IF(X113&gt;0,MIN(X113,01_Supuestos!$I$106*X81),0)</f>
        <v>2.19806330999078</v>
      </c>
      <c r="Y115" s="116" t="n">
        <f aca="false">IF(Y113&gt;0,MIN(Y113,01_Supuestos!$I$106*Y81),0)</f>
        <v>2.2122780850006</v>
      </c>
      <c r="Z115" s="116" t="n">
        <f aca="false">IF(Z113&gt;0,MIN(Z113,01_Supuestos!$I$106*Z81),0)</f>
        <v>2.24305263545528</v>
      </c>
      <c r="AA115" s="116" t="n">
        <f aca="false">IF(AA113&gt;0,MIN(AA113,01_Supuestos!$I$106*AA81),0)</f>
        <v>2.29039994586218</v>
      </c>
      <c r="AB115" s="116" t="n">
        <f aca="false">IF(AB113&gt;0,MIN(AB113,01_Supuestos!$I$106*AB81),0)</f>
        <v>2.35435727965015</v>
      </c>
      <c r="AC115" s="116" t="n">
        <f aca="false">IF(AC113&gt;0,MIN(AC113,01_Supuestos!$I$106*AC81),0)</f>
        <v>2.43498703877901</v>
      </c>
      <c r="AD115" s="116" t="n">
        <f aca="false">IF(AD113&gt;0,MIN(AD113,01_Supuestos!$I$106*AD81),0)</f>
        <v>2.53237716949274</v>
      </c>
      <c r="AE115" s="116" t="n">
        <f aca="false">IF(AE113&gt;0,MIN(AE113,01_Supuestos!$I$106*AE81),0)</f>
        <v>2.646640464403</v>
      </c>
      <c r="AF115" s="116" t="n">
        <f aca="false">IF(AF113&gt;0,MIN(AF113,01_Supuestos!$I$106*AF81),0)</f>
        <v>2.77791400849764</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35.1038595527686</v>
      </c>
      <c r="E120" s="136" t="n">
        <f aca="false">E114-E115+E118+E119</f>
        <v>53.0720061406802</v>
      </c>
      <c r="F120" s="136" t="n">
        <f aca="false">F114-F115+F118+F119</f>
        <v>61.8615311429605</v>
      </c>
      <c r="G120" s="136" t="n">
        <f aca="false">G114-G115+G118+G119</f>
        <v>72.8447858473724</v>
      </c>
      <c r="H120" s="136" t="n">
        <f aca="false">H114-H115+H118+H119</f>
        <v>85.489047213793</v>
      </c>
      <c r="I120" s="136" t="n">
        <f aca="false">I114-I115+I118+I119</f>
        <v>99.8859200684854</v>
      </c>
      <c r="J120" s="136" t="n">
        <f aca="false">J114-J115+J118+J119</f>
        <v>115.612055639854</v>
      </c>
      <c r="K120" s="136" t="n">
        <f aca="false">K114-K115+K118+K119</f>
        <v>132.626319710305</v>
      </c>
      <c r="L120" s="136" t="n">
        <f aca="false">L114-L115+L118+L119</f>
        <v>150.116028343596</v>
      </c>
      <c r="M120" s="136" t="n">
        <f aca="false">M114-M115+M118+M119</f>
        <v>149.791589264538</v>
      </c>
      <c r="N120" s="136" t="n">
        <f aca="false">N114-N115+N118+N119</f>
        <v>150.583332833716</v>
      </c>
      <c r="O120" s="136" t="n">
        <f aca="false">O114-O115+O118+O119</f>
        <v>152.818309619816</v>
      </c>
      <c r="P120" s="136" t="n">
        <f aca="false">P114-P115+P118+P119</f>
        <v>154.309463389045</v>
      </c>
      <c r="Q120" s="136" t="n">
        <f aca="false">Q114-Q115+Q118+Q119</f>
        <v>155.474252587674</v>
      </c>
      <c r="R120" s="136" t="n">
        <f aca="false">R114-R115+R118+R119</f>
        <v>156.679879219942</v>
      </c>
      <c r="S120" s="136" t="n">
        <f aca="false">S114-S115+S118+S119</f>
        <v>157.921489337663</v>
      </c>
      <c r="T120" s="136" t="n">
        <f aca="false">T114-T115+T118+T119</f>
        <v>159.199965225748</v>
      </c>
      <c r="U120" s="136" t="n">
        <f aca="false">U114-U115+U118+U119</f>
        <v>160.515914273531</v>
      </c>
      <c r="V120" s="136" t="n">
        <f aca="false">V114-V115+V118+V119</f>
        <v>161.869940809306</v>
      </c>
      <c r="W120" s="136" t="n">
        <f aca="false">W114-W115+W118+W119</f>
        <v>163.264938107606</v>
      </c>
      <c r="X120" s="136" t="n">
        <f aca="false">X114-X115+X118+X119</f>
        <v>164.702111442539</v>
      </c>
      <c r="Y120" s="136" t="n">
        <f aca="false">Y114-Y115+Y118+Y119</f>
        <v>166.182445268179</v>
      </c>
      <c r="Z120" s="136" t="n">
        <f aca="false">Z114-Z115+Z118+Z119</f>
        <v>167.706624155633</v>
      </c>
      <c r="AA120" s="136" t="n">
        <f aca="false">AA114-AA115+AA118+AA119</f>
        <v>169.27535644541</v>
      </c>
      <c r="AB120" s="136" t="n">
        <f aca="false">AB114-AB115+AB118+AB119</f>
        <v>170.889325083366</v>
      </c>
      <c r="AC120" s="136" t="n">
        <f aca="false">AC114-AC115+AC118+AC119</f>
        <v>172.549225763065</v>
      </c>
      <c r="AD120" s="136" t="n">
        <f aca="false">AD114-AD115+AD118+AD119</f>
        <v>174.255772530209</v>
      </c>
      <c r="AE120" s="136" t="n">
        <f aca="false">AE114-AE115+AE118+AE119</f>
        <v>176.009705060582</v>
      </c>
      <c r="AF120" s="136" t="n">
        <f aca="false">AF114-AF115+AF118+AF119</f>
        <v>177.811788809735</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0.0833046933371094</v>
      </c>
      <c r="L121" s="116" t="n">
        <f aca="false">K121+L115</f>
        <v>1.38322159526096</v>
      </c>
      <c r="M121" s="116" t="n">
        <f aca="false">L121+M115</f>
        <v>3.78121821658768</v>
      </c>
      <c r="N121" s="116" t="n">
        <f aca="false">M121+N115</f>
        <v>6.49408922232992</v>
      </c>
      <c r="O121" s="116" t="n">
        <f aca="false">N121+O115</f>
        <v>9.2610252981197</v>
      </c>
      <c r="P121" s="116" t="n">
        <f aca="false">O121+P115</f>
        <v>11.9331159247434</v>
      </c>
      <c r="Q121" s="116" t="n">
        <f aca="false">P121+Q115</f>
        <v>14.4973382650551</v>
      </c>
      <c r="R121" s="116" t="n">
        <f aca="false">Q121+R115</f>
        <v>16.958669122507</v>
      </c>
      <c r="S121" s="116" t="n">
        <f aca="false">R121+S115</f>
        <v>19.3343817128691</v>
      </c>
      <c r="T121" s="116" t="n">
        <f aca="false">S121+T115</f>
        <v>21.6413389517076</v>
      </c>
      <c r="U121" s="116" t="n">
        <f aca="false">T121+U115</f>
        <v>23.8962273380236</v>
      </c>
      <c r="V121" s="116" t="n">
        <f aca="false">U121+V115</f>
        <v>26.1155831678074</v>
      </c>
      <c r="W121" s="116" t="n">
        <f aca="false">V121+W115</f>
        <v>28.3159965599193</v>
      </c>
      <c r="X121" s="116" t="n">
        <f aca="false">W121+X115</f>
        <v>30.51405986991</v>
      </c>
      <c r="Y121" s="116" t="n">
        <f aca="false">X121+Y115</f>
        <v>32.7263379549106</v>
      </c>
      <c r="Z121" s="116" t="n">
        <f aca="false">Y121+Z115</f>
        <v>34.9693905903659</v>
      </c>
      <c r="AA121" s="116" t="n">
        <f aca="false">Z121+AA115</f>
        <v>37.2597905362281</v>
      </c>
      <c r="AB121" s="116" t="n">
        <f aca="false">AA121+AB115</f>
        <v>39.6141478158782</v>
      </c>
      <c r="AC121" s="116" t="n">
        <f aca="false">AB121+AC115</f>
        <v>42.0491348546573</v>
      </c>
      <c r="AD121" s="116" t="n">
        <f aca="false">AC121+AD115</f>
        <v>44.58151202415</v>
      </c>
      <c r="AE121" s="116" t="n">
        <f aca="false">AD121+AE115</f>
        <v>47.228152488553</v>
      </c>
      <c r="AF121" s="116" t="n">
        <f aca="false">AE121+AF115</f>
        <v>50.0060664970506</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0.340687329426486</v>
      </c>
      <c r="E122" s="87" t="n">
        <f aca="false">E276/(E81+E115)</f>
        <v>0.381737198412432</v>
      </c>
      <c r="F122" s="87" t="n">
        <f aca="false">F276/(F81+F115)</f>
        <v>0.226719564465731</v>
      </c>
      <c r="G122" s="87" t="n">
        <f aca="false">G276/(G81+G115)</f>
        <v>0.255097769127962</v>
      </c>
      <c r="H122" s="87" t="n">
        <f aca="false">H276/(H81+H115)</f>
        <v>0.286586063531629</v>
      </c>
      <c r="I122" s="87" t="n">
        <f aca="false">I276/(I81+I115)</f>
        <v>0.321083568129139</v>
      </c>
      <c r="J122" s="87" t="n">
        <f aca="false">J276/(J81+J115)</f>
        <v>0.356913160169047</v>
      </c>
      <c r="K122" s="87" t="n">
        <f aca="false">K276/(K81+K115)</f>
        <v>0.393689328973593</v>
      </c>
      <c r="L122" s="87" t="n">
        <f aca="false">L276/(L81+L115)</f>
        <v>0.427560309664364</v>
      </c>
      <c r="M122" s="87" t="n">
        <f aca="false">M276/(M81+M115)</f>
        <v>0.410775630822562</v>
      </c>
      <c r="N122" s="87" t="n">
        <f aca="false">N276/(N81+N115)</f>
        <v>0.398872728185288</v>
      </c>
      <c r="O122" s="87" t="n">
        <f aca="false">O276/(O81+O115)</f>
        <v>0.39222806537008</v>
      </c>
      <c r="P122" s="87" t="n">
        <f aca="false">P276/(P81+P115)</f>
        <v>0.386732180905886</v>
      </c>
      <c r="Q122" s="87" t="n">
        <f aca="false">Q276/(Q81+Q115)</f>
        <v>0.380622816550071</v>
      </c>
      <c r="R122" s="87" t="n">
        <f aca="false">R276/(R81+R115)</f>
        <v>0.374902025089376</v>
      </c>
      <c r="S122" s="87" t="n">
        <f aca="false">S276/(S81+S115)</f>
        <v>0.369518775776382</v>
      </c>
      <c r="T122" s="87" t="n">
        <f aca="false">T276/(T81+T115)</f>
        <v>0.364440627506186</v>
      </c>
      <c r="U122" s="87" t="n">
        <f aca="false">U276/(U81+U115)</f>
        <v>0.359637979128192</v>
      </c>
      <c r="V122" s="87" t="n">
        <f aca="false">V276/(V81+V115)</f>
        <v>0.355084264376438</v>
      </c>
      <c r="W122" s="87" t="n">
        <f aca="false">W276/(W81+W115)</f>
        <v>0.35086501707618</v>
      </c>
      <c r="X122" s="87" t="n">
        <f aca="false">X276/(X81+X115)</f>
        <v>0.346949146914114</v>
      </c>
      <c r="Y122" s="87" t="n">
        <f aca="false">Y276/(Y81+Y115)</f>
        <v>0.343308235999584</v>
      </c>
      <c r="Z122" s="87" t="n">
        <f aca="false">Z276/(Z81+Z115)</f>
        <v>0.339915985989016</v>
      </c>
      <c r="AA122" s="87" t="n">
        <f aca="false">AA276/(AA81+AA115)</f>
        <v>0.33674855167371</v>
      </c>
      <c r="AB122" s="87" t="n">
        <f aca="false">AB276/(AB81+AB115)</f>
        <v>0.333782144716073</v>
      </c>
      <c r="AC122" s="87" t="n">
        <f aca="false">AC276/(AC81+AC115)</f>
        <v>0.330995061225021</v>
      </c>
      <c r="AD122" s="87" t="n">
        <f aca="false">AD276/(AD81+AD115)</f>
        <v>0.328367432712286</v>
      </c>
      <c r="AE122" s="87" t="n">
        <f aca="false">AE276/(AE81+AE115)</f>
        <v>0.325881020257</v>
      </c>
      <c r="AF122" s="87" t="n">
        <f aca="false">AF276/(AF81+AF115)</f>
        <v>0.323519028754072</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2.47949637376709</v>
      </c>
      <c r="F127" s="116" t="n">
        <f aca="false">MAX(0,-F113)</f>
        <v>6.30123517222942</v>
      </c>
      <c r="G127" s="116" t="n">
        <f aca="false">MAX(0,-G113)</f>
        <v>4.97591948674164</v>
      </c>
      <c r="H127" s="116" t="n">
        <f aca="false">MAX(0,-H113)</f>
        <v>3.78573367514692</v>
      </c>
      <c r="I127" s="116" t="n">
        <f aca="false">MAX(0,-I113)</f>
        <v>2.54618059436743</v>
      </c>
      <c r="J127" s="116" t="n">
        <f aca="false">MAX(0,-J113)</f>
        <v>1.25210463335795</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4.73640836108542</v>
      </c>
      <c r="D128" s="116" t="n">
        <f aca="false">IF(AVERAGE(E127:I127)&gt;0,D120/AVERAGE(E127:I127),99)</f>
        <v>8.73727392289992</v>
      </c>
      <c r="E128" s="116" t="n">
        <f aca="false">IF(AVERAGE(F127:J127)&gt;0,E120/AVERAGE(F127:J127),99)</f>
        <v>14.0691155740294</v>
      </c>
      <c r="F128" s="116" t="n">
        <f aca="false">IF(AVERAGE(G127:K127)&gt;0,F120/AVERAGE(G127:K127),99)</f>
        <v>24.626526509921</v>
      </c>
      <c r="G128" s="116" t="n">
        <f aca="false">IF(AVERAGE(H127:L127)&gt;0,G120/AVERAGE(H127:L127),99)</f>
        <v>48.0251874239025</v>
      </c>
      <c r="H128" s="116" t="n">
        <f aca="false">IF(AVERAGE(I127:M127)&gt;0,H120/AVERAGE(I127:M127),99)</f>
        <v>112.536371136336</v>
      </c>
      <c r="I128" s="116" t="n">
        <f aca="false">IF(AVERAGE(J127:N127)&gt;0,I120/AVERAGE(J127:N127),99)</f>
        <v>398.872096657796</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0.35186416290591</v>
      </c>
      <c r="M129" s="87" t="n">
        <f aca="false">M83/M41</f>
        <v>0.3739532384222</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0.3552009686713</v>
      </c>
      <c r="M139" s="116" t="n">
        <f aca="false">(1-M55)*M88</f>
        <v>0.386182008736574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-17.8977098596176</v>
      </c>
      <c r="G140" s="116" t="n">
        <f aca="false">SUM(G133:G139)</f>
        <v>-17.9084533563974</v>
      </c>
      <c r="H140" s="116" t="n">
        <f aca="false">SUM(H133:H139)</f>
        <v>-17.9169020879832</v>
      </c>
      <c r="I140" s="116" t="n">
        <f aca="false">SUM(I133:I139)</f>
        <v>-17.9232027289801</v>
      </c>
      <c r="J140" s="116" t="n">
        <f aca="false">SUM(J133:J139)</f>
        <v>-17.9274924714095</v>
      </c>
      <c r="K140" s="116" t="n">
        <f aca="false">SUM(K133:K139)</f>
        <v>-17.9298996395416</v>
      </c>
      <c r="L140" s="116" t="n">
        <f aca="false">SUM(L133:L139)</f>
        <v>-17.9406390974686</v>
      </c>
      <c r="M140" s="116" t="n">
        <f aca="false">SUM(M133:M139)</f>
        <v>2.65926238990838</v>
      </c>
      <c r="N140" s="116" t="n">
        <f aca="false">SUM(N133:N139)</f>
        <v>2.65791430162299</v>
      </c>
      <c r="O140" s="116" t="n">
        <f aca="false">SUM(O133:O139)</f>
        <v>2.64625849627186</v>
      </c>
      <c r="P140" s="116" t="n">
        <f aca="false">SUM(P133:P139)</f>
        <v>2.65459820436939</v>
      </c>
      <c r="Q140" s="116" t="n">
        <f aca="false">SUM(Q133:Q139)</f>
        <v>2.66098965287782</v>
      </c>
      <c r="R140" s="116" t="n">
        <f aca="false">SUM(R133:R139)</f>
        <v>2.66504396132128</v>
      </c>
      <c r="S140" s="116" t="n">
        <f aca="false">SUM(S133:S139)</f>
        <v>2.6668209497267</v>
      </c>
      <c r="T140" s="116" t="n">
        <f aca="false">SUM(T133:T139)</f>
        <v>2.66637559194396</v>
      </c>
      <c r="U140" s="116" t="n">
        <f aca="false">SUM(U133:U139)</f>
        <v>2.66375829993186</v>
      </c>
      <c r="V140" s="116" t="n">
        <f aca="false">SUM(V133:V139)</f>
        <v>2.65901518891845</v>
      </c>
      <c r="W140" s="116" t="n">
        <f aca="false">SUM(W133:W139)</f>
        <v>2.65218832464956</v>
      </c>
      <c r="X140" s="116" t="n">
        <f aca="false">SUM(X133:X139)</f>
        <v>2.64331595385981</v>
      </c>
      <c r="Y140" s="116" t="n">
        <f aca="false">SUM(Y133:Y139)</f>
        <v>2.63243271902708</v>
      </c>
      <c r="Z140" s="116" t="n">
        <f aca="false">SUM(Z133:Z139)</f>
        <v>2.61956985840173</v>
      </c>
      <c r="AA140" s="116" t="n">
        <f aca="false">SUM(AA133:AA139)</f>
        <v>2.60475539223768</v>
      </c>
      <c r="AB140" s="116" t="n">
        <f aca="false">SUM(AB133:AB139)</f>
        <v>2.58801429609159</v>
      </c>
      <c r="AC140" s="116" t="n">
        <f aca="false">SUM(AC133:AC139)</f>
        <v>2.56936866199988</v>
      </c>
      <c r="AD140" s="116" t="n">
        <f aca="false">SUM(AD133:AD139)</f>
        <v>2.54883784829035</v>
      </c>
      <c r="AE140" s="116" t="n">
        <f aca="false">SUM(AE133:AE139)</f>
        <v>2.52643861873554</v>
      </c>
      <c r="AF140" s="116" t="n">
        <f aca="false">SUM(AF133:AF139)</f>
        <v>2.5021852717086</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-1.679035948921</v>
      </c>
      <c r="M141" s="116" t="n">
        <f aca="false">-M85*01_Supuestos!$I$126</f>
        <v>-1.3432287591368</v>
      </c>
      <c r="N141" s="116" t="n">
        <f aca="false">-N85*01_Supuestos!$I$126</f>
        <v>-1.12442815973866</v>
      </c>
      <c r="O141" s="116" t="n">
        <f aca="false">-O85*01_Supuestos!$I$126</f>
        <v>-1.16054703652561</v>
      </c>
      <c r="P141" s="116" t="n">
        <f aca="false">-P85*01_Supuestos!$I$126</f>
        <v>-1.1890095072595</v>
      </c>
      <c r="Q141" s="116" t="n">
        <f aca="false">-Q85*01_Supuestos!$I$126</f>
        <v>-1.21772719085998</v>
      </c>
      <c r="R141" s="116" t="n">
        <f aca="false">-R85*01_Supuestos!$I$126</f>
        <v>-1.24638260830895</v>
      </c>
      <c r="S141" s="116" t="n">
        <f aca="false">-S85*01_Supuestos!$I$126</f>
        <v>-1.27498489298453</v>
      </c>
      <c r="T141" s="116" t="n">
        <f aca="false">-T85*01_Supuestos!$I$126</f>
        <v>-1.30358037219087</v>
      </c>
      <c r="U141" s="116" t="n">
        <f aca="false">-U85*01_Supuestos!$I$126</f>
        <v>-1.33221444930479</v>
      </c>
      <c r="V141" s="116" t="n">
        <f aca="false">-V85*01_Supuestos!$I$126</f>
        <v>-1.36093230794082</v>
      </c>
      <c r="W141" s="116" t="n">
        <f aca="false">-W85*01_Supuestos!$I$126</f>
        <v>-1.38936242244345</v>
      </c>
      <c r="X141" s="116" t="n">
        <f aca="false">-X85*01_Supuestos!$I$126</f>
        <v>-1.41755208257818</v>
      </c>
      <c r="Y141" s="116" t="n">
        <f aca="false">-Y85*01_Supuestos!$I$126</f>
        <v>-1.44554893796498</v>
      </c>
      <c r="Z141" s="116" t="n">
        <f aca="false">-Z85*01_Supuestos!$I$126</f>
        <v>-1.47340091306699</v>
      </c>
      <c r="AA141" s="116" t="n">
        <f aca="false">-AA85*01_Supuestos!$I$126</f>
        <v>-1.50115627886196</v>
      </c>
      <c r="AB141" s="116" t="n">
        <f aca="false">-AB85*01_Supuestos!$I$126</f>
        <v>-1.52887281738062</v>
      </c>
      <c r="AC141" s="116" t="n">
        <f aca="false">-AC85*01_Supuestos!$I$126</f>
        <v>-1.55660863739286</v>
      </c>
      <c r="AD141" s="116" t="n">
        <f aca="false">-AD85*01_Supuestos!$I$126</f>
        <v>-1.58442225139017</v>
      </c>
      <c r="AE141" s="116" t="n">
        <f aca="false">-AE85*01_Supuestos!$I$126</f>
        <v>-1.61237265393052</v>
      </c>
      <c r="AF141" s="116" t="n">
        <f aca="false">-AF85*01_Supuestos!$I$126</f>
        <v>-1.64051939803108</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1.13334926552167</v>
      </c>
      <c r="M142" s="116" t="n">
        <f aca="false">M85*01_Supuestos!$I$101</f>
        <v>0.906679412417338</v>
      </c>
      <c r="N142" s="116" t="n">
        <f aca="false">N85*01_Supuestos!$I$101</f>
        <v>0.758989007823593</v>
      </c>
      <c r="O142" s="116" t="n">
        <f aca="false">O85*01_Supuestos!$I$101</f>
        <v>0.783369249654786</v>
      </c>
      <c r="P142" s="116" t="n">
        <f aca="false">P85*01_Supuestos!$I$101</f>
        <v>0.80258141740016</v>
      </c>
      <c r="Q142" s="116" t="n">
        <f aca="false">Q85*01_Supuestos!$I$101</f>
        <v>0.821965853830485</v>
      </c>
      <c r="R142" s="116" t="n">
        <f aca="false">R85*01_Supuestos!$I$101</f>
        <v>0.841308260608542</v>
      </c>
      <c r="S142" s="116" t="n">
        <f aca="false">S85*01_Supuestos!$I$101</f>
        <v>0.86061480276456</v>
      </c>
      <c r="T142" s="116" t="n">
        <f aca="false">T85*01_Supuestos!$I$101</f>
        <v>0.879916751228838</v>
      </c>
      <c r="U142" s="116" t="n">
        <f aca="false">U85*01_Supuestos!$I$101</f>
        <v>0.899244753280731</v>
      </c>
      <c r="V142" s="116" t="n">
        <f aca="false">V85*01_Supuestos!$I$101</f>
        <v>0.918629307860056</v>
      </c>
      <c r="W142" s="116" t="n">
        <f aca="false">W85*01_Supuestos!$I$101</f>
        <v>0.937819635149329</v>
      </c>
      <c r="X142" s="116" t="n">
        <f aca="false">X85*01_Supuestos!$I$101</f>
        <v>0.956847655740271</v>
      </c>
      <c r="Y142" s="116" t="n">
        <f aca="false">Y85*01_Supuestos!$I$101</f>
        <v>0.975745533126364</v>
      </c>
      <c r="Z142" s="116" t="n">
        <f aca="false">Z85*01_Supuestos!$I$101</f>
        <v>0.994545616320216</v>
      </c>
      <c r="AA142" s="116" t="n">
        <f aca="false">AA85*01_Supuestos!$I$101</f>
        <v>1.01328048823183</v>
      </c>
      <c r="AB142" s="116" t="n">
        <f aca="false">AB85*01_Supuestos!$I$101</f>
        <v>1.03198915173192</v>
      </c>
      <c r="AC142" s="116" t="n">
        <f aca="false">AC85*01_Supuestos!$I$101</f>
        <v>1.05071083024018</v>
      </c>
      <c r="AD142" s="116" t="n">
        <f aca="false">AD85*01_Supuestos!$I$101</f>
        <v>1.06948501968836</v>
      </c>
      <c r="AE142" s="116" t="n">
        <f aca="false">AE85*01_Supuestos!$I$101</f>
        <v>1.0883515414031</v>
      </c>
      <c r="AF142" s="116" t="n">
        <f aca="false">AF85*01_Supuestos!$I$101</f>
        <v>1.10735059367098</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-18.32336341453</v>
      </c>
      <c r="G148" s="136" t="n">
        <f aca="false">G140+G141+G142+G144+G145+G146+G147</f>
        <v>-18.3539212501793</v>
      </c>
      <c r="H148" s="136" t="n">
        <f aca="false">H140+H141+H142+H144+H145+H146+H147</f>
        <v>-18.3822523984975</v>
      </c>
      <c r="I148" s="136" t="n">
        <f aca="false">I140+I141+I142+I144+I145+I146+I147</f>
        <v>-18.4085032886281</v>
      </c>
      <c r="J148" s="136" t="n">
        <f aca="false">J140+J141+J142+J144+J145+J146+J147</f>
        <v>-18.4328109267804</v>
      </c>
      <c r="K148" s="136" t="n">
        <f aca="false">K140+K141+K142+K144+K145+K146+K147</f>
        <v>-18.4553035087905</v>
      </c>
      <c r="L148" s="136" t="n">
        <f aca="false">L140+L141+L142+L144+L145+L146+L147</f>
        <v>-18.4863257808679</v>
      </c>
      <c r="M148" s="136" t="n">
        <f aca="false">M140+M141+M142+M144+M145+M146+M147</f>
        <v>2.22271304318892</v>
      </c>
      <c r="N148" s="136" t="n">
        <f aca="false">N140+N141+N142+N144+N145+N146+N147</f>
        <v>2.29247514970793</v>
      </c>
      <c r="O148" s="136" t="n">
        <f aca="false">O140+O141+O142+O144+O145+O146+O147</f>
        <v>2.26908070940104</v>
      </c>
      <c r="P148" s="136" t="n">
        <f aca="false">P140+P141+P142+P144+P145+P146+P147</f>
        <v>2.26817011451005</v>
      </c>
      <c r="Q148" s="136" t="n">
        <f aca="false">Q140+Q141+Q142+Q144+Q145+Q146+Q147</f>
        <v>2.26522831584833</v>
      </c>
      <c r="R148" s="136" t="n">
        <f aca="false">R140+R141+R142+R144+R145+R146+R147</f>
        <v>2.25996961362087</v>
      </c>
      <c r="S148" s="136" t="n">
        <f aca="false">S140+S141+S142+S144+S145+S146+S147</f>
        <v>2.25245085950672</v>
      </c>
      <c r="T148" s="136" t="n">
        <f aca="false">T140+T141+T142+T144+T145+T146+T147</f>
        <v>2.24271197098193</v>
      </c>
      <c r="U148" s="136" t="n">
        <f aca="false">U140+U141+U142+U144+U145+U146+U147</f>
        <v>2.2307886039078</v>
      </c>
      <c r="V148" s="136" t="n">
        <f aca="false">V140+V141+V142+V144+V145+V146+V147</f>
        <v>2.21671218883768</v>
      </c>
      <c r="W148" s="136" t="n">
        <f aca="false">W140+W141+W142+W144+W145+W146+W147</f>
        <v>2.20064553735543</v>
      </c>
      <c r="X148" s="136" t="n">
        <f aca="false">X140+X141+X142+X144+X145+X146+X147</f>
        <v>2.1826115270219</v>
      </c>
      <c r="Y148" s="136" t="n">
        <f aca="false">Y140+Y141+Y142+Y144+Y145+Y146+Y147</f>
        <v>2.16262931418846</v>
      </c>
      <c r="Z148" s="136" t="n">
        <f aca="false">Z140+Z141+Z142+Z144+Z145+Z146+Z147</f>
        <v>2.14071456165496</v>
      </c>
      <c r="AA148" s="136" t="n">
        <f aca="false">AA140+AA141+AA142+AA144+AA145+AA146+AA147</f>
        <v>2.11687960160754</v>
      </c>
      <c r="AB148" s="136" t="n">
        <f aca="false">AB140+AB141+AB142+AB144+AB145+AB146+AB147</f>
        <v>2.09113063044289</v>
      </c>
      <c r="AC148" s="136" t="n">
        <f aca="false">AC140+AC141+AC142+AC144+AC145+AC146+AC147</f>
        <v>2.0634708548472</v>
      </c>
      <c r="AD148" s="136" t="n">
        <f aca="false">AD140+AD141+AD142+AD144+AD145+AD146+AD147</f>
        <v>2.03390061658855</v>
      </c>
      <c r="AE148" s="136" t="n">
        <f aca="false">AE140+AE141+AE142+AE144+AE145+AE146+AE147</f>
        <v>2.00241750620812</v>
      </c>
      <c r="AF148" s="136" t="n">
        <f aca="false">AF140+AF141+AF142+AF144+AF145+AF146+AF147</f>
        <v>1.9690164673485</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-74.9602655252644</v>
      </c>
      <c r="G149" s="138" t="n">
        <f aca="false">F149+G148</f>
        <v>-93.3141867754437</v>
      </c>
      <c r="H149" s="138" t="n">
        <f aca="false">G149+H148</f>
        <v>-111.696439173941</v>
      </c>
      <c r="I149" s="138" t="n">
        <f aca="false">H149+I148</f>
        <v>-130.104942462569</v>
      </c>
      <c r="J149" s="138" t="n">
        <f aca="false">I149+J148</f>
        <v>-148.53775338935</v>
      </c>
      <c r="K149" s="138" t="n">
        <f aca="false">J149+K148</f>
        <v>-166.99305689814</v>
      </c>
      <c r="L149" s="138" t="n">
        <f aca="false">K149+L148</f>
        <v>-185.479382679008</v>
      </c>
      <c r="M149" s="138" t="n">
        <f aca="false">L149+M148</f>
        <v>-183.256669635819</v>
      </c>
      <c r="N149" s="138" t="n">
        <f aca="false">M149+N148</f>
        <v>-180.964194486111</v>
      </c>
      <c r="O149" s="138" t="n">
        <f aca="false">N149+O148</f>
        <v>-178.69511377671</v>
      </c>
      <c r="P149" s="138" t="n">
        <f aca="false">O149+P148</f>
        <v>-176.4269436622</v>
      </c>
      <c r="Q149" s="138" t="n">
        <f aca="false">P149+Q148</f>
        <v>-174.161715346352</v>
      </c>
      <c r="R149" s="138" t="n">
        <f aca="false">Q149+R148</f>
        <v>-171.901745732731</v>
      </c>
      <c r="S149" s="138" t="n">
        <f aca="false">R149+S148</f>
        <v>-169.649294873224</v>
      </c>
      <c r="T149" s="138" t="n">
        <f aca="false">S149+T148</f>
        <v>-167.406582902242</v>
      </c>
      <c r="U149" s="138" t="n">
        <f aca="false">T149+U148</f>
        <v>-165.175794298334</v>
      </c>
      <c r="V149" s="138" t="n">
        <f aca="false">U149+V148</f>
        <v>-162.959082109497</v>
      </c>
      <c r="W149" s="138" t="n">
        <f aca="false">V149+W148</f>
        <v>-160.758436572141</v>
      </c>
      <c r="X149" s="138" t="n">
        <f aca="false">W149+X148</f>
        <v>-158.575825045119</v>
      </c>
      <c r="Y149" s="138" t="n">
        <f aca="false">X149+Y148</f>
        <v>-156.413195730931</v>
      </c>
      <c r="Z149" s="138" t="n">
        <f aca="false">Y149+Z148</f>
        <v>-154.272481169276</v>
      </c>
      <c r="AA149" s="138" t="n">
        <f aca="false">Z149+AA148</f>
        <v>-152.155601567668</v>
      </c>
      <c r="AB149" s="138" t="n">
        <f aca="false">AA149+AB148</f>
        <v>-150.064470937226</v>
      </c>
      <c r="AC149" s="138" t="n">
        <f aca="false">AB149+AC148</f>
        <v>-148.001000082378</v>
      </c>
      <c r="AD149" s="138" t="n">
        <f aca="false">AC149+AD148</f>
        <v>-145.96709946579</v>
      </c>
      <c r="AE149" s="138" t="n">
        <f aca="false">AD149+AE148</f>
        <v>-143.964681959582</v>
      </c>
      <c r="AF149" s="138" t="n">
        <f aca="false">AE149+AF148</f>
        <v>-141.995665492233</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140.326308610884</v>
      </c>
      <c r="M152" s="116" t="n">
        <f aca="false">M83</f>
        <v>152.565731846548</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35.1038595527686</v>
      </c>
      <c r="E153" s="116" t="n">
        <f aca="false">E120</f>
        <v>53.0720061406802</v>
      </c>
      <c r="F153" s="116" t="n">
        <f aca="false">F120</f>
        <v>61.8615311429605</v>
      </c>
      <c r="G153" s="116" t="n">
        <f aca="false">G120</f>
        <v>72.8447858473724</v>
      </c>
      <c r="H153" s="116" t="n">
        <f aca="false">H120</f>
        <v>85.489047213793</v>
      </c>
      <c r="I153" s="116" t="n">
        <f aca="false">I120</f>
        <v>99.8859200684854</v>
      </c>
      <c r="J153" s="116" t="n">
        <f aca="false">J120</f>
        <v>115.612055639854</v>
      </c>
      <c r="K153" s="116" t="n">
        <f aca="false">K120</f>
        <v>132.626319710305</v>
      </c>
      <c r="L153" s="116" t="n">
        <f aca="false">L120</f>
        <v>150.116028343596</v>
      </c>
      <c r="M153" s="116" t="n">
        <f aca="false">M120</f>
        <v>149.791589264538</v>
      </c>
      <c r="N153" s="116" t="n">
        <f aca="false">N120</f>
        <v>150.583332833716</v>
      </c>
      <c r="O153" s="116" t="n">
        <f aca="false">O120</f>
        <v>152.818309619816</v>
      </c>
      <c r="P153" s="116" t="n">
        <f aca="false">P120</f>
        <v>154.309463389045</v>
      </c>
      <c r="Q153" s="116" t="n">
        <f aca="false">Q120</f>
        <v>155.474252587674</v>
      </c>
      <c r="R153" s="116" t="n">
        <f aca="false">R120</f>
        <v>156.679879219942</v>
      </c>
      <c r="S153" s="116" t="n">
        <f aca="false">S120</f>
        <v>157.921489337663</v>
      </c>
      <c r="T153" s="116" t="n">
        <f aca="false">T120</f>
        <v>159.199965225748</v>
      </c>
      <c r="U153" s="116" t="n">
        <f aca="false">U120</f>
        <v>160.515914273531</v>
      </c>
      <c r="V153" s="116" t="n">
        <f aca="false">V120</f>
        <v>161.869940809306</v>
      </c>
      <c r="W153" s="116" t="n">
        <f aca="false">W120</f>
        <v>163.264938107606</v>
      </c>
      <c r="X153" s="116" t="n">
        <f aca="false">X120</f>
        <v>164.702111442539</v>
      </c>
      <c r="Y153" s="116" t="n">
        <f aca="false">Y120</f>
        <v>166.182445268179</v>
      </c>
      <c r="Z153" s="116" t="n">
        <f aca="false">Z120</f>
        <v>167.706624155633</v>
      </c>
      <c r="AA153" s="116" t="n">
        <f aca="false">AA120</f>
        <v>169.27535644541</v>
      </c>
      <c r="AB153" s="116" t="n">
        <f aca="false">AB120</f>
        <v>170.889325083366</v>
      </c>
      <c r="AC153" s="116" t="n">
        <f aca="false">AC120</f>
        <v>172.549225763065</v>
      </c>
      <c r="AD153" s="116" t="n">
        <f aca="false">AD120</f>
        <v>174.255772530209</v>
      </c>
      <c r="AE153" s="116" t="n">
        <f aca="false">AE120</f>
        <v>176.009705060582</v>
      </c>
      <c r="AF153" s="116" t="n">
        <f aca="false">AF120</f>
        <v>177.811788809735</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8.74497890063019</v>
      </c>
      <c r="M154" s="116" t="n">
        <f aca="false">M104</f>
        <v>9.05643735436075</v>
      </c>
      <c r="N154" s="116" t="n">
        <f aca="false">N104</f>
        <v>9.37023466448881</v>
      </c>
      <c r="O154" s="116" t="n">
        <f aca="false">O104</f>
        <v>9.67122530438007</v>
      </c>
      <c r="P154" s="116" t="n">
        <f aca="false">P104</f>
        <v>9.90841256049581</v>
      </c>
      <c r="Q154" s="116" t="n">
        <f aca="false">Q104</f>
        <v>10.1477265904998</v>
      </c>
      <c r="R154" s="116" t="n">
        <f aca="false">R104</f>
        <v>10.3865217359079</v>
      </c>
      <c r="S154" s="116" t="n">
        <f aca="false">S104</f>
        <v>10.6248741082044</v>
      </c>
      <c r="T154" s="116" t="n">
        <f aca="false">T104</f>
        <v>10.8631697682573</v>
      </c>
      <c r="U154" s="116" t="n">
        <f aca="false">U104</f>
        <v>11.1017870775399</v>
      </c>
      <c r="V154" s="116" t="n">
        <f aca="false">V104</f>
        <v>11.3411025661735</v>
      </c>
      <c r="W154" s="116" t="n">
        <f aca="false">W104</f>
        <v>11.5780201870288</v>
      </c>
      <c r="X154" s="116" t="n">
        <f aca="false">X104</f>
        <v>11.8129340214848</v>
      </c>
      <c r="Y154" s="116" t="n">
        <f aca="false">Y104</f>
        <v>12.0462411497082</v>
      </c>
      <c r="Z154" s="116" t="n">
        <f aca="false">Z104</f>
        <v>12.2783409422249</v>
      </c>
      <c r="AA154" s="116" t="n">
        <f aca="false">AA104</f>
        <v>12.509635657183</v>
      </c>
      <c r="AB154" s="116" t="n">
        <f aca="false">AB104</f>
        <v>12.7406068115052</v>
      </c>
      <c r="AC154" s="116" t="n">
        <f aca="false">AC104</f>
        <v>12.9717386449405</v>
      </c>
      <c r="AD154" s="116" t="n">
        <f aca="false">AD104</f>
        <v>13.2035187615847</v>
      </c>
      <c r="AE154" s="116" t="n">
        <f aca="false">AE104</f>
        <v>13.4364387827544</v>
      </c>
      <c r="AF154" s="116" t="n">
        <f aca="false">AF104</f>
        <v>13.6709949835923</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89.3239159395288</v>
      </c>
      <c r="L155" s="116" t="n">
        <f aca="false">L70+L121-L227</f>
        <v>97.9472094099993</v>
      </c>
      <c r="M155" s="116" t="n">
        <f aca="false">M70+M121-M227</f>
        <v>103.618109799481</v>
      </c>
      <c r="N155" s="116" t="n">
        <f aca="false">N70+N121-N227</f>
        <v>109.655275590992</v>
      </c>
      <c r="O155" s="116" t="n">
        <f aca="false">O70+O121-O227</f>
        <v>115.798749435804</v>
      </c>
      <c r="P155" s="116" t="n">
        <f aca="false">P70+P121-P227</f>
        <v>121.900488422673</v>
      </c>
      <c r="Q155" s="116" t="n">
        <f aca="false">Q70+Q121-Q227</f>
        <v>127.948353300441</v>
      </c>
      <c r="R155" s="116" t="n">
        <f aca="false">R70+R121-R227</f>
        <v>133.948220780869</v>
      </c>
      <c r="S155" s="116" t="n">
        <f aca="false">S70+S121-S227</f>
        <v>139.918280663505</v>
      </c>
      <c r="T155" s="116" t="n">
        <f aca="false">T70+T121-T227</f>
        <v>145.876329485438</v>
      </c>
      <c r="U155" s="116" t="n">
        <f aca="false">U70+U121-U227</f>
        <v>151.840004776606</v>
      </c>
      <c r="V155" s="116" t="n">
        <f aca="false">V70+V121-V227</f>
        <v>157.826811654692</v>
      </c>
      <c r="W155" s="116" t="n">
        <f aca="false">W70+W121-W227</f>
        <v>163.854327242304</v>
      </c>
      <c r="X155" s="116" t="n">
        <f aca="false">X70+X121-X227</f>
        <v>169.940149482368</v>
      </c>
      <c r="Y155" s="116" t="n">
        <f aca="false">Y70+Y121-Y227</f>
        <v>176.10186781515</v>
      </c>
      <c r="Z155" s="116" t="n">
        <f aca="false">Z70+Z121-Z227</f>
        <v>182.357086018024</v>
      </c>
      <c r="AA155" s="116" t="n">
        <f aca="false">AA70+AA121-AA227</f>
        <v>188.723440705908</v>
      </c>
      <c r="AB155" s="116" t="n">
        <f aca="false">AB70+AB121-AB227</f>
        <v>195.218626055997</v>
      </c>
      <c r="AC155" s="116" t="n">
        <f aca="false">AC70+AC121-AC227</f>
        <v>201.860419404016</v>
      </c>
      <c r="AD155" s="116" t="n">
        <f aca="false">AD70+AD121-AD227</f>
        <v>208.666707258498</v>
      </c>
      <c r="AE155" s="116" t="n">
        <f aca="false">AE70+AE121-AE227</f>
        <v>215.6555106298</v>
      </c>
      <c r="AF155" s="116" t="n">
        <f aca="false">AF70+AF121-AF227</f>
        <v>222.845009818159</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79.95545280556</v>
      </c>
      <c r="E156" s="136" t="n">
        <f aca="false">SUM(E152:E155)+E187</f>
        <v>120.991004323071</v>
      </c>
      <c r="F156" s="136" t="n">
        <f aca="false">SUM(F152:F155)+F187</f>
        <v>209.017221261074</v>
      </c>
      <c r="G156" s="136" t="n">
        <f aca="false">SUM(G152:G155)+G187</f>
        <v>251.029805243165</v>
      </c>
      <c r="H156" s="136" t="n">
        <f aca="false">SUM(H152:H155)+H187</f>
        <v>286.734520809523</v>
      </c>
      <c r="I156" s="136" t="n">
        <f aca="false">SUM(I152:I155)+I187</f>
        <v>324.582149440378</v>
      </c>
      <c r="J156" s="136" t="n">
        <f aca="false">SUM(J152:J155)+J187</f>
        <v>364.158038396588</v>
      </c>
      <c r="K156" s="136" t="n">
        <f aca="false">SUM(K152:K155)+K187</f>
        <v>405.513251389247</v>
      </c>
      <c r="L156" s="136" t="n">
        <f aca="false">SUM(L152:L155)+L187</f>
        <v>444.991507613746</v>
      </c>
      <c r="M156" s="136" t="n">
        <f aca="false">SUM(M152:M155)+M187</f>
        <v>463.989561207584</v>
      </c>
      <c r="N156" s="136" t="n">
        <f aca="false">SUM(N152:N155)+N187</f>
        <v>481.776689395458</v>
      </c>
      <c r="O156" s="136" t="n">
        <f aca="false">SUM(O152:O155)+O187</f>
        <v>495.335991131306</v>
      </c>
      <c r="P156" s="136" t="n">
        <f aca="false">SUM(P152:P155)+P187</f>
        <v>508.158168399259</v>
      </c>
      <c r="Q156" s="136" t="n">
        <f aca="false">SUM(Q152:Q155)+Q187</f>
        <v>520.717051998282</v>
      </c>
      <c r="R156" s="136" t="n">
        <f aca="false">SUM(R152:R155)+R187</f>
        <v>533.385715805339</v>
      </c>
      <c r="S156" s="136" t="n">
        <f aca="false">SUM(S152:S155)+S187</f>
        <v>546.18027334157</v>
      </c>
      <c r="T156" s="136" t="n">
        <f aca="false">SUM(T152:T155)+T187</f>
        <v>559.122553183982</v>
      </c>
      <c r="U156" s="136" t="n">
        <f aca="false">SUM(U152:U155)+U187</f>
        <v>572.23400587242</v>
      </c>
      <c r="V156" s="136" t="n">
        <f aca="false">SUM(V152:V155)+V187</f>
        <v>585.536009669044</v>
      </c>
      <c r="W156" s="136" t="n">
        <f aca="false">SUM(W152:W155)+W187</f>
        <v>599.048897732505</v>
      </c>
      <c r="X156" s="136" t="n">
        <f aca="false">SUM(X152:X155)+X187</f>
        <v>612.794894222456</v>
      </c>
      <c r="Y156" s="136" t="n">
        <f aca="false">SUM(Y152:Y155)+Y187</f>
        <v>626.796066592451</v>
      </c>
      <c r="Z156" s="136" t="n">
        <f aca="false">SUM(Z152:Z155)+Z187</f>
        <v>641.074270259562</v>
      </c>
      <c r="AA156" s="136" t="n">
        <f aca="false">SUM(AA152:AA155)+AA187</f>
        <v>655.651492992486</v>
      </c>
      <c r="AB156" s="136" t="n">
        <f aca="false">SUM(AB152:AB155)+AB187</f>
        <v>670.549908519085</v>
      </c>
      <c r="AC156" s="136" t="n">
        <f aca="false">SUM(AC152:AC155)+AC187</f>
        <v>685.791865443307</v>
      </c>
      <c r="AD156" s="136" t="n">
        <f aca="false">SUM(AD152:AD155)+AD187</f>
        <v>701.399921259097</v>
      </c>
      <c r="AE156" s="136" t="n">
        <f aca="false">SUM(AE152:AE155)+AE187</f>
        <v>717.396877404243</v>
      </c>
      <c r="AF156" s="136" t="n">
        <f aca="false">SUM(AF152:AF155)+AF187</f>
        <v>733.805806670009</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336.880656775944</v>
      </c>
      <c r="L157" s="116" t="n">
        <f aca="false">L69+L80+L121</f>
        <v>351.099072927131</v>
      </c>
      <c r="M157" s="116" t="n">
        <f aca="false">M69+M80+M121</f>
        <v>364.655490795757</v>
      </c>
      <c r="N157" s="116" t="n">
        <f aca="false">N69+N80+N121</f>
        <v>377.522257585295</v>
      </c>
      <c r="O157" s="116" t="n">
        <f aca="false">O69+O80+O121</f>
        <v>389.615948250993</v>
      </c>
      <c r="P157" s="116" t="n">
        <f aca="false">P69+P80+P121</f>
        <v>399.008593046456</v>
      </c>
      <c r="Q157" s="116" t="n">
        <f aca="false">Q69+Q80+Q121</f>
        <v>408.473285960304</v>
      </c>
      <c r="R157" s="116" t="n">
        <f aca="false">R69+R80+R121</f>
        <v>417.922200293769</v>
      </c>
      <c r="S157" s="116" t="n">
        <f aca="false">S69+S80+S121</f>
        <v>427.37067691854</v>
      </c>
      <c r="T157" s="116" t="n">
        <f aca="false">T69+T80+T121</f>
        <v>436.833747969129</v>
      </c>
      <c r="U157" s="116" t="n">
        <f aca="false">U69+U80+U121</f>
        <v>446.326371487911</v>
      </c>
      <c r="V157" s="116" t="n">
        <f aca="false">V69+V80+V121</f>
        <v>455.863458476725</v>
      </c>
      <c r="W157" s="116" t="n">
        <f aca="false">W69+W80+W121</f>
        <v>465.321220873262</v>
      </c>
      <c r="X157" s="116" t="n">
        <f aca="false">X69+X80+X121</f>
        <v>474.715424169384</v>
      </c>
      <c r="Y157" s="116" t="n">
        <f aca="false">Y69+Y80+Y121</f>
        <v>484.061924073328</v>
      </c>
      <c r="Z157" s="116" t="n">
        <f aca="false">Z69+Z80+Z121</f>
        <v>493.376690324451</v>
      </c>
      <c r="AA157" s="116" t="n">
        <f aca="false">AA69+AA80+AA121</f>
        <v>502.675826233184</v>
      </c>
      <c r="AB157" s="116" t="n">
        <f aca="false">AB69+AB80+AB121</f>
        <v>511.978629739858</v>
      </c>
      <c r="AC157" s="116" t="n">
        <f aca="false">AC69+AC80+AC121</f>
        <v>521.304532836398</v>
      </c>
      <c r="AD157" s="116" t="n">
        <f aca="false">AD69+AD80+AD121</f>
        <v>530.673127632882</v>
      </c>
      <c r="AE157" s="116" t="n">
        <f aca="false">AE69+AE80+AE121</f>
        <v>540.104191774578</v>
      </c>
      <c r="AF157" s="116" t="n">
        <f aca="false">AF69+AF80+AF121</f>
        <v>549.617713352191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184.103744421541</v>
      </c>
      <c r="M159" s="116" t="n">
        <f aca="false">M72</f>
        <v>196.061207163606</v>
      </c>
      <c r="N159" s="116" t="n">
        <f aca="false">N72</f>
        <v>206.407236836123</v>
      </c>
      <c r="O159" s="116" t="n">
        <f aca="false">O72</f>
        <v>212.384033685215</v>
      </c>
      <c r="P159" s="116" t="n">
        <f aca="false">P72</f>
        <v>217.629465148308</v>
      </c>
      <c r="Q159" s="116" t="n">
        <f aca="false">Q72</f>
        <v>222.62860188112</v>
      </c>
      <c r="R159" s="116" t="n">
        <f aca="false">R72</f>
        <v>227.747719169596</v>
      </c>
      <c r="S159" s="116" t="n">
        <f aca="false">S72</f>
        <v>232.983795809085</v>
      </c>
      <c r="T159" s="116" t="n">
        <f aca="false">T72</f>
        <v>238.339895290104</v>
      </c>
      <c r="U159" s="116" t="n">
        <f aca="false">U72</f>
        <v>243.818837859428</v>
      </c>
      <c r="V159" s="116" t="n">
        <f aca="false">V72</f>
        <v>249.423479079321</v>
      </c>
      <c r="W159" s="116" t="n">
        <f aca="false">W72</f>
        <v>255.155531964059</v>
      </c>
      <c r="X159" s="116" t="n">
        <f aca="false">X72</f>
        <v>261.018553633059</v>
      </c>
      <c r="Y159" s="116" t="n">
        <f aca="false">Y72</f>
        <v>267.01592627486</v>
      </c>
      <c r="Z159" s="116" t="n">
        <f aca="false">Z72</f>
        <v>273.150778308802</v>
      </c>
      <c r="AA159" s="116" t="n">
        <f aca="false">AA72</f>
        <v>279.426309587788</v>
      </c>
      <c r="AB159" s="116" t="n">
        <f aca="false">AB72</f>
        <v>285.845819579093</v>
      </c>
      <c r="AC159" s="116" t="n">
        <f aca="false">AC72</f>
        <v>292.412669965461</v>
      </c>
      <c r="AD159" s="116" t="n">
        <f aca="false">AD72</f>
        <v>299.130291907188</v>
      </c>
      <c r="AE159" s="116" t="n">
        <f aca="false">AE72</f>
        <v>306.002195010963</v>
      </c>
      <c r="AF159" s="116" t="n">
        <f aca="false">AF72</f>
        <v>313.031969176547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507.964694653947</v>
      </c>
      <c r="L160" s="136" t="n">
        <f aca="false">SUM(L157:L159)</f>
        <v>535.202817348672</v>
      </c>
      <c r="M160" s="136" t="n">
        <f aca="false">SUM(M157:M159)</f>
        <v>560.716697959363</v>
      </c>
      <c r="N160" s="136" t="n">
        <f aca="false">SUM(N157:N159)</f>
        <v>583.929494421417</v>
      </c>
      <c r="O160" s="136" t="n">
        <f aca="false">SUM(O157:O159)</f>
        <v>601.999981936207</v>
      </c>
      <c r="P160" s="136" t="n">
        <f aca="false">SUM(P157:P159)</f>
        <v>616.638058194764</v>
      </c>
      <c r="Q160" s="136" t="n">
        <f aca="false">SUM(Q157:Q159)</f>
        <v>631.101887841425</v>
      </c>
      <c r="R160" s="136" t="n">
        <f aca="false">SUM(R157:R159)</f>
        <v>645.669919463365</v>
      </c>
      <c r="S160" s="136" t="n">
        <f aca="false">SUM(S157:S159)</f>
        <v>660.354472727624</v>
      </c>
      <c r="T160" s="136" t="n">
        <f aca="false">SUM(T157:T159)</f>
        <v>675.173643259233</v>
      </c>
      <c r="U160" s="136" t="n">
        <f aca="false">SUM(U157:U159)</f>
        <v>690.145209347339</v>
      </c>
      <c r="V160" s="136" t="n">
        <f aca="false">SUM(V157:V159)</f>
        <v>705.286937556046</v>
      </c>
      <c r="W160" s="136" t="n">
        <f aca="false">SUM(W157:W159)</f>
        <v>720.476752837322</v>
      </c>
      <c r="X160" s="136" t="n">
        <f aca="false">SUM(X157:X159)</f>
        <v>735.733977802442</v>
      </c>
      <c r="Y160" s="136" t="n">
        <f aca="false">SUM(Y157:Y159)</f>
        <v>751.077850348188</v>
      </c>
      <c r="Z160" s="136" t="n">
        <f aca="false">SUM(Z157:Z159)</f>
        <v>766.527468633252</v>
      </c>
      <c r="AA160" s="136" t="n">
        <f aca="false">SUM(AA157:AA159)</f>
        <v>782.102135820972</v>
      </c>
      <c r="AB160" s="136" t="n">
        <f aca="false">SUM(AB157:AB159)</f>
        <v>797.824449318951</v>
      </c>
      <c r="AC160" s="136" t="n">
        <f aca="false">SUM(AC157:AC159)</f>
        <v>813.717202801859</v>
      </c>
      <c r="AD160" s="136" t="n">
        <f aca="false">SUM(AD157:AD159)</f>
        <v>829.803419540071</v>
      </c>
      <c r="AE160" s="136" t="n">
        <f aca="false">SUM(AE157:AE159)</f>
        <v>846.10638678554</v>
      </c>
      <c r="AF160" s="136" t="n">
        <f aca="false">SUM(AF157:AF159)</f>
        <v>862.649682528738</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-58.2803884221606</v>
      </c>
      <c r="E161" s="138" t="n">
        <f aca="false">E156-E160</f>
        <v>-72.8220340547052</v>
      </c>
      <c r="F161" s="138" t="n">
        <f aca="false">F156-F160</f>
        <v>-150.53882087251</v>
      </c>
      <c r="G161" s="138" t="n">
        <f aca="false">G156-G160</f>
        <v>-143.453546630034</v>
      </c>
      <c r="H161" s="138" t="n">
        <f aca="false">H156-H160</f>
        <v>-135.14560929965</v>
      </c>
      <c r="I161" s="138" t="n">
        <f aca="false">I156-I160</f>
        <v>-125.563981380522</v>
      </c>
      <c r="J161" s="138" t="n">
        <f aca="false">J156-J160</f>
        <v>-114.652485747762</v>
      </c>
      <c r="K161" s="138" t="n">
        <f aca="false">K156-K160</f>
        <v>-102.4514432647</v>
      </c>
      <c r="L161" s="138" t="n">
        <f aca="false">L156-L160</f>
        <v>-90.2113097349263</v>
      </c>
      <c r="M161" s="138" t="n">
        <f aca="false">M156-M160</f>
        <v>-96.7271367517795</v>
      </c>
      <c r="N161" s="138" t="n">
        <f aca="false">N156-N160</f>
        <v>-102.152805025959</v>
      </c>
      <c r="O161" s="138" t="n">
        <f aca="false">O156-O160</f>
        <v>-106.663990804902</v>
      </c>
      <c r="P161" s="138" t="n">
        <f aca="false">P156-P160</f>
        <v>-108.479889795505</v>
      </c>
      <c r="Q161" s="138" t="n">
        <f aca="false">Q156-Q160</f>
        <v>-110.384835843142</v>
      </c>
      <c r="R161" s="138" t="n">
        <f aca="false">R156-R160</f>
        <v>-112.284203658026</v>
      </c>
      <c r="S161" s="138" t="n">
        <f aca="false">S156-S160</f>
        <v>-114.174199386055</v>
      </c>
      <c r="T161" s="138" t="n">
        <f aca="false">T156-T160</f>
        <v>-116.051090075251</v>
      </c>
      <c r="U161" s="138" t="n">
        <f aca="false">U156-U160</f>
        <v>-117.911203474919</v>
      </c>
      <c r="V161" s="138" t="n">
        <f aca="false">V156-V160</f>
        <v>-119.750927887003</v>
      </c>
      <c r="W161" s="138" t="n">
        <f aca="false">W156-W160</f>
        <v>-121.427855104817</v>
      </c>
      <c r="X161" s="138" t="n">
        <f aca="false">X156-X160</f>
        <v>-122.939083579986</v>
      </c>
      <c r="Y161" s="138" t="n">
        <f aca="false">Y156-Y160</f>
        <v>-124.281783755737</v>
      </c>
      <c r="Z161" s="138" t="n">
        <f aca="false">Z156-Z160</f>
        <v>-125.45319837369</v>
      </c>
      <c r="AA161" s="138" t="n">
        <f aca="false">AA156-AA160</f>
        <v>-126.450642828486</v>
      </c>
      <c r="AB161" s="138" t="n">
        <f aca="false">AB156-AB160</f>
        <v>-127.274540799866</v>
      </c>
      <c r="AC161" s="138" t="n">
        <f aca="false">AC156-AC160</f>
        <v>-127.925337358553</v>
      </c>
      <c r="AD161" s="138" t="n">
        <f aca="false">AD156-AD160</f>
        <v>-128.403498280974</v>
      </c>
      <c r="AE161" s="138" t="n">
        <f aca="false">AE156-AE160</f>
        <v>-128.709509381297</v>
      </c>
      <c r="AF161" s="138" t="n">
        <f aca="false">AF156-AF160</f>
        <v>-128.84387585873</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-58.2803884221606</v>
      </c>
      <c r="E163" s="116" t="n">
        <f aca="false">D163+E53+E56+E58+E118+E119+E60+E113+E101-E115-E162</f>
        <v>-72.8220340547052</v>
      </c>
      <c r="F163" s="116" t="n">
        <f aca="false">E163+F53+F56+F58+F118+F119+F60+F113+F101-F115-F162</f>
        <v>-150.53882087251</v>
      </c>
      <c r="G163" s="116" t="n">
        <f aca="false">F163+G53+G56+G58+G118+G119+G60+G113+G101-G115-G162</f>
        <v>-143.453546630034</v>
      </c>
      <c r="H163" s="116" t="n">
        <f aca="false">G163+H53+H56+H58+H118+H119+H60+H113+H101-H115-H162</f>
        <v>-135.14560929965</v>
      </c>
      <c r="I163" s="116" t="n">
        <f aca="false">H163+I53+I56+I58+I118+I119+I60+I113+I101-I115-I162</f>
        <v>-125.563981380522</v>
      </c>
      <c r="J163" s="116" t="n">
        <f aca="false">I163+J53+J56+J58+J118+J119+J60+J113+J101-J115-J162</f>
        <v>-114.652485747762</v>
      </c>
      <c r="K163" s="116" t="n">
        <f aca="false">J163+K53+K56+K58+K118+K119+K60+K113+K101-K115-K162</f>
        <v>-102.4514432647</v>
      </c>
      <c r="L163" s="116" t="n">
        <f aca="false">K163+L53+L56+L58+L118+L119+L60+L113+L101-L115-L162</f>
        <v>-90.2113097349265</v>
      </c>
      <c r="M163" s="116" t="n">
        <f aca="false">L163+M53+M56+M58+M118+M119+M60+M113+M101-M115-M162</f>
        <v>-96.7271367517796</v>
      </c>
      <c r="N163" s="116" t="n">
        <f aca="false">M163+N53+N56+N58+N118+N119+N60+N113+N101-N115-N162</f>
        <v>-102.152805025959</v>
      </c>
      <c r="O163" s="116" t="n">
        <f aca="false">N163+O53+O56+O58+O118+O119+O60+O113+O101-O115-O162</f>
        <v>-106.663990804902</v>
      </c>
      <c r="P163" s="116" t="n">
        <f aca="false">O163+P53+P56+P58+P118+P119+P60+P113+P101-P115-P162</f>
        <v>-108.479889795505</v>
      </c>
      <c r="Q163" s="116" t="n">
        <f aca="false">P163+Q53+Q56+Q58+Q118+Q119+Q60+Q113+Q101-Q115-Q162</f>
        <v>-110.384835843142</v>
      </c>
      <c r="R163" s="116" t="n">
        <f aca="false">Q163+R53+R56+R58+R118+R119+R60+R113+R101-R115-R162</f>
        <v>-112.284203658026</v>
      </c>
      <c r="S163" s="116" t="n">
        <f aca="false">R163+S53+S56+S58+S118+S119+S60+S113+S101-S115-S162</f>
        <v>-114.174199386055</v>
      </c>
      <c r="T163" s="116" t="n">
        <f aca="false">S163+T53+T56+T58+T118+T119+T60+T113+T101-T115-T162</f>
        <v>-116.051090075251</v>
      </c>
      <c r="U163" s="116" t="n">
        <f aca="false">T163+U53+U56+U58+U118+U119+U60+U113+U101-U115-U162</f>
        <v>-117.911203474919</v>
      </c>
      <c r="V163" s="116" t="n">
        <f aca="false">U163+V53+V56+V58+V118+V119+V60+V113+V101-V115-V162</f>
        <v>-119.750927887003</v>
      </c>
      <c r="W163" s="116" t="n">
        <f aca="false">V163+W53+W56+W58+W118+W119+W60+W113+W101-W115-W162</f>
        <v>-121.427855104817</v>
      </c>
      <c r="X163" s="116" t="n">
        <f aca="false">W163+X53+X56+X58+X118+X119+X60+X113+X101-X115-X162</f>
        <v>-122.939083579986</v>
      </c>
      <c r="Y163" s="116" t="n">
        <f aca="false">X163+Y53+Y56+Y58+Y118+Y119+Y60+Y113+Y101-Y115-Y162</f>
        <v>-124.281783755737</v>
      </c>
      <c r="Z163" s="116" t="n">
        <f aca="false">Y163+Z53+Z56+Z58+Z118+Z119+Z60+Z113+Z101-Z115-Z162</f>
        <v>-125.45319837369</v>
      </c>
      <c r="AA163" s="116" t="n">
        <f aca="false">Z163+AA53+AA56+AA58+AA118+AA119+AA60+AA113+AA101-AA115-AA162</f>
        <v>-126.450642828486</v>
      </c>
      <c r="AB163" s="116" t="n">
        <f aca="false">AA163+AB53+AB56+AB58+AB118+AB119+AB60+AB113+AB101-AB115-AB162</f>
        <v>-127.274540799866</v>
      </c>
      <c r="AC163" s="116" t="n">
        <f aca="false">AB163+AC53+AC56+AC58+AC118+AC119+AC60+AC113+AC101-AC115-AC162</f>
        <v>-127.925337358553</v>
      </c>
      <c r="AD163" s="116" t="n">
        <f aca="false">AC163+AD53+AD56+AD58+AD118+AD119+AD60+AD113+AD101-AD115-AD162</f>
        <v>-128.403498280974</v>
      </c>
      <c r="AE163" s="116" t="n">
        <f aca="false">AD163+AE53+AE56+AE58+AE118+AE119+AE60+AE113+AE101-AE115-AE162</f>
        <v>-128.709509381298</v>
      </c>
      <c r="AF163" s="116" t="n">
        <f aca="false">AE163+AF53+AF56+AF58+AF118+AF119+AF60+AF113+AF101-AF115-AF162</f>
        <v>-128.84387585873</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1365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64.9685725576113</v>
      </c>
      <c r="M186" s="142" t="n">
        <f aca="false">M84-M181</f>
        <v>59.513956207072</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-78.2974655252644</v>
      </c>
      <c r="G192" s="142" t="n">
        <f aca="false">G149-SUM($C$191:G191)</f>
        <v>-98.8761867754437</v>
      </c>
      <c r="H192" s="142" t="n">
        <f aca="false">H149-SUM($C$191:H191)</f>
        <v>-120.039439173941</v>
      </c>
      <c r="I192" s="142" t="n">
        <f aca="false">I149-SUM($C$191:I191)</f>
        <v>-141.785142462569</v>
      </c>
      <c r="J192" s="142" t="n">
        <f aca="false">J149-SUM($C$191:J191)</f>
        <v>-164.11135338935</v>
      </c>
      <c r="K192" s="142" t="n">
        <f aca="false">K149-SUM($C$191:K191)</f>
        <v>-187.01625689814</v>
      </c>
      <c r="L192" s="142" t="n">
        <f aca="false">L149-SUM($C$191:L191)</f>
        <v>-210.508382679008</v>
      </c>
      <c r="M192" s="142" t="n">
        <f aca="false">M149-SUM($C$191:M191)</f>
        <v>-213.847669635819</v>
      </c>
      <c r="N192" s="142" t="n">
        <f aca="false">N149-SUM($C$191:N191)</f>
        <v>-217.117194486111</v>
      </c>
      <c r="O192" s="142" t="n">
        <f aca="false">O149-SUM($C$191:O191)</f>
        <v>-220.41011377671</v>
      </c>
      <c r="P192" s="142" t="n">
        <f aca="false">P149-SUM($C$191:P191)</f>
        <v>-223.7039436622</v>
      </c>
      <c r="Q192" s="142" t="n">
        <f aca="false">Q149-SUM($C$191:Q191)</f>
        <v>-227.000715346352</v>
      </c>
      <c r="R192" s="142" t="n">
        <f aca="false">R149-SUM($C$191:R191)</f>
        <v>-230.302745732731</v>
      </c>
      <c r="S192" s="142" t="n">
        <f aca="false">S149-SUM($C$191:S191)</f>
        <v>-233.612294873224</v>
      </c>
      <c r="T192" s="142" t="n">
        <f aca="false">T149-SUM($C$191:T191)</f>
        <v>-236.931582902242</v>
      </c>
      <c r="U192" s="142" t="n">
        <f aca="false">U149-SUM($C$191:U191)</f>
        <v>-240.262794298334</v>
      </c>
      <c r="V192" s="142" t="n">
        <f aca="false">V149-SUM($C$191:V191)</f>
        <v>-243.608082109497</v>
      </c>
      <c r="W192" s="142" t="n">
        <f aca="false">W149-SUM($C$191:W191)</f>
        <v>-246.969436572141</v>
      </c>
      <c r="X192" s="142" t="n">
        <f aca="false">X149-SUM($C$191:X191)</f>
        <v>-250.348825045119</v>
      </c>
      <c r="Y192" s="142" t="n">
        <f aca="false">Y149-SUM($C$191:Y191)</f>
        <v>-253.748195730931</v>
      </c>
      <c r="Z192" s="142" t="n">
        <f aca="false">Z149-SUM($C$191:Z191)</f>
        <v>-257.169481169276</v>
      </c>
      <c r="AA192" s="142" t="n">
        <f aca="false">AA149-SUM($C$191:AA191)</f>
        <v>-260.614601567668</v>
      </c>
      <c r="AB192" s="142" t="n">
        <f aca="false">AB149-SUM($C$191:AB191)</f>
        <v>-264.085470937226</v>
      </c>
      <c r="AC192" s="142" t="n">
        <f aca="false">AC149-SUM($C$191:AC191)</f>
        <v>-267.584000082378</v>
      </c>
      <c r="AD192" s="142" t="n">
        <f aca="false">AD149-SUM($C$191:AD191)</f>
        <v>-271.11209946579</v>
      </c>
      <c r="AE192" s="142" t="n">
        <f aca="false">AE149-SUM($C$191:AE191)</f>
        <v>-274.671681959582</v>
      </c>
      <c r="AF192" s="142" t="n">
        <f aca="false">AF149-SUM($C$191:AF191)</f>
        <v>-278.264665492233</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5" hidden="false" customHeight="true" outlineLevel="0" collapsed="false">
      <c r="B196" s="7" t="s">
        <v>1373</v>
      </c>
    </row>
    <row r="197" customFormat="false" ht="15" hidden="false" customHeight="true" outlineLevel="0" collapsed="false">
      <c r="B197" s="103" t="s">
        <v>1374</v>
      </c>
      <c r="C197" s="149" t="n">
        <f aca="false">64_Inflacion!C5</f>
        <v>294.5</v>
      </c>
    </row>
    <row r="198" customFormat="false" ht="15" hidden="false" customHeight="true" outlineLevel="0" collapsed="false">
      <c r="B198" s="103" t="s">
        <v>1375</v>
      </c>
      <c r="C198" s="150" t="n">
        <v>0.25</v>
      </c>
    </row>
    <row r="199" customFormat="false" ht="15" hidden="false" customHeight="true" outlineLevel="0" collapsed="false">
      <c r="B199" s="103" t="s">
        <v>1376</v>
      </c>
      <c r="C199" s="141" t="n">
        <v>0.03</v>
      </c>
    </row>
    <row r="200" customFormat="false" ht="15" hidden="false" customHeight="true" outlineLevel="0" collapsed="false">
      <c r="B200" s="103" t="s">
        <v>1377</v>
      </c>
      <c r="C200" s="141" t="n">
        <v>0.003</v>
      </c>
    </row>
    <row r="201" customFormat="false" ht="15" hidden="false" customHeight="true" outlineLevel="0" collapsed="false">
      <c r="B201" s="103" t="s">
        <v>1378</v>
      </c>
      <c r="C201" s="151" t="s">
        <v>1379</v>
      </c>
    </row>
    <row r="203" customFormat="false" ht="15" hidden="false" customHeight="true" outlineLevel="0" collapsed="false">
      <c r="B203" s="103" t="s">
        <v>1380</v>
      </c>
      <c r="C203" s="88" t="n">
        <f aca="false">$C$197*C41/$C$41</f>
        <v>294.5</v>
      </c>
      <c r="D203" s="88" t="n">
        <f aca="false">$C$197*D41/$C$41</f>
        <v>301.2735</v>
      </c>
      <c r="E203" s="88" t="n">
        <f aca="false">$C$197*E41/$C$41</f>
        <v>308.2027905</v>
      </c>
      <c r="F203" s="88" t="n">
        <f aca="false">$C$197*F41/$C$41</f>
        <v>315.2914546815</v>
      </c>
      <c r="G203" s="88" t="n">
        <f aca="false">$C$197*G41/$C$41</f>
        <v>322.543158139174</v>
      </c>
      <c r="H203" s="88" t="n">
        <f aca="false">$C$197*H41/$C$41</f>
        <v>329.961650776375</v>
      </c>
      <c r="I203" s="88" t="n">
        <f aca="false">$C$197*I41/$C$41</f>
        <v>337.550768744232</v>
      </c>
      <c r="J203" s="88" t="n">
        <f aca="false">$C$197*J41/$C$41</f>
        <v>345.314436425349</v>
      </c>
      <c r="K203" s="88" t="n">
        <f aca="false">$C$197*K41/$C$41</f>
        <v>353.256668463132</v>
      </c>
      <c r="L203" s="88" t="n">
        <f aca="false">$C$197*L41/$C$41</f>
        <v>361.381571837784</v>
      </c>
      <c r="M203" s="88" t="n">
        <f aca="false">$C$197*M41/$C$41</f>
        <v>369.693347990053</v>
      </c>
      <c r="N203" s="88" t="n">
        <f aca="false">$C$197*N41/$C$41</f>
        <v>378.196294993825</v>
      </c>
      <c r="O203" s="88" t="n">
        <f aca="false">$C$197*O41/$C$41</f>
        <v>386.894809778682</v>
      </c>
      <c r="P203" s="88" t="n">
        <f aca="false">$C$197*P41/$C$41</f>
        <v>395.793390403592</v>
      </c>
      <c r="Q203" s="88" t="n">
        <f aca="false">$C$197*Q41/$C$41</f>
        <v>404.896638382875</v>
      </c>
      <c r="R203" s="88" t="n">
        <f aca="false">$C$197*R41/$C$41</f>
        <v>414.209261065681</v>
      </c>
      <c r="S203" s="88" t="n">
        <f aca="false">$C$197*S41/$C$41</f>
        <v>423.736074070191</v>
      </c>
      <c r="T203" s="88" t="n">
        <f aca="false">$C$197*T41/$C$41</f>
        <v>433.482003773806</v>
      </c>
      <c r="U203" s="88" t="n">
        <f aca="false">$C$197*U41/$C$41</f>
        <v>443.452089860603</v>
      </c>
      <c r="V203" s="88" t="n">
        <f aca="false">$C$197*V41/$C$41</f>
        <v>453.651487927397</v>
      </c>
      <c r="W203" s="88" t="n">
        <f aca="false">$C$197*W41/$C$41</f>
        <v>464.085472149727</v>
      </c>
      <c r="X203" s="88" t="n">
        <f aca="false">$C$197*X41/$C$41</f>
        <v>474.759438009171</v>
      </c>
      <c r="Y203" s="88" t="n">
        <f aca="false">$C$197*Y41/$C$41</f>
        <v>485.678905083382</v>
      </c>
      <c r="Z203" s="88" t="n">
        <f aca="false">$C$197*Z41/$C$41</f>
        <v>496.8495199003</v>
      </c>
      <c r="AA203" s="88" t="n">
        <f aca="false">$C$197*AA41/$C$41</f>
        <v>508.277058858006</v>
      </c>
      <c r="AB203" s="88" t="n">
        <f aca="false">$C$197*AB41/$C$41</f>
        <v>519.96743121174</v>
      </c>
      <c r="AC203" s="88" t="n">
        <f aca="false">$C$197*AC41/$C$41</f>
        <v>531.92668212961</v>
      </c>
      <c r="AD203" s="88" t="n">
        <f aca="false">$C$197*AD41/$C$41</f>
        <v>544.160995818591</v>
      </c>
      <c r="AE203" s="88" t="n">
        <f aca="false">$C$197*AE41/$C$41</f>
        <v>556.676698722419</v>
      </c>
      <c r="AF203" s="88" t="n">
        <f aca="false">$C$197*AF41/$C$41</f>
        <v>569.480262793035</v>
      </c>
      <c r="AG203" s="88"/>
      <c r="AH203" s="88"/>
      <c r="AI203" s="88"/>
      <c r="AJ203" s="88"/>
      <c r="AK203" s="88"/>
      <c r="AL203" s="88"/>
      <c r="AM203" s="88"/>
      <c r="AN203" s="88"/>
      <c r="AO203" s="88"/>
      <c r="AP203" s="88"/>
      <c r="AQ203" s="88"/>
      <c r="AR203" s="88"/>
      <c r="AS203" s="88"/>
      <c r="AT203" s="88"/>
      <c r="AU203" s="88"/>
      <c r="AV203" s="88"/>
      <c r="AW203" s="88"/>
      <c r="AX203" s="88"/>
      <c r="AY203" s="88"/>
      <c r="AZ203" s="88"/>
      <c r="BA203" s="88"/>
      <c r="BB203" s="88"/>
      <c r="BC203" s="88"/>
      <c r="BD203" s="88"/>
      <c r="BE203" s="88"/>
      <c r="BF203" s="88"/>
      <c r="BG203" s="88"/>
      <c r="BH203" s="88"/>
      <c r="BI203" s="88"/>
      <c r="BJ203" s="88"/>
      <c r="BK203" s="88"/>
      <c r="BL203" s="88"/>
      <c r="BM203" s="88"/>
      <c r="BN203" s="88"/>
      <c r="BO203" s="88"/>
      <c r="BP203" s="88"/>
      <c r="BQ203" s="88"/>
      <c r="BR203" s="88"/>
      <c r="BS203" s="88"/>
      <c r="BT203" s="88"/>
    </row>
    <row r="204" customFormat="false" ht="15" hidden="false" customHeight="true" outlineLevel="0" collapsed="false">
      <c r="B204" s="103" t="s">
        <v>1381</v>
      </c>
      <c r="C204" s="87" t="n">
        <f aca="false">C83/C203</f>
        <v>0.0441426146010187</v>
      </c>
      <c r="D204" s="87" t="n">
        <f aca="false">D83/D203</f>
        <v>0.0872927755013302</v>
      </c>
      <c r="E204" s="87" t="n">
        <f aca="false">E83/E203</f>
        <v>0.129472795931742</v>
      </c>
      <c r="F204" s="87" t="n">
        <f aca="false">F83/F203</f>
        <v>0.170704487457072</v>
      </c>
      <c r="G204" s="87" t="n">
        <f aca="false">G83/G203</f>
        <v>0.211009171255048</v>
      </c>
      <c r="H204" s="87" t="n">
        <f aca="false">H83/H203</f>
        <v>0.250407689141632</v>
      </c>
      <c r="I204" s="87" t="n">
        <f aca="false">I83/I203</f>
        <v>0.28892041434846</v>
      </c>
      <c r="J204" s="87" t="n">
        <f aca="false">J83/J203</f>
        <v>0.326567262057969</v>
      </c>
      <c r="K204" s="87" t="n">
        <f aca="false">K83/K203</f>
        <v>0.363367699701672</v>
      </c>
      <c r="L204" s="87" t="n">
        <f aca="false">L83/L203</f>
        <v>0.388305103376641</v>
      </c>
      <c r="M204" s="87" t="n">
        <f aca="false">M83/M203</f>
        <v>0.41268184206185</v>
      </c>
      <c r="N204" s="87" t="n">
        <f aca="false">N83/N203</f>
        <v>0.428571428571429</v>
      </c>
      <c r="O204" s="87" t="n">
        <f aca="false">O83/O203</f>
        <v>0.428571428571429</v>
      </c>
      <c r="P204" s="87" t="n">
        <f aca="false">P83/P203</f>
        <v>0.428571428571429</v>
      </c>
      <c r="Q204" s="87" t="n">
        <f aca="false">Q83/Q203</f>
        <v>0.428571428571429</v>
      </c>
      <c r="R204" s="87" t="n">
        <f aca="false">R83/R203</f>
        <v>0.428571428571429</v>
      </c>
      <c r="S204" s="87" t="n">
        <f aca="false">S83/S203</f>
        <v>0.428571428571429</v>
      </c>
      <c r="T204" s="87" t="n">
        <f aca="false">T83/T203</f>
        <v>0.428571428571429</v>
      </c>
      <c r="U204" s="87" t="n">
        <f aca="false">U83/U203</f>
        <v>0.428571428571429</v>
      </c>
      <c r="V204" s="87" t="n">
        <f aca="false">V83/V203</f>
        <v>0.428571428571429</v>
      </c>
      <c r="W204" s="87" t="n">
        <f aca="false">W83/W203</f>
        <v>0.428571428571429</v>
      </c>
      <c r="X204" s="87" t="n">
        <f aca="false">X83/X203</f>
        <v>0.428571428571429</v>
      </c>
      <c r="Y204" s="87" t="n">
        <f aca="false">Y83/Y203</f>
        <v>0.428571428571429</v>
      </c>
      <c r="Z204" s="87" t="n">
        <f aca="false">Z83/Z203</f>
        <v>0.428571428571429</v>
      </c>
      <c r="AA204" s="87" t="n">
        <f aca="false">AA83/AA203</f>
        <v>0.428571428571429</v>
      </c>
      <c r="AB204" s="87" t="n">
        <f aca="false">AB83/AB203</f>
        <v>0.428571428571429</v>
      </c>
      <c r="AC204" s="87" t="n">
        <f aca="false">AC83/AC203</f>
        <v>0.428571428571429</v>
      </c>
      <c r="AD204" s="87" t="n">
        <f aca="false">AD83/AD203</f>
        <v>0.428571428571429</v>
      </c>
      <c r="AE204" s="87" t="n">
        <f aca="false">AE83/AE203</f>
        <v>0.428571428571429</v>
      </c>
      <c r="AF204" s="87" t="n">
        <f aca="false">AF83/AF203</f>
        <v>0.428571428571429</v>
      </c>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c r="BG204" s="87"/>
      <c r="BH204" s="87"/>
      <c r="BI204" s="87"/>
      <c r="BJ204" s="87"/>
      <c r="BK204" s="87"/>
      <c r="BL204" s="87"/>
      <c r="BM204" s="87"/>
      <c r="BN204" s="87"/>
      <c r="BO204" s="87"/>
      <c r="BP204" s="87"/>
      <c r="BQ204" s="87"/>
      <c r="BR204" s="87"/>
      <c r="BS204" s="87"/>
      <c r="BT204" s="87"/>
    </row>
    <row r="205" customFormat="false" ht="15" hidden="false" customHeight="true" outlineLevel="0" collapsed="false">
      <c r="B205" s="103" t="s">
        <v>1382</v>
      </c>
      <c r="C205" s="87" t="n">
        <f aca="false">C83/(C203+C83)</f>
        <v>0.0422764227642276</v>
      </c>
      <c r="D205" s="87" t="n">
        <f aca="false">D83/(D203+D83)</f>
        <v>0.0802845171679552</v>
      </c>
      <c r="E205" s="87" t="n">
        <f aca="false">E83/(E203+E83)</f>
        <v>0.114631176950956</v>
      </c>
      <c r="F205" s="87" t="n">
        <f aca="false">F83/(F203+F83)</f>
        <v>0.145813473242821</v>
      </c>
      <c r="G205" s="87" t="n">
        <f aca="false">G83/(G203+G83)</f>
        <v>0.174242422158013</v>
      </c>
      <c r="H205" s="87" t="n">
        <f aca="false">H83/(H203+H83)</f>
        <v>0.200260835978648</v>
      </c>
      <c r="I205" s="87" t="n">
        <f aca="false">I83/(I203+I83)</f>
        <v>0.224156907697445</v>
      </c>
      <c r="J205" s="87" t="n">
        <f aca="false">J83/(J203+J83)</f>
        <v>0.246174673081672</v>
      </c>
      <c r="K205" s="87" t="n">
        <f aca="false">K83/(K203+K83)</f>
        <v>0.266522156701514</v>
      </c>
      <c r="L205" s="87" t="n">
        <f aca="false">L83/(L203+L83)</f>
        <v>0.27969723833198</v>
      </c>
      <c r="M205" s="87" t="n">
        <f aca="false">M83/(M203+M83)</f>
        <v>0.292126528263101</v>
      </c>
      <c r="N205" s="87" t="n">
        <f aca="false">N83/(N203+N83)</f>
        <v>0.3</v>
      </c>
      <c r="O205" s="87" t="n">
        <f aca="false">O83/(O203+O83)</f>
        <v>0.3</v>
      </c>
      <c r="P205" s="87" t="n">
        <f aca="false">P83/(P203+P83)</f>
        <v>0.3</v>
      </c>
      <c r="Q205" s="87" t="n">
        <f aca="false">Q83/(Q203+Q83)</f>
        <v>0.3</v>
      </c>
      <c r="R205" s="87" t="n">
        <f aca="false">R83/(R203+R83)</f>
        <v>0.3</v>
      </c>
      <c r="S205" s="87" t="n">
        <f aca="false">S83/(S203+S83)</f>
        <v>0.3</v>
      </c>
      <c r="T205" s="87" t="n">
        <f aca="false">T83/(T203+T83)</f>
        <v>0.3</v>
      </c>
      <c r="U205" s="87" t="n">
        <f aca="false">U83/(U203+U83)</f>
        <v>0.3</v>
      </c>
      <c r="V205" s="87" t="n">
        <f aca="false">V83/(V203+V83)</f>
        <v>0.3</v>
      </c>
      <c r="W205" s="87" t="n">
        <f aca="false">W83/(W203+W83)</f>
        <v>0.3</v>
      </c>
      <c r="X205" s="87" t="n">
        <f aca="false">X83/(X203+X83)</f>
        <v>0.3</v>
      </c>
      <c r="Y205" s="87" t="n">
        <f aca="false">Y83/(Y203+Y83)</f>
        <v>0.3</v>
      </c>
      <c r="Z205" s="87" t="n">
        <f aca="false">Z83/(Z203+Z83)</f>
        <v>0.3</v>
      </c>
      <c r="AA205" s="87" t="n">
        <f aca="false">AA83/(AA203+AA83)</f>
        <v>0.3</v>
      </c>
      <c r="AB205" s="87" t="n">
        <f aca="false">AB83/(AB203+AB83)</f>
        <v>0.3</v>
      </c>
      <c r="AC205" s="87" t="n">
        <f aca="false">AC83/(AC203+AC83)</f>
        <v>0.3</v>
      </c>
      <c r="AD205" s="87" t="n">
        <f aca="false">AD83/(AD203+AD83)</f>
        <v>0.3</v>
      </c>
      <c r="AE205" s="87" t="n">
        <f aca="false">AE83/(AE203+AE83)</f>
        <v>0.3</v>
      </c>
      <c r="AF205" s="87" t="n">
        <f aca="false">AF83/(AF203+AF83)</f>
        <v>0.3</v>
      </c>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c r="BG205" s="87"/>
      <c r="BH205" s="87"/>
      <c r="BI205" s="87"/>
      <c r="BJ205" s="87"/>
      <c r="BK205" s="87"/>
      <c r="BL205" s="87"/>
      <c r="BM205" s="87"/>
      <c r="BN205" s="87"/>
      <c r="BO205" s="87"/>
      <c r="BP205" s="87"/>
      <c r="BQ205" s="87"/>
      <c r="BR205" s="87"/>
      <c r="BS205" s="87"/>
      <c r="BT205" s="87"/>
    </row>
    <row r="206" customFormat="false" ht="15" hidden="false" customHeight="true" outlineLevel="0" collapsed="false">
      <c r="B206" s="103" t="s">
        <v>1383</v>
      </c>
      <c r="C206" s="1" t="n">
        <v>0</v>
      </c>
      <c r="D206" s="1" t="n">
        <f aca="false">IF($C$201="No",0,IF(AND(C205&gt;$C$198,OR($C$201="Siempre",$C$8&gt;$C$200)),1,0))</f>
        <v>0</v>
      </c>
      <c r="E206" s="1" t="n">
        <f aca="false">IF($C$201="No",0,IF(AND(D205&gt;$C$198,OR($C$201="Siempre",$C$8&gt;$C$200)),1,0))</f>
        <v>0</v>
      </c>
      <c r="F206" s="1" t="n">
        <f aca="false">IF($C$201="No",0,IF(AND(E205&gt;$C$198,OR($C$201="Siempre",$C$8&gt;$C$200)),1,0))</f>
        <v>0</v>
      </c>
      <c r="G206" s="1" t="n">
        <f aca="false">IF($C$201="No",0,IF(AND(F205&gt;$C$198,OR($C$201="Siempre",$C$8&gt;$C$200)),1,0))</f>
        <v>0</v>
      </c>
      <c r="H206" s="1" t="n">
        <f aca="false">IF($C$201="No",0,IF(AND(G205&gt;$C$198,OR($C$201="Siempre",$C$8&gt;$C$200)),1,0))</f>
        <v>0</v>
      </c>
      <c r="I206" s="1" t="n">
        <f aca="false">IF($C$201="No",0,IF(AND(H205&gt;$C$198,OR($C$201="Siempre",$C$8&gt;$C$200)),1,0))</f>
        <v>0</v>
      </c>
      <c r="J206" s="1" t="n">
        <f aca="false">IF($C$201="No",0,IF(AND(I205&gt;$C$198,OR($C$201="Siempre",$C$8&gt;$C$200)),1,0))</f>
        <v>0</v>
      </c>
      <c r="K206" s="1" t="n">
        <f aca="false">IF($C$201="No",0,IF(AND(J205&gt;$C$198,OR($C$201="Siempre",$C$8&gt;$C$200)),1,0))</f>
        <v>0</v>
      </c>
      <c r="L206" s="1" t="n">
        <f aca="false">IF($C$201="No",0,IF(AND(K205&gt;$C$198,OR($C$201="Siempre",$C$8&gt;$C$200)),1,0))</f>
        <v>1</v>
      </c>
      <c r="M206" s="1" t="n">
        <f aca="false">IF($C$201="No",0,IF(AND(L205&gt;$C$198,OR($C$201="Siempre",$C$8&gt;$C$200)),1,0))</f>
        <v>1</v>
      </c>
      <c r="N206" s="1" t="n">
        <f aca="false">IF($C$201="No",0,IF(AND(M205&gt;$C$198,OR($C$201="Siempre",$C$8&gt;$C$200)),1,0))</f>
        <v>1</v>
      </c>
      <c r="O206" s="1" t="n">
        <f aca="false">IF($C$201="No",0,IF(AND(N205&gt;$C$198,OR($C$201="Siempre",$C$8&gt;$C$200)),1,0))</f>
        <v>1</v>
      </c>
      <c r="P206" s="1" t="n">
        <f aca="false">IF($C$201="No",0,IF(AND(O205&gt;$C$198,OR($C$201="Siempre",$C$8&gt;$C$200)),1,0))</f>
        <v>1</v>
      </c>
      <c r="Q206" s="1" t="n">
        <f aca="false">IF($C$201="No",0,IF(AND(P205&gt;$C$198,OR($C$201="Siempre",$C$8&gt;$C$200)),1,0))</f>
        <v>1</v>
      </c>
      <c r="R206" s="1" t="n">
        <f aca="false">IF($C$201="No",0,IF(AND(Q205&gt;$C$198,OR($C$201="Siempre",$C$8&gt;$C$200)),1,0))</f>
        <v>1</v>
      </c>
      <c r="S206" s="1" t="n">
        <f aca="false">IF($C$201="No",0,IF(AND(R205&gt;$C$198,OR($C$201="Siempre",$C$8&gt;$C$200)),1,0))</f>
        <v>1</v>
      </c>
      <c r="T206" s="1" t="n">
        <f aca="false">IF($C$201="No",0,IF(AND(S205&gt;$C$198,OR($C$201="Siempre",$C$8&gt;$C$200)),1,0))</f>
        <v>1</v>
      </c>
      <c r="U206" s="1" t="n">
        <f aca="false">IF($C$201="No",0,IF(AND(T205&gt;$C$198,OR($C$201="Siempre",$C$8&gt;$C$200)),1,0))</f>
        <v>1</v>
      </c>
      <c r="V206" s="1" t="n">
        <f aca="false">IF($C$201="No",0,IF(AND(U205&gt;$C$198,OR($C$201="Siempre",$C$8&gt;$C$200)),1,0))</f>
        <v>1</v>
      </c>
      <c r="W206" s="1" t="n">
        <f aca="false">IF($C$201="No",0,IF(AND(V205&gt;$C$198,OR($C$201="Siempre",$C$8&gt;$C$200)),1,0))</f>
        <v>1</v>
      </c>
      <c r="X206" s="1" t="n">
        <f aca="false">IF($C$201="No",0,IF(AND(W205&gt;$C$198,OR($C$201="Siempre",$C$8&gt;$C$200)),1,0))</f>
        <v>1</v>
      </c>
      <c r="Y206" s="1" t="n">
        <f aca="false">IF($C$201="No",0,IF(AND(X205&gt;$C$198,OR($C$201="Siempre",$C$8&gt;$C$200)),1,0))</f>
        <v>1</v>
      </c>
      <c r="Z206" s="1" t="n">
        <f aca="false">IF($C$201="No",0,IF(AND(Y205&gt;$C$198,OR($C$201="Siempre",$C$8&gt;$C$200)),1,0))</f>
        <v>1</v>
      </c>
      <c r="AA206" s="1" t="n">
        <f aca="false">IF($C$201="No",0,IF(AND(Z205&gt;$C$198,OR($C$201="Siempre",$C$8&gt;$C$200)),1,0))</f>
        <v>1</v>
      </c>
      <c r="AB206" s="1" t="n">
        <f aca="false">IF($C$201="No",0,IF(AND(AA205&gt;$C$198,OR($C$201="Siempre",$C$8&gt;$C$200)),1,0))</f>
        <v>1</v>
      </c>
      <c r="AC206" s="1" t="n">
        <f aca="false">IF($C$201="No",0,IF(AND(AB205&gt;$C$198,OR($C$201="Siempre",$C$8&gt;$C$200)),1,0))</f>
        <v>1</v>
      </c>
      <c r="AD206" s="1" t="n">
        <f aca="false">IF($C$201="No",0,IF(AND(AC205&gt;$C$198,OR($C$201="Siempre",$C$8&gt;$C$200)),1,0))</f>
        <v>1</v>
      </c>
      <c r="AE206" s="1" t="n">
        <f aca="false">IF($C$201="No",0,IF(AND(AD205&gt;$C$198,OR($C$201="Siempre",$C$8&gt;$C$200)),1,0))</f>
        <v>1</v>
      </c>
      <c r="AF206" s="1" t="n">
        <f aca="false">IF($C$201="No",0,IF(AND(AE205&gt;$C$198,OR($C$201="Siempre",$C$8&gt;$C$200)),1,0))</f>
        <v>1</v>
      </c>
    </row>
    <row r="207" customFormat="false" ht="15" hidden="false" customHeight="true" outlineLevel="0" collapsed="false">
      <c r="B207" s="103" t="s">
        <v>1384</v>
      </c>
      <c r="C207" s="87" t="n">
        <f aca="false">IF(C206=1,$C$199,IF(C$39&lt;=01_Supuestos!$C$182,01_Supuestos!$C$181,$C$174))</f>
        <v>0.04</v>
      </c>
      <c r="D207" s="87" t="n">
        <f aca="false">IF(D206=1,$C$199,IF(D$39&lt;=01_Supuestos!$C$182,01_Supuestos!$C$181,$C$174))</f>
        <v>0.04</v>
      </c>
      <c r="E207" s="87" t="n">
        <f aca="false">IF(E206=1,$C$199,IF(E$39&lt;=01_Supuestos!$C$182,01_Supuestos!$C$181,$C$174))</f>
        <v>0.04</v>
      </c>
      <c r="F207" s="87" t="n">
        <f aca="false">IF(F206=1,$C$199,IF(F$39&lt;=01_Supuestos!$C$182,01_Supuestos!$C$181,$C$174))</f>
        <v>0.04</v>
      </c>
      <c r="G207" s="87" t="n">
        <f aca="false">IF(G206=1,$C$199,IF(G$39&lt;=01_Supuestos!$C$182,01_Supuestos!$C$181,$C$174))</f>
        <v>0.04</v>
      </c>
      <c r="H207" s="87" t="n">
        <f aca="false">IF(H206=1,$C$199,IF(H$39&lt;=01_Supuestos!$C$182,01_Supuestos!$C$181,$C$174))</f>
        <v>0.04</v>
      </c>
      <c r="I207" s="87" t="n">
        <f aca="false">IF(I206=1,$C$199,IF(I$39&lt;=01_Supuestos!$C$182,01_Supuestos!$C$181,$C$174))</f>
        <v>0.04</v>
      </c>
      <c r="J207" s="87" t="n">
        <f aca="false">IF(J206=1,$C$199,IF(J$39&lt;=01_Supuestos!$C$182,01_Supuestos!$C$181,$C$174))</f>
        <v>0.04</v>
      </c>
      <c r="K207" s="87" t="n">
        <f aca="false">IF(K206=1,$C$199,IF(K$39&lt;=01_Supuestos!$C$182,01_Supuestos!$C$181,$C$174))</f>
        <v>0.04</v>
      </c>
      <c r="L207" s="87" t="n">
        <f aca="false">IF(L206=1,$C$199,IF(L$39&lt;=01_Supuestos!$C$182,01_Supuestos!$C$181,$C$174))</f>
        <v>0.03</v>
      </c>
      <c r="M207" s="87" t="n">
        <f aca="false">IF(M206=1,$C$199,IF(M$39&lt;=01_Supuestos!$C$182,01_Supuestos!$C$181,$C$174))</f>
        <v>0.03</v>
      </c>
      <c r="N207" s="87" t="n">
        <f aca="false">IF(N206=1,$C$199,IF(N$39&lt;=01_Supuestos!$C$182,01_Supuestos!$C$181,$C$174))</f>
        <v>0.03</v>
      </c>
      <c r="O207" s="87" t="n">
        <f aca="false">IF(O206=1,$C$199,IF(O$39&lt;=01_Supuestos!$C$182,01_Supuestos!$C$181,$C$174))</f>
        <v>0.03</v>
      </c>
      <c r="P207" s="87" t="n">
        <f aca="false">IF(P206=1,$C$199,IF(P$39&lt;=01_Supuestos!$C$182,01_Supuestos!$C$181,$C$174))</f>
        <v>0.03</v>
      </c>
      <c r="Q207" s="87" t="n">
        <f aca="false">IF(Q206=1,$C$199,IF(Q$39&lt;=01_Supuestos!$C$182,01_Supuestos!$C$181,$C$174))</f>
        <v>0.03</v>
      </c>
      <c r="R207" s="87" t="n">
        <f aca="false">IF(R206=1,$C$199,IF(R$39&lt;=01_Supuestos!$C$182,01_Supuestos!$C$181,$C$174))</f>
        <v>0.03</v>
      </c>
      <c r="S207" s="87" t="n">
        <f aca="false">IF(S206=1,$C$199,IF(S$39&lt;=01_Supuestos!$C$182,01_Supuestos!$C$181,$C$174))</f>
        <v>0.03</v>
      </c>
      <c r="T207" s="87" t="n">
        <f aca="false">IF(T206=1,$C$199,IF(T$39&lt;=01_Supuestos!$C$182,01_Supuestos!$C$181,$C$174))</f>
        <v>0.03</v>
      </c>
      <c r="U207" s="87" t="n">
        <f aca="false">IF(U206=1,$C$199,IF(U$39&lt;=01_Supuestos!$C$182,01_Supuestos!$C$181,$C$174))</f>
        <v>0.03</v>
      </c>
      <c r="V207" s="87" t="n">
        <f aca="false">IF(V206=1,$C$199,IF(V$39&lt;=01_Supuestos!$C$182,01_Supuestos!$C$181,$C$174))</f>
        <v>0.03</v>
      </c>
      <c r="W207" s="87" t="n">
        <f aca="false">IF(W206=1,$C$199,IF(W$39&lt;=01_Supuestos!$C$182,01_Supuestos!$C$181,$C$174))</f>
        <v>0.03</v>
      </c>
      <c r="X207" s="87" t="n">
        <f aca="false">IF(X206=1,$C$199,IF(X$39&lt;=01_Supuestos!$C$182,01_Supuestos!$C$181,$C$174))</f>
        <v>0.03</v>
      </c>
      <c r="Y207" s="87" t="n">
        <f aca="false">IF(Y206=1,$C$199,IF(Y$39&lt;=01_Supuestos!$C$182,01_Supuestos!$C$181,$C$174))</f>
        <v>0.03</v>
      </c>
      <c r="Z207" s="87" t="n">
        <f aca="false">IF(Z206=1,$C$199,IF(Z$39&lt;=01_Supuestos!$C$182,01_Supuestos!$C$181,$C$174))</f>
        <v>0.03</v>
      </c>
      <c r="AA207" s="87" t="n">
        <f aca="false">IF(AA206=1,$C$199,IF(AA$39&lt;=01_Supuestos!$C$182,01_Supuestos!$C$181,$C$174))</f>
        <v>0.03</v>
      </c>
      <c r="AB207" s="87" t="n">
        <f aca="false">IF(AB206=1,$C$199,IF(AB$39&lt;=01_Supuestos!$C$182,01_Supuestos!$C$181,$C$174))</f>
        <v>0.03</v>
      </c>
      <c r="AC207" s="87" t="n">
        <f aca="false">IF(AC206=1,$C$199,IF(AC$39&lt;=01_Supuestos!$C$182,01_Supuestos!$C$181,$C$174))</f>
        <v>0.03</v>
      </c>
      <c r="AD207" s="87" t="n">
        <f aca="false">IF(AD206=1,$C$199,IF(AD$39&lt;=01_Supuestos!$C$182,01_Supuestos!$C$181,$C$174))</f>
        <v>0.03</v>
      </c>
      <c r="AE207" s="87" t="n">
        <f aca="false">IF(AE206=1,$C$199,IF(AE$39&lt;=01_Supuestos!$C$182,01_Supuestos!$C$181,$C$174))</f>
        <v>0.03</v>
      </c>
      <c r="AF207" s="87" t="n">
        <f aca="false">IF(AF206=1,$C$199,IF(AF$39&lt;=01_Supuestos!$C$182,01_Supuestos!$C$181,$C$174))</f>
        <v>0.03</v>
      </c>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87"/>
      <c r="BJ207" s="87"/>
      <c r="BK207" s="87"/>
      <c r="BL207" s="87"/>
      <c r="BM207" s="87"/>
      <c r="BN207" s="87"/>
      <c r="BO207" s="87"/>
      <c r="BP207" s="87"/>
      <c r="BQ207" s="87"/>
      <c r="BR207" s="87"/>
      <c r="BS207" s="87"/>
      <c r="BT207" s="87"/>
    </row>
    <row r="208" customFormat="false" ht="15" hidden="false" customHeight="true" outlineLevel="0" collapsed="false">
      <c r="B208" s="103" t="s">
        <v>1385</v>
      </c>
      <c r="C208" s="1" t="n">
        <f aca="false">C206</f>
        <v>0</v>
      </c>
      <c r="D208" s="1" t="n">
        <f aca="false">C208+D206</f>
        <v>0</v>
      </c>
      <c r="E208" s="1" t="n">
        <f aca="false">D208+E206</f>
        <v>0</v>
      </c>
      <c r="F208" s="1" t="n">
        <f aca="false">E208+F206</f>
        <v>0</v>
      </c>
      <c r="G208" s="1" t="n">
        <f aca="false">F208+G206</f>
        <v>0</v>
      </c>
      <c r="H208" s="1" t="n">
        <f aca="false">G208+H206</f>
        <v>0</v>
      </c>
      <c r="I208" s="1" t="n">
        <f aca="false">H208+I206</f>
        <v>0</v>
      </c>
      <c r="J208" s="1" t="n">
        <f aca="false">I208+J206</f>
        <v>0</v>
      </c>
      <c r="K208" s="1" t="n">
        <f aca="false">J208+K206</f>
        <v>0</v>
      </c>
      <c r="L208" s="1" t="n">
        <f aca="false">K208+L206</f>
        <v>1</v>
      </c>
      <c r="M208" s="1" t="n">
        <f aca="false">L208+M206</f>
        <v>2</v>
      </c>
      <c r="N208" s="1" t="n">
        <f aca="false">M208+N206</f>
        <v>3</v>
      </c>
      <c r="O208" s="1" t="n">
        <f aca="false">N208+O206</f>
        <v>4</v>
      </c>
      <c r="P208" s="1" t="n">
        <f aca="false">O208+P206</f>
        <v>5</v>
      </c>
      <c r="Q208" s="1" t="n">
        <f aca="false">P208+Q206</f>
        <v>6</v>
      </c>
      <c r="R208" s="1" t="n">
        <f aca="false">Q208+R206</f>
        <v>7</v>
      </c>
      <c r="S208" s="1" t="n">
        <f aca="false">R208+S206</f>
        <v>8</v>
      </c>
      <c r="T208" s="1" t="n">
        <f aca="false">S208+T206</f>
        <v>9</v>
      </c>
      <c r="U208" s="1" t="n">
        <f aca="false">T208+U206</f>
        <v>10</v>
      </c>
      <c r="V208" s="1" t="n">
        <f aca="false">U208+V206</f>
        <v>11</v>
      </c>
      <c r="W208" s="1" t="n">
        <f aca="false">V208+W206</f>
        <v>12</v>
      </c>
      <c r="X208" s="1" t="n">
        <f aca="false">W208+X206</f>
        <v>13</v>
      </c>
      <c r="Y208" s="1" t="n">
        <f aca="false">X208+Y206</f>
        <v>14</v>
      </c>
      <c r="Z208" s="1" t="n">
        <f aca="false">Y208+Z206</f>
        <v>15</v>
      </c>
      <c r="AA208" s="1" t="n">
        <f aca="false">Z208+AA206</f>
        <v>16</v>
      </c>
      <c r="AB208" s="1" t="n">
        <f aca="false">AA208+AB206</f>
        <v>17</v>
      </c>
      <c r="AC208" s="1" t="n">
        <f aca="false">AB208+AC206</f>
        <v>18</v>
      </c>
      <c r="AD208" s="1" t="n">
        <f aca="false">AC208+AD206</f>
        <v>19</v>
      </c>
      <c r="AE208" s="1" t="n">
        <f aca="false">AD208+AE206</f>
        <v>20</v>
      </c>
      <c r="AF208" s="1" t="n">
        <f aca="false">AE208+AF206</f>
        <v>21</v>
      </c>
    </row>
    <row r="209" customFormat="false" ht="15" hidden="false" customHeight="true" outlineLevel="0" collapsed="false">
      <c r="B209" s="103" t="s">
        <v>1386</v>
      </c>
      <c r="C209" s="88" t="n">
        <f aca="false">IF($C$201="Tope",$C$198/(1-$C$198)*C203,1E+099)</f>
        <v>1E+099</v>
      </c>
      <c r="D209" s="88" t="n">
        <f aca="false">IF($C$201="Tope",$C$198/(1-$C$198)*D203,1E+099)</f>
        <v>1E+099</v>
      </c>
      <c r="E209" s="88" t="n">
        <f aca="false">IF($C$201="Tope",$C$198/(1-$C$198)*E203,1E+099)</f>
        <v>1E+099</v>
      </c>
      <c r="F209" s="88" t="n">
        <f aca="false">IF($C$201="Tope",$C$198/(1-$C$198)*F203,1E+099)</f>
        <v>1E+099</v>
      </c>
      <c r="G209" s="88" t="n">
        <f aca="false">IF($C$201="Tope",$C$198/(1-$C$198)*G203,1E+099)</f>
        <v>1E+099</v>
      </c>
      <c r="H209" s="88" t="n">
        <f aca="false">IF($C$201="Tope",$C$198/(1-$C$198)*H203,1E+099)</f>
        <v>1E+099</v>
      </c>
      <c r="I209" s="88" t="n">
        <f aca="false">IF($C$201="Tope",$C$198/(1-$C$198)*I203,1E+099)</f>
        <v>1E+099</v>
      </c>
      <c r="J209" s="88" t="n">
        <f aca="false">IF($C$201="Tope",$C$198/(1-$C$198)*J203,1E+099)</f>
        <v>1E+099</v>
      </c>
      <c r="K209" s="88" t="n">
        <f aca="false">IF($C$201="Tope",$C$198/(1-$C$198)*K203,1E+099)</f>
        <v>1E+099</v>
      </c>
      <c r="L209" s="88" t="n">
        <f aca="false">IF($C$201="Tope",$C$198/(1-$C$198)*L203,1E+099)</f>
        <v>1E+099</v>
      </c>
      <c r="M209" s="88" t="n">
        <f aca="false">IF($C$201="Tope",$C$198/(1-$C$198)*M203,1E+099)</f>
        <v>1E+099</v>
      </c>
      <c r="N209" s="88" t="n">
        <f aca="false">IF($C$201="Tope",$C$198/(1-$C$198)*N203,1E+099)</f>
        <v>1E+099</v>
      </c>
      <c r="O209" s="88" t="n">
        <f aca="false">IF($C$201="Tope",$C$198/(1-$C$198)*O203,1E+099)</f>
        <v>1E+099</v>
      </c>
      <c r="P209" s="88" t="n">
        <f aca="false">IF($C$201="Tope",$C$198/(1-$C$198)*P203,1E+099)</f>
        <v>1E+099</v>
      </c>
      <c r="Q209" s="88" t="n">
        <f aca="false">IF($C$201="Tope",$C$198/(1-$C$198)*Q203,1E+099)</f>
        <v>1E+099</v>
      </c>
      <c r="R209" s="88" t="n">
        <f aca="false">IF($C$201="Tope",$C$198/(1-$C$198)*R203,1E+099)</f>
        <v>1E+099</v>
      </c>
      <c r="S209" s="88" t="n">
        <f aca="false">IF($C$201="Tope",$C$198/(1-$C$198)*S203,1E+099)</f>
        <v>1E+099</v>
      </c>
      <c r="T209" s="88" t="n">
        <f aca="false">IF($C$201="Tope",$C$198/(1-$C$198)*T203,1E+099)</f>
        <v>1E+099</v>
      </c>
      <c r="U209" s="88" t="n">
        <f aca="false">IF($C$201="Tope",$C$198/(1-$C$198)*U203,1E+099)</f>
        <v>1E+099</v>
      </c>
      <c r="V209" s="88" t="n">
        <f aca="false">IF($C$201="Tope",$C$198/(1-$C$198)*V203,1E+099)</f>
        <v>1E+099</v>
      </c>
      <c r="W209" s="88" t="n">
        <f aca="false">IF($C$201="Tope",$C$198/(1-$C$198)*W203,1E+099)</f>
        <v>1E+099</v>
      </c>
      <c r="X209" s="88" t="n">
        <f aca="false">IF($C$201="Tope",$C$198/(1-$C$198)*X203,1E+099)</f>
        <v>1E+099</v>
      </c>
      <c r="Y209" s="88" t="n">
        <f aca="false">IF($C$201="Tope",$C$198/(1-$C$198)*Y203,1E+099)</f>
        <v>1E+099</v>
      </c>
      <c r="Z209" s="88" t="n">
        <f aca="false">IF($C$201="Tope",$C$198/(1-$C$198)*Z203,1E+099)</f>
        <v>1E+099</v>
      </c>
      <c r="AA209" s="88" t="n">
        <f aca="false">IF($C$201="Tope",$C$198/(1-$C$198)*AA203,1E+099)</f>
        <v>1E+099</v>
      </c>
      <c r="AB209" s="88" t="n">
        <f aca="false">IF($C$201="Tope",$C$198/(1-$C$198)*AB203,1E+099)</f>
        <v>1E+099</v>
      </c>
      <c r="AC209" s="88" t="n">
        <f aca="false">IF($C$201="Tope",$C$198/(1-$C$198)*AC203,1E+099)</f>
        <v>1E+099</v>
      </c>
      <c r="AD209" s="88" t="n">
        <f aca="false">IF($C$201="Tope",$C$198/(1-$C$198)*AD203,1E+099)</f>
        <v>1E+099</v>
      </c>
      <c r="AE209" s="88" t="n">
        <f aca="false">IF($C$201="Tope",$C$198/(1-$C$198)*AE203,1E+099)</f>
        <v>1E+099</v>
      </c>
      <c r="AF209" s="88" t="n">
        <f aca="false">IF($C$201="Tope",$C$198/(1-$C$198)*AF203,1E+099)</f>
        <v>1E+099</v>
      </c>
      <c r="AG209" s="88"/>
      <c r="AH209" s="88"/>
      <c r="AI209" s="88"/>
      <c r="AJ209" s="88"/>
      <c r="AK209" s="88"/>
      <c r="AL209" s="88"/>
      <c r="AM209" s="88"/>
      <c r="AN209" s="88"/>
      <c r="AO209" s="88"/>
      <c r="AP209" s="88"/>
      <c r="AQ209" s="88"/>
      <c r="AR209" s="88"/>
      <c r="AS209" s="88"/>
      <c r="AT209" s="88"/>
      <c r="AU209" s="88"/>
      <c r="AV209" s="88"/>
      <c r="AW209" s="88"/>
      <c r="AX209" s="88"/>
      <c r="AY209" s="88"/>
      <c r="AZ209" s="88"/>
      <c r="BA209" s="88"/>
      <c r="BB209" s="88"/>
      <c r="BC209" s="88"/>
      <c r="BD209" s="88"/>
      <c r="BE209" s="88"/>
      <c r="BF209" s="88"/>
      <c r="BG209" s="88"/>
      <c r="BH209" s="88"/>
      <c r="BI209" s="88"/>
      <c r="BJ209" s="88"/>
      <c r="BK209" s="88"/>
      <c r="BL209" s="88"/>
      <c r="BM209" s="88"/>
      <c r="BN209" s="88"/>
      <c r="BO209" s="88"/>
      <c r="BP209" s="88"/>
      <c r="BQ209" s="88"/>
      <c r="BR209" s="88"/>
      <c r="BS209" s="88"/>
      <c r="BT209" s="88"/>
    </row>
    <row r="210" customFormat="false" ht="15" hidden="false" customHeight="true" outlineLevel="0" collapsed="false">
      <c r="B210" s="83" t="s">
        <v>1387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0.349799156025208</v>
      </c>
      <c r="M221" s="116" t="n">
        <f aca="false">M112</f>
        <v>0.36225749417443</v>
      </c>
      <c r="N221" s="116" t="n">
        <f aca="false">N112</f>
        <v>0.374809386579552</v>
      </c>
      <c r="O221" s="116" t="n">
        <f aca="false">O112</f>
        <v>0.386849012175203</v>
      </c>
      <c r="P221" s="116" t="n">
        <f aca="false">P112</f>
        <v>0.396336502419832</v>
      </c>
      <c r="Q221" s="116" t="n">
        <f aca="false">Q112</f>
        <v>0.405909063619993</v>
      </c>
      <c r="R221" s="116" t="n">
        <f aca="false">R112</f>
        <v>0.415460869436317</v>
      </c>
      <c r="S221" s="116" t="n">
        <f aca="false">S112</f>
        <v>0.424994964328178</v>
      </c>
      <c r="T221" s="116" t="n">
        <f aca="false">T112</f>
        <v>0.43452679073029</v>
      </c>
      <c r="U221" s="116" t="n">
        <f aca="false">U112</f>
        <v>0.444071483101595</v>
      </c>
      <c r="V221" s="116" t="n">
        <f aca="false">V112</f>
        <v>0.453644102646941</v>
      </c>
      <c r="W221" s="116" t="n">
        <f aca="false">W112</f>
        <v>0.46312080748115</v>
      </c>
      <c r="X221" s="116" t="n">
        <f aca="false">X112</f>
        <v>0.472517360859393</v>
      </c>
      <c r="Y221" s="116" t="n">
        <f aca="false">Y112</f>
        <v>0.481849645988328</v>
      </c>
      <c r="Z221" s="116" t="n">
        <f aca="false">Z112</f>
        <v>0.491133637688996</v>
      </c>
      <c r="AA221" s="116" t="n">
        <f aca="false">AA112</f>
        <v>0.500385426287322</v>
      </c>
      <c r="AB221" s="116" t="n">
        <f aca="false">AB112</f>
        <v>0.509624272460208</v>
      </c>
      <c r="AC221" s="116" t="n">
        <f aca="false">AC112</f>
        <v>0.518869545797619</v>
      </c>
      <c r="AD221" s="116" t="n">
        <f aca="false">AD112</f>
        <v>0.52814075046339</v>
      </c>
      <c r="AE221" s="116" t="n">
        <f aca="false">AE112</f>
        <v>0.537457551310175</v>
      </c>
      <c r="AF221" s="116" t="n">
        <f aca="false">AF112</f>
        <v>0.546839799343693</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7.39838392993862</v>
      </c>
      <c r="M222" s="87" t="n">
        <f aca="false">IF(M221&gt;0,M220/M221,0)</f>
        <v>7.53950031668055</v>
      </c>
      <c r="N222" s="87" t="n">
        <f aca="false">IF(N221&gt;0,N220/N221,0)</f>
        <v>7.49424754504921</v>
      </c>
      <c r="O222" s="87" t="n">
        <f aca="false">IF(O221&gt;0,O220/O221,0)</f>
        <v>7.32491206120948</v>
      </c>
      <c r="P222" s="87" t="n">
        <f aca="false">IF(P221&gt;0,P220/P221,0)</f>
        <v>6.68847132375407</v>
      </c>
      <c r="Q222" s="87" t="n">
        <f aca="false">IF(Q221&gt;0,Q220/Q221,0)</f>
        <v>6.1095500591792</v>
      </c>
      <c r="R222" s="87" t="n">
        <f aca="false">IF(R221&gt;0,R220/R221,0)</f>
        <v>5.58412183721234</v>
      </c>
      <c r="S222" s="87" t="n">
        <f aca="false">IF(S221&gt;0,S220/S221,0)</f>
        <v>5.10679308117765</v>
      </c>
      <c r="T222" s="87" t="n">
        <f aca="false">IF(T221&gt;0,T220/T221,0)</f>
        <v>4.67264214790891</v>
      </c>
      <c r="U222" s="87" t="n">
        <f aca="false">IF(U221&gt;0,U220/U221,0)</f>
        <v>4.27733464695817</v>
      </c>
      <c r="V222" s="87" t="n">
        <f aca="false">IF(V221&gt;0,V220/V221,0)</f>
        <v>3.91703885653447</v>
      </c>
      <c r="W222" s="87" t="n">
        <f aca="false">IF(W221&gt;0,W220/W221,0)</f>
        <v>3.58943331960574</v>
      </c>
      <c r="X222" s="87" t="n">
        <f aca="false">IF(X221&gt;0,X220/X221,0)</f>
        <v>3.29116342932389</v>
      </c>
      <c r="Y222" s="87" t="n">
        <f aca="false">IF(Y221&gt;0,Y220/Y221,0)</f>
        <v>3.01927526088633</v>
      </c>
      <c r="Z222" s="87" t="n">
        <f aca="false">IF(Z221&gt;0,Z220/Z221,0)</f>
        <v>2.77116003686461</v>
      </c>
      <c r="AA222" s="87" t="n">
        <f aca="false">IF(AA221&gt;0,AA220/AA221,0)</f>
        <v>2.5445071142531</v>
      </c>
      <c r="AB222" s="87" t="n">
        <f aca="false">IF(AB221&gt;0,AB220/AB221,0)</f>
        <v>2.33725044927328</v>
      </c>
      <c r="AC222" s="87" t="n">
        <f aca="false">IF(AC221&gt;0,AC220/AC221,0)</f>
        <v>2.14755457743814</v>
      </c>
      <c r="AD222" s="87" t="n">
        <f aca="false">IF(AD221&gt;0,AD220/AD221,0)</f>
        <v>1.9737845594847</v>
      </c>
      <c r="AE222" s="87" t="n">
        <f aca="false">IF(AE221&gt;0,AE220/AE221,0)</f>
        <v>1.8144804399857</v>
      </c>
      <c r="AF222" s="87" t="n">
        <f aca="false">IF(AF221&gt;0,AF220/AF221,0)</f>
        <v>1.6683354545551</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2.23814929861778</v>
      </c>
      <c r="M223" s="88" t="n">
        <f aca="false">M220-M221</f>
        <v>2.36898299787359</v>
      </c>
      <c r="N223" s="88" t="n">
        <f aca="false">N220-N221</f>
        <v>2.43410493865566</v>
      </c>
      <c r="O223" s="88" t="n">
        <f aca="false">O220-O221</f>
        <v>2.44678598297391</v>
      </c>
      <c r="P223" s="88" t="n">
        <f aca="false">P220-P221</f>
        <v>2.2545488285722</v>
      </c>
      <c r="Q223" s="88" t="n">
        <f aca="false">Q220-Q221</f>
        <v>2.07401268004091</v>
      </c>
      <c r="R223" s="88" t="n">
        <f aca="false">R220-R221</f>
        <v>1.90452324409024</v>
      </c>
      <c r="S223" s="88" t="n">
        <f aca="false">S220-S221</f>
        <v>1.7453663790383</v>
      </c>
      <c r="T223" s="88" t="n">
        <f aca="false">T220-T221</f>
        <v>1.59586140603166</v>
      </c>
      <c r="U223" s="88" t="n">
        <f aca="false">U220-U221</f>
        <v>1.45537085729496</v>
      </c>
      <c r="V223" s="88" t="n">
        <f aca="false">V220-V221</f>
        <v>1.32329747445884</v>
      </c>
      <c r="W223" s="88" t="n">
        <f aca="false">W220-W221</f>
        <v>1.19922044989441</v>
      </c>
      <c r="X223" s="88" t="n">
        <f aca="false">X220-X221</f>
        <v>1.08261449692168</v>
      </c>
      <c r="Y223" s="88" t="n">
        <f aca="false">Y220-Y221</f>
        <v>0.972987069611065</v>
      </c>
      <c r="Z223" s="88" t="n">
        <f aca="false">Z220-Z221</f>
        <v>0.869876271834694</v>
      </c>
      <c r="AA223" s="88" t="n">
        <f aca="false">AA220-AA221</f>
        <v>0.772848850769339</v>
      </c>
      <c r="AB223" s="88" t="n">
        <f aca="false">AB220-AB221</f>
        <v>0.681495287307981</v>
      </c>
      <c r="AC223" s="88" t="n">
        <f aca="false">AC220-AC221</f>
        <v>0.595431122373307</v>
      </c>
      <c r="AD223" s="88" t="n">
        <f aca="false">AD220-AD221</f>
        <v>0.51429530803591</v>
      </c>
      <c r="AE223" s="88" t="n">
        <f aca="false">AE220-AE221</f>
        <v>0.437748662864749</v>
      </c>
      <c r="AF223" s="88" t="n">
        <f aca="false">AF220-AF221</f>
        <v>0.365472425863187</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0.0353755274227365</v>
      </c>
      <c r="F233" s="1" t="n">
        <f aca="false">IF(E81&gt;0,(F107+F109+F110+F184-F108-F229)/E81,0)</f>
        <v>0.046240631504257</v>
      </c>
      <c r="G233" s="1" t="n">
        <f aca="false">IF(F81&gt;0,(G107+G109+G110+G184-G108-G229)/F81,0)</f>
        <v>0.026948009554355</v>
      </c>
      <c r="H233" s="1" t="n">
        <f aca="false">IF(G81&gt;0,(H107+H109+H110+H184-H108-H229)/G81,0)</f>
        <v>0.0298571010358753</v>
      </c>
      <c r="I233" s="1" t="n">
        <f aca="false">IF(H81&gt;0,(I107+I109+I110+I184-I108-I229)/H81,0)</f>
        <v>0.0327590448602859</v>
      </c>
      <c r="J233" s="1" t="n">
        <f aca="false">IF(I81&gt;0,(J107+J109+J110+J184-J108-J229)/I81,0)</f>
        <v>0.0356649182099065</v>
      </c>
      <c r="K233" s="1" t="n">
        <f aca="false">IF(J81&gt;0,(K107+K109+K110+K184-K108-K229)/J81,0)</f>
        <v>0.0385284326396078</v>
      </c>
      <c r="L233" s="1" t="n">
        <f aca="false">IF(K81&gt;0,(L107+L109+L110+L184-L108-L229)/K81,0)</f>
        <v>0.0408693169125986</v>
      </c>
      <c r="M233" s="1" t="n">
        <f aca="false">IF(L81&gt;0,(M107+M109+M110+M184-M108-M229)/L81,0)</f>
        <v>0.0429965802397458</v>
      </c>
      <c r="N233" s="1" t="n">
        <f aca="false">IF(M81&gt;0,(N107+N109+N110+N184-N108-N229)/M81,0)</f>
        <v>0.0430619287988096</v>
      </c>
      <c r="O233" s="1" t="n">
        <f aca="false">IF(N81&gt;0,(O107+O109+O110+O184-O108-O229)/N81,0)</f>
        <v>0.0425561895850254</v>
      </c>
      <c r="P233" s="1" t="n">
        <f aca="false">IF(O81&gt;0,(P107+P109+P110+P184-P108-P229)/O81,0)</f>
        <v>0.0422883596634797</v>
      </c>
      <c r="Q233" s="1" t="n">
        <f aca="false">IF(P81&gt;0,(Q107+Q109+Q110+Q184-Q108-Q229)/P81,0)</f>
        <v>0.0422500185568975</v>
      </c>
      <c r="R233" s="1" t="n">
        <f aca="false">IF(Q81&gt;0,(R107+R109+R110+R184-R108-R229)/Q81,0)</f>
        <v>0.0421841997688113</v>
      </c>
      <c r="S233" s="1" t="n">
        <f aca="false">IF(R81&gt;0,(S107+S109+S110+S184-S108-S229)/R81,0)</f>
        <v>0.0421350751114157</v>
      </c>
      <c r="T233" s="1" t="n">
        <f aca="false">IF(S81&gt;0,(T107+T109+T110+T184-T108-T229)/S81,0)</f>
        <v>0.0421020574688252</v>
      </c>
      <c r="U233" s="1" t="n">
        <f aca="false">IF(T81&gt;0,(U107+U109+U110+U184-U108-U229)/T81,0)</f>
        <v>0.0420838619171214</v>
      </c>
      <c r="V233" s="1" t="n">
        <f aca="false">IF(U81&gt;0,(V107+V109+V110+V184-V108-V229)/U81,0)</f>
        <v>0.042079322543834</v>
      </c>
      <c r="W233" s="1" t="n">
        <f aca="false">IF(V81&gt;0,(W107+W109+W110+W184-W108-W229)/V81,0)</f>
        <v>0.0420874438207003</v>
      </c>
      <c r="X233" s="1" t="n">
        <f aca="false">IF(W81&gt;0,(X107+X109+X110+X184-X108-X229)/W81,0)</f>
        <v>0.0421200521225544</v>
      </c>
      <c r="Y233" s="1" t="n">
        <f aca="false">IF(X81&gt;0,(Y107+Y109+Y110+Y184-Y108-Y229)/X81,0)</f>
        <v>0.0421754943918339</v>
      </c>
      <c r="Z233" s="1" t="n">
        <f aca="false">IF(Y81&gt;0,(Z107+Z109+Z110+Z184-Z108-Z229)/Y81,0)</f>
        <v>0.042252242718148</v>
      </c>
      <c r="AA233" s="1" t="n">
        <f aca="false">IF(Z81&gt;0,(AA107+AA109+AA110+AA184-AA108-AA229)/Z81,0)</f>
        <v>0.0423488709189537</v>
      </c>
      <c r="AB233" s="1" t="n">
        <f aca="false">IF(AA81&gt;0,(AB107+AB109+AB110+AB184-AB108-AB229)/AA81,0)</f>
        <v>0.0424640570459281</v>
      </c>
      <c r="AC233" s="1" t="n">
        <f aca="false">IF(AB81&gt;0,(AC107+AC109+AC110+AC184-AC108-AC229)/AB81,0)</f>
        <v>0.0425963105455195</v>
      </c>
      <c r="AD233" s="1" t="n">
        <f aca="false">IF(AC81&gt;0,(AD107+AD109+AD110+AD184-AD108-AD229)/AC81,0)</f>
        <v>0.0427442326407086</v>
      </c>
      <c r="AE233" s="1" t="n">
        <f aca="false">IF(AD81&gt;0,(AE107+AE109+AE110+AE184-AE108-AE229)/AD81,0)</f>
        <v>0.0429065016299286</v>
      </c>
      <c r="AF233" s="1" t="n">
        <f aca="false">IF(AE81&gt;0,(AF107+AF109+AF110+AF184-AF108-AF229)/AE81,0)</f>
        <v>0.0430818606238893</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0.230355790038912</v>
      </c>
      <c r="F234" s="1" t="n">
        <f aca="false">(F232+E232)/2*F233</f>
        <v>0.558656712324482</v>
      </c>
      <c r="G234" s="1" t="n">
        <f aca="false">(G232+F232)/2*G233</f>
        <v>0.521466710721946</v>
      </c>
      <c r="H234" s="1" t="n">
        <f aca="false">(H232+G232)/2*H233</f>
        <v>0.780803624544456</v>
      </c>
      <c r="I234" s="1" t="n">
        <f aca="false">(I232+H232)/2*I233</f>
        <v>1.06510398583486</v>
      </c>
      <c r="J234" s="1" t="n">
        <f aca="false">(J232+I232)/2*J233</f>
        <v>1.37184770154413</v>
      </c>
      <c r="K234" s="1" t="n">
        <f aca="false">(K232+J232)/2*K233</f>
        <v>1.69651063438852</v>
      </c>
      <c r="L234" s="1" t="n">
        <f aca="false">(L232+K232)/2*L233</f>
        <v>2.01246224653586</v>
      </c>
      <c r="M234" s="1" t="n">
        <f aca="false">(M232+L232)/2*M233</f>
        <v>2.28706934356769</v>
      </c>
      <c r="N234" s="1" t="n">
        <f aca="false">(N232+M232)/2*N233</f>
        <v>2.38569752276232</v>
      </c>
      <c r="O234" s="1" t="n">
        <f aca="false">(O232+N232)/2*O233</f>
        <v>2.40125398621132</v>
      </c>
      <c r="P234" s="1" t="n">
        <f aca="false">(P232+O232)/2*P233</f>
        <v>2.31931368133522</v>
      </c>
      <c r="Q234" s="1" t="n">
        <f aca="false">(Q232+P232)/2*Q233</f>
        <v>2.16776694115947</v>
      </c>
      <c r="R234" s="1" t="n">
        <f aca="false">(R232+Q232)/2*R233</f>
        <v>2.02480187551083</v>
      </c>
      <c r="S234" s="1" t="n">
        <f aca="false">(S232+R232)/2*S233</f>
        <v>1.89201043102392</v>
      </c>
      <c r="T234" s="1" t="n">
        <f aca="false">(T232+S232)/2*T233</f>
        <v>1.76860198550628</v>
      </c>
      <c r="U234" s="1" t="n">
        <f aca="false">(U232+T232)/2*U233</f>
        <v>1.65382445683466</v>
      </c>
      <c r="V234" s="1" t="n">
        <f aca="false">(V232+U232)/2*V233</f>
        <v>1.54699744659545</v>
      </c>
      <c r="W234" s="1" t="n">
        <f aca="false">(W232+V232)/2*W233</f>
        <v>1.44750623079732</v>
      </c>
      <c r="X234" s="1" t="n">
        <f aca="false">(X232+W232)/2*X233</f>
        <v>1.35520135313315</v>
      </c>
      <c r="Y234" s="1" t="n">
        <f aca="false">(Y232+X232)/2*Y233</f>
        <v>1.26946912686204</v>
      </c>
      <c r="Z234" s="1" t="n">
        <f aca="false">(Z232+Y232)/2*Z233</f>
        <v>1.18975835061778</v>
      </c>
      <c r="AA234" s="1" t="n">
        <f aca="false">(AA232+Z232)/2*AA233</f>
        <v>1.11557267026495</v>
      </c>
      <c r="AB234" s="1" t="n">
        <f aca="false">(AB232+AA232)/2*AB233</f>
        <v>1.04646461908282</v>
      </c>
      <c r="AC234" s="1" t="n">
        <f aca="false">(AC232+AB232)/2*AC233</f>
        <v>0.982023959672168</v>
      </c>
      <c r="AD234" s="1" t="n">
        <f aca="false">(AD232+AC232)/2*AD233</f>
        <v>0.921880563895524</v>
      </c>
      <c r="AE234" s="1" t="n">
        <f aca="false">(AE232+AD232)/2*AE233</f>
        <v>0.865699714611093</v>
      </c>
      <c r="AF234" s="1" t="n">
        <f aca="false">(AF232+AE232)/2*AF233</f>
        <v>0.813178063304679</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0.188727116952576</v>
      </c>
      <c r="F236" s="1" t="n">
        <f aca="false">MAX(0,F234-F235)</f>
        <v>0.479470272348824</v>
      </c>
      <c r="G236" s="1" t="n">
        <f aca="false">MAX(0,G234-G235)</f>
        <v>0.407144717479139</v>
      </c>
      <c r="H236" s="1" t="n">
        <f aca="false">MAX(0,H234-H235)</f>
        <v>0.63361207579728</v>
      </c>
      <c r="I236" s="1" t="n">
        <f aca="false">MAX(0,I234-I235)</f>
        <v>0.887162738318464</v>
      </c>
      <c r="J236" s="1" t="n">
        <f aca="false">MAX(0,J234-J235)</f>
        <v>1.16513989604151</v>
      </c>
      <c r="K236" s="1" t="n">
        <f aca="false">MAX(0,K234-K235)</f>
        <v>1.46289151295447</v>
      </c>
      <c r="L236" s="1" t="n">
        <f aca="false">MAX(0,L234-L235)</f>
        <v>1.75366740107156</v>
      </c>
      <c r="M236" s="1" t="n">
        <f aca="false">MAX(0,M234-M235)</f>
        <v>2.01394529436288</v>
      </c>
      <c r="N236" s="1" t="n">
        <f aca="false">MAX(0,N234-N235)</f>
        <v>2.1048060902388</v>
      </c>
      <c r="O236" s="1" t="n">
        <f aca="false">MAX(0,O234-O235)</f>
        <v>2.11789048669641</v>
      </c>
      <c r="P236" s="1" t="n">
        <f aca="false">MAX(0,P234-P235)</f>
        <v>2.05422514823601</v>
      </c>
      <c r="Q236" s="1" t="n">
        <f aca="false">MAX(0,Q234-Q235)</f>
        <v>1.91977476679338</v>
      </c>
      <c r="R236" s="1" t="n">
        <f aca="false">MAX(0,R234-R235)</f>
        <v>1.79280346415818</v>
      </c>
      <c r="S236" s="1" t="n">
        <f aca="false">MAX(0,S234-S235)</f>
        <v>1.67497429668728</v>
      </c>
      <c r="T236" s="1" t="n">
        <f aca="false">MAX(0,T234-T235)</f>
        <v>1.56556316583009</v>
      </c>
      <c r="U236" s="1" t="n">
        <f aca="false">MAX(0,U234-U235)</f>
        <v>1.463880222795</v>
      </c>
      <c r="V236" s="1" t="n">
        <f aca="false">MAX(0,V234-V235)</f>
        <v>1.36930328888487</v>
      </c>
      <c r="W236" s="1" t="n">
        <f aca="false">MAX(0,W234-W235)</f>
        <v>1.28127210505977</v>
      </c>
      <c r="X236" s="1" t="n">
        <f aca="false">MAX(0,X234-X235)</f>
        <v>1.19968816735504</v>
      </c>
      <c r="Y236" s="1" t="n">
        <f aca="false">MAX(0,Y234-Y235)</f>
        <v>1.1239854553021</v>
      </c>
      <c r="Z236" s="1" t="n">
        <f aca="false">MAX(0,Z234-Z235)</f>
        <v>1.05365735966541</v>
      </c>
      <c r="AA236" s="1" t="n">
        <f aca="false">MAX(0,AA234-AA235)</f>
        <v>0.988249242559287</v>
      </c>
      <c r="AB236" s="1" t="n">
        <f aca="false">MAX(0,AB234-AB235)</f>
        <v>0.927352663106003</v>
      </c>
      <c r="AC236" s="1" t="n">
        <f aca="false">MAX(0,AC234-AC235)</f>
        <v>0.870593892855075</v>
      </c>
      <c r="AD236" s="1" t="n">
        <f aca="false">MAX(0,AD234-AD235)</f>
        <v>0.817636958045594</v>
      </c>
      <c r="AE236" s="1" t="n">
        <f aca="false">MAX(0,AE234-AE235)</f>
        <v>0.768179093193601</v>
      </c>
      <c r="AF236" s="1" t="n">
        <f aca="false">MAX(0,AF234-AF235)</f>
        <v>0.72194684078399</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0.739838392993862</v>
      </c>
      <c r="M238" s="1" t="n">
        <f aca="false">IF(M112&gt;0,M235/M112,0)</f>
        <v>0.753950031668056</v>
      </c>
      <c r="N238" s="1" t="n">
        <f aca="false">IF(N112&gt;0,N235/N112,0)</f>
        <v>0.749424754504921</v>
      </c>
      <c r="O238" s="1" t="n">
        <f aca="false">IF(O112&gt;0,O235/O112,0)</f>
        <v>0.732491206120948</v>
      </c>
      <c r="P238" s="1" t="n">
        <f aca="false">IF(P112&gt;0,P235/P112,0)</f>
        <v>0.668847132375407</v>
      </c>
      <c r="Q238" s="1" t="n">
        <f aca="false">IF(Q112&gt;0,Q235/Q112,0)</f>
        <v>0.61095500591792</v>
      </c>
      <c r="R238" s="1" t="n">
        <f aca="false">IF(R112&gt;0,R235/R112,0)</f>
        <v>0.558412183721233</v>
      </c>
      <c r="S238" s="1" t="n">
        <f aca="false">IF(S112&gt;0,S235/S112,0)</f>
        <v>0.510679308117766</v>
      </c>
      <c r="T238" s="1" t="n">
        <f aca="false">IF(T112&gt;0,T235/T112,0)</f>
        <v>0.467264214790891</v>
      </c>
      <c r="U238" s="1" t="n">
        <f aca="false">IF(U112&gt;0,U235/U112,0)</f>
        <v>0.427733464695817</v>
      </c>
      <c r="V238" s="1" t="n">
        <f aca="false">IF(V112&gt;0,V235/V112,0)</f>
        <v>0.391703885653447</v>
      </c>
      <c r="W238" s="1" t="n">
        <f aca="false">IF(W112&gt;0,W235/W112,0)</f>
        <v>0.358943331960574</v>
      </c>
      <c r="X238" s="1" t="n">
        <f aca="false">IF(X112&gt;0,X235/X112,0)</f>
        <v>0.329116342932389</v>
      </c>
      <c r="Y238" s="1" t="n">
        <f aca="false">IF(Y112&gt;0,Y235/Y112,0)</f>
        <v>0.301927526088633</v>
      </c>
      <c r="Z238" s="1" t="n">
        <f aca="false">IF(Z112&gt;0,Z235/Z112,0)</f>
        <v>0.277116003686461</v>
      </c>
      <c r="AA238" s="1" t="n">
        <f aca="false">IF(AA112&gt;0,AA235/AA112,0)</f>
        <v>0.25445071142531</v>
      </c>
      <c r="AB238" s="1" t="n">
        <f aca="false">IF(AB112&gt;0,AB235/AB112,0)</f>
        <v>0.233725044927328</v>
      </c>
      <c r="AC238" s="1" t="n">
        <f aca="false">IF(AC112&gt;0,AC235/AC112,0)</f>
        <v>0.214755457743814</v>
      </c>
      <c r="AD238" s="1" t="n">
        <f aca="false">IF(AD112&gt;0,AD235/AD112,0)</f>
        <v>0.19737845594847</v>
      </c>
      <c r="AE238" s="1" t="n">
        <f aca="false">IF(AE112&gt;0,AE235/AE112,0)</f>
        <v>0.18144804399857</v>
      </c>
      <c r="AF238" s="1" t="n">
        <f aca="false">IF(AF112&gt;0,AF235/AF112,0)</f>
        <v>0.16683354545551</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0.188727116952576</v>
      </c>
      <c r="F243" s="1" t="n">
        <f aca="false">F236</f>
        <v>0.479470272348824</v>
      </c>
      <c r="G243" s="1" t="n">
        <f aca="false">G236</f>
        <v>0.407144717479139</v>
      </c>
      <c r="H243" s="1" t="n">
        <f aca="false">H236</f>
        <v>0.63361207579728</v>
      </c>
      <c r="I243" s="1" t="n">
        <f aca="false">I236</f>
        <v>0.887162738318464</v>
      </c>
      <c r="J243" s="1" t="n">
        <f aca="false">J236</f>
        <v>1.16513989604151</v>
      </c>
      <c r="K243" s="1" t="n">
        <f aca="false">K236</f>
        <v>1.46289151295447</v>
      </c>
      <c r="L243" s="1" t="n">
        <f aca="false">L236</f>
        <v>1.75366740107156</v>
      </c>
      <c r="M243" s="1" t="n">
        <f aca="false">M236</f>
        <v>2.01394529436288</v>
      </c>
      <c r="N243" s="1" t="n">
        <f aca="false">N236</f>
        <v>2.1048060902388</v>
      </c>
      <c r="O243" s="1" t="n">
        <f aca="false">O236</f>
        <v>2.11789048669641</v>
      </c>
      <c r="P243" s="1" t="n">
        <f aca="false">P236</f>
        <v>2.05422514823601</v>
      </c>
      <c r="Q243" s="1" t="n">
        <f aca="false">Q236</f>
        <v>1.91977476679338</v>
      </c>
      <c r="R243" s="1" t="n">
        <f aca="false">R236</f>
        <v>1.79280346415818</v>
      </c>
      <c r="S243" s="1" t="n">
        <f aca="false">S236</f>
        <v>1.67497429668728</v>
      </c>
      <c r="T243" s="1" t="n">
        <f aca="false">T236</f>
        <v>1.56556316583009</v>
      </c>
      <c r="U243" s="1" t="n">
        <f aca="false">U236</f>
        <v>1.463880222795</v>
      </c>
      <c r="V243" s="1" t="n">
        <f aca="false">V236</f>
        <v>1.36930328888487</v>
      </c>
      <c r="W243" s="1" t="n">
        <f aca="false">W236</f>
        <v>1.28127210505977</v>
      </c>
      <c r="X243" s="1" t="n">
        <f aca="false">X236</f>
        <v>1.19968816735504</v>
      </c>
      <c r="Y243" s="1" t="n">
        <f aca="false">Y236</f>
        <v>1.1239854553021</v>
      </c>
      <c r="Z243" s="1" t="n">
        <f aca="false">Z236</f>
        <v>1.05365735966541</v>
      </c>
      <c r="AA243" s="1" t="n">
        <f aca="false">AA236</f>
        <v>0.988249242559287</v>
      </c>
      <c r="AB243" s="1" t="n">
        <f aca="false">AB236</f>
        <v>0.927352663106003</v>
      </c>
      <c r="AC243" s="1" t="n">
        <f aca="false">AC236</f>
        <v>0.870593892855075</v>
      </c>
      <c r="AD243" s="1" t="n">
        <f aca="false">AD236</f>
        <v>0.817636958045594</v>
      </c>
      <c r="AE243" s="1" t="n">
        <f aca="false">AE236</f>
        <v>0.768179093193601</v>
      </c>
      <c r="AF243" s="1" t="n">
        <f aca="false">AF236</f>
        <v>0.72194684078399</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0.283849755680774</v>
      </c>
      <c r="F247" s="1" t="n">
        <f aca="false">MAX(0,E248+F243-F244-F245-F246)</f>
        <v>0.763320028029599</v>
      </c>
      <c r="G247" s="1" t="n">
        <f aca="false">MAX(0,F248+G243-G244-G245-G246)</f>
        <v>1.17046474550874</v>
      </c>
      <c r="H247" s="1" t="n">
        <f aca="false">MAX(0,G248+H243-H244-H245-H246)</f>
        <v>1.80407682130602</v>
      </c>
      <c r="I247" s="1" t="n">
        <f aca="false">MAX(0,H248+I243-I244-I245-I246)</f>
        <v>2.69123955962448</v>
      </c>
      <c r="J247" s="1" t="n">
        <f aca="false">MAX(0,I248+J243-J244-J245-J246)</f>
        <v>3.85637945566599</v>
      </c>
      <c r="K247" s="1" t="n">
        <f aca="false">MAX(0,J248+K243-K244-K245-K246)</f>
        <v>5.31927096862046</v>
      </c>
      <c r="L247" s="1" t="n">
        <f aca="false">MAX(0,K248+L243-L244-L245-L246)</f>
        <v>7.07293836969202</v>
      </c>
      <c r="M247" s="1" t="n">
        <f aca="false">MAX(0,L248+M243-M244-M245-M246)</f>
        <v>9.0868836640549</v>
      </c>
      <c r="N247" s="1" t="n">
        <f aca="false">MAX(0,M248+N243-N244-N245-N246)</f>
        <v>11.1916897542937</v>
      </c>
      <c r="O247" s="1" t="n">
        <f aca="false">MAX(0,N248+O243-O244-O245-O246)</f>
        <v>13.3095802409901</v>
      </c>
      <c r="P247" s="1" t="n">
        <f aca="false">MAX(0,O248+P243-P244-P245-P246)</f>
        <v>15.3638053892261</v>
      </c>
      <c r="Q247" s="1" t="n">
        <f aca="false">MAX(0,P248+Q243-Q244-Q245-Q246)</f>
        <v>17.2835801560195</v>
      </c>
      <c r="R247" s="1" t="n">
        <f aca="false">MAX(0,Q248+R243-R244-R245-R246)</f>
        <v>19.0763836201777</v>
      </c>
      <c r="S247" s="1" t="n">
        <f aca="false">MAX(0,R248+S243-S244-S245-S246)</f>
        <v>20.751357916865</v>
      </c>
      <c r="T247" s="1" t="n">
        <f aca="false">MAX(0,S248+T243-T244-T245-T246)</f>
        <v>22.316921082695</v>
      </c>
      <c r="U247" s="1" t="n">
        <f aca="false">MAX(0,T248+U243-U244-U245-U246)</f>
        <v>23.78080130549</v>
      </c>
      <c r="V247" s="1" t="n">
        <f aca="false">MAX(0,U248+V243-V244-V245-V246)</f>
        <v>25.1501045943749</v>
      </c>
      <c r="W247" s="1" t="n">
        <f aca="false">MAX(0,V248+W243-W244-W245-W246)</f>
        <v>26.4313766994347</v>
      </c>
      <c r="X247" s="1" t="n">
        <f aca="false">MAX(0,W248+X243-X244-X245-X246)</f>
        <v>27.6310648667897</v>
      </c>
      <c r="Y247" s="1" t="n">
        <f aca="false">MAX(0,X248+Y243-Y244-Y245-Y246)</f>
        <v>28.7550503220918</v>
      </c>
      <c r="Z247" s="1" t="n">
        <f aca="false">MAX(0,Y248+Z243-Z244-Z245-Z246)</f>
        <v>29.8087076817572</v>
      </c>
      <c r="AA247" s="1" t="n">
        <f aca="false">MAX(0,Z248+AA243-AA244-AA245-AA246)</f>
        <v>30.7969569243165</v>
      </c>
      <c r="AB247" s="1" t="n">
        <f aca="false">MAX(0,AA248+AB243-AB244-AB245-AB246)</f>
        <v>31.7243095874225</v>
      </c>
      <c r="AC247" s="1" t="n">
        <f aca="false">MAX(0,AB248+AC243-AC244-AC245-AC246)</f>
        <v>32.5949034802776</v>
      </c>
      <c r="AD247" s="1" t="n">
        <f aca="false">MAX(0,AC248+AD243-AD244-AD245-AD246)</f>
        <v>33.4125404383232</v>
      </c>
      <c r="AE247" s="1" t="n">
        <f aca="false">MAX(0,AD248+AE243-AE244-AE245-AE246)</f>
        <v>34.1807195315168</v>
      </c>
      <c r="AF247" s="1" t="n">
        <f aca="false">MAX(0,AE248+AF243-AF244-AF245-AF246)</f>
        <v>34.9026663723008</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0.283849755680774</v>
      </c>
      <c r="F248" s="1" t="n">
        <f aca="false">MIN(F247,MAX(0,F276))</f>
        <v>0.763320028029599</v>
      </c>
      <c r="G248" s="1" t="n">
        <f aca="false">MIN(G247,MAX(0,G276))</f>
        <v>1.17046474550874</v>
      </c>
      <c r="H248" s="1" t="n">
        <f aca="false">MIN(H247,MAX(0,H276))</f>
        <v>1.80407682130602</v>
      </c>
      <c r="I248" s="1" t="n">
        <f aca="false">MIN(I247,MAX(0,I276))</f>
        <v>2.69123955962448</v>
      </c>
      <c r="J248" s="1" t="n">
        <f aca="false">MIN(J247,MAX(0,J276))</f>
        <v>3.85637945566599</v>
      </c>
      <c r="K248" s="1" t="n">
        <f aca="false">MIN(K247,MAX(0,K276))</f>
        <v>5.31927096862046</v>
      </c>
      <c r="L248" s="1" t="n">
        <f aca="false">MIN(L247,MAX(0,L276))</f>
        <v>7.07293836969202</v>
      </c>
      <c r="M248" s="1" t="n">
        <f aca="false">MIN(M247,MAX(0,M276))</f>
        <v>9.0868836640549</v>
      </c>
      <c r="N248" s="1" t="n">
        <f aca="false">MIN(N247,MAX(0,N276))</f>
        <v>11.1916897542937</v>
      </c>
      <c r="O248" s="1" t="n">
        <f aca="false">MIN(O247,MAX(0,O276))</f>
        <v>13.3095802409901</v>
      </c>
      <c r="P248" s="1" t="n">
        <f aca="false">MIN(P247,MAX(0,P276))</f>
        <v>15.3638053892261</v>
      </c>
      <c r="Q248" s="1" t="n">
        <f aca="false">MIN(Q247,MAX(0,Q276))</f>
        <v>17.2835801560195</v>
      </c>
      <c r="R248" s="1" t="n">
        <f aca="false">MIN(R247,MAX(0,R276))</f>
        <v>19.0763836201777</v>
      </c>
      <c r="S248" s="1" t="n">
        <f aca="false">MIN(S247,MAX(0,S276))</f>
        <v>20.751357916865</v>
      </c>
      <c r="T248" s="1" t="n">
        <f aca="false">MIN(T247,MAX(0,T276))</f>
        <v>22.316921082695</v>
      </c>
      <c r="U248" s="1" t="n">
        <f aca="false">MIN(U247,MAX(0,U276))</f>
        <v>23.78080130549</v>
      </c>
      <c r="V248" s="1" t="n">
        <f aca="false">MIN(V247,MAX(0,V276))</f>
        <v>25.1501045943749</v>
      </c>
      <c r="W248" s="1" t="n">
        <f aca="false">MIN(W247,MAX(0,W276))</f>
        <v>26.4313766994347</v>
      </c>
      <c r="X248" s="1" t="n">
        <f aca="false">MIN(X247,MAX(0,X276))</f>
        <v>27.6310648667897</v>
      </c>
      <c r="Y248" s="1" t="n">
        <f aca="false">MIN(Y247,MAX(0,Y276))</f>
        <v>28.7550503220918</v>
      </c>
      <c r="Z248" s="1" t="n">
        <f aca="false">MIN(Z247,MAX(0,Z276))</f>
        <v>29.8087076817572</v>
      </c>
      <c r="AA248" s="1" t="n">
        <f aca="false">MIN(AA247,MAX(0,AA276))</f>
        <v>30.7969569243165</v>
      </c>
      <c r="AB248" s="1" t="n">
        <f aca="false">MIN(AB247,MAX(0,AB276))</f>
        <v>31.7243095874225</v>
      </c>
      <c r="AC248" s="1" t="n">
        <f aca="false">MIN(AC247,MAX(0,AC276))</f>
        <v>32.5949034802776</v>
      </c>
      <c r="AD248" s="1" t="n">
        <f aca="false">MIN(AD247,MAX(0,AD276))</f>
        <v>33.4125404383232</v>
      </c>
      <c r="AE248" s="1" t="n">
        <f aca="false">MIN(AE247,MAX(0,AE276))</f>
        <v>34.1807195315168</v>
      </c>
      <c r="AF248" s="1" t="n">
        <f aca="false">MIN(AF247,MAX(0,AF276))</f>
        <v>34.9026663723008</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35.0087369140404</v>
      </c>
      <c r="E250" s="1" t="n">
        <f aca="false">E120-E248</f>
        <v>52.7881563849995</v>
      </c>
      <c r="F250" s="1" t="n">
        <f aca="false">F120-F248</f>
        <v>61.0982111149309</v>
      </c>
      <c r="G250" s="1" t="n">
        <f aca="false">G120-G248</f>
        <v>71.6743211018636</v>
      </c>
      <c r="H250" s="1" t="n">
        <f aca="false">H120-H248</f>
        <v>83.684970392487</v>
      </c>
      <c r="I250" s="1" t="n">
        <f aca="false">I120-I248</f>
        <v>97.1946805088609</v>
      </c>
      <c r="J250" s="1" t="n">
        <f aca="false">J120-J248</f>
        <v>111.755676184188</v>
      </c>
      <c r="K250" s="1" t="n">
        <f aca="false">K120-K248</f>
        <v>127.307048741684</v>
      </c>
      <c r="L250" s="1" t="n">
        <f aca="false">L120-L248</f>
        <v>143.043089973903</v>
      </c>
      <c r="M250" s="1" t="n">
        <f aca="false">M120-M248</f>
        <v>140.704705600483</v>
      </c>
      <c r="N250" s="1" t="n">
        <f aca="false">N120-N248</f>
        <v>139.391643079422</v>
      </c>
      <c r="O250" s="1" t="n">
        <f aca="false">O120-O248</f>
        <v>139.508729378826</v>
      </c>
      <c r="P250" s="1" t="n">
        <f aca="false">P120-P248</f>
        <v>138.945657999819</v>
      </c>
      <c r="Q250" s="1" t="n">
        <f aca="false">Q120-Q248</f>
        <v>138.190672431654</v>
      </c>
      <c r="R250" s="1" t="n">
        <f aca="false">R120-R248</f>
        <v>137.603495599764</v>
      </c>
      <c r="S250" s="1" t="n">
        <f aca="false">S120-S248</f>
        <v>137.170131420798</v>
      </c>
      <c r="T250" s="1" t="n">
        <f aca="false">T120-T248</f>
        <v>136.883044143053</v>
      </c>
      <c r="U250" s="1" t="n">
        <f aca="false">U120-U248</f>
        <v>136.735112968041</v>
      </c>
      <c r="V250" s="1" t="n">
        <f aca="false">V120-V248</f>
        <v>136.719836214932</v>
      </c>
      <c r="W250" s="1" t="n">
        <f aca="false">W120-W248</f>
        <v>136.833561408171</v>
      </c>
      <c r="X250" s="1" t="n">
        <f aca="false">X120-X248</f>
        <v>137.07104657575</v>
      </c>
      <c r="Y250" s="1" t="n">
        <f aca="false">Y120-Y248</f>
        <v>137.427394946087</v>
      </c>
      <c r="Z250" s="1" t="n">
        <f aca="false">Z120-Z248</f>
        <v>137.897916473876</v>
      </c>
      <c r="AA250" s="1" t="n">
        <f aca="false">AA120-AA248</f>
        <v>138.478399521093</v>
      </c>
      <c r="AB250" s="1" t="n">
        <f aca="false">AB120-AB248</f>
        <v>139.165015495944</v>
      </c>
      <c r="AC250" s="1" t="n">
        <f aca="false">AC120-AC248</f>
        <v>139.954322282787</v>
      </c>
      <c r="AD250" s="1" t="n">
        <f aca="false">AD120-AD248</f>
        <v>140.843232091886</v>
      </c>
      <c r="AE250" s="1" t="n">
        <f aca="false">AE120-AE248</f>
        <v>141.828985529065</v>
      </c>
      <c r="AF250" s="1" t="n">
        <f aca="false">AF120-AF248</f>
        <v>142.909122437434</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0.00270974872678057</v>
      </c>
      <c r="E252" s="1" t="n">
        <f aca="false">IF(E120&gt;0,E248/E120,0)</f>
        <v>0.00534838941132848</v>
      </c>
      <c r="F252" s="1" t="n">
        <f aca="false">IF(F120&gt;0,F248/F120,0)</f>
        <v>0.0123391712737531</v>
      </c>
      <c r="G252" s="1" t="n">
        <f aca="false">IF(G120&gt;0,G248/G120,0)</f>
        <v>0.0160679276065297</v>
      </c>
      <c r="H252" s="1" t="n">
        <f aca="false">IF(H120&gt;0,H248/H120,0)</f>
        <v>0.0211030170542706</v>
      </c>
      <c r="I252" s="1" t="n">
        <f aca="false">IF(I120&gt;0,I248/I120,0)</f>
        <v>0.0269431323031241</v>
      </c>
      <c r="J252" s="1" t="n">
        <f aca="false">IF(J120&gt;0,J248/J120,0)</f>
        <v>0.033356205235889</v>
      </c>
      <c r="K252" s="1" t="n">
        <f aca="false">IF(K120&gt;0,K248/K120,0)</f>
        <v>0.0401072048160525</v>
      </c>
      <c r="L252" s="1" t="n">
        <f aca="false">IF(L120&gt;0,L248/L120,0)</f>
        <v>0.0471164768195373</v>
      </c>
      <c r="M252" s="1" t="n">
        <f aca="false">IF(M120&gt;0,M248/M120,0)</f>
        <v>0.0606635106061069</v>
      </c>
      <c r="N252" s="1" t="n">
        <f aca="false">IF(N120&gt;0,N248/N120,0)</f>
        <v>0.0743222343647576</v>
      </c>
      <c r="O252" s="1" t="n">
        <f aca="false">IF(O120&gt;0,O248/O120,0)</f>
        <v>0.0870941464678016</v>
      </c>
      <c r="P252" s="1" t="n">
        <f aca="false">IF(P120&gt;0,P248/P120,0)</f>
        <v>0.0995648941535808</v>
      </c>
      <c r="Q252" s="1" t="n">
        <f aca="false">IF(Q120&gt;0,Q248/Q120,0)</f>
        <v>0.111166832246215</v>
      </c>
      <c r="R252" s="1" t="n">
        <f aca="false">IF(R120&gt;0,R248/R120,0)</f>
        <v>0.121753882599047</v>
      </c>
      <c r="S252" s="1" t="n">
        <f aca="false">IF(S120&gt;0,S248/S120,0)</f>
        <v>0.131403002871225</v>
      </c>
      <c r="T252" s="1" t="n">
        <f aca="false">IF(T120&gt;0,T248/T120,0)</f>
        <v>0.140181695712366</v>
      </c>
      <c r="U252" s="1" t="n">
        <f aca="false">IF(U120&gt;0,U248/U120,0)</f>
        <v>0.148152296382063</v>
      </c>
      <c r="V252" s="1" t="n">
        <f aca="false">IF(V120&gt;0,V248/V120,0)</f>
        <v>0.155372297466911</v>
      </c>
      <c r="W252" s="1" t="n">
        <f aca="false">IF(W120&gt;0,W248/W120,0)</f>
        <v>0.161892547204557</v>
      </c>
      <c r="X252" s="1" t="n">
        <f aca="false">IF(X120&gt;0,X248/X120,0)</f>
        <v>0.167763877613855</v>
      </c>
      <c r="Y252" s="1" t="n">
        <f aca="false">IF(Y120&gt;0,Y248/Y120,0)</f>
        <v>0.173033019677187</v>
      </c>
      <c r="Z252" s="1" t="n">
        <f aca="false">IF(Z120&gt;0,Z248/Z120,0)</f>
        <v>0.177743174020929</v>
      </c>
      <c r="AA252" s="1" t="n">
        <f aca="false">IF(AA120&gt;0,AA248/AA120,0)</f>
        <v>0.181934084033362</v>
      </c>
      <c r="AB252" s="1" t="n">
        <f aca="false">IF(AB120&gt;0,AB248/AB120,0)</f>
        <v>0.185642430104667</v>
      </c>
      <c r="AC252" s="1" t="n">
        <f aca="false">IF(AC120&gt;0,AC248/AC120,0)</f>
        <v>0.188902055840199</v>
      </c>
      <c r="AD252" s="1" t="n">
        <f aca="false">IF(AD120&gt;0,AD248/AD120,0)</f>
        <v>0.19174423867382</v>
      </c>
      <c r="AE252" s="1" t="n">
        <f aca="false">IF(AE120&gt;0,AE248/AE120,0)</f>
        <v>0.194197925164138</v>
      </c>
      <c r="AF252" s="1" t="n">
        <f aca="false">IF(AF120&gt;0,AF248/AF120,0)</f>
        <v>0.19628994571135</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0.349799156025208</v>
      </c>
      <c r="M254" s="116" t="n">
        <f aca="false">M112</f>
        <v>0.36225749417443</v>
      </c>
      <c r="N254" s="116" t="n">
        <f aca="false">N112</f>
        <v>0.374809386579552</v>
      </c>
      <c r="O254" s="116" t="n">
        <f aca="false">O112</f>
        <v>0.386849012175203</v>
      </c>
      <c r="P254" s="116" t="n">
        <f aca="false">P112</f>
        <v>0.396336502419832</v>
      </c>
      <c r="Q254" s="116" t="n">
        <f aca="false">Q112</f>
        <v>0.405909063619993</v>
      </c>
      <c r="R254" s="116" t="n">
        <f aca="false">R112</f>
        <v>0.415460869436317</v>
      </c>
      <c r="S254" s="116" t="n">
        <f aca="false">S112</f>
        <v>0.424994964328178</v>
      </c>
      <c r="T254" s="116" t="n">
        <f aca="false">T112</f>
        <v>0.43452679073029</v>
      </c>
      <c r="U254" s="116" t="n">
        <f aca="false">U112</f>
        <v>0.444071483101595</v>
      </c>
      <c r="V254" s="116" t="n">
        <f aca="false">V112</f>
        <v>0.453644102646941</v>
      </c>
      <c r="W254" s="116" t="n">
        <f aca="false">W112</f>
        <v>0.46312080748115</v>
      </c>
      <c r="X254" s="116" t="n">
        <f aca="false">X112</f>
        <v>0.472517360859393</v>
      </c>
      <c r="Y254" s="116" t="n">
        <f aca="false">Y112</f>
        <v>0.481849645988328</v>
      </c>
      <c r="Z254" s="116" t="n">
        <f aca="false">Z112</f>
        <v>0.491133637688996</v>
      </c>
      <c r="AA254" s="116" t="n">
        <f aca="false">AA112</f>
        <v>0.500385426287322</v>
      </c>
      <c r="AB254" s="116" t="n">
        <f aca="false">AB112</f>
        <v>0.509624272460208</v>
      </c>
      <c r="AC254" s="116" t="n">
        <f aca="false">AC112</f>
        <v>0.518869545797619</v>
      </c>
      <c r="AD254" s="116" t="n">
        <f aca="false">AD112</f>
        <v>0.52814075046339</v>
      </c>
      <c r="AE254" s="116" t="n">
        <f aca="false">AE112</f>
        <v>0.537457551310175</v>
      </c>
      <c r="AF254" s="116" t="n">
        <f aca="false">AF112</f>
        <v>0.546839799343693</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0.0910043105609089</v>
      </c>
      <c r="M256" s="1" t="n">
        <f aca="false">MIN(M254-M255,MAX(0,M107-M108+M109+M110+M184-M229-M235))</f>
        <v>0.0891334449696281</v>
      </c>
      <c r="N256" s="1" t="n">
        <f aca="false">MIN(N254-N255,MAX(0,N107-N108+N109+N110+N184-N229-N235))</f>
        <v>0.0939179540560312</v>
      </c>
      <c r="O256" s="1" t="n">
        <f aca="false">MIN(O254-O255,MAX(0,O107-O108+O109+O110+O184-O229-O235))</f>
        <v>0.103485512660291</v>
      </c>
      <c r="P256" s="1" t="n">
        <f aca="false">MIN(P254-P255,MAX(0,P107-P108+P109+P110+P184-P229-P235))</f>
        <v>0.131247969320629</v>
      </c>
      <c r="Q256" s="1" t="n">
        <f aca="false">MIN(Q254-Q255,MAX(0,Q107-Q108+Q109+Q110+Q184-Q229-Q235))</f>
        <v>0.157916889253903</v>
      </c>
      <c r="R256" s="1" t="n">
        <f aca="false">MIN(R254-R255,MAX(0,R107-R108+R109+R110+R184-R229-R235))</f>
        <v>0.183462458083661</v>
      </c>
      <c r="S256" s="1" t="n">
        <f aca="false">MIN(S254-S255,MAX(0,S107-S108+S109+S110+S184-S229-S235))</f>
        <v>0.20795882999153</v>
      </c>
      <c r="T256" s="1" t="n">
        <f aca="false">MIN(T254-T255,MAX(0,T107-T108+T109+T110+T184-T229-T235))</f>
        <v>0.231487971054095</v>
      </c>
      <c r="U256" s="1" t="n">
        <f aca="false">MIN(U254-U255,MAX(0,U107-U108+U109+U110+U184-U229-U235))</f>
        <v>0.25412724906194</v>
      </c>
      <c r="V256" s="1" t="n">
        <f aca="false">MIN(V254-V255,MAX(0,V107-V108+V109+V110+V184-V229-V235))</f>
        <v>0.275949944936363</v>
      </c>
      <c r="W256" s="1" t="n">
        <f aca="false">MIN(W254-W255,MAX(0,W107-W108+W109+W110+W184-W229-W235))</f>
        <v>0.296886681743595</v>
      </c>
      <c r="X256" s="1" t="n">
        <f aca="false">MIN(X254-X255,MAX(0,X107-X108+X109+X110+X184-X229-X235))</f>
        <v>0.317004175081286</v>
      </c>
      <c r="Y256" s="1" t="n">
        <f aca="false">MIN(Y254-Y255,MAX(0,Y107-Y108+Y109+Y110+Y184-Y229-Y235))</f>
        <v>0.336365974428389</v>
      </c>
      <c r="Z256" s="1" t="n">
        <f aca="false">MIN(Z254-Z255,MAX(0,Z107-Z108+Z109+Z110+Z184-Z229-Z235))</f>
        <v>0.355032646736627</v>
      </c>
      <c r="AA256" s="1" t="n">
        <f aca="false">MIN(AA254-AA255,MAX(0,AA107-AA108+AA109+AA110+AA184-AA229-AA235))</f>
        <v>0.373061998581656</v>
      </c>
      <c r="AB256" s="1" t="n">
        <f aca="false">MIN(AB254-AB255,MAX(0,AB107-AB108+AB109+AB110+AB184-AB229-AB235))</f>
        <v>0.390512316483389</v>
      </c>
      <c r="AC256" s="1" t="n">
        <f aca="false">MIN(AC254-AC255,MAX(0,AC107-AC108+AC109+AC110+AC184-AC229-AC235))</f>
        <v>0.407439478980527</v>
      </c>
      <c r="AD256" s="1" t="n">
        <f aca="false">MIN(AD254-AD255,MAX(0,AD107-AD108+AD109+AD110+AD184-AD229-AD235))</f>
        <v>0.42389714461346</v>
      </c>
      <c r="AE256" s="1" t="n">
        <f aca="false">MIN(AE254-AE255,MAX(0,AE107-AE108+AE109+AE110+AE184-AE229-AE235))</f>
        <v>0.439936929892682</v>
      </c>
      <c r="AF256" s="1" t="n">
        <f aca="false">MIN(AF254-AF255,MAX(0,AF107-AF108+AF109+AF110+AF184-AF229-AF235))</f>
        <v>0.455608576823005</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184.103744421541</v>
      </c>
      <c r="M261" s="1" t="n">
        <f aca="false">(M83-M326)+M181</f>
        <v>196.061207163606</v>
      </c>
      <c r="N261" s="1" t="n">
        <f aca="false">(N83-N326)+N181</f>
        <v>206.407236836123</v>
      </c>
      <c r="O261" s="1" t="n">
        <f aca="false">(O83-O326)+O181</f>
        <v>212.384033685215</v>
      </c>
      <c r="P261" s="1" t="n">
        <f aca="false">(P83-P326)+P181</f>
        <v>217.629465148308</v>
      </c>
      <c r="Q261" s="1" t="n">
        <f aca="false">(Q83-Q326)+Q181</f>
        <v>222.62860188112</v>
      </c>
      <c r="R261" s="1" t="n">
        <f aca="false">(R83-R326)+R181</f>
        <v>227.747719169596</v>
      </c>
      <c r="S261" s="1" t="n">
        <f aca="false">(S83-S326)+S181</f>
        <v>232.983795809085</v>
      </c>
      <c r="T261" s="1" t="n">
        <f aca="false">(T83-T326)+T181</f>
        <v>238.339895290104</v>
      </c>
      <c r="U261" s="1" t="n">
        <f aca="false">(U83-U326)+U181</f>
        <v>243.818837859428</v>
      </c>
      <c r="V261" s="1" t="n">
        <f aca="false">(V83-V326)+V181</f>
        <v>249.423479079321</v>
      </c>
      <c r="W261" s="1" t="n">
        <f aca="false">(W83-W326)+W181</f>
        <v>255.155531964059</v>
      </c>
      <c r="X261" s="1" t="n">
        <f aca="false">(X83-X326)+X181</f>
        <v>261.018553633059</v>
      </c>
      <c r="Y261" s="1" t="n">
        <f aca="false">(Y83-Y326)+Y181</f>
        <v>267.01592627486</v>
      </c>
      <c r="Z261" s="1" t="n">
        <f aca="false">(Z83-Z326)+Z181</f>
        <v>273.150778308802</v>
      </c>
      <c r="AA261" s="1" t="n">
        <f aca="false">(AA83-AA326)+AA181</f>
        <v>279.426309587788</v>
      </c>
      <c r="AB261" s="1" t="n">
        <f aca="false">(AB83-AB326)+AB181</f>
        <v>285.845819579093</v>
      </c>
      <c r="AC261" s="1" t="n">
        <f aca="false">(AC83-AC326)+AC181</f>
        <v>292.412669965461</v>
      </c>
      <c r="AD261" s="1" t="n">
        <f aca="false">(AD83-AD326)+AD181</f>
        <v>299.130291907188</v>
      </c>
      <c r="AE261" s="1" t="n">
        <f aca="false">(AE83-AE326)+AE181</f>
        <v>306.002195010963</v>
      </c>
      <c r="AF261" s="1" t="n">
        <f aca="false">(AF83-AF326)+AF181</f>
        <v>313.031969176547</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9.20518722107704</v>
      </c>
      <c r="M262" s="1" t="n">
        <f aca="false">$C$260*M261</f>
        <v>9.80306035818032</v>
      </c>
      <c r="N262" s="1" t="n">
        <f aca="false">$C$260*N261</f>
        <v>10.3203618418061</v>
      </c>
      <c r="O262" s="1" t="n">
        <f aca="false">$C$260*O261</f>
        <v>10.6192016842607</v>
      </c>
      <c r="P262" s="1" t="n">
        <f aca="false">$C$260*P261</f>
        <v>10.8814732574154</v>
      </c>
      <c r="Q262" s="1" t="n">
        <f aca="false">$C$260*Q261</f>
        <v>11.131430094056</v>
      </c>
      <c r="R262" s="1" t="n">
        <f aca="false">$C$260*R261</f>
        <v>11.3873859584798</v>
      </c>
      <c r="S262" s="1" t="n">
        <f aca="false">$C$260*S261</f>
        <v>11.6491897904542</v>
      </c>
      <c r="T262" s="1" t="n">
        <f aca="false">$C$260*T261</f>
        <v>11.9169947645052</v>
      </c>
      <c r="U262" s="1" t="n">
        <f aca="false">$C$260*U261</f>
        <v>12.1909418929714</v>
      </c>
      <c r="V262" s="1" t="n">
        <f aca="false">$C$260*V261</f>
        <v>12.4711739539661</v>
      </c>
      <c r="W262" s="1" t="n">
        <f aca="false">$C$260*W261</f>
        <v>12.757776598203</v>
      </c>
      <c r="X262" s="1" t="n">
        <f aca="false">$C$260*X261</f>
        <v>13.0509276816529</v>
      </c>
      <c r="Y262" s="1" t="n">
        <f aca="false">$C$260*Y261</f>
        <v>13.350796313743</v>
      </c>
      <c r="Z262" s="1" t="n">
        <f aca="false">$C$260*Z261</f>
        <v>13.6575389154401</v>
      </c>
      <c r="AA262" s="1" t="n">
        <f aca="false">$C$260*AA261</f>
        <v>13.9713154793894</v>
      </c>
      <c r="AB262" s="1" t="n">
        <f aca="false">$C$260*AB261</f>
        <v>14.2922909789547</v>
      </c>
      <c r="AC262" s="1" t="n">
        <f aca="false">$C$260*AC261</f>
        <v>14.6206334982731</v>
      </c>
      <c r="AD262" s="1" t="n">
        <f aca="false">$C$260*AD261</f>
        <v>14.9565145953594</v>
      </c>
      <c r="AE262" s="1" t="n">
        <f aca="false">$C$260*AE261</f>
        <v>15.3001097505481</v>
      </c>
      <c r="AF262" s="1" t="n">
        <f aca="false">$C$260*AF261</f>
        <v>15.6515984588274</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43.9305875036706</v>
      </c>
      <c r="M263" s="1" t="n">
        <f aca="false">MAX(0,(M70+L121-L227)*0.25/0.55)</f>
        <v>46.0091423537067</v>
      </c>
      <c r="N263" s="1" t="n">
        <f aca="false">MAX(0,(N70+M121-M227)*0.25/0.55)</f>
        <v>48.6101839023863</v>
      </c>
      <c r="O263" s="1" t="n">
        <f aca="false">MAX(0,(O70+N121-N227)*0.25/0.55)</f>
        <v>51.3780969818248</v>
      </c>
      <c r="P263" s="1" t="n">
        <f aca="false">MAX(0,(P70+O121-O227)*0.25/0.55)</f>
        <v>54.1947262709313</v>
      </c>
      <c r="Q263" s="1" t="n">
        <f aca="false">MAX(0,(Q70+P121-P227)*0.25/0.55)</f>
        <v>56.9927868000589</v>
      </c>
      <c r="R263" s="1" t="n">
        <f aca="false">MAX(0,(R70+Q121-Q227)*0.25/0.55)</f>
        <v>59.7667681470079</v>
      </c>
      <c r="S263" s="1" t="n">
        <f aca="false">MAX(0,(S70+R121-R227)*0.25/0.55)</f>
        <v>62.5193491241558</v>
      </c>
      <c r="T263" s="1" t="n">
        <f aca="false">MAX(0,(T70+S121-S227)*0.25/0.55)</f>
        <v>65.258805566636</v>
      </c>
      <c r="U263" s="1" t="n">
        <f aca="false">MAX(0,(U70+T121-T227)*0.25/0.55)</f>
        <v>67.9932347228591</v>
      </c>
      <c r="V263" s="1" t="n">
        <f aca="false">MAX(0,(V70+U121-U227)*0.25/0.55)</f>
        <v>70.7306617385945</v>
      </c>
      <c r="W263" s="1" t="n">
        <f aca="false">MAX(0,(W70+V121-V227)*0.25/0.55)</f>
        <v>73.4790517500873</v>
      </c>
      <c r="X263" s="1" t="n">
        <f aca="false">MAX(0,(X70+W121-W227)*0.25/0.55)</f>
        <v>76.2464028056259</v>
      </c>
      <c r="Y263" s="1" t="n">
        <f aca="false">MAX(0,(Y70+X121-X227)*0.25/0.55)</f>
        <v>79.0407226046135</v>
      </c>
      <c r="Z263" s="1" t="n">
        <f aca="false">MAX(0,(Z70+Y121-Y227)*0.25/0.55)</f>
        <v>81.870015173895</v>
      </c>
      <c r="AA263" s="1" t="n">
        <f aca="false">MAX(0,(AA70+Z121-Z227)*0.25/0.55)</f>
        <v>84.7422912545662</v>
      </c>
      <c r="AB263" s="1" t="n">
        <f aca="false">MAX(0,(AB70+AA121-AA227)*0.25/0.55)</f>
        <v>87.6655767165214</v>
      </c>
      <c r="AC263" s="1" t="n">
        <f aca="false">MAX(0,(AC70+AB121-AB227)*0.25/0.55)</f>
        <v>90.6479238023806</v>
      </c>
      <c r="AD263" s="1" t="n">
        <f aca="false">MAX(0,(AD70+AC121-AC227)*0.25/0.55)</f>
        <v>93.6974227677299</v>
      </c>
      <c r="AE263" s="1" t="n">
        <f aca="false">MAX(0,(AE70+AD121-AD227)*0.25/0.55)</f>
        <v>96.822213711544</v>
      </c>
      <c r="AF263" s="1" t="n">
        <f aca="false">MAX(0,(AF70+AE121-AE227)*0.25/0.55)</f>
        <v>100.030498095301</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0.209539360708707</v>
      </c>
      <c r="M266" s="1" t="n">
        <f aca="false">IF(M263&gt;0,M262/M263,0)</f>
        <v>0.213067661266469</v>
      </c>
      <c r="N266" s="1" t="n">
        <f aca="false">IF(N263&gt;0,N262/N263,0)</f>
        <v>0.212308636036645</v>
      </c>
      <c r="O266" s="1" t="n">
        <f aca="false">IF(O263&gt;0,O262/O263,0)</f>
        <v>0.206687329972874</v>
      </c>
      <c r="P266" s="1" t="n">
        <f aca="false">IF(P263&gt;0,P262/P263,0)</f>
        <v>0.200784725860898</v>
      </c>
      <c r="Q266" s="1" t="n">
        <f aca="false">IF(Q263&gt;0,Q262/Q263,0)</f>
        <v>0.195312963605502</v>
      </c>
      <c r="R266" s="1" t="n">
        <f aca="false">IF(R263&gt;0,R262/R263,0)</f>
        <v>0.190530395260294</v>
      </c>
      <c r="S266" s="1" t="n">
        <f aca="false">IF(S263&gt;0,S262/S263,0)</f>
        <v>0.186329351691112</v>
      </c>
      <c r="T266" s="1" t="n">
        <f aca="false">IF(T263&gt;0,T262/T263,0)</f>
        <v>0.182611291472945</v>
      </c>
      <c r="U266" s="1" t="n">
        <f aca="false">IF(U263&gt;0,U262/U263,0)</f>
        <v>0.179296395334944</v>
      </c>
      <c r="V266" s="1" t="n">
        <f aca="false">IF(V263&gt;0,V262/V263,0)</f>
        <v>0.17631920368647</v>
      </c>
      <c r="W266" s="1" t="n">
        <f aca="false">IF(W263&gt;0,W262/W263,0)</f>
        <v>0.173624676616595</v>
      </c>
      <c r="X266" s="1" t="n">
        <f aca="false">IF(X263&gt;0,X262/X263,0)</f>
        <v>0.171167782366383</v>
      </c>
      <c r="Y266" s="1" t="n">
        <f aca="false">IF(Y263&gt;0,Y262/Y263,0)</f>
        <v>0.168910352458794</v>
      </c>
      <c r="Z266" s="1" t="n">
        <f aca="false">IF(Z263&gt;0,Z262/Z263,0)</f>
        <v>0.166819792159937</v>
      </c>
      <c r="AA266" s="1" t="n">
        <f aca="false">IF(AA263&gt;0,AA262/AA263,0)</f>
        <v>0.164868276188326</v>
      </c>
      <c r="AB266" s="1" t="n">
        <f aca="false">IF(AB263&gt;0,AB262/AB263,0)</f>
        <v>0.163031962079834</v>
      </c>
      <c r="AC266" s="1" t="n">
        <f aca="false">IF(AC263&gt;0,AC262/AC263,0)</f>
        <v>0.161290329496649</v>
      </c>
      <c r="AD266" s="1" t="n">
        <f aca="false">IF(AD263&gt;0,AD262/AD263,0)</f>
        <v>0.15962567756464</v>
      </c>
      <c r="AE266" s="1" t="n">
        <f aca="false">IF(AE263&gt;0,AE262/AE263,0)</f>
        <v>0.15802272189449</v>
      </c>
      <c r="AF266" s="1" t="n">
        <f aca="false">IF(AF263&gt;0,AF262/AF263,0)</f>
        <v>0.156468264747776</v>
      </c>
    </row>
    <row r="267" customFormat="false" ht="14.25" hidden="false" customHeight="true" outlineLevel="0" collapsed="false">
      <c r="B267" s="1" t="s">
        <v>1262</v>
      </c>
      <c r="C267" s="1" t="n">
        <f aca="false">C120-C264</f>
        <v>17.9458778419531</v>
      </c>
      <c r="D267" s="1" t="n">
        <f aca="false">D120-D264</f>
        <v>33.1280169060563</v>
      </c>
      <c r="E267" s="1" t="n">
        <f aca="false">E120-E264</f>
        <v>50.0498831427186</v>
      </c>
      <c r="F267" s="1" t="n">
        <f aca="false">F120-F264</f>
        <v>61.8615311429605</v>
      </c>
      <c r="G267" s="1" t="n">
        <f aca="false">G120-G264</f>
        <v>72.8447858473724</v>
      </c>
      <c r="H267" s="1" t="n">
        <f aca="false">H120-H264</f>
        <v>85.489047213793</v>
      </c>
      <c r="I267" s="1" t="n">
        <f aca="false">I120-I264</f>
        <v>99.8859200684854</v>
      </c>
      <c r="J267" s="1" t="n">
        <f aca="false">J120-J264</f>
        <v>115.612055639854</v>
      </c>
      <c r="K267" s="1" t="n">
        <f aca="false">K120-K264</f>
        <v>132.626319710305</v>
      </c>
      <c r="L267" s="1" t="n">
        <f aca="false">L120-L264</f>
        <v>150.116028343596</v>
      </c>
      <c r="M267" s="1" t="n">
        <f aca="false">M120-M264</f>
        <v>149.791589264538</v>
      </c>
      <c r="N267" s="1" t="n">
        <f aca="false">N120-N264</f>
        <v>150.583332833716</v>
      </c>
      <c r="O267" s="1" t="n">
        <f aca="false">O120-O264</f>
        <v>152.818309619816</v>
      </c>
      <c r="P267" s="1" t="n">
        <f aca="false">P120-P264</f>
        <v>154.309463389045</v>
      </c>
      <c r="Q267" s="1" t="n">
        <f aca="false">Q120-Q264</f>
        <v>155.474252587674</v>
      </c>
      <c r="R267" s="1" t="n">
        <f aca="false">R120-R264</f>
        <v>156.679879219942</v>
      </c>
      <c r="S267" s="1" t="n">
        <f aca="false">S120-S264</f>
        <v>157.921489337663</v>
      </c>
      <c r="T267" s="1" t="n">
        <f aca="false">T120-T264</f>
        <v>159.199965225748</v>
      </c>
      <c r="U267" s="1" t="n">
        <f aca="false">U120-U264</f>
        <v>160.515914273531</v>
      </c>
      <c r="V267" s="1" t="n">
        <f aca="false">V120-V264</f>
        <v>161.869940809306</v>
      </c>
      <c r="W267" s="1" t="n">
        <f aca="false">W120-W264</f>
        <v>163.264938107606</v>
      </c>
      <c r="X267" s="1" t="n">
        <f aca="false">X120-X264</f>
        <v>164.702111442539</v>
      </c>
      <c r="Y267" s="1" t="n">
        <f aca="false">Y120-Y264</f>
        <v>166.182445268179</v>
      </c>
      <c r="Z267" s="1" t="n">
        <f aca="false">Z120-Z264</f>
        <v>167.706624155633</v>
      </c>
      <c r="AA267" s="1" t="n">
        <f aca="false">AA120-AA264</f>
        <v>169.27535644541</v>
      </c>
      <c r="AB267" s="1" t="n">
        <f aca="false">AB120-AB264</f>
        <v>170.889325083366</v>
      </c>
      <c r="AC267" s="1" t="n">
        <f aca="false">AC120-AC264</f>
        <v>172.549225763065</v>
      </c>
      <c r="AD267" s="1" t="n">
        <f aca="false">AD120-AD264</f>
        <v>174.255772530209</v>
      </c>
      <c r="AE267" s="1" t="n">
        <f aca="false">AE120-AE264</f>
        <v>176.009705060582</v>
      </c>
      <c r="AF267" s="1" t="n">
        <f aca="false">AF120-AF264</f>
        <v>177.811788809735</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9.20518722107704</v>
      </c>
      <c r="M270" s="1" t="n">
        <f aca="false">01_Supuestos!$C$173*M261</f>
        <v>9.80306035818032</v>
      </c>
      <c r="N270" s="1" t="n">
        <f aca="false">01_Supuestos!$C$173*N261</f>
        <v>10.3203618418061</v>
      </c>
      <c r="O270" s="1" t="n">
        <f aca="false">01_Supuestos!$C$173*O261</f>
        <v>10.6192016842607</v>
      </c>
      <c r="P270" s="1" t="n">
        <f aca="false">01_Supuestos!$C$173*P261</f>
        <v>10.8814732574154</v>
      </c>
      <c r="Q270" s="1" t="n">
        <f aca="false">01_Supuestos!$C$173*Q261</f>
        <v>11.131430094056</v>
      </c>
      <c r="R270" s="1" t="n">
        <f aca="false">01_Supuestos!$C$173*R261</f>
        <v>11.3873859584798</v>
      </c>
      <c r="S270" s="1" t="n">
        <f aca="false">01_Supuestos!$C$173*S261</f>
        <v>11.6491897904542</v>
      </c>
      <c r="T270" s="1" t="n">
        <f aca="false">01_Supuestos!$C$173*T261</f>
        <v>11.9169947645052</v>
      </c>
      <c r="U270" s="1" t="n">
        <f aca="false">01_Supuestos!$C$173*U261</f>
        <v>12.1909418929714</v>
      </c>
      <c r="V270" s="1" t="n">
        <f aca="false">01_Supuestos!$C$173*V261</f>
        <v>12.4711739539661</v>
      </c>
      <c r="W270" s="1" t="n">
        <f aca="false">01_Supuestos!$C$173*W261</f>
        <v>12.757776598203</v>
      </c>
      <c r="X270" s="1" t="n">
        <f aca="false">01_Supuestos!$C$173*X261</f>
        <v>13.0509276816529</v>
      </c>
      <c r="Y270" s="1" t="n">
        <f aca="false">01_Supuestos!$C$173*Y261</f>
        <v>13.350796313743</v>
      </c>
      <c r="Z270" s="1" t="n">
        <f aca="false">01_Supuestos!$C$173*Z261</f>
        <v>13.6575389154401</v>
      </c>
      <c r="AA270" s="1" t="n">
        <f aca="false">01_Supuestos!$C$173*AA261</f>
        <v>13.9713154793894</v>
      </c>
      <c r="AB270" s="1" t="n">
        <f aca="false">01_Supuestos!$C$173*AB261</f>
        <v>14.2922909789547</v>
      </c>
      <c r="AC270" s="1" t="n">
        <f aca="false">01_Supuestos!$C$173*AC261</f>
        <v>14.6206334982731</v>
      </c>
      <c r="AD270" s="1" t="n">
        <f aca="false">01_Supuestos!$C$173*AD261</f>
        <v>14.9565145953594</v>
      </c>
      <c r="AE270" s="1" t="n">
        <f aca="false">01_Supuestos!$C$173*AE261</f>
        <v>15.3001097505481</v>
      </c>
      <c r="AF270" s="1" t="n">
        <f aca="false">01_Supuestos!$C$173*AF261</f>
        <v>15.6515984588274</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9.20518722107704</v>
      </c>
      <c r="M271" s="1" t="n">
        <f aca="false">MIN(M270,M263)</f>
        <v>9.80306035818032</v>
      </c>
      <c r="N271" s="1" t="n">
        <f aca="false">MIN(N270,N263)</f>
        <v>10.3203618418061</v>
      </c>
      <c r="O271" s="1" t="n">
        <f aca="false">MIN(O270,O263)</f>
        <v>10.6192016842607</v>
      </c>
      <c r="P271" s="1" t="n">
        <f aca="false">MIN(P270,P263)</f>
        <v>10.8814732574154</v>
      </c>
      <c r="Q271" s="1" t="n">
        <f aca="false">MIN(Q270,Q263)</f>
        <v>11.131430094056</v>
      </c>
      <c r="R271" s="1" t="n">
        <f aca="false">MIN(R270,R263)</f>
        <v>11.3873859584798</v>
      </c>
      <c r="S271" s="1" t="n">
        <f aca="false">MIN(S270,S263)</f>
        <v>11.6491897904542</v>
      </c>
      <c r="T271" s="1" t="n">
        <f aca="false">MIN(T270,T263)</f>
        <v>11.9169947645052</v>
      </c>
      <c r="U271" s="1" t="n">
        <f aca="false">MIN(U270,U263)</f>
        <v>12.1909418929714</v>
      </c>
      <c r="V271" s="1" t="n">
        <f aca="false">MIN(V270,V263)</f>
        <v>12.4711739539661</v>
      </c>
      <c r="W271" s="1" t="n">
        <f aca="false">MIN(W270,W263)</f>
        <v>12.757776598203</v>
      </c>
      <c r="X271" s="1" t="n">
        <f aca="false">MIN(X270,X263)</f>
        <v>13.0509276816529</v>
      </c>
      <c r="Y271" s="1" t="n">
        <f aca="false">MIN(Y270,Y263)</f>
        <v>13.350796313743</v>
      </c>
      <c r="Z271" s="1" t="n">
        <f aca="false">MIN(Z270,Z263)</f>
        <v>13.6575389154401</v>
      </c>
      <c r="AA271" s="1" t="n">
        <f aca="false">MIN(AA270,AA263)</f>
        <v>13.9713154793894</v>
      </c>
      <c r="AB271" s="1" t="n">
        <f aca="false">MIN(AB270,AB263)</f>
        <v>14.2922909789547</v>
      </c>
      <c r="AC271" s="1" t="n">
        <f aca="false">MIN(AC270,AC263)</f>
        <v>14.6206334982731</v>
      </c>
      <c r="AD271" s="1" t="n">
        <f aca="false">MIN(AD270,AD263)</f>
        <v>14.9565145953594</v>
      </c>
      <c r="AE271" s="1" t="n">
        <f aca="false">MIN(AE270,AE263)</f>
        <v>15.3001097505481</v>
      </c>
      <c r="AF271" s="1" t="n">
        <f aca="false">MIN(AF270,AF263)</f>
        <v>15.6515984588274</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0.0920518722107704</v>
      </c>
      <c r="M274" s="1" t="n">
        <f aca="false">IF(01_Supuestos!$C$174="Sí",01_Supuestos!$C$172*M271,01_Supuestos!$I$134*(M271+MIN(MIN(M270-M271,MAX(0,L120)),M264))+$C$10*MAX(0,MIN(M270-M271,MAX(0,L120))-M264))</f>
        <v>0.0980306035818032</v>
      </c>
      <c r="N274" s="1" t="n">
        <f aca="false">IF(01_Supuestos!$C$174="Sí",01_Supuestos!$C$172*N271,01_Supuestos!$I$134*(N271+MIN(MIN(N270-N271,MAX(0,M120)),N264))+$C$10*MAX(0,MIN(N270-N271,MAX(0,M120))-N264))</f>
        <v>0.103203618418061</v>
      </c>
      <c r="O274" s="1" t="n">
        <f aca="false">IF(01_Supuestos!$C$174="Sí",01_Supuestos!$C$172*O271,01_Supuestos!$I$134*(O271+MIN(MIN(O270-O271,MAX(0,N120)),O264))+$C$10*MAX(0,MIN(O270-O271,MAX(0,N120))-O264))</f>
        <v>0.106192016842607</v>
      </c>
      <c r="P274" s="1" t="n">
        <f aca="false">IF(01_Supuestos!$C$174="Sí",01_Supuestos!$C$172*P271,01_Supuestos!$I$134*(P271+MIN(MIN(P270-P271,MAX(0,O120)),P264))+$C$10*MAX(0,MIN(P270-P271,MAX(0,O120))-P264))</f>
        <v>0.108814732574154</v>
      </c>
      <c r="Q274" s="1" t="n">
        <f aca="false">IF(01_Supuestos!$C$174="Sí",01_Supuestos!$C$172*Q271,01_Supuestos!$I$134*(Q271+MIN(MIN(Q270-Q271,MAX(0,P120)),Q264))+$C$10*MAX(0,MIN(Q270-Q271,MAX(0,P120))-Q264))</f>
        <v>0.11131430094056</v>
      </c>
      <c r="R274" s="1" t="n">
        <f aca="false">IF(01_Supuestos!$C$174="Sí",01_Supuestos!$C$172*R271,01_Supuestos!$I$134*(R271+MIN(MIN(R270-R271,MAX(0,Q120)),R264))+$C$10*MAX(0,MIN(R270-R271,MAX(0,Q120))-R264))</f>
        <v>0.113873859584798</v>
      </c>
      <c r="S274" s="1" t="n">
        <f aca="false">IF(01_Supuestos!$C$174="Sí",01_Supuestos!$C$172*S271,01_Supuestos!$I$134*(S271+MIN(MIN(S270-S271,MAX(0,R120)),S264))+$C$10*MAX(0,MIN(S270-S271,MAX(0,R120))-S264))</f>
        <v>0.116491897904542</v>
      </c>
      <c r="T274" s="1" t="n">
        <f aca="false">IF(01_Supuestos!$C$174="Sí",01_Supuestos!$C$172*T271,01_Supuestos!$I$134*(T271+MIN(MIN(T270-T271,MAX(0,S120)),T264))+$C$10*MAX(0,MIN(T270-T271,MAX(0,S120))-T264))</f>
        <v>0.119169947645052</v>
      </c>
      <c r="U274" s="1" t="n">
        <f aca="false">IF(01_Supuestos!$C$174="Sí",01_Supuestos!$C$172*U271,01_Supuestos!$I$134*(U271+MIN(MIN(U270-U271,MAX(0,T120)),U264))+$C$10*MAX(0,MIN(U270-U271,MAX(0,T120))-U264))</f>
        <v>0.121909418929714</v>
      </c>
      <c r="V274" s="1" t="n">
        <f aca="false">IF(01_Supuestos!$C$174="Sí",01_Supuestos!$C$172*V271,01_Supuestos!$I$134*(V271+MIN(MIN(V270-V271,MAX(0,U120)),V264))+$C$10*MAX(0,MIN(V270-V271,MAX(0,U120))-V264))</f>
        <v>0.124711739539661</v>
      </c>
      <c r="W274" s="1" t="n">
        <f aca="false">IF(01_Supuestos!$C$174="Sí",01_Supuestos!$C$172*W271,01_Supuestos!$I$134*(W271+MIN(MIN(W270-W271,MAX(0,V120)),W264))+$C$10*MAX(0,MIN(W270-W271,MAX(0,V120))-W264))</f>
        <v>0.12757776598203</v>
      </c>
      <c r="X274" s="1" t="n">
        <f aca="false">IF(01_Supuestos!$C$174="Sí",01_Supuestos!$C$172*X271,01_Supuestos!$I$134*(X271+MIN(MIN(X270-X271,MAX(0,W120)),X264))+$C$10*MAX(0,MIN(X270-X271,MAX(0,W120))-X264))</f>
        <v>0.130509276816529</v>
      </c>
      <c r="Y274" s="1" t="n">
        <f aca="false">IF(01_Supuestos!$C$174="Sí",01_Supuestos!$C$172*Y271,01_Supuestos!$I$134*(Y271+MIN(MIN(Y270-Y271,MAX(0,X120)),Y264))+$C$10*MAX(0,MIN(Y270-Y271,MAX(0,X120))-Y264))</f>
        <v>0.13350796313743</v>
      </c>
      <c r="Z274" s="1" t="n">
        <f aca="false">IF(01_Supuestos!$C$174="Sí",01_Supuestos!$C$172*Z271,01_Supuestos!$I$134*(Z271+MIN(MIN(Z270-Z271,MAX(0,Y120)),Z264))+$C$10*MAX(0,MIN(Z270-Z271,MAX(0,Y120))-Z264))</f>
        <v>0.136575389154401</v>
      </c>
      <c r="AA274" s="1" t="n">
        <f aca="false">IF(01_Supuestos!$C$174="Sí",01_Supuestos!$C$172*AA271,01_Supuestos!$I$134*(AA271+MIN(MIN(AA270-AA271,MAX(0,Z120)),AA264))+$C$10*MAX(0,MIN(AA270-AA271,MAX(0,Z120))-AA264))</f>
        <v>0.139713154793894</v>
      </c>
      <c r="AB274" s="1" t="n">
        <f aca="false">IF(01_Supuestos!$C$174="Sí",01_Supuestos!$C$172*AB271,01_Supuestos!$I$134*(AB271+MIN(MIN(AB270-AB271,MAX(0,AA120)),AB264))+$C$10*MAX(0,MIN(AB270-AB271,MAX(0,AA120))-AB264))</f>
        <v>0.142922909789547</v>
      </c>
      <c r="AC274" s="1" t="n">
        <f aca="false">IF(01_Supuestos!$C$174="Sí",01_Supuestos!$C$172*AC271,01_Supuestos!$I$134*(AC271+MIN(MIN(AC270-AC271,MAX(0,AB120)),AC264))+$C$10*MAX(0,MIN(AC270-AC271,MAX(0,AB120))-AC264))</f>
        <v>0.146206334982731</v>
      </c>
      <c r="AD274" s="1" t="n">
        <f aca="false">IF(01_Supuestos!$C$174="Sí",01_Supuestos!$C$172*AD271,01_Supuestos!$I$134*(AD271+MIN(MIN(AD270-AD271,MAX(0,AC120)),AD264))+$C$10*MAX(0,MIN(AD270-AD271,MAX(0,AC120))-AD264))</f>
        <v>0.149565145953594</v>
      </c>
      <c r="AE274" s="1" t="n">
        <f aca="false">IF(01_Supuestos!$C$174="Sí",01_Supuestos!$C$172*AE271,01_Supuestos!$I$134*(AE271+MIN(MIN(AE270-AE271,MAX(0,AD120)),AE264))+$C$10*MAX(0,MIN(AE270-AE271,MAX(0,AD120))-AE264))</f>
        <v>0.153001097505481</v>
      </c>
      <c r="AF274" s="1" t="n">
        <f aca="false">IF(01_Supuestos!$C$174="Sí",01_Supuestos!$C$172*AF271,01_Supuestos!$I$134*(AF271+MIN(MIN(AF270-AF271,MAX(0,AE120)),AF264))+$C$10*MAX(0,MIN(AF270-AF271,MAX(0,AE120))-AF264))</f>
        <v>0.156515984588274</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33.1280169060563</v>
      </c>
      <c r="E276" s="1" t="n">
        <f aca="false">E120-MAX(E264,E272)</f>
        <v>50.0498831427186</v>
      </c>
      <c r="F276" s="1" t="n">
        <f aca="false">F120-MAX(F264,F272)</f>
        <v>61.8615311429605</v>
      </c>
      <c r="G276" s="1" t="n">
        <f aca="false">G120-MAX(G264,G272)</f>
        <v>72.8447858473724</v>
      </c>
      <c r="H276" s="1" t="n">
        <f aca="false">H120-MAX(H264,H272)</f>
        <v>85.489047213793</v>
      </c>
      <c r="I276" s="1" t="n">
        <f aca="false">I120-MAX(I264,I272)</f>
        <v>99.8859200684854</v>
      </c>
      <c r="J276" s="1" t="n">
        <f aca="false">J120-MAX(J264,J272)</f>
        <v>115.612055639854</v>
      </c>
      <c r="K276" s="1" t="n">
        <f aca="false">K120-MAX(K264,K272)</f>
        <v>132.626319710305</v>
      </c>
      <c r="L276" s="1" t="n">
        <f aca="false">L120-MAX(L264,L272)</f>
        <v>150.116028343596</v>
      </c>
      <c r="M276" s="1" t="n">
        <f aca="false">M120-MAX(M264,M272)</f>
        <v>149.791589264538</v>
      </c>
      <c r="N276" s="1" t="n">
        <f aca="false">N120-MAX(N264,N272)</f>
        <v>150.583332833716</v>
      </c>
      <c r="O276" s="1" t="n">
        <f aca="false">O120-MAX(O264,O272)</f>
        <v>152.818309619816</v>
      </c>
      <c r="P276" s="1" t="n">
        <f aca="false">P120-MAX(P264,P272)</f>
        <v>154.309463389045</v>
      </c>
      <c r="Q276" s="1" t="n">
        <f aca="false">Q120-MAX(Q264,Q272)</f>
        <v>155.474252587674</v>
      </c>
      <c r="R276" s="1" t="n">
        <f aca="false">R120-MAX(R264,R272)</f>
        <v>156.679879219942</v>
      </c>
      <c r="S276" s="1" t="n">
        <f aca="false">S120-MAX(S264,S272)</f>
        <v>157.921489337663</v>
      </c>
      <c r="T276" s="1" t="n">
        <f aca="false">T120-MAX(T264,T272)</f>
        <v>159.199965225748</v>
      </c>
      <c r="U276" s="1" t="n">
        <f aca="false">U120-MAX(U264,U272)</f>
        <v>160.515914273531</v>
      </c>
      <c r="V276" s="1" t="n">
        <f aca="false">V120-MAX(V264,V272)</f>
        <v>161.869940809306</v>
      </c>
      <c r="W276" s="1" t="n">
        <f aca="false">W120-MAX(W264,W272)</f>
        <v>163.264938107606</v>
      </c>
      <c r="X276" s="1" t="n">
        <f aca="false">X120-MAX(X264,X272)</f>
        <v>164.702111442539</v>
      </c>
      <c r="Y276" s="1" t="n">
        <f aca="false">Y120-MAX(Y264,Y272)</f>
        <v>166.182445268179</v>
      </c>
      <c r="Z276" s="1" t="n">
        <f aca="false">Z120-MAX(Z264,Z272)</f>
        <v>167.706624155633</v>
      </c>
      <c r="AA276" s="1" t="n">
        <f aca="false">AA120-MAX(AA264,AA272)</f>
        <v>169.27535644541</v>
      </c>
      <c r="AB276" s="1" t="n">
        <f aca="false">AB120-MAX(AB264,AB272)</f>
        <v>170.889325083366</v>
      </c>
      <c r="AC276" s="1" t="n">
        <f aca="false">AC120-MAX(AC264,AC272)</f>
        <v>172.549225763065</v>
      </c>
      <c r="AD276" s="1" t="n">
        <f aca="false">AD120-MAX(AD264,AD272)</f>
        <v>174.255772530209</v>
      </c>
      <c r="AE276" s="1" t="n">
        <f aca="false">AE120-MAX(AE264,AE272)</f>
        <v>176.009705060582</v>
      </c>
      <c r="AF276" s="1" t="n">
        <f aca="false">AF120-MAX(AF264,AF272)</f>
        <v>177.811788809735</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38.3603196720722</v>
      </c>
      <c r="M284" s="1" t="n">
        <f aca="false">$C$279*M87</f>
        <v>46.7698250358362</v>
      </c>
      <c r="N284" s="1" t="n">
        <f aca="false">$C$279*N87</f>
        <v>52.8650707666881</v>
      </c>
      <c r="O284" s="1" t="n">
        <f aca="false">$C$279*O87</f>
        <v>53.9732685886358</v>
      </c>
      <c r="P284" s="1" t="n">
        <f aca="false">$C$279*P87</f>
        <v>55.1960699327895</v>
      </c>
      <c r="Q284" s="1" t="n">
        <f aca="false">$C$279*Q87</f>
        <v>56.4511896594418</v>
      </c>
      <c r="R284" s="1" t="n">
        <f aca="false">$C$279*R87</f>
        <v>57.7427662549874</v>
      </c>
      <c r="S284" s="1" t="n">
        <f aca="false">$C$279*S87</f>
        <v>59.0715272896651</v>
      </c>
      <c r="T284" s="1" t="n">
        <f aca="false">$C$279*T87</f>
        <v>60.4378287373166</v>
      </c>
      <c r="U284" s="1" t="n">
        <f aca="false">$C$279*U87</f>
        <v>61.8420556484629</v>
      </c>
      <c r="V284" s="1" t="n">
        <f aca="false">$C$279*V87</f>
        <v>63.2846152022063</v>
      </c>
      <c r="W284" s="1" t="n">
        <f aca="false">$C$279*W87</f>
        <v>64.7703103019471</v>
      </c>
      <c r="X284" s="1" t="n">
        <f aca="false">$C$279*X87</f>
        <v>66.2995670324973</v>
      </c>
      <c r="Y284" s="1" t="n">
        <f aca="false">$C$279*Y87</f>
        <v>67.872828920626</v>
      </c>
      <c r="Z284" s="1" t="n">
        <f aca="false">$C$279*Z87</f>
        <v>69.4905583157479</v>
      </c>
      <c r="AA284" s="1" t="n">
        <f aca="false">$C$279*AA87</f>
        <v>71.1532361366684</v>
      </c>
      <c r="AB284" s="1" t="n">
        <f aca="false">$C$279*AB87</f>
        <v>72.8612661547111</v>
      </c>
      <c r="AC284" s="1" t="n">
        <f aca="false">$C$279*AC87</f>
        <v>74.6150719515384</v>
      </c>
      <c r="AD284" s="1" t="n">
        <f aca="false">$C$279*AD87</f>
        <v>76.4150966453824</v>
      </c>
      <c r="AE284" s="1" t="n">
        <f aca="false">$C$279*AE87</f>
        <v>78.2618026152631</v>
      </c>
      <c r="AF284" s="1" t="n">
        <f aca="false">$C$279*AF87</f>
        <v>80.1556712582826</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1.91609796762001</v>
      </c>
      <c r="N285" s="1" t="n">
        <f aca="false">MAX(M284*(1-$C$340)/$C$280,M284-N341-N284)</f>
        <v>2.33615276054002</v>
      </c>
      <c r="O285" s="1" t="n">
        <f aca="false">MAX(N284*(1-$C$340)/$C$280,N284-O341-O284)</f>
        <v>2.64061028479607</v>
      </c>
      <c r="P285" s="1" t="n">
        <f aca="false">MAX(O284*(1-$C$340)/$C$280,O284-P341-P284)</f>
        <v>2.69596476600236</v>
      </c>
      <c r="Q285" s="1" t="n">
        <f aca="false">MAX(P284*(1-$C$340)/$C$280,P284-Q341-Q284)</f>
        <v>2.75704369314284</v>
      </c>
      <c r="R285" s="1" t="n">
        <f aca="false">MAX(Q284*(1-$C$340)/$C$280,Q284-R341-R284)</f>
        <v>2.81973692348912</v>
      </c>
      <c r="S285" s="1" t="n">
        <f aca="false">MAX(R284*(1-$C$340)/$C$280,R284-S341-S284)</f>
        <v>2.88425117443662</v>
      </c>
      <c r="T285" s="1" t="n">
        <f aca="false">MAX(S284*(1-$C$340)/$C$280,S284-T341-T284)</f>
        <v>2.95062278811877</v>
      </c>
      <c r="U285" s="1" t="n">
        <f aca="false">MAX(T284*(1-$C$340)/$C$280,T284-U341-U284)</f>
        <v>3.01886954542897</v>
      </c>
      <c r="V285" s="1" t="n">
        <f aca="false">MAX(U284*(1-$C$340)/$C$280,U284-V341-V284)</f>
        <v>3.08901067964072</v>
      </c>
      <c r="W285" s="1" t="n">
        <f aca="false">MAX(V284*(1-$C$340)/$C$280,V284-W341-W284)</f>
        <v>3.1610665293502</v>
      </c>
      <c r="X285" s="1" t="n">
        <f aca="false">MAX(W284*(1-$C$340)/$C$280,W284-X341-X284)</f>
        <v>3.23527699958226</v>
      </c>
      <c r="Y285" s="1" t="n">
        <f aca="false">MAX(X284*(1-$C$340)/$C$280,X284-Y341-Y284)</f>
        <v>3.31166337327324</v>
      </c>
      <c r="Z285" s="1" t="n">
        <f aca="false">MAX(Y284*(1-$C$340)/$C$280,Y284-Z341-Z284)</f>
        <v>3.39024780458527</v>
      </c>
      <c r="AA285" s="1" t="n">
        <f aca="false">MAX(Z284*(1-$C$340)/$C$280,Z284-AA341-AA284)</f>
        <v>3.47105338787161</v>
      </c>
      <c r="AB285" s="1" t="n">
        <f aca="false">MAX(AA284*(1-$C$340)/$C$280,AA284-AB341-AB284)</f>
        <v>3.55410414502659</v>
      </c>
      <c r="AC285" s="1" t="n">
        <f aca="false">MAX(AB284*(1-$C$340)/$C$280,AB284-AC341-AC284)</f>
        <v>3.63942024442782</v>
      </c>
      <c r="AD285" s="1" t="n">
        <f aca="false">MAX(AC284*(1-$C$340)/$C$280,AC284-AD341-AD284)</f>
        <v>3.72702284397934</v>
      </c>
      <c r="AE285" s="1" t="n">
        <f aca="false">MAX(AD284*(1-$C$340)/$C$280,AD284-AE341-AE284)</f>
        <v>3.81693407743685</v>
      </c>
      <c r="AF285" s="1" t="n">
        <f aca="false">MAX(AE284*(1-$C$340)/$C$280,AE284-AF341-AF284)</f>
        <v>3.90917704063239</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5.86306668341605</v>
      </c>
      <c r="M286" s="1" t="n">
        <f aca="false">M284-L284+M285+M341</f>
        <v>10.3639636510561</v>
      </c>
      <c r="N286" s="1" t="n">
        <f aca="false">N284-M284+N285+N341</f>
        <v>8.47816831642774</v>
      </c>
      <c r="O286" s="1" t="n">
        <f aca="false">O284-N284+O285+O341</f>
        <v>3.80167317751046</v>
      </c>
      <c r="P286" s="1" t="n">
        <f aca="false">P284-O284+P285+P341</f>
        <v>3.97273937874474</v>
      </c>
      <c r="Q286" s="1" t="n">
        <f aca="false">Q284-P284+Q285+Q341</f>
        <v>4.06735948972788</v>
      </c>
      <c r="R286" s="1" t="n">
        <f aca="false">R284-Q284+R285+R341</f>
        <v>4.16776470869418</v>
      </c>
      <c r="S286" s="1" t="n">
        <f aca="false">S284-R284+S285+S341</f>
        <v>4.27075497536931</v>
      </c>
      <c r="T286" s="1" t="n">
        <f aca="false">T284-S284+T285+T341</f>
        <v>4.37599576305996</v>
      </c>
      <c r="U286" s="1" t="n">
        <f aca="false">U284-T284+U285+U341</f>
        <v>4.48353428531254</v>
      </c>
      <c r="V286" s="1" t="n">
        <f aca="false">V284-U284+V285+V341</f>
        <v>4.59341228903255</v>
      </c>
      <c r="W286" s="1" t="n">
        <f aca="false">W284-V284+W285+W341</f>
        <v>4.71004624429325</v>
      </c>
      <c r="X286" s="1" t="n">
        <f aca="false">X284-W284+X285+X341</f>
        <v>4.82930404043442</v>
      </c>
      <c r="Y286" s="1" t="n">
        <f aca="false">Y284-X284+Y285+Y341</f>
        <v>4.95122482843437</v>
      </c>
      <c r="Z286" s="1" t="n">
        <f aca="false">Z284-Y284+Z285+Z341</f>
        <v>5.07585002862781</v>
      </c>
      <c r="AA286" s="1" t="n">
        <f aca="false">AA284-Z284+AA285+AA341</f>
        <v>5.20322176710793</v>
      </c>
      <c r="AB286" s="1" t="n">
        <f aca="false">AB284-AA284+AB285+AB341</f>
        <v>5.33328739920588</v>
      </c>
      <c r="AC286" s="1" t="n">
        <f aca="false">AC284-AB284+AC285+AC341</f>
        <v>5.46608730740982</v>
      </c>
      <c r="AD286" s="1" t="n">
        <f aca="false">AD284-AC284+AD285+AD341</f>
        <v>5.60166260977487</v>
      </c>
      <c r="AE286" s="1" t="n">
        <f aca="false">AE284-AD284+AE285+AE341</f>
        <v>5.74005514396302</v>
      </c>
      <c r="AF286" s="1" t="n">
        <f aca="false">AF284-AE284+AF285+AF341</f>
        <v>5.88130748626709</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1.64784425215321</v>
      </c>
      <c r="M287" s="1" t="n">
        <f aca="false">M284*(1-$C$340)*$C$175</f>
        <v>2.00909137406442</v>
      </c>
      <c r="N287" s="1" t="n">
        <f aca="false">N284*(1-$C$340)*$C$175</f>
        <v>2.27092484492462</v>
      </c>
      <c r="O287" s="1" t="n">
        <f aca="false">O284*(1-$C$340)*$C$175</f>
        <v>2.31852969876203</v>
      </c>
      <c r="P287" s="1" t="n">
        <f aca="false">P284*(1-$C$340)*$C$175</f>
        <v>2.37105757610284</v>
      </c>
      <c r="Q287" s="1" t="n">
        <f aca="false">Q284*(1-$C$340)*$C$175</f>
        <v>2.42497375420064</v>
      </c>
      <c r="R287" s="1" t="n">
        <f aca="false">R284*(1-$C$340)*$C$175</f>
        <v>2.48045601001549</v>
      </c>
      <c r="S287" s="1" t="n">
        <f aca="false">S284*(1-$C$340)*$C$175</f>
        <v>2.53753559778214</v>
      </c>
      <c r="T287" s="1" t="n">
        <f aca="false">T284*(1-$C$340)*$C$175</f>
        <v>2.59622780906891</v>
      </c>
      <c r="U287" s="1" t="n">
        <f aca="false">U284*(1-$C$340)*$C$175</f>
        <v>2.65654918449102</v>
      </c>
      <c r="V287" s="1" t="n">
        <f aca="false">V284*(1-$C$340)*$C$175</f>
        <v>2.71851721524117</v>
      </c>
      <c r="W287" s="1" t="n">
        <f aca="false">W284*(1-$C$340)*$C$175</f>
        <v>2.78233821964074</v>
      </c>
      <c r="X287" s="1" t="n">
        <f aca="false">X284*(1-$C$340)*$C$175</f>
        <v>2.84803050101499</v>
      </c>
      <c r="Y287" s="1" t="n">
        <f aca="false">Y284*(1-$C$340)*$C$175</f>
        <v>2.91561311194333</v>
      </c>
      <c r="Z287" s="1" t="n">
        <f aca="false">Z284*(1-$C$340)*$C$175</f>
        <v>2.98510591356958</v>
      </c>
      <c r="AA287" s="1" t="n">
        <f aca="false">AA284*(1-$C$340)*$C$175</f>
        <v>3.05652956472287</v>
      </c>
      <c r="AB287" s="1" t="n">
        <f aca="false">AB284*(1-$C$340)*$C$175</f>
        <v>3.12990141020792</v>
      </c>
      <c r="AC287" s="1" t="n">
        <f aca="false">AC284*(1-$C$340)*$C$175</f>
        <v>3.20523964582223</v>
      </c>
      <c r="AD287" s="1" t="n">
        <f aca="false">AD284*(1-$C$340)*$C$175</f>
        <v>3.28256330659569</v>
      </c>
      <c r="AE287" s="1" t="n">
        <f aca="false">AE284*(1-$C$340)*$C$175</f>
        <v>3.36189225494386</v>
      </c>
      <c r="AF287" s="1" t="n">
        <f aca="false">AF284*(1-$C$340)*$C$175</f>
        <v>3.44324717024204</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52.9737747852426</v>
      </c>
      <c r="M289" s="1" t="n">
        <f aca="false">(1-$C$279)*M87</f>
        <v>64.5869012399643</v>
      </c>
      <c r="N289" s="1" t="n">
        <f aca="false">(1-$C$279)*N87</f>
        <v>73.004145344474</v>
      </c>
      <c r="O289" s="1" t="n">
        <f aca="false">(1-$C$279)*O87</f>
        <v>74.534513765259</v>
      </c>
      <c r="P289" s="1" t="n">
        <f aca="false">(1-$C$279)*P87</f>
        <v>76.2231441928999</v>
      </c>
      <c r="Q289" s="1" t="n">
        <f aca="false">(1-$C$279)*Q87</f>
        <v>77.9564047678006</v>
      </c>
      <c r="R289" s="1" t="n">
        <f aca="false">(1-$C$279)*R87</f>
        <v>79.7400105426017</v>
      </c>
      <c r="S289" s="1" t="n">
        <f aca="false">(1-$C$279)*S87</f>
        <v>81.5749662571566</v>
      </c>
      <c r="T289" s="1" t="n">
        <f aca="false">(1-$C$279)*T87</f>
        <v>83.4617634943897</v>
      </c>
      <c r="U289" s="1" t="n">
        <f aca="false">(1-$C$279)*U87</f>
        <v>85.4009339907345</v>
      </c>
      <c r="V289" s="1" t="n">
        <f aca="false">(1-$C$279)*V87</f>
        <v>87.393040041142</v>
      </c>
      <c r="W289" s="1" t="n">
        <f aca="false">(1-$C$279)*W87</f>
        <v>89.4447142264984</v>
      </c>
      <c r="X289" s="1" t="n">
        <f aca="false">(1-$C$279)*X87</f>
        <v>91.5565449496392</v>
      </c>
      <c r="Y289" s="1" t="n">
        <f aca="false">(1-$C$279)*Y87</f>
        <v>93.729144699912</v>
      </c>
      <c r="Z289" s="1" t="n">
        <f aca="false">(1-$C$279)*Z87</f>
        <v>95.9631519598423</v>
      </c>
      <c r="AA289" s="1" t="n">
        <f aca="false">(1-$C$279)*AA87</f>
        <v>98.2592308553993</v>
      </c>
      <c r="AB289" s="1" t="n">
        <f aca="false">(1-$C$279)*AB87</f>
        <v>100.617938975553</v>
      </c>
      <c r="AC289" s="1" t="n">
        <f aca="false">(1-$C$279)*AC87</f>
        <v>103.03986126641</v>
      </c>
      <c r="AD289" s="1" t="n">
        <f aca="false">(1-$C$279)*AD87</f>
        <v>105.525609653147</v>
      </c>
      <c r="AE289" s="1" t="n">
        <f aca="false">(1-$C$279)*AE87</f>
        <v>108.075822659173</v>
      </c>
      <c r="AF289" s="1" t="n">
        <f aca="false">(1-$C$279)*AF87</f>
        <v>110.691165070962</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10.5841602020915</v>
      </c>
      <c r="N290" s="1" t="n">
        <f aca="false">MAX(M289*(1-$C$340)/$C$281+IF(AND(01_Supuestos!$C$189&gt;0,N$39=01_Supuestos!$C$189),01_Supuestos!$C$190*M289*(1-$C$340)*(1-1/$C$281),0),M289-N342-N289)</f>
        <v>12.9044628677449</v>
      </c>
      <c r="O290" s="1" t="n">
        <f aca="false">MAX(N289*(1-$C$340)/$C$281+IF(AND(01_Supuestos!$C$189&gt;0,O$39=01_Supuestos!$C$189),01_Supuestos!$C$190*N289*(1-$C$340)*(1-1/$C$281),0),N289-O342-O289)</f>
        <v>14.5862282398259</v>
      </c>
      <c r="P290" s="1" t="n">
        <f aca="false">MAX(O289*(1-$C$340)/$C$281+IF(AND(01_Supuestos!$C$189&gt;0,P$39=01_Supuestos!$C$189),01_Supuestos!$C$190*O289*(1-$C$340)*(1-1/$C$281),0),O289-P342-P289)</f>
        <v>14.8919958502987</v>
      </c>
      <c r="Q290" s="1" t="n">
        <f aca="false">MAX(P289*(1-$C$340)/$C$281+IF(AND(01_Supuestos!$C$189&gt;0,Q$39=01_Supuestos!$C$189),01_Supuestos!$C$190*P289*(1-$C$340)*(1-1/$C$281),0),P289-Q342-Q289)</f>
        <v>15.2293842097414</v>
      </c>
      <c r="R290" s="1" t="n">
        <f aca="false">MAX(Q289*(1-$C$340)/$C$281+IF(AND(01_Supuestos!$C$189&gt;0,R$39=01_Supuestos!$C$189),01_Supuestos!$C$190*Q289*(1-$C$340)*(1-1/$C$281),0),Q289-R342-R289)</f>
        <v>15.5756896726066</v>
      </c>
      <c r="S290" s="1" t="n">
        <f aca="false">MAX(R289*(1-$C$340)/$C$281+IF(AND(01_Supuestos!$C$189&gt;0,S$39=01_Supuestos!$C$189),01_Supuestos!$C$190*R289*(1-$C$340)*(1-1/$C$281),0),R289-S342-S289)</f>
        <v>15.9320541064118</v>
      </c>
      <c r="T290" s="1" t="n">
        <f aca="false">MAX(S289*(1-$C$340)/$C$281+IF(AND(01_Supuestos!$C$189&gt;0,T$39=01_Supuestos!$C$189),01_Supuestos!$C$190*S289*(1-$C$340)*(1-1/$C$281),0),S289-T342-T289)</f>
        <v>16.2986782581799</v>
      </c>
      <c r="U290" s="1" t="n">
        <f aca="false">MAX(T289*(1-$C$340)/$C$281+IF(AND(01_Supuestos!$C$189&gt;0,U$39=01_Supuestos!$C$189),01_Supuestos!$C$190*T289*(1-$C$340)*(1-1/$C$281),0),T289-U342-U289)</f>
        <v>16.6756603461791</v>
      </c>
      <c r="V290" s="1" t="n">
        <f aca="false">MAX(U289*(1-$C$340)/$C$281+IF(AND(01_Supuestos!$C$189&gt;0,V$39=01_Supuestos!$C$189),01_Supuestos!$C$190*U289*(1-$C$340)*(1-1/$C$281),0),U289-V342-V289)</f>
        <v>17.0631066113488</v>
      </c>
      <c r="W290" s="1" t="n">
        <f aca="false">MAX(V289*(1-$C$340)/$C$281+IF(AND(01_Supuestos!$C$189&gt;0,W$39=01_Supuestos!$C$189),01_Supuestos!$C$190*V289*(1-$C$340)*(1-1/$C$281),0),V289-W342-W289)</f>
        <v>17.4611294002202</v>
      </c>
      <c r="X290" s="1" t="n">
        <f aca="false">MAX(W289*(1-$C$340)/$C$281+IF(AND(01_Supuestos!$C$189&gt;0,X$39=01_Supuestos!$C$189),01_Supuestos!$C$190*W289*(1-$C$340)*(1-1/$C$281),0),W289-X342-X289)</f>
        <v>17.8710539024544</v>
      </c>
      <c r="Y290" s="1" t="n">
        <f aca="false">MAX(X289*(1-$C$340)/$C$281+IF(AND(01_Supuestos!$C$189&gt;0,Y$39=01_Supuestos!$C$189),01_Supuestos!$C$190*X289*(1-$C$340)*(1-1/$C$281),0),X289-Y342-Y289)</f>
        <v>18.2929976809379</v>
      </c>
      <c r="Z290" s="1" t="n">
        <f aca="false">MAX(Y289*(1-$C$340)/$C$281+IF(AND(01_Supuestos!$C$189&gt;0,Z$39=01_Supuestos!$C$189),01_Supuestos!$C$190*Y289*(1-$C$340)*(1-1/$C$281),0),Y289-Z342-Z289)</f>
        <v>18.7270831110424</v>
      </c>
      <c r="AA290" s="1" t="n">
        <f aca="false">MAX(Z289*(1-$C$340)/$C$281+IF(AND(01_Supuestos!$C$189&gt;0,AA$39=01_Supuestos!$C$189),01_Supuestos!$C$190*Z289*(1-$C$340)*(1-1/$C$281),0),Z289-AA342-AA289)</f>
        <v>19.1734377615765</v>
      </c>
      <c r="AB290" s="1" t="n">
        <f aca="false">MAX(AA289*(1-$C$340)/$C$281+IF(AND(01_Supuestos!$C$189&gt;0,AB$39=01_Supuestos!$C$189),01_Supuestos!$C$190*AA289*(1-$C$340)*(1-1/$C$281),0),AA289-AB342-AB289)</f>
        <v>19.6321943249088</v>
      </c>
      <c r="AC290" s="1" t="n">
        <f aca="false">MAX(AB289*(1-$C$340)/$C$281+IF(AND(01_Supuestos!$C$189&gt;0,AC$39=01_Supuestos!$C$189),01_Supuestos!$C$190*AB289*(1-$C$340)*(1-1/$C$281),0),AB289-AC342-AC289)</f>
        <v>20.1034642073156</v>
      </c>
      <c r="AD290" s="1" t="n">
        <f aca="false">MAX(AC289*(1-$C$340)/$C$281+IF(AND(01_Supuestos!$C$189&gt;0,AD$39=01_Supuestos!$C$189),01_Supuestos!$C$190*AC289*(1-$C$340)*(1-1/$C$281),0),AC289-AD342-AD289)</f>
        <v>20.5873642810287</v>
      </c>
      <c r="AE290" s="1" t="n">
        <f aca="false">MAX(AD289*(1-$C$340)/$C$281+IF(AND(01_Supuestos!$C$189&gt;0,AE$39=01_Supuestos!$C$189),01_Supuestos!$C$190*AD289*(1-$C$340)*(1-1/$C$281),0),AD289-AE342-AE289)</f>
        <v>21.0840168086988</v>
      </c>
      <c r="AF290" s="1" t="n">
        <f aca="false">MAX(AE289*(1-$C$340)/$C$281+IF(AND(01_Supuestos!$C$189&gt;0,AF$39=01_Supuestos!$C$189),01_Supuestos!$C$190*AE289*(1-$C$340)*(1-1/$C$281),0),AE289-AF342-AF289)</f>
        <v>21.5935493673028</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15.1824830891612</v>
      </c>
      <c r="M291" s="1" t="n">
        <f aca="false">M289-L289+M290+M342</f>
        <v>22.2502604315984</v>
      </c>
      <c r="N291" s="1" t="n">
        <f aca="false">N289-M289+N290+N342</f>
        <v>21.3862938734946</v>
      </c>
      <c r="O291" s="1" t="n">
        <f aca="false">O289-N289+O290+O342</f>
        <v>16.1896008059553</v>
      </c>
      <c r="P291" s="1" t="n">
        <f aca="false">P289-O289+P290+P342</f>
        <v>16.6551607917049</v>
      </c>
      <c r="Q291" s="1" t="n">
        <f aca="false">Q289-P289+Q290+Q342</f>
        <v>17.038867928835</v>
      </c>
      <c r="R291" s="1" t="n">
        <f aca="false">R289-Q289+R290+R342</f>
        <v>17.4372518521754</v>
      </c>
      <c r="S291" s="1" t="n">
        <f aca="false">S289-R289+S290+S342</f>
        <v>17.8467498315093</v>
      </c>
      <c r="T291" s="1" t="n">
        <f aca="false">T289-S289+T290+T342</f>
        <v>18.2670504616701</v>
      </c>
      <c r="U291" s="1" t="n">
        <f aca="false">U289-T289+U290+U342</f>
        <v>18.6982926060183</v>
      </c>
      <c r="V291" s="1" t="n">
        <f aca="false">V289-U289+V290+V342</f>
        <v>19.140613595747</v>
      </c>
      <c r="W291" s="1" t="n">
        <f aca="false">W289-V289+W290+W342</f>
        <v>19.6001966256177</v>
      </c>
      <c r="X291" s="1" t="n">
        <f aca="false">X289-W289+X290+X342</f>
        <v>20.0723293398217</v>
      </c>
      <c r="Y291" s="1" t="n">
        <f aca="false">Y289-X289+Y290+Y342</f>
        <v>20.5571539761604</v>
      </c>
      <c r="Z291" s="1" t="n">
        <f aca="false">Z289-Y289+Z290+Z342</f>
        <v>21.0548195156726</v>
      </c>
      <c r="AA291" s="1" t="n">
        <f aca="false">AA289-Z289+AA290+AA342</f>
        <v>21.5654798090933</v>
      </c>
      <c r="AB291" s="1" t="n">
        <f aca="false">AB289-AA289+AB290+AB342</f>
        <v>22.0891616759183</v>
      </c>
      <c r="AC291" s="1" t="n">
        <f aca="false">AC289-AB289+AC290+AC342</f>
        <v>22.6260044371479</v>
      </c>
      <c r="AD291" s="1" t="n">
        <f aca="false">AD289-AC289+AD290+AD342</f>
        <v>23.1761525290321</v>
      </c>
      <c r="AE291" s="1" t="n">
        <f aca="false">AE289-AD289+AE290+AE342</f>
        <v>23.7397554243778</v>
      </c>
      <c r="AF291" s="1" t="n">
        <f aca="false">AF289-AE289+AF290+AF342</f>
        <v>24.3169676017507</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2.27559444344967</v>
      </c>
      <c r="M292" s="1" t="n">
        <f aca="false">M289*(1-$C$340)*$C$175</f>
        <v>2.77445951656515</v>
      </c>
      <c r="N292" s="1" t="n">
        <f aca="false">N289*(1-$C$340)*$C$175</f>
        <v>3.13603907156257</v>
      </c>
      <c r="O292" s="1" t="n">
        <f aca="false">O289*(1-$C$340)*$C$175</f>
        <v>3.20177910781423</v>
      </c>
      <c r="P292" s="1" t="n">
        <f aca="false">P289*(1-$C$340)*$C$175</f>
        <v>3.2743176050944</v>
      </c>
      <c r="Q292" s="1" t="n">
        <f aca="false">Q289*(1-$C$340)*$C$175</f>
        <v>3.34877327961041</v>
      </c>
      <c r="R292" s="1" t="n">
        <f aca="false">R289*(1-$C$340)*$C$175</f>
        <v>3.42539163287854</v>
      </c>
      <c r="S292" s="1" t="n">
        <f aca="false">S289*(1-$C$340)*$C$175</f>
        <v>3.50421582550868</v>
      </c>
      <c r="T292" s="1" t="n">
        <f aca="false">T289*(1-$C$340)*$C$175</f>
        <v>3.5852669744285</v>
      </c>
      <c r="U292" s="1" t="n">
        <f aca="false">U289*(1-$C$340)*$C$175</f>
        <v>3.66856792143998</v>
      </c>
      <c r="V292" s="1" t="n">
        <f aca="false">V289*(1-$C$340)*$C$175</f>
        <v>3.75414282104734</v>
      </c>
      <c r="W292" s="1" t="n">
        <f aca="false">W289*(1-$C$340)*$C$175</f>
        <v>3.84227658902769</v>
      </c>
      <c r="X292" s="1" t="n">
        <f aca="false">X289*(1-$C$340)*$C$175</f>
        <v>3.93299450140165</v>
      </c>
      <c r="Y292" s="1" t="n">
        <f aca="false">Y289*(1-$C$340)*$C$175</f>
        <v>4.02632286887412</v>
      </c>
      <c r="Z292" s="1" t="n">
        <f aca="false">Z289*(1-$C$340)*$C$175</f>
        <v>4.12228911873895</v>
      </c>
      <c r="AA292" s="1" t="n">
        <f aca="false">AA289*(1-$C$340)*$C$175</f>
        <v>4.22092177985539</v>
      </c>
      <c r="AB292" s="1" t="n">
        <f aca="false">AB289*(1-$C$340)*$C$175</f>
        <v>4.32224480457285</v>
      </c>
      <c r="AC292" s="1" t="n">
        <f aca="false">AC289*(1-$C$340)*$C$175</f>
        <v>4.42628332042118</v>
      </c>
      <c r="AD292" s="1" t="n">
        <f aca="false">AD289*(1-$C$340)*$C$175</f>
        <v>4.53306361387024</v>
      </c>
      <c r="AE292" s="1" t="n">
        <f aca="false">AE289*(1-$C$340)*$C$175</f>
        <v>4.64261311397009</v>
      </c>
      <c r="AF292" s="1" t="n">
        <f aca="false">AF289*(1-$C$340)*$C$175</f>
        <v>4.7549603779533</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41.9758987230249</v>
      </c>
      <c r="M294" s="116" t="n">
        <f aca="false">M85</f>
        <v>33.5807189784199</v>
      </c>
      <c r="N294" s="116" t="n">
        <f aca="false">N85</f>
        <v>28.1107039934664</v>
      </c>
      <c r="O294" s="116" t="n">
        <f aca="false">O85</f>
        <v>29.0136759131402</v>
      </c>
      <c r="P294" s="116" t="n">
        <f aca="false">P85</f>
        <v>29.7252376814874</v>
      </c>
      <c r="Q294" s="116" t="n">
        <f aca="false">Q85</f>
        <v>30.4431797714994</v>
      </c>
      <c r="R294" s="116" t="n">
        <f aca="false">R85</f>
        <v>31.1595652077238</v>
      </c>
      <c r="S294" s="116" t="n">
        <f aca="false">S85</f>
        <v>31.8746223246133</v>
      </c>
      <c r="T294" s="116" t="n">
        <f aca="false">T85</f>
        <v>32.5895093047718</v>
      </c>
      <c r="U294" s="116" t="n">
        <f aca="false">U85</f>
        <v>33.3053612326197</v>
      </c>
      <c r="V294" s="116" t="n">
        <f aca="false">V85</f>
        <v>34.0233076985206</v>
      </c>
      <c r="W294" s="116" t="n">
        <f aca="false">W85</f>
        <v>34.7340605610863</v>
      </c>
      <c r="X294" s="116" t="n">
        <f aca="false">X85</f>
        <v>35.4388020644545</v>
      </c>
      <c r="Y294" s="116" t="n">
        <f aca="false">Y85</f>
        <v>36.1387234491246</v>
      </c>
      <c r="Z294" s="116" t="n">
        <f aca="false">Z85</f>
        <v>36.8350228266747</v>
      </c>
      <c r="AA294" s="116" t="n">
        <f aca="false">AA85</f>
        <v>37.5289069715491</v>
      </c>
      <c r="AB294" s="116" t="n">
        <f aca="false">AB85</f>
        <v>38.2218204345156</v>
      </c>
      <c r="AC294" s="116" t="n">
        <f aca="false">AC85</f>
        <v>38.9152159348214</v>
      </c>
      <c r="AD294" s="116" t="n">
        <f aca="false">AD85</f>
        <v>39.6105562847542</v>
      </c>
      <c r="AE294" s="116" t="n">
        <f aca="false">AE85</f>
        <v>40.3093163482631</v>
      </c>
      <c r="AF294" s="116" t="n">
        <f aca="false">AF85</f>
        <v>41.012984950777</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8.39517974460498</v>
      </c>
      <c r="N295" s="1" t="n">
        <f aca="false">MAX(M294/$C$282,M294-N294)</f>
        <v>5.4700149849535</v>
      </c>
      <c r="O295" s="1" t="n">
        <f aca="false">MAX(N294/$C$282,N294-O294)</f>
        <v>2.81107039934664</v>
      </c>
      <c r="P295" s="1" t="n">
        <f aca="false">MAX(O294/$C$282,O294-P294)</f>
        <v>2.90136759131402</v>
      </c>
      <c r="Q295" s="1" t="n">
        <f aca="false">MAX(P294/$C$282,P294-Q294)</f>
        <v>2.97252376814874</v>
      </c>
      <c r="R295" s="1" t="n">
        <f aca="false">MAX(Q294/$C$282,Q294-R294)</f>
        <v>3.04431797714995</v>
      </c>
      <c r="S295" s="1" t="n">
        <f aca="false">MAX(R294/$C$282,R294-S294)</f>
        <v>3.11595652077238</v>
      </c>
      <c r="T295" s="1" t="n">
        <f aca="false">MAX(S294/$C$282,S294-T294)</f>
        <v>3.18746223246133</v>
      </c>
      <c r="U295" s="1" t="n">
        <f aca="false">MAX(T294/$C$282,T294-U294)</f>
        <v>3.25895093047718</v>
      </c>
      <c r="V295" s="1" t="n">
        <f aca="false">MAX(U294/$C$282,U294-V294)</f>
        <v>3.33053612326197</v>
      </c>
      <c r="W295" s="1" t="n">
        <f aca="false">MAX(V294/$C$282,V294-W294)</f>
        <v>3.40233076985206</v>
      </c>
      <c r="X295" s="1" t="n">
        <f aca="false">MAX(W294/$C$282,W294-X294)</f>
        <v>3.47340605610863</v>
      </c>
      <c r="Y295" s="1" t="n">
        <f aca="false">MAX(X294/$C$282,X294-Y294)</f>
        <v>3.54388020644545</v>
      </c>
      <c r="Z295" s="1" t="n">
        <f aca="false">MAX(Y294/$C$282,Y294-Z294)</f>
        <v>3.61387234491246</v>
      </c>
      <c r="AA295" s="1" t="n">
        <f aca="false">MAX(Z294/$C$282,Z294-AA294)</f>
        <v>3.68350228266747</v>
      </c>
      <c r="AB295" s="1" t="n">
        <f aca="false">MAX(AA294/$C$282,AA294-AB294)</f>
        <v>3.75289069715491</v>
      </c>
      <c r="AC295" s="1" t="n">
        <f aca="false">MAX(AB294/$C$282,AB294-AC294)</f>
        <v>3.82218204345156</v>
      </c>
      <c r="AD295" s="1" t="n">
        <f aca="false">MAX(AC294/$C$282,AC294-AD294)</f>
        <v>3.89152159348214</v>
      </c>
      <c r="AE295" s="1" t="n">
        <f aca="false">MAX(AD294/$C$282,AD294-AE294)</f>
        <v>3.96105562847542</v>
      </c>
      <c r="AF295" s="1" t="n">
        <f aca="false">MAX(AE294/$C$282,AE294-AF294)</f>
        <v>4.03093163482631</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5.60178469810331</v>
      </c>
      <c r="M296" s="1" t="n">
        <f aca="false">M294-L294+M295</f>
        <v>0</v>
      </c>
      <c r="N296" s="1" t="n">
        <f aca="false">N294-M294+N295</f>
        <v>0</v>
      </c>
      <c r="O296" s="1" t="n">
        <f aca="false">O294-N294+O295</f>
        <v>3.71404231902044</v>
      </c>
      <c r="P296" s="1" t="n">
        <f aca="false">P294-O294+P295</f>
        <v>3.61292935966123</v>
      </c>
      <c r="Q296" s="1" t="n">
        <f aca="false">Q294-P294+Q295</f>
        <v>3.69046585816077</v>
      </c>
      <c r="R296" s="1" t="n">
        <f aca="false">R294-Q294+R295</f>
        <v>3.76070341337427</v>
      </c>
      <c r="S296" s="1" t="n">
        <f aca="false">S294-R294+S295</f>
        <v>3.83101363766194</v>
      </c>
      <c r="T296" s="1" t="n">
        <f aca="false">T294-S294+T295</f>
        <v>3.90234921261976</v>
      </c>
      <c r="U296" s="1" t="n">
        <f aca="false">U294-T294+U295</f>
        <v>3.97480285832507</v>
      </c>
      <c r="V296" s="1" t="n">
        <f aca="false">V294-U294+V295</f>
        <v>4.04848258916289</v>
      </c>
      <c r="W296" s="1" t="n">
        <f aca="false">W294-V294+W295</f>
        <v>4.11308363241775</v>
      </c>
      <c r="X296" s="1" t="n">
        <f aca="false">X294-W294+X295</f>
        <v>4.17814755947684</v>
      </c>
      <c r="Y296" s="1" t="n">
        <f aca="false">Y294-X294+Y295</f>
        <v>4.24380159111555</v>
      </c>
      <c r="Z296" s="1" t="n">
        <f aca="false">Z294-Y294+Z295</f>
        <v>4.31017172246254</v>
      </c>
      <c r="AA296" s="1" t="n">
        <f aca="false">AA294-Z294+AA295</f>
        <v>4.37738642754193</v>
      </c>
      <c r="AB296" s="1" t="n">
        <f aca="false">AB294-AA294+AB295</f>
        <v>4.44580416012138</v>
      </c>
      <c r="AC296" s="1" t="n">
        <f aca="false">AC294-AB294+AC295</f>
        <v>4.51557754375741</v>
      </c>
      <c r="AD296" s="1" t="n">
        <f aca="false">AD294-AC294+AD295</f>
        <v>4.58686194341492</v>
      </c>
      <c r="AE296" s="1" t="n">
        <f aca="false">AE294-AD294+AE295</f>
        <v>4.65981569198429</v>
      </c>
      <c r="AF296" s="1" t="n">
        <f aca="false">AF294-AE294+AF295</f>
        <v>4.73460023734022</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1.679035948921</v>
      </c>
      <c r="M297" s="1" t="n">
        <f aca="false">M294*01_Supuestos!$I$126</f>
        <v>1.3432287591368</v>
      </c>
      <c r="N297" s="1" t="n">
        <f aca="false">N294*01_Supuestos!$I$126</f>
        <v>1.12442815973866</v>
      </c>
      <c r="O297" s="1" t="n">
        <f aca="false">O294*01_Supuestos!$I$126</f>
        <v>1.16054703652561</v>
      </c>
      <c r="P297" s="1" t="n">
        <f aca="false">P294*01_Supuestos!$I$126</f>
        <v>1.1890095072595</v>
      </c>
      <c r="Q297" s="1" t="n">
        <f aca="false">Q294*01_Supuestos!$I$126</f>
        <v>1.21772719085998</v>
      </c>
      <c r="R297" s="1" t="n">
        <f aca="false">R294*01_Supuestos!$I$126</f>
        <v>1.24638260830895</v>
      </c>
      <c r="S297" s="1" t="n">
        <f aca="false">S294*01_Supuestos!$I$126</f>
        <v>1.27498489298453</v>
      </c>
      <c r="T297" s="1" t="n">
        <f aca="false">T294*01_Supuestos!$I$126</f>
        <v>1.30358037219087</v>
      </c>
      <c r="U297" s="1" t="n">
        <f aca="false">U294*01_Supuestos!$I$126</f>
        <v>1.33221444930479</v>
      </c>
      <c r="V297" s="1" t="n">
        <f aca="false">V294*01_Supuestos!$I$126</f>
        <v>1.36093230794082</v>
      </c>
      <c r="W297" s="1" t="n">
        <f aca="false">W294*01_Supuestos!$I$126</f>
        <v>1.38936242244345</v>
      </c>
      <c r="X297" s="1" t="n">
        <f aca="false">X294*01_Supuestos!$I$126</f>
        <v>1.41755208257818</v>
      </c>
      <c r="Y297" s="1" t="n">
        <f aca="false">Y294*01_Supuestos!$I$126</f>
        <v>1.44554893796498</v>
      </c>
      <c r="Z297" s="1" t="n">
        <f aca="false">Z294*01_Supuestos!$I$126</f>
        <v>1.47340091306699</v>
      </c>
      <c r="AA297" s="1" t="n">
        <f aca="false">AA294*01_Supuestos!$I$126</f>
        <v>1.50115627886196</v>
      </c>
      <c r="AB297" s="1" t="n">
        <f aca="false">AB294*01_Supuestos!$I$126</f>
        <v>1.52887281738062</v>
      </c>
      <c r="AC297" s="1" t="n">
        <f aca="false">AC294*01_Supuestos!$I$126</f>
        <v>1.55660863739286</v>
      </c>
      <c r="AD297" s="1" t="n">
        <f aca="false">AD294*01_Supuestos!$I$126</f>
        <v>1.58442225139017</v>
      </c>
      <c r="AE297" s="1" t="n">
        <f aca="false">AE294*01_Supuestos!$I$126</f>
        <v>1.61237265393052</v>
      </c>
      <c r="AF297" s="1" t="n">
        <f aca="false">AF294*01_Supuestos!$I$126</f>
        <v>1.64051939803108</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7.0163154305442</v>
      </c>
      <c r="M298" s="116" t="n">
        <f aca="false">M86</f>
        <v>7.62828659232739</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26.6473344706806</v>
      </c>
      <c r="M299" s="1" t="n">
        <f aca="false">M286+M291+M296</f>
        <v>32.6142240826545</v>
      </c>
      <c r="N299" s="1" t="n">
        <f aca="false">N286+N291+N296</f>
        <v>29.8644621899223</v>
      </c>
      <c r="O299" s="1" t="n">
        <f aca="false">O286+O291+O296</f>
        <v>23.7053163024862</v>
      </c>
      <c r="P299" s="1" t="n">
        <f aca="false">P286+P291+P296</f>
        <v>24.2408295301109</v>
      </c>
      <c r="Q299" s="1" t="n">
        <f aca="false">Q286+Q291+Q296</f>
        <v>24.7966932767237</v>
      </c>
      <c r="R299" s="1" t="n">
        <f aca="false">R286+R291+R296</f>
        <v>25.3657199742439</v>
      </c>
      <c r="S299" s="1" t="n">
        <f aca="false">S286+S291+S296</f>
        <v>25.9485184445406</v>
      </c>
      <c r="T299" s="1" t="n">
        <f aca="false">T286+T291+T296</f>
        <v>26.5453954373498</v>
      </c>
      <c r="U299" s="1" t="n">
        <f aca="false">U286+U291+U296</f>
        <v>27.1566297496559</v>
      </c>
      <c r="V299" s="1" t="n">
        <f aca="false">V286+V291+V296</f>
        <v>27.7825084739424</v>
      </c>
      <c r="W299" s="1" t="n">
        <f aca="false">W286+W291+W296</f>
        <v>28.4233265023287</v>
      </c>
      <c r="X299" s="1" t="n">
        <f aca="false">X286+X291+X296</f>
        <v>29.0797809397329</v>
      </c>
      <c r="Y299" s="1" t="n">
        <f aca="false">Y286+Y291+Y296</f>
        <v>29.7521803957103</v>
      </c>
      <c r="Z299" s="1" t="n">
        <f aca="false">Z286+Z291+Z296</f>
        <v>30.4408412667629</v>
      </c>
      <c r="AA299" s="1" t="n">
        <f aca="false">AA286+AA291+AA296</f>
        <v>31.1460880037432</v>
      </c>
      <c r="AB299" s="1" t="n">
        <f aca="false">AB286+AB291+AB296</f>
        <v>31.8682532352455</v>
      </c>
      <c r="AC299" s="1" t="n">
        <f aca="false">AC286+AC291+AC296</f>
        <v>32.6076692883151</v>
      </c>
      <c r="AD299" s="1" t="n">
        <f aca="false">AD286+AD291+AD296</f>
        <v>33.3646770822219</v>
      </c>
      <c r="AE299" s="1" t="n">
        <f aca="false">AE286+AE291+AE296</f>
        <v>34.1396262603251</v>
      </c>
      <c r="AF299" s="1" t="n">
        <f aca="false">AF286+AF291+AF296</f>
        <v>34.932875325358</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20.8954379143165</v>
      </c>
      <c r="N300" s="1" t="n">
        <f aca="false">N285+N290+N295</f>
        <v>20.7106306132384</v>
      </c>
      <c r="O300" s="1" t="n">
        <f aca="false">O285+O290+O295</f>
        <v>20.0379089239686</v>
      </c>
      <c r="P300" s="1" t="n">
        <f aca="false">P285+P290+P295</f>
        <v>20.4893282076151</v>
      </c>
      <c r="Q300" s="1" t="n">
        <f aca="false">Q285+Q290+Q295</f>
        <v>20.958951671033</v>
      </c>
      <c r="R300" s="1" t="n">
        <f aca="false">R285+R290+R295</f>
        <v>21.4397445732456</v>
      </c>
      <c r="S300" s="1" t="n">
        <f aca="false">S285+S290+S295</f>
        <v>21.9322618016208</v>
      </c>
      <c r="T300" s="1" t="n">
        <f aca="false">T285+T290+T295</f>
        <v>22.43676327876</v>
      </c>
      <c r="U300" s="1" t="n">
        <f aca="false">U285+U290+U295</f>
        <v>22.9534808220852</v>
      </c>
      <c r="V300" s="1" t="n">
        <f aca="false">V285+V290+V295</f>
        <v>23.4826534142514</v>
      </c>
      <c r="W300" s="1" t="n">
        <f aca="false">W285+W290+W295</f>
        <v>24.0245266994224</v>
      </c>
      <c r="X300" s="1" t="n">
        <f aca="false">X285+X290+X295</f>
        <v>24.5797369581453</v>
      </c>
      <c r="Y300" s="1" t="n">
        <f aca="false">Y285+Y290+Y295</f>
        <v>25.1485412606566</v>
      </c>
      <c r="Z300" s="1" t="n">
        <f aca="false">Z285+Z290+Z295</f>
        <v>25.7312032605402</v>
      </c>
      <c r="AA300" s="1" t="n">
        <f aca="false">AA285+AA290+AA295</f>
        <v>26.3279934321156</v>
      </c>
      <c r="AB300" s="1" t="n">
        <f aca="false">AB285+AB290+AB295</f>
        <v>26.9391891670903</v>
      </c>
      <c r="AC300" s="1" t="n">
        <f aca="false">AC285+AC290+AC295</f>
        <v>27.5650664951949</v>
      </c>
      <c r="AD300" s="1" t="n">
        <f aca="false">AD285+AD290+AD295</f>
        <v>28.2059087184902</v>
      </c>
      <c r="AE300" s="1" t="n">
        <f aca="false">AE285+AE290+AE295</f>
        <v>28.8620065146111</v>
      </c>
      <c r="AF300" s="1" t="n">
        <f aca="false">AF285+AF290+AF295</f>
        <v>29.5336580427615</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133.30999318034</v>
      </c>
      <c r="M301" s="1" t="n">
        <f aca="false">M284+M289+M294</f>
        <v>144.93744525422</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5.60247464452387</v>
      </c>
      <c r="M302" s="1" t="n">
        <f aca="false">M287+M292+M297</f>
        <v>6.12677964976636</v>
      </c>
      <c r="N302" s="1" t="n">
        <f aca="false">N287+N292+N297</f>
        <v>6.53139207622585</v>
      </c>
      <c r="O302" s="1" t="n">
        <f aca="false">O287+O292+O297</f>
        <v>6.68085584310187</v>
      </c>
      <c r="P302" s="1" t="n">
        <f aca="false">P287+P292+P297</f>
        <v>6.83438468845674</v>
      </c>
      <c r="Q302" s="1" t="n">
        <f aca="false">Q287+Q292+Q297</f>
        <v>6.99147422467103</v>
      </c>
      <c r="R302" s="1" t="n">
        <f aca="false">R287+R292+R297</f>
        <v>7.15223025120299</v>
      </c>
      <c r="S302" s="1" t="n">
        <f aca="false">S287+S292+S297</f>
        <v>7.31673631627535</v>
      </c>
      <c r="T302" s="1" t="n">
        <f aca="false">T287+T292+T297</f>
        <v>7.48507515568828</v>
      </c>
      <c r="U302" s="1" t="n">
        <f aca="false">U287+U292+U297</f>
        <v>7.65733155523579</v>
      </c>
      <c r="V302" s="1" t="n">
        <f aca="false">V287+V292+V297</f>
        <v>7.83359234422933</v>
      </c>
      <c r="W302" s="1" t="n">
        <f aca="false">W287+W292+W297</f>
        <v>8.01397723111188</v>
      </c>
      <c r="X302" s="1" t="n">
        <f aca="false">X287+X292+X297</f>
        <v>8.19857708499482</v>
      </c>
      <c r="Y302" s="1" t="n">
        <f aca="false">Y287+Y292+Y297</f>
        <v>8.38748491878243</v>
      </c>
      <c r="Z302" s="1" t="n">
        <f aca="false">Z287+Z292+Z297</f>
        <v>8.58079594537551</v>
      </c>
      <c r="AA302" s="1" t="n">
        <f aca="false">AA287+AA292+AA297</f>
        <v>8.77860762344022</v>
      </c>
      <c r="AB302" s="1" t="n">
        <f aca="false">AB287+AB292+AB297</f>
        <v>8.98101903216139</v>
      </c>
      <c r="AC302" s="1" t="n">
        <f aca="false">AC287+AC292+AC297</f>
        <v>9.18813160363627</v>
      </c>
      <c r="AD302" s="1" t="n">
        <f aca="false">AD287+AD292+AD297</f>
        <v>9.4000491718561</v>
      </c>
      <c r="AE302" s="1" t="n">
        <f aca="false">AE287+AE292+AE297</f>
        <v>9.61687802284448</v>
      </c>
      <c r="AF302" s="1" t="n">
        <f aca="false">AF287+AF292+AF297</f>
        <v>9.83872694622642</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349.799156025208</v>
      </c>
      <c r="M307" s="116" t="n">
        <f aca="false">M81</f>
        <v>362.25749417443</v>
      </c>
      <c r="N307" s="116" t="n">
        <f aca="false">N81</f>
        <v>374.809386579552</v>
      </c>
      <c r="O307" s="116" t="n">
        <f aca="false">O81</f>
        <v>386.849012175203</v>
      </c>
      <c r="P307" s="116" t="n">
        <f aca="false">P81</f>
        <v>396.336502419832</v>
      </c>
      <c r="Q307" s="116" t="n">
        <f aca="false">Q81</f>
        <v>405.909063619993</v>
      </c>
      <c r="R307" s="116" t="n">
        <f aca="false">R81</f>
        <v>415.460869436317</v>
      </c>
      <c r="S307" s="116" t="n">
        <f aca="false">S81</f>
        <v>424.994964328178</v>
      </c>
      <c r="T307" s="116" t="n">
        <f aca="false">T81</f>
        <v>434.52679073029</v>
      </c>
      <c r="U307" s="116" t="n">
        <f aca="false">U81</f>
        <v>444.071483101595</v>
      </c>
      <c r="V307" s="116" t="n">
        <f aca="false">V81</f>
        <v>453.644102646941</v>
      </c>
      <c r="W307" s="116" t="n">
        <f aca="false">W81</f>
        <v>463.12080748115</v>
      </c>
      <c r="X307" s="116" t="n">
        <f aca="false">X81</f>
        <v>472.517360859393</v>
      </c>
      <c r="Y307" s="116" t="n">
        <f aca="false">Y81</f>
        <v>481.849645988328</v>
      </c>
      <c r="Z307" s="116" t="n">
        <f aca="false">Z81</f>
        <v>491.133637688995</v>
      </c>
      <c r="AA307" s="116" t="n">
        <f aca="false">AA81</f>
        <v>500.385426287322</v>
      </c>
      <c r="AB307" s="116" t="n">
        <f aca="false">AB81</f>
        <v>509.624272460208</v>
      </c>
      <c r="AC307" s="116" t="n">
        <f aca="false">AC81</f>
        <v>518.869545797619</v>
      </c>
      <c r="AD307" s="116" t="n">
        <f aca="false">AD81</f>
        <v>528.14075046339</v>
      </c>
      <c r="AE307" s="116" t="n">
        <f aca="false">AE81</f>
        <v>537.457551310175</v>
      </c>
      <c r="AF307" s="116" t="n">
        <f aca="false">AF81</f>
        <v>546.839799343693</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133.30999318034</v>
      </c>
      <c r="M308" s="1" t="n">
        <f aca="false">M301</f>
        <v>144.93744525422</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216.489162844868</v>
      </c>
      <c r="M309" s="1" t="n">
        <f aca="false">M307-M308</f>
        <v>217.32004892021</v>
      </c>
      <c r="N309" s="1" t="n">
        <f aca="false">N307-N308</f>
        <v>220.829466474924</v>
      </c>
      <c r="O309" s="1" t="n">
        <f aca="false">O307-O308</f>
        <v>229.327553908168</v>
      </c>
      <c r="P309" s="1" t="n">
        <f aca="false">P307-P308</f>
        <v>235.192050612656</v>
      </c>
      <c r="Q309" s="1" t="n">
        <f aca="false">Q307-Q308</f>
        <v>241.058289421251</v>
      </c>
      <c r="R309" s="1" t="n">
        <f aca="false">R307-R308</f>
        <v>246.818527431004</v>
      </c>
      <c r="S309" s="1" t="n">
        <f aca="false">S307-S308</f>
        <v>252.473848456743</v>
      </c>
      <c r="T309" s="1" t="n">
        <f aca="false">T307-T308</f>
        <v>258.037689193812</v>
      </c>
      <c r="U309" s="1" t="n">
        <f aca="false">U307-U308</f>
        <v>263.523132229778</v>
      </c>
      <c r="V309" s="1" t="n">
        <f aca="false">V307-V308</f>
        <v>268.943139705072</v>
      </c>
      <c r="W309" s="1" t="n">
        <f aca="false">W307-W308</f>
        <v>274.171722391618</v>
      </c>
      <c r="X309" s="1" t="n">
        <f aca="false">X307-X308</f>
        <v>279.222446812802</v>
      </c>
      <c r="Y309" s="1" t="n">
        <f aca="false">Y307-Y308</f>
        <v>284.108948918665</v>
      </c>
      <c r="Z309" s="1" t="n">
        <f aca="false">Z307-Z308</f>
        <v>288.844904586731</v>
      </c>
      <c r="AA309" s="1" t="n">
        <f aca="false">AA307-AA308</f>
        <v>293.444052323705</v>
      </c>
      <c r="AB309" s="1" t="n">
        <f aca="false">AB307-AB308</f>
        <v>297.923246895428</v>
      </c>
      <c r="AC309" s="1" t="n">
        <f aca="false">AC307-AC308</f>
        <v>302.299396644849</v>
      </c>
      <c r="AD309" s="1" t="n">
        <f aca="false">AD307-AD308</f>
        <v>306.589487880106</v>
      </c>
      <c r="AE309" s="1" t="n">
        <f aca="false">AE307-AE308</f>
        <v>310.810609687475</v>
      </c>
      <c r="AF309" s="1" t="n">
        <f aca="false">AF307-AF308</f>
        <v>314.979978063672</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38.110438771537</v>
      </c>
      <c r="M310" s="1" t="n">
        <f aca="false">IF(M307&gt;0,100*M308/M307,0)</f>
        <v>40.0095091433586</v>
      </c>
      <c r="N310" s="1" t="n">
        <f aca="false">IF(N307&gt;0,100*N308/N307,0)</f>
        <v>41.0821942080543</v>
      </c>
      <c r="O310" s="1" t="n">
        <f aca="false">IF(O307&gt;0,100*O308/O307,0)</f>
        <v>40.719105725852</v>
      </c>
      <c r="P310" s="1" t="n">
        <f aca="false">IF(P307&gt;0,100*P308/P307,0)</f>
        <v>40.6584936848636</v>
      </c>
      <c r="Q310" s="1" t="n">
        <f aca="false">IF(Q307&gt;0,100*Q308/Q307,0)</f>
        <v>40.6127354557111</v>
      </c>
      <c r="R310" s="1" t="n">
        <f aca="false">IF(R307&gt;0,100*R308/R307,0)</f>
        <v>40.5916307434972</v>
      </c>
      <c r="S310" s="1" t="n">
        <f aca="false">IF(S307&gt;0,100*S308/S307,0)</f>
        <v>40.5936847143948</v>
      </c>
      <c r="T310" s="1" t="n">
        <f aca="false">IF(T307&gt;0,100*T308/T307,0)</f>
        <v>40.616391279318</v>
      </c>
      <c r="U310" s="1" t="n">
        <f aca="false">IF(U307&gt;0,100*U308/U307,0)</f>
        <v>40.6574972143642</v>
      </c>
      <c r="V310" s="1" t="n">
        <f aca="false">IF(V307&gt;0,100*V308/V307,0)</f>
        <v>40.7149485387704</v>
      </c>
      <c r="W310" s="1" t="n">
        <f aca="false">IF(W307&gt;0,100*W308/W307,0)</f>
        <v>40.7990921671604</v>
      </c>
      <c r="X310" s="1" t="n">
        <f aca="false">IF(X307&gt;0,100*X308/X307,0)</f>
        <v>40.9074734725164</v>
      </c>
      <c r="Y310" s="1" t="n">
        <f aca="false">IF(Y307&gt;0,100*Y308/Y307,0)</f>
        <v>41.0378421393408</v>
      </c>
      <c r="Z310" s="1" t="n">
        <f aca="false">IF(Z307&gt;0,100*Z308/Z307,0)</f>
        <v>41.1881242861157</v>
      </c>
      <c r="AA310" s="1" t="n">
        <f aca="false">IF(AA307&gt;0,100*AA308/AA307,0)</f>
        <v>41.3563951090756</v>
      </c>
      <c r="AB310" s="1" t="n">
        <f aca="false">IF(AB307&gt;0,100*AB308/AB307,0)</f>
        <v>41.5406088377217</v>
      </c>
      <c r="AC310" s="1" t="n">
        <f aca="false">IF(AC307&gt;0,100*AC308/AC307,0)</f>
        <v>41.7388437819863</v>
      </c>
      <c r="AD310" s="1" t="n">
        <f aca="false">IF(AD307&gt;0,100*AD308/AD307,0)</f>
        <v>41.9492838583077</v>
      </c>
      <c r="AE310" s="1" t="n">
        <f aca="false">IF(AE307&gt;0,100*AE308/AE307,0)</f>
        <v>42.1702032225979</v>
      </c>
      <c r="AF310" s="1" t="n">
        <f aca="false">IF(AF307&gt;0,100*AF308/AF307,0)</f>
        <v>42.399953616817</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5.60247464452387</v>
      </c>
      <c r="M314" s="1" t="n">
        <f aca="false">M302</f>
        <v>6.12677964976636</v>
      </c>
      <c r="N314" s="1" t="n">
        <f aca="false">N302</f>
        <v>6.53139207622585</v>
      </c>
      <c r="O314" s="1" t="n">
        <f aca="false">O302</f>
        <v>6.68085584310187</v>
      </c>
      <c r="P314" s="1" t="n">
        <f aca="false">P302</f>
        <v>6.83438468845674</v>
      </c>
      <c r="Q314" s="1" t="n">
        <f aca="false">Q302</f>
        <v>6.99147422467103</v>
      </c>
      <c r="R314" s="1" t="n">
        <f aca="false">R302</f>
        <v>7.15223025120299</v>
      </c>
      <c r="S314" s="1" t="n">
        <f aca="false">S302</f>
        <v>7.31673631627535</v>
      </c>
      <c r="T314" s="1" t="n">
        <f aca="false">T302</f>
        <v>7.48507515568828</v>
      </c>
      <c r="U314" s="1" t="n">
        <f aca="false">U302</f>
        <v>7.65733155523579</v>
      </c>
      <c r="V314" s="1" t="n">
        <f aca="false">V302</f>
        <v>7.83359234422933</v>
      </c>
      <c r="W314" s="1" t="n">
        <f aca="false">W302</f>
        <v>8.01397723111188</v>
      </c>
      <c r="X314" s="1" t="n">
        <f aca="false">X302</f>
        <v>8.19857708499482</v>
      </c>
      <c r="Y314" s="1" t="n">
        <f aca="false">Y302</f>
        <v>8.38748491878243</v>
      </c>
      <c r="Z314" s="1" t="n">
        <f aca="false">Z302</f>
        <v>8.58079594537551</v>
      </c>
      <c r="AA314" s="1" t="n">
        <f aca="false">AA302</f>
        <v>8.77860762344022</v>
      </c>
      <c r="AB314" s="1" t="n">
        <f aca="false">AB302</f>
        <v>8.98101903216139</v>
      </c>
      <c r="AC314" s="1" t="n">
        <f aca="false">AC302</f>
        <v>9.18813160363627</v>
      </c>
      <c r="AD314" s="1" t="n">
        <f aca="false">AD302</f>
        <v>9.4000491718561</v>
      </c>
      <c r="AE314" s="1" t="n">
        <f aca="false">AE302</f>
        <v>9.61687802284448</v>
      </c>
      <c r="AF314" s="1" t="n">
        <f aca="false">AF302</f>
        <v>9.83872694622642</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57.066429452404</v>
      </c>
      <c r="D316" s="1" t="n">
        <f aca="false">IF(D313&gt;0,100*(D314+D315)/D313,0)</f>
        <v>48.8274483834642</v>
      </c>
      <c r="E316" s="1" t="n">
        <f aca="false">IF(E313&gt;0,100*(E314+E315)/E313,0)</f>
        <v>47.6514402741486</v>
      </c>
      <c r="F316" s="1" t="n">
        <f aca="false">IF(F313&gt;0,100*(F314+F315)/F313,0)</f>
        <v>26.9990174466285</v>
      </c>
      <c r="G316" s="1" t="n">
        <f aca="false">IF(G313&gt;0,100*(G314+G315)/G313,0)</f>
        <v>32.191742531</v>
      </c>
      <c r="H316" s="1" t="n">
        <f aca="false">IF(H313&gt;0,100*(H314+H315)/H313,0)</f>
        <v>37.4787778154359</v>
      </c>
      <c r="I316" s="1" t="n">
        <f aca="false">IF(I313&gt;0,100*(I314+I315)/I313,0)</f>
        <v>42.8359936611859</v>
      </c>
      <c r="J316" s="1" t="n">
        <f aca="false">IF(J313&gt;0,100*(J314+J315)/J313,0)</f>
        <v>48.2405150894827</v>
      </c>
      <c r="K316" s="1" t="n">
        <f aca="false">IF(K313&gt;0,100*(K314+K315)/K313,0)</f>
        <v>53.671045735849</v>
      </c>
      <c r="L316" s="1" t="n">
        <f aca="false">IF(L313&gt;0,100*(L314+L315)/L313,0)</f>
        <v>57.7532471782278</v>
      </c>
      <c r="M316" s="1" t="n">
        <f aca="false">IF(M313&gt;0,100*(M314+M315)/M313,0)</f>
        <v>61.5820690309926</v>
      </c>
      <c r="N316" s="1" t="n">
        <f aca="false">IF(N313&gt;0,100*(N314+N315)/N313,0)</f>
        <v>63.9967948670862</v>
      </c>
      <c r="O316" s="1" t="n">
        <f aca="false">IF(O313&gt;0,100*(O314+O315)/O313,0)</f>
        <v>64.0313475794449</v>
      </c>
      <c r="P316" s="1" t="n">
        <f aca="false">IF(P313&gt;0,100*(P314+P315)/P313,0)</f>
        <v>63.0823269387396</v>
      </c>
      <c r="Q316" s="1" t="n">
        <f aca="false">IF(Q313&gt;0,100*(Q314+Q315)/Q313,0)</f>
        <v>62.2779909562726</v>
      </c>
      <c r="R316" s="1" t="n">
        <f aca="false">IF(R313&gt;0,100*(R314+R315)/R313,0)</f>
        <v>61.6189326117772</v>
      </c>
      <c r="S316" s="1" t="n">
        <f aca="false">IF(S313&gt;0,100*(S314+S315)/S313,0)</f>
        <v>61.086741376797</v>
      </c>
      <c r="T316" s="1" t="n">
        <f aca="false">IF(T313&gt;0,100*(T314+T315)/T313,0)</f>
        <v>60.6662051284868</v>
      </c>
      <c r="U316" s="1" t="n">
        <f aca="false">IF(U313&gt;0,100*(U314+U315)/U313,0)</f>
        <v>60.3446597049168</v>
      </c>
      <c r="V316" s="1" t="n">
        <f aca="false">IF(V313&gt;0,100*(V314+V315)/V313,0)</f>
        <v>60.1114779563882</v>
      </c>
      <c r="W316" s="1" t="n">
        <f aca="false">IF(W313&gt;0,100*(W314+W315)/W313,0)</f>
        <v>59.9578659608224</v>
      </c>
      <c r="X316" s="1" t="n">
        <f aca="false">IF(X313&gt;0,100*(X314+X315)/X313,0)</f>
        <v>59.8761646231145</v>
      </c>
      <c r="Y316" s="1" t="n">
        <f aca="false">IF(Y313&gt;0,100*(Y314+Y315)/Y313,0)</f>
        <v>59.8598150636282</v>
      </c>
      <c r="Z316" s="1" t="n">
        <f aca="false">IF(Z313&gt;0,100*(Z314+Z315)/Z313,0)</f>
        <v>59.9031678138443</v>
      </c>
      <c r="AA316" s="1" t="n">
        <f aca="false">IF(AA313&gt;0,100*(AA314+AA315)/AA313,0)</f>
        <v>60.0013300402493</v>
      </c>
      <c r="AB316" s="1" t="n">
        <f aca="false">IF(AB313&gt;0,100*(AB314+AB315)/AB313,0)</f>
        <v>60.1500385760831</v>
      </c>
      <c r="AC316" s="1" t="n">
        <f aca="false">IF(AC313&gt;0,100*(AC314+AC315)/AC313,0)</f>
        <v>60.3455637238515</v>
      </c>
      <c r="AD316" s="1" t="n">
        <f aca="false">IF(AD313&gt;0,100*(AD314+AD315)/AD313,0)</f>
        <v>60.5846271183863</v>
      </c>
      <c r="AE316" s="1" t="n">
        <f aca="false">IF(AE313&gt;0,100*(AE314+AE315)/AE313,0)</f>
        <v>60.8643340105134</v>
      </c>
      <c r="AF316" s="1" t="n">
        <f aca="false">IF(AF313&gt;0,100*(AF314+AF315)/AF313,0)</f>
        <v>61.1821170876091</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10.1216553927742</v>
      </c>
      <c r="M317" s="1" t="n">
        <f aca="false">$C$329*M291</f>
        <v>14.8335069543989</v>
      </c>
      <c r="N317" s="1" t="n">
        <f aca="false">$C$329*N291</f>
        <v>14.2575292489964</v>
      </c>
      <c r="O317" s="1" t="n">
        <f aca="false">$C$329*O291</f>
        <v>10.7930672039702</v>
      </c>
      <c r="P317" s="1" t="n">
        <f aca="false">$C$329*P291</f>
        <v>11.1034405278033</v>
      </c>
      <c r="Q317" s="1" t="n">
        <f aca="false">$C$329*Q291</f>
        <v>11.35924528589</v>
      </c>
      <c r="R317" s="1" t="n">
        <f aca="false">$C$329*R291</f>
        <v>11.624834568117</v>
      </c>
      <c r="S317" s="1" t="n">
        <f aca="false">$C$329*S291</f>
        <v>11.8978332210062</v>
      </c>
      <c r="T317" s="1" t="n">
        <f aca="false">$C$329*T291</f>
        <v>12.1780336411134</v>
      </c>
      <c r="U317" s="1" t="n">
        <f aca="false">$C$329*U291</f>
        <v>12.4655284040122</v>
      </c>
      <c r="V317" s="1" t="n">
        <f aca="false">$C$329*V291</f>
        <v>12.7604090638313</v>
      </c>
      <c r="W317" s="1" t="n">
        <f aca="false">$C$329*W291</f>
        <v>13.0667977504118</v>
      </c>
      <c r="X317" s="1" t="n">
        <f aca="false">$C$329*X291</f>
        <v>13.3815528932144</v>
      </c>
      <c r="Y317" s="1" t="n">
        <f aca="false">$C$329*Y291</f>
        <v>13.7047693174403</v>
      </c>
      <c r="Z317" s="1" t="n">
        <f aca="false">$C$329*Z291</f>
        <v>14.0365463437817</v>
      </c>
      <c r="AA317" s="1" t="n">
        <f aca="false">$C$329*AA291</f>
        <v>14.3769865393956</v>
      </c>
      <c r="AB317" s="1" t="n">
        <f aca="false">$C$329*AB291</f>
        <v>14.7261077839455</v>
      </c>
      <c r="AC317" s="1" t="n">
        <f aca="false">$C$329*AC291</f>
        <v>15.0840029580986</v>
      </c>
      <c r="AD317" s="1" t="n">
        <f aca="false">$C$329*AD291</f>
        <v>15.4507683526881</v>
      </c>
      <c r="AE317" s="1" t="n">
        <f aca="false">$C$329*AE291</f>
        <v>15.8265036162519</v>
      </c>
      <c r="AF317" s="1" t="n">
        <f aca="false">$C$329*AF291</f>
        <v>16.2113117345004</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7.09142265125114</v>
      </c>
      <c r="N318" s="1" t="n">
        <f aca="false">$C$329*(N290+(1-$C$279)*N332)</f>
        <v>8.64603317932322</v>
      </c>
      <c r="O318" s="1" t="n">
        <f aca="false">$C$329*(O290+(1-$C$279)*O332)</f>
        <v>9.77282159011359</v>
      </c>
      <c r="P318" s="1" t="n">
        <f aca="false">$C$329*(P290+(1-$C$279)*P332)</f>
        <v>9.977686909376</v>
      </c>
      <c r="Q318" s="1" t="n">
        <f aca="false">$C$329*(Q290+(1-$C$279)*Q332)</f>
        <v>10.2037382359562</v>
      </c>
      <c r="R318" s="1" t="n">
        <f aca="false">$C$329*(R290+(1-$C$279)*R332)</f>
        <v>10.4357640515829</v>
      </c>
      <c r="S318" s="1" t="n">
        <f aca="false">$C$329*(S290+(1-$C$279)*S332)</f>
        <v>10.6745294113029</v>
      </c>
      <c r="T318" s="1" t="n">
        <f aca="false">$C$329*(T290+(1-$C$279)*T332)</f>
        <v>10.9201688162914</v>
      </c>
      <c r="U318" s="1" t="n">
        <f aca="false">$C$329*(U290+(1-$C$279)*U332)</f>
        <v>11.1727480731156</v>
      </c>
      <c r="V318" s="1" t="n">
        <f aca="false">$C$329*(V290+(1-$C$279)*V332)</f>
        <v>11.4323383635597</v>
      </c>
      <c r="W318" s="1" t="n">
        <f aca="false">$C$329*(W290+(1-$C$279)*W332)</f>
        <v>11.6990149601742</v>
      </c>
      <c r="X318" s="1" t="n">
        <f aca="false">$C$329*(X290+(1-$C$279)*X332)</f>
        <v>11.9736657444539</v>
      </c>
      <c r="Y318" s="1" t="n">
        <f aca="false">$C$329*(Y290+(1-$C$279)*Y332)</f>
        <v>12.256369483925</v>
      </c>
      <c r="Z318" s="1" t="n">
        <f aca="false">$C$329*(Z290+(1-$C$279)*Z332)</f>
        <v>12.5472081704949</v>
      </c>
      <c r="AA318" s="1" t="n">
        <f aca="false">$C$329*(AA290+(1-$C$279)*AA332)</f>
        <v>12.8462672756909</v>
      </c>
      <c r="AB318" s="1" t="n">
        <f aca="false">$C$329*(AB290+(1-$C$279)*AB332)</f>
        <v>13.1536357038428</v>
      </c>
      <c r="AC318" s="1" t="n">
        <f aca="false">$C$329*(AC290+(1-$C$279)*AC332)</f>
        <v>13.4693880975274</v>
      </c>
      <c r="AD318" s="1" t="n">
        <f aca="false">$C$329*(AD290+(1-$C$279)*AD332)</f>
        <v>13.7936027615301</v>
      </c>
      <c r="AE318" s="1" t="n">
        <f aca="false">$C$329*(AE290+(1-$C$279)*AE332)</f>
        <v>14.1263616122346</v>
      </c>
      <c r="AF318" s="1" t="n">
        <f aca="false">$C$329*(AF290+(1-$C$279)*AF332)</f>
        <v>14.4677501266413</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4.07954653798005</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5.4622176255971</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5.76060947013881</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4.6636730860907</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4.410338878738</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4.51811763854733</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4.62337489902409</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4.73183342311357</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4.84319341443464</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4.957461885315</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5.07467555955062</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5.19608023150668</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5.32114564300551</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5.44958608455353</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5.58144083487855</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5.71675059619684</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5.85553098912321</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5.99781166582412</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6.14363080161628</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6.29302792014437</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6.44604388197532</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3.03649661783225</v>
      </c>
      <c r="M320" s="1" t="n">
        <f aca="false">01_Supuestos!$C$185*M317</f>
        <v>4.45005208631968</v>
      </c>
      <c r="N320" s="1" t="n">
        <f aca="false">01_Supuestos!$C$185*N317</f>
        <v>4.27725877469892</v>
      </c>
      <c r="O320" s="1" t="n">
        <f aca="false">01_Supuestos!$C$185*O317</f>
        <v>3.23792016119106</v>
      </c>
      <c r="P320" s="1" t="n">
        <f aca="false">01_Supuestos!$C$185*P317</f>
        <v>3.33103215834098</v>
      </c>
      <c r="Q320" s="1" t="n">
        <f aca="false">01_Supuestos!$C$185*Q317</f>
        <v>3.40777358576701</v>
      </c>
      <c r="R320" s="1" t="n">
        <f aca="false">01_Supuestos!$C$185*R317</f>
        <v>3.48745037043509</v>
      </c>
      <c r="S320" s="1" t="n">
        <f aca="false">01_Supuestos!$C$185*S317</f>
        <v>3.56934996630187</v>
      </c>
      <c r="T320" s="1" t="n">
        <f aca="false">01_Supuestos!$C$185*T317</f>
        <v>3.65341009233402</v>
      </c>
      <c r="U320" s="1" t="n">
        <f aca="false">01_Supuestos!$C$185*U317</f>
        <v>3.73965852120366</v>
      </c>
      <c r="V320" s="1" t="n">
        <f aca="false">01_Supuestos!$C$185*V317</f>
        <v>3.8281227191494</v>
      </c>
      <c r="W320" s="1" t="n">
        <f aca="false">01_Supuestos!$C$185*W317</f>
        <v>3.92003932512354</v>
      </c>
      <c r="X320" s="1" t="n">
        <f aca="false">01_Supuestos!$C$185*X317</f>
        <v>4.01446586796433</v>
      </c>
      <c r="Y320" s="1" t="n">
        <f aca="false">01_Supuestos!$C$185*Y317</f>
        <v>4.11143079523208</v>
      </c>
      <c r="Z320" s="1" t="n">
        <f aca="false">01_Supuestos!$C$185*Z317</f>
        <v>4.21096390313452</v>
      </c>
      <c r="AA320" s="1" t="n">
        <f aca="false">01_Supuestos!$C$185*AA317</f>
        <v>4.31309596181867</v>
      </c>
      <c r="AB320" s="1" t="n">
        <f aca="false">01_Supuestos!$C$185*AB317</f>
        <v>4.41783233518365</v>
      </c>
      <c r="AC320" s="1" t="n">
        <f aca="false">01_Supuestos!$C$185*AC317</f>
        <v>4.52520088742957</v>
      </c>
      <c r="AD320" s="1" t="n">
        <f aca="false">01_Supuestos!$C$185*AD317</f>
        <v>4.63523050580642</v>
      </c>
      <c r="AE320" s="1" t="n">
        <f aca="false">01_Supuestos!$C$185*AE317</f>
        <v>4.74795108487556</v>
      </c>
      <c r="AF320" s="1" t="n">
        <f aca="false">01_Supuestos!$C$185*AF317</f>
        <v>4.86339352035013</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4.07954653798005</v>
      </c>
      <c r="M321" s="1" t="n">
        <f aca="false">L321+M320-M323</f>
        <v>5.4622176255971</v>
      </c>
      <c r="N321" s="1" t="n">
        <f aca="false">M321+N320-N323</f>
        <v>5.76060947013881</v>
      </c>
      <c r="O321" s="1" t="n">
        <f aca="false">N321+O320-O323</f>
        <v>4.6636730860907</v>
      </c>
      <c r="P321" s="1" t="n">
        <f aca="false">O321+P320-P323</f>
        <v>4.410338878738</v>
      </c>
      <c r="Q321" s="1" t="n">
        <f aca="false">P321+Q320-Q323</f>
        <v>4.51811763854733</v>
      </c>
      <c r="R321" s="1" t="n">
        <f aca="false">Q321+R320-R323</f>
        <v>4.62337489902409</v>
      </c>
      <c r="S321" s="1" t="n">
        <f aca="false">R321+S320-S323</f>
        <v>4.73183342311357</v>
      </c>
      <c r="T321" s="1" t="n">
        <f aca="false">S321+T320-T323</f>
        <v>4.84319341443464</v>
      </c>
      <c r="U321" s="1" t="n">
        <f aca="false">T321+U320-U323</f>
        <v>4.957461885315</v>
      </c>
      <c r="V321" s="1" t="n">
        <f aca="false">U321+V320-V323</f>
        <v>5.07467555955062</v>
      </c>
      <c r="W321" s="1" t="n">
        <f aca="false">V321+W320-W323</f>
        <v>5.19608023150668</v>
      </c>
      <c r="X321" s="1" t="n">
        <f aca="false">W321+X320-X323</f>
        <v>5.32114564300551</v>
      </c>
      <c r="Y321" s="1" t="n">
        <f aca="false">X321+Y320-Y323</f>
        <v>5.44958608455353</v>
      </c>
      <c r="Z321" s="1" t="n">
        <f aca="false">Y321+Z320-Z323</f>
        <v>5.58144083487855</v>
      </c>
      <c r="AA321" s="1" t="n">
        <f aca="false">Z321+AA320-AA323</f>
        <v>5.71675059619684</v>
      </c>
      <c r="AB321" s="1" t="n">
        <f aca="false">AA321+AB320-AB323</f>
        <v>5.85553098912321</v>
      </c>
      <c r="AC321" s="1" t="n">
        <f aca="false">AB321+AC320-AC323</f>
        <v>5.99781166582412</v>
      </c>
      <c r="AD321" s="1" t="n">
        <f aca="false">AC321+AD320-AD323</f>
        <v>6.14363080161628</v>
      </c>
      <c r="AE321" s="1" t="n">
        <f aca="false">AD321+AE320-AE323</f>
        <v>6.29302792014437</v>
      </c>
      <c r="AF321" s="1" t="n">
        <f aca="false">AE321+AF320-AF323</f>
        <v>6.44604388197532</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28.0652617221768</v>
      </c>
      <c r="M322" s="1" t="n">
        <f aca="false">$C$172*M83</f>
        <v>30.5131463693096</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3.06738099870263</v>
      </c>
      <c r="N323" s="1" t="n">
        <f aca="false">MAX(0,MIN(N318,M321+N320,M321+N320-N319))</f>
        <v>3.9788669301572</v>
      </c>
      <c r="O323" s="1" t="n">
        <f aca="false">MAX(0,MIN(O318,N321+O320,N321+O320-O319))</f>
        <v>4.33485654523917</v>
      </c>
      <c r="P323" s="1" t="n">
        <f aca="false">MAX(0,MIN(P318,O321+P320,O321+P320-P319))</f>
        <v>3.58436636569368</v>
      </c>
      <c r="Q323" s="1" t="n">
        <f aca="false">MAX(0,MIN(Q318,P321+Q320,P321+Q320-Q319))</f>
        <v>3.29999482595767</v>
      </c>
      <c r="R323" s="1" t="n">
        <f aca="false">MAX(0,MIN(R318,Q321+R320,Q321+R320-R319))</f>
        <v>3.38219310995833</v>
      </c>
      <c r="S323" s="1" t="n">
        <f aca="false">MAX(0,MIN(S318,R321+S320,R321+S320-S319))</f>
        <v>3.46089144221239</v>
      </c>
      <c r="T323" s="1" t="n">
        <f aca="false">MAX(0,MIN(T318,S321+T320,S321+T320-T319))</f>
        <v>3.54205010101294</v>
      </c>
      <c r="U323" s="1" t="n">
        <f aca="false">MAX(0,MIN(U318,T321+U320,T321+U320-U319))</f>
        <v>3.6253900503233</v>
      </c>
      <c r="V323" s="1" t="n">
        <f aca="false">MAX(0,MIN(V318,U321+V320,U321+V320-V319))</f>
        <v>3.71090904491378</v>
      </c>
      <c r="W323" s="1" t="n">
        <f aca="false">MAX(0,MIN(W318,V321+W320,V321+W320-W319))</f>
        <v>3.79863465316748</v>
      </c>
      <c r="X323" s="1" t="n">
        <f aca="false">MAX(0,MIN(X318,W321+X320,W321+X320-X319))</f>
        <v>3.8894004564655</v>
      </c>
      <c r="Y323" s="1" t="n">
        <f aca="false">MAX(0,MIN(Y318,X321+Y320,X321+Y320-Y319))</f>
        <v>3.98299035368407</v>
      </c>
      <c r="Z323" s="1" t="n">
        <f aca="false">MAX(0,MIN(Z318,Y321+Z320,Y321+Z320-Z319))</f>
        <v>4.0791091528095</v>
      </c>
      <c r="AA323" s="1" t="n">
        <f aca="false">MAX(0,MIN(AA318,Z321+AA320,Z321+AA320-AA319))</f>
        <v>4.17778620050037</v>
      </c>
      <c r="AB323" s="1" t="n">
        <f aca="false">MAX(0,MIN(AB318,AA321+AB320,AA321+AB320-AB319))</f>
        <v>4.27905194225728</v>
      </c>
      <c r="AC323" s="1" t="n">
        <f aca="false">MAX(0,MIN(AC318,AB321+AC320,AB321+AC320-AC319))</f>
        <v>4.38292021072866</v>
      </c>
      <c r="AD323" s="1" t="n">
        <f aca="false">MAX(0,MIN(AD318,AC321+AD320,AC321+AD320-AD319))</f>
        <v>4.48941137001427</v>
      </c>
      <c r="AE323" s="1" t="n">
        <f aca="false">MAX(0,MIN(AE318,AD321+AE320,AD321+AE320-AE319))</f>
        <v>4.59855396634747</v>
      </c>
      <c r="AF323" s="1" t="n">
        <f aca="false">MAX(0,MIN(AF318,AE321+AF320,AE321+AF320-AF319))</f>
        <v>4.71037755851918</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4.07954653798005</v>
      </c>
      <c r="M326" s="1" t="n">
        <f aca="false">IF(01_Supuestos!$C$184="Sí",M321,$C$172*M83)</f>
        <v>5.4622176255971</v>
      </c>
      <c r="N326" s="1" t="n">
        <f aca="false">IF(01_Supuestos!$C$184="Sí",N321,$C$172*N83)</f>
        <v>5.76060947013881</v>
      </c>
      <c r="O326" s="1" t="n">
        <f aca="false">IF(01_Supuestos!$C$184="Sí",O321,$C$172*O83)</f>
        <v>4.6636730860907</v>
      </c>
      <c r="P326" s="1" t="n">
        <f aca="false">IF(01_Supuestos!$C$184="Sí",P321,$C$172*P83)</f>
        <v>4.410338878738</v>
      </c>
      <c r="Q326" s="1" t="n">
        <f aca="false">IF(01_Supuestos!$C$184="Sí",Q321,$C$172*Q83)</f>
        <v>4.51811763854733</v>
      </c>
      <c r="R326" s="1" t="n">
        <f aca="false">IF(01_Supuestos!$C$184="Sí",R321,$C$172*R83)</f>
        <v>4.62337489902409</v>
      </c>
      <c r="S326" s="1" t="n">
        <f aca="false">IF(01_Supuestos!$C$184="Sí",S321,$C$172*S83)</f>
        <v>4.73183342311357</v>
      </c>
      <c r="T326" s="1" t="n">
        <f aca="false">IF(01_Supuestos!$C$184="Sí",T321,$C$172*T83)</f>
        <v>4.84319341443464</v>
      </c>
      <c r="U326" s="1" t="n">
        <f aca="false">IF(01_Supuestos!$C$184="Sí",U321,$C$172*U83)</f>
        <v>4.957461885315</v>
      </c>
      <c r="V326" s="1" t="n">
        <f aca="false">IF(01_Supuestos!$C$184="Sí",V321,$C$172*V83)</f>
        <v>5.07467555955062</v>
      </c>
      <c r="W326" s="1" t="n">
        <f aca="false">IF(01_Supuestos!$C$184="Sí",W321,$C$172*W83)</f>
        <v>5.19608023150668</v>
      </c>
      <c r="X326" s="1" t="n">
        <f aca="false">IF(01_Supuestos!$C$184="Sí",X321,$C$172*X83)</f>
        <v>5.32114564300551</v>
      </c>
      <c r="Y326" s="1" t="n">
        <f aca="false">IF(01_Supuestos!$C$184="Sí",Y321,$C$172*Y83)</f>
        <v>5.44958608455353</v>
      </c>
      <c r="Z326" s="1" t="n">
        <f aca="false">IF(01_Supuestos!$C$184="Sí",Z321,$C$172*Z83)</f>
        <v>5.58144083487855</v>
      </c>
      <c r="AA326" s="1" t="n">
        <f aca="false">IF(01_Supuestos!$C$184="Sí",AA321,$C$172*AA83)</f>
        <v>5.71675059619684</v>
      </c>
      <c r="AB326" s="1" t="n">
        <f aca="false">IF(01_Supuestos!$C$184="Sí",AB321,$C$172*AB83)</f>
        <v>5.85553098912321</v>
      </c>
      <c r="AC326" s="1" t="n">
        <f aca="false">IF(01_Supuestos!$C$184="Sí",AC321,$C$172*AC83)</f>
        <v>5.99781166582412</v>
      </c>
      <c r="AD326" s="1" t="n">
        <f aca="false">IF(01_Supuestos!$C$184="Sí",AD321,$C$172*AD83)</f>
        <v>6.14363080161628</v>
      </c>
      <c r="AE326" s="1" t="n">
        <f aca="false">IF(01_Supuestos!$C$184="Sí",AE321,$C$172*AE83)</f>
        <v>6.29302792014437</v>
      </c>
      <c r="AF326" s="1" t="n">
        <f aca="false">IF(01_Supuestos!$C$184="Sí",AF321,$C$172*AF83)</f>
        <v>6.44604388197532</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0.11395123295252</v>
      </c>
      <c r="N327" s="1" t="n">
        <f aca="false">IF(01_Supuestos!$C$184="Sí",MAX(0.001,IF(M299&gt;0,M320/M299,$C$328*(1-$C$279))),$C$172)</f>
        <v>0.136445131272842</v>
      </c>
      <c r="O327" s="1" t="n">
        <f aca="false">IF(01_Supuestos!$C$184="Sí",MAX(0.001,IF(N299&gt;0,N320/N299,$C$328*(1-$C$279))),$C$172)</f>
        <v>0.143222360660567</v>
      </c>
      <c r="P327" s="1" t="n">
        <f aca="false">IF(01_Supuestos!$C$184="Sí",MAX(0.001,IF(O299&gt;0,O320/O299,$C$328*(1-$C$279))),$C$172)</f>
        <v>0.136590464344552</v>
      </c>
      <c r="Q327" s="1" t="n">
        <f aca="false">IF(01_Supuestos!$C$184="Sí",MAX(0.001,IF(P299&gt;0,P320/P299,$C$328*(1-$C$279))),$C$172)</f>
        <v>0.137414115890849</v>
      </c>
      <c r="R327" s="1" t="n">
        <f aca="false">IF(01_Supuestos!$C$184="Sí",MAX(0.001,IF(Q299&gt;0,Q320/Q299,$C$328*(1-$C$279))),$C$172)</f>
        <v>0.137428549352822</v>
      </c>
      <c r="S327" s="1" t="n">
        <f aca="false">IF(01_Supuestos!$C$184="Sí",MAX(0.001,IF(R299&gt;0,R320/R299,$C$328*(1-$C$279))),$C$172)</f>
        <v>0.137486748808085</v>
      </c>
      <c r="T327" s="1" t="n">
        <f aca="false">IF(01_Supuestos!$C$184="Sí",MAX(0.001,IF(S299&gt;0,S320/S299,$C$328*(1-$C$279))),$C$172)</f>
        <v>0.137555058256239</v>
      </c>
      <c r="U327" s="1" t="n">
        <f aca="false">IF(01_Supuestos!$C$184="Sí",MAX(0.001,IF(T299&gt;0,T320/T299,$C$328*(1-$C$279))),$C$172)</f>
        <v>0.137628768837009</v>
      </c>
      <c r="V327" s="1" t="n">
        <f aca="false">IF(01_Supuestos!$C$184="Sí",MAX(0.001,IF(U299&gt;0,U320/U299,$C$328*(1-$C$279))),$C$172)</f>
        <v>0.137707018716159</v>
      </c>
      <c r="W327" s="1" t="n">
        <f aca="false">IF(01_Supuestos!$C$184="Sí",MAX(0.001,IF(V299&gt;0,V320/V299,$C$328*(1-$C$279))),$C$172)</f>
        <v>0.13778895173342</v>
      </c>
      <c r="X327" s="1" t="n">
        <f aca="false">IF(01_Supuestos!$C$184="Sí",MAX(0.001,IF(W299&gt;0,W320/W299,$C$328*(1-$C$279))),$C$172)</f>
        <v>0.137916275380448</v>
      </c>
      <c r="Y327" s="1" t="n">
        <f aca="false">IF(01_Supuestos!$C$184="Sí",MAX(0.001,IF(X299&gt;0,X320/X299,$C$328*(1-$C$279))),$C$172)</f>
        <v>0.138050072532672</v>
      </c>
      <c r="Z327" s="1" t="n">
        <f aca="false">IF(01_Supuestos!$C$184="Sí",MAX(0.001,IF(Y299&gt;0,Y320/Y299,$C$328*(1-$C$279))),$C$172)</f>
        <v>0.138189226488586</v>
      </c>
      <c r="AA327" s="1" t="n">
        <f aca="false">IF(01_Supuestos!$C$184="Sí",MAX(0.001,IF(Z299&gt;0,Z320/Z299,$C$328*(1-$C$279))),$C$172)</f>
        <v>0.138332704613269</v>
      </c>
      <c r="AB327" s="1" t="n">
        <f aca="false">IF(01_Supuestos!$C$184="Sí",MAX(0.001,IF(AA299&gt;0,AA320/AA299,$C$328*(1-$C$279))),$C$172)</f>
        <v>0.138479540714722</v>
      </c>
      <c r="AC327" s="1" t="n">
        <f aca="false">IF(01_Supuestos!$C$184="Sí",MAX(0.001,IF(AB299&gt;0,AB320/AB299,$C$328*(1-$C$279))),$C$172)</f>
        <v>0.138628003943989</v>
      </c>
      <c r="AD327" s="1" t="n">
        <f aca="false">IF(01_Supuestos!$C$184="Sí",MAX(0.001,IF(AC299&gt;0,AC320/AC299,$C$328*(1-$C$279))),$C$172)</f>
        <v>0.138777195248701</v>
      </c>
      <c r="AE327" s="1" t="n">
        <f aca="false">IF(01_Supuestos!$C$184="Sí",MAX(0.001,IF(AD299&gt;0,AD320/AD299,$C$328*(1-$C$279))),$C$172)</f>
        <v>0.138926281060165</v>
      </c>
      <c r="AF327" s="1" t="n">
        <f aca="false">IF(01_Supuestos!$C$184="Sí",MAX(0.001,IF(AE299&gt;0,AE320/AE299,$C$328*(1-$C$279))),$C$172)</f>
        <v>0.139074489236378</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0.0913340944573148</v>
      </c>
      <c r="N330" s="1" t="n">
        <f aca="false">N343</f>
        <v>0.111356726275801</v>
      </c>
      <c r="O330" s="1" t="n">
        <f aca="false">O343</f>
        <v>0.125869216111162</v>
      </c>
      <c r="P330" s="1" t="n">
        <f aca="false">P343</f>
        <v>0.128507782353895</v>
      </c>
      <c r="Q330" s="1" t="n">
        <f aca="false">Q343</f>
        <v>0.131419214125689</v>
      </c>
      <c r="R330" s="1" t="n">
        <f aca="false">R343</f>
        <v>0.134407594427242</v>
      </c>
      <c r="S330" s="1" t="n">
        <f aca="false">S343</f>
        <v>0.137482776797589</v>
      </c>
      <c r="T330" s="1" t="n">
        <f aca="false">T343</f>
        <v>0.140646493546822</v>
      </c>
      <c r="U330" s="1" t="n">
        <f aca="false">U343</f>
        <v>0.143899592231706</v>
      </c>
      <c r="V330" s="1" t="n">
        <f aca="false">V343</f>
        <v>0.147242989639197</v>
      </c>
      <c r="W330" s="1" t="n">
        <f aca="false">W343</f>
        <v>0.150677655243348</v>
      </c>
      <c r="X330" s="1" t="n">
        <f aca="false">X343</f>
        <v>0.154215024528446</v>
      </c>
      <c r="Y330" s="1" t="n">
        <f aca="false">Y343</f>
        <v>0.157856111982137</v>
      </c>
      <c r="Z330" s="1" t="n">
        <f aca="false">Z343</f>
        <v>0.161601973620538</v>
      </c>
      <c r="AA330" s="1" t="n">
        <f aca="false">AA343</f>
        <v>0.16545371027559</v>
      </c>
      <c r="AB330" s="1" t="n">
        <f aca="false">AB343</f>
        <v>0.169412466992068</v>
      </c>
      <c r="AC330" s="1" t="n">
        <f aca="false">AC343</f>
        <v>0.173479205130264</v>
      </c>
      <c r="AD330" s="1" t="n">
        <f aca="false">AD343</f>
        <v>0.177654933217948</v>
      </c>
      <c r="AE330" s="1" t="n">
        <f aca="false">AE343</f>
        <v>0.181940706298529</v>
      </c>
      <c r="AF330" s="1" t="n">
        <f aca="false">AF343</f>
        <v>0.186337625274436</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0.0913340944573148</v>
      </c>
      <c r="N331" s="1" t="n">
        <f aca="false">N330*$C$338</f>
        <v>0.111356726275801</v>
      </c>
      <c r="O331" s="1" t="n">
        <f aca="false">O330*$C$338</f>
        <v>0.125869216111162</v>
      </c>
      <c r="P331" s="1" t="n">
        <f aca="false">P330*$C$338</f>
        <v>0.128507782353895</v>
      </c>
      <c r="Q331" s="1" t="n">
        <f aca="false">Q330*$C$338</f>
        <v>0.131419214125689</v>
      </c>
      <c r="R331" s="1" t="n">
        <f aca="false">R330*$C$338</f>
        <v>0.134407594427242</v>
      </c>
      <c r="S331" s="1" t="n">
        <f aca="false">S330*$C$338</f>
        <v>0.137482776797589</v>
      </c>
      <c r="T331" s="1" t="n">
        <f aca="false">T330*$C$338</f>
        <v>0.140646493546822</v>
      </c>
      <c r="U331" s="1" t="n">
        <f aca="false">U330*$C$338</f>
        <v>0.143899592231706</v>
      </c>
      <c r="V331" s="1" t="n">
        <f aca="false">V330*$C$338</f>
        <v>0.147242989639197</v>
      </c>
      <c r="W331" s="1" t="n">
        <f aca="false">W330*$C$338</f>
        <v>0.150677655243348</v>
      </c>
      <c r="X331" s="1" t="n">
        <f aca="false">X330*$C$338</f>
        <v>0.154215024528446</v>
      </c>
      <c r="Y331" s="1" t="n">
        <f aca="false">Y330*$C$338</f>
        <v>0.157856111982137</v>
      </c>
      <c r="Z331" s="1" t="n">
        <f aca="false">Z330*$C$338</f>
        <v>0.161601973620538</v>
      </c>
      <c r="AA331" s="1" t="n">
        <f aca="false">AA330*$C$338</f>
        <v>0.16545371027559</v>
      </c>
      <c r="AB331" s="1" t="n">
        <f aca="false">AB330*$C$338</f>
        <v>0.169412466992068</v>
      </c>
      <c r="AC331" s="1" t="n">
        <f aca="false">AC330*$C$338</f>
        <v>0.173479205130264</v>
      </c>
      <c r="AD331" s="1" t="n">
        <f aca="false">AD330*$C$338</f>
        <v>0.177654933217948</v>
      </c>
      <c r="AE331" s="1" t="n">
        <f aca="false">AE330*$C$338</f>
        <v>0.181940706298529</v>
      </c>
      <c r="AF331" s="1" t="n">
        <f aca="false">AF330*$C$338</f>
        <v>0.186337625274436</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0.0913340944573148</v>
      </c>
      <c r="N332" s="1" t="n">
        <f aca="false">IF($C$339&lt;=0,N331,IF($C$339=1,M331,L331))</f>
        <v>0.111356726275801</v>
      </c>
      <c r="O332" s="1" t="n">
        <f aca="false">IF($C$339&lt;=0,O331,IF($C$339=1,N331,M331))</f>
        <v>0.125869216111162</v>
      </c>
      <c r="P332" s="1" t="n">
        <f aca="false">IF($C$339&lt;=0,P331,IF($C$339=1,O331,N331))</f>
        <v>0.128507782353895</v>
      </c>
      <c r="Q332" s="1" t="n">
        <f aca="false">IF($C$339&lt;=0,Q331,IF($C$339=1,P331,O331))</f>
        <v>0.131419214125689</v>
      </c>
      <c r="R332" s="1" t="n">
        <f aca="false">IF($C$339&lt;=0,R331,IF($C$339=1,Q331,P331))</f>
        <v>0.134407594427242</v>
      </c>
      <c r="S332" s="1" t="n">
        <f aca="false">IF($C$339&lt;=0,S331,IF($C$339=1,R331,Q331))</f>
        <v>0.137482776797589</v>
      </c>
      <c r="T332" s="1" t="n">
        <f aca="false">IF($C$339&lt;=0,T331,IF($C$339=1,S331,R331))</f>
        <v>0.140646493546822</v>
      </c>
      <c r="U332" s="1" t="n">
        <f aca="false">IF($C$339&lt;=0,U331,IF($C$339=1,T331,S331))</f>
        <v>0.143899592231706</v>
      </c>
      <c r="V332" s="1" t="n">
        <f aca="false">IF($C$339&lt;=0,V331,IF($C$339=1,U331,T331))</f>
        <v>0.147242989639197</v>
      </c>
      <c r="W332" s="1" t="n">
        <f aca="false">IF($C$339&lt;=0,W331,IF($C$339=1,V331,U331))</f>
        <v>0.150677655243348</v>
      </c>
      <c r="X332" s="1" t="n">
        <f aca="false">IF($C$339&lt;=0,X331,IF($C$339=1,W331,V331))</f>
        <v>0.154215024528446</v>
      </c>
      <c r="Y332" s="1" t="n">
        <f aca="false">IF($C$339&lt;=0,Y331,IF($C$339=1,X331,W331))</f>
        <v>0.157856111982137</v>
      </c>
      <c r="Z332" s="1" t="n">
        <f aca="false">IF($C$339&lt;=0,Z331,IF($C$339=1,Y331,X331))</f>
        <v>0.161601973620538</v>
      </c>
      <c r="AA332" s="1" t="n">
        <f aca="false">IF($C$339&lt;=0,AA331,IF($C$339=1,Z331,Y331))</f>
        <v>0.16545371027559</v>
      </c>
      <c r="AB332" s="1" t="n">
        <f aca="false">IF($C$339&lt;=0,AB331,IF($C$339=1,AA331,Z331))</f>
        <v>0.169412466992068</v>
      </c>
      <c r="AC332" s="1" t="n">
        <f aca="false">IF($C$339&lt;=0,AC331,IF($C$339=1,AB331,AA331))</f>
        <v>0.173479205130264</v>
      </c>
      <c r="AD332" s="1" t="n">
        <f aca="false">IF($C$339&lt;=0,AD331,IF($C$339=1,AC331,AB331))</f>
        <v>0.177654933217948</v>
      </c>
      <c r="AE332" s="1" t="n">
        <f aca="false">IF($C$339&lt;=0,AE331,IF($C$339=1,AD331,AC331))</f>
        <v>0.181940706298529</v>
      </c>
      <c r="AF332" s="1" t="n">
        <f aca="false">IF($C$339&lt;=0,AF331,IF($C$339=1,AE331,AD331))</f>
        <v>0.186337625274436</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0.0383603196720722</v>
      </c>
      <c r="N341" s="1" t="n">
        <f aca="false">M284*$C$340</f>
        <v>0.0467698250358362</v>
      </c>
      <c r="O341" s="1" t="n">
        <f aca="false">N284*$C$340</f>
        <v>0.0528650707666881</v>
      </c>
      <c r="P341" s="1" t="n">
        <f aca="false">O284*$C$340</f>
        <v>0.0539732685886358</v>
      </c>
      <c r="Q341" s="1" t="n">
        <f aca="false">P284*$C$340</f>
        <v>0.0551960699327895</v>
      </c>
      <c r="R341" s="1" t="n">
        <f aca="false">Q284*$C$340</f>
        <v>0.0564511896594418</v>
      </c>
      <c r="S341" s="1" t="n">
        <f aca="false">R284*$C$340</f>
        <v>0.0577427662549874</v>
      </c>
      <c r="T341" s="1" t="n">
        <f aca="false">S284*$C$340</f>
        <v>0.0590715272896651</v>
      </c>
      <c r="U341" s="1" t="n">
        <f aca="false">T284*$C$340</f>
        <v>0.0604378287373166</v>
      </c>
      <c r="V341" s="1" t="n">
        <f aca="false">U284*$C$340</f>
        <v>0.0618420556484629</v>
      </c>
      <c r="W341" s="1" t="n">
        <f aca="false">V284*$C$340</f>
        <v>0.0632846152022063</v>
      </c>
      <c r="X341" s="1" t="n">
        <f aca="false">W284*$C$340</f>
        <v>0.0647703103019471</v>
      </c>
      <c r="Y341" s="1" t="n">
        <f aca="false">X284*$C$340</f>
        <v>0.0662995670324973</v>
      </c>
      <c r="Z341" s="1" t="n">
        <f aca="false">Y284*$C$340</f>
        <v>0.067872828920626</v>
      </c>
      <c r="AA341" s="1" t="n">
        <f aca="false">Z284*$C$340</f>
        <v>0.0694905583157479</v>
      </c>
      <c r="AB341" s="1" t="n">
        <f aca="false">AA284*$C$340</f>
        <v>0.0711532361366684</v>
      </c>
      <c r="AC341" s="1" t="n">
        <f aca="false">AB284*$C$340</f>
        <v>0.0728612661547111</v>
      </c>
      <c r="AD341" s="1" t="n">
        <f aca="false">AC284*$C$340</f>
        <v>0.0746150719515384</v>
      </c>
      <c r="AE341" s="1" t="n">
        <f aca="false">AD284*$C$340</f>
        <v>0.0764150966453824</v>
      </c>
      <c r="AF341" s="1" t="n">
        <f aca="false">AE284*$C$340</f>
        <v>0.0782618026152631</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0.0529737747852426</v>
      </c>
      <c r="N342" s="1" t="n">
        <f aca="false">M289*$C$340</f>
        <v>0.0645869012399643</v>
      </c>
      <c r="O342" s="1" t="n">
        <f aca="false">N289*$C$340</f>
        <v>0.073004145344474</v>
      </c>
      <c r="P342" s="1" t="n">
        <f aca="false">O289*$C$340</f>
        <v>0.074534513765259</v>
      </c>
      <c r="Q342" s="1" t="n">
        <f aca="false">P289*$C$340</f>
        <v>0.0762231441928999</v>
      </c>
      <c r="R342" s="1" t="n">
        <f aca="false">Q289*$C$340</f>
        <v>0.0779564047678006</v>
      </c>
      <c r="S342" s="1" t="n">
        <f aca="false">R289*$C$340</f>
        <v>0.0797400105426017</v>
      </c>
      <c r="T342" s="1" t="n">
        <f aca="false">S289*$C$340</f>
        <v>0.0815749662571566</v>
      </c>
      <c r="U342" s="1" t="n">
        <f aca="false">T289*$C$340</f>
        <v>0.0834617634943897</v>
      </c>
      <c r="V342" s="1" t="n">
        <f aca="false">U289*$C$340</f>
        <v>0.0854009339907345</v>
      </c>
      <c r="W342" s="1" t="n">
        <f aca="false">V289*$C$340</f>
        <v>0.087393040041142</v>
      </c>
      <c r="X342" s="1" t="n">
        <f aca="false">W289*$C$340</f>
        <v>0.0894447142264984</v>
      </c>
      <c r="Y342" s="1" t="n">
        <f aca="false">X289*$C$340</f>
        <v>0.0915565449496392</v>
      </c>
      <c r="Z342" s="1" t="n">
        <f aca="false">Y289*$C$340</f>
        <v>0.0937291446999121</v>
      </c>
      <c r="AA342" s="1" t="n">
        <f aca="false">Z289*$C$340</f>
        <v>0.0959631519598423</v>
      </c>
      <c r="AB342" s="1" t="n">
        <f aca="false">AA289*$C$340</f>
        <v>0.0982592308553993</v>
      </c>
      <c r="AC342" s="1" t="n">
        <f aca="false">AB289*$C$340</f>
        <v>0.100617938975553</v>
      </c>
      <c r="AD342" s="1" t="n">
        <f aca="false">AC289*$C$340</f>
        <v>0.10303986126641</v>
      </c>
      <c r="AE342" s="1" t="n">
        <f aca="false">AD289*$C$340</f>
        <v>0.105525609653147</v>
      </c>
      <c r="AF342" s="1" t="n">
        <f aca="false">AE289*$C$340</f>
        <v>0.108075822659173</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0.0913340944573148</v>
      </c>
      <c r="N343" s="1" t="n">
        <f aca="false">N341+N342</f>
        <v>0.111356726275801</v>
      </c>
      <c r="O343" s="1" t="n">
        <f aca="false">O341+O342</f>
        <v>0.125869216111162</v>
      </c>
      <c r="P343" s="1" t="n">
        <f aca="false">P341+P342</f>
        <v>0.128507782353895</v>
      </c>
      <c r="Q343" s="1" t="n">
        <f aca="false">Q341+Q342</f>
        <v>0.131419214125689</v>
      </c>
      <c r="R343" s="1" t="n">
        <f aca="false">R341+R342</f>
        <v>0.134407594427242</v>
      </c>
      <c r="S343" s="1" t="n">
        <f aca="false">S341+S342</f>
        <v>0.137482776797589</v>
      </c>
      <c r="T343" s="1" t="n">
        <f aca="false">T341+T342</f>
        <v>0.140646493546822</v>
      </c>
      <c r="U343" s="1" t="n">
        <f aca="false">U341+U342</f>
        <v>0.143899592231706</v>
      </c>
      <c r="V343" s="1" t="n">
        <f aca="false">V341+V342</f>
        <v>0.147242989639197</v>
      </c>
      <c r="W343" s="1" t="n">
        <f aca="false">W341+W342</f>
        <v>0.150677655243348</v>
      </c>
      <c r="X343" s="1" t="n">
        <f aca="false">X341+X342</f>
        <v>0.154215024528446</v>
      </c>
      <c r="Y343" s="1" t="n">
        <f aca="false">Y341+Y342</f>
        <v>0.157856111982137</v>
      </c>
      <c r="Z343" s="1" t="n">
        <f aca="false">Z341+Z342</f>
        <v>0.161601973620538</v>
      </c>
      <c r="AA343" s="1" t="n">
        <f aca="false">AA341+AA342</f>
        <v>0.16545371027559</v>
      </c>
      <c r="AB343" s="1" t="n">
        <f aca="false">AB341+AB342</f>
        <v>0.169412466992068</v>
      </c>
      <c r="AC343" s="1" t="n">
        <f aca="false">AC341+AC342</f>
        <v>0.173479205130264</v>
      </c>
      <c r="AD343" s="1" t="n">
        <f aca="false">AD341+AD342</f>
        <v>0.177654933217948</v>
      </c>
      <c r="AE343" s="1" t="n">
        <f aca="false">AE341+AE342</f>
        <v>0.181940706298529</v>
      </c>
      <c r="AF343" s="1" t="n">
        <f aca="false">AF341+AF342</f>
        <v>0.186337625274436</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1388</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0.0065</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1344</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3.230422220638</v>
      </c>
      <c r="AC50" s="116" t="n">
        <f aca="false">IF($C$6="Sí",23_v67_Intermedio!AC24,22_v67_Prudente!AC24)-AC194+AC345</f>
        <v>3.130322136886</v>
      </c>
      <c r="AD50" s="116" t="n">
        <f aca="false">IF($C$6="Sí",23_v67_Intermedio!AD24,22_v67_Prudente!AD24)-AD194+AD345</f>
        <v>3.030222053134</v>
      </c>
      <c r="AE50" s="116" t="n">
        <f aca="false">IF($C$6="Sí",23_v67_Intermedio!AE24,22_v67_Prudente!AE24)-AE194+AE345</f>
        <v>2.930121969382</v>
      </c>
      <c r="AF50" s="116" t="n">
        <f aca="false">IF($C$6="Sí",23_v67_Intermedio!AF24,22_v67_Prudente!AF24)-AF194+AF345</f>
        <v>2.83002188563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3.230422220638</v>
      </c>
      <c r="AC64" s="116" t="n">
        <f aca="false">AC48+AC50-AC57</f>
        <v>3.130322136886</v>
      </c>
      <c r="AD64" s="116" t="n">
        <f aca="false">AD48+AD50-AD57</f>
        <v>3.030222053134</v>
      </c>
      <c r="AE64" s="116" t="n">
        <f aca="false">AE48+AE50-AE57</f>
        <v>2.930121969382</v>
      </c>
      <c r="AF64" s="116" t="n">
        <f aca="false">AF48+AF50-AF57</f>
        <v>2.83002188563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3.03998784899078</v>
      </c>
      <c r="AC66" s="116" t="n">
        <f aca="false">AC64-AC65</f>
        <v>2.93316543191963</v>
      </c>
      <c r="AD66" s="116" t="n">
        <f aca="false">AD64-AD65</f>
        <v>2.82610571648232</v>
      </c>
      <c r="AE66" s="116" t="n">
        <f aca="false">AE64-AE65</f>
        <v>2.71880032604652</v>
      </c>
      <c r="AF66" s="116" t="n">
        <f aca="false">AF64-AF65</f>
        <v>2.61124058828477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198.384993311987</v>
      </c>
      <c r="N67" s="116" t="n">
        <f aca="false">M67+N66-N63</f>
        <v>201.290395518758</v>
      </c>
      <c r="O67" s="116" t="n">
        <f aca="false">N67+O66-O63</f>
        <v>204.200384827303</v>
      </c>
      <c r="P67" s="116" t="n">
        <f aca="false">O67+P66-P63</f>
        <v>207.114379071565</v>
      </c>
      <c r="Q67" s="116" t="n">
        <f aca="false">P67+Q66-Q63</f>
        <v>210.031812739564</v>
      </c>
      <c r="R67" s="116" t="n">
        <f aca="false">Q67+R66-R63</f>
        <v>212.852035617303</v>
      </c>
      <c r="S67" s="116" t="n">
        <f aca="false">R67+S66-S63</f>
        <v>215.574511732038</v>
      </c>
      <c r="T67" s="116" t="n">
        <f aca="false">S67+T66-T63</f>
        <v>218.198718089424</v>
      </c>
      <c r="U67" s="116" t="n">
        <f aca="false">T67+U66-U63</f>
        <v>220.724143536746</v>
      </c>
      <c r="V67" s="116" t="n">
        <f aca="false">U67+V66-V63</f>
        <v>223.150287665761</v>
      </c>
      <c r="W67" s="116" t="n">
        <f aca="false">V67+W66-W63</f>
        <v>225.476659752565</v>
      </c>
      <c r="X67" s="116" t="n">
        <f aca="false">W67+X66-X63</f>
        <v>227.702777732021</v>
      </c>
      <c r="Y67" s="116" t="n">
        <f aca="false">X67+Y66-Y63</f>
        <v>229.828167204339</v>
      </c>
      <c r="Z67" s="116" t="n">
        <f aca="false">Y67+Z66-Z63</f>
        <v>231.852360471556</v>
      </c>
      <c r="AA67" s="116" t="n">
        <f aca="false">Z67+AA66-AA63</f>
        <v>233.774895601702</v>
      </c>
      <c r="AB67" s="116" t="n">
        <f aca="false">AA67+AB66-AB63</f>
        <v>235.595315518552</v>
      </c>
      <c r="AC67" s="116" t="n">
        <f aca="false">AB67+AC66-AC63</f>
        <v>237.313167114937</v>
      </c>
      <c r="AD67" s="116" t="n">
        <f aca="false">AC67+AD66-AD63</f>
        <v>238.928000387663</v>
      </c>
      <c r="AE67" s="116" t="n">
        <f aca="false">AD67+AE66-AE63</f>
        <v>240.43936759214</v>
      </c>
      <c r="AF67" s="116" t="n">
        <f aca="false">AE67+AF66-AF63</f>
        <v>241.846822414934</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70.6634487934097</v>
      </c>
      <c r="N68" s="116" t="n">
        <f aca="false">M68+(01_Supuestos!$I$125-1)*N66</f>
        <v>72.0963286863452</v>
      </c>
      <c r="O68" s="116" t="n">
        <f aca="false">N68+(01_Supuestos!$I$125-1)*O66</f>
        <v>73.5278022987521</v>
      </c>
      <c r="P68" s="116" t="n">
        <f aca="false">O68+(01_Supuestos!$I$125-1)*P66</f>
        <v>74.9578199889278</v>
      </c>
      <c r="Q68" s="116" t="n">
        <f aca="false">P68+(01_Supuestos!$I$125-1)*Q66</f>
        <v>76.3863303628175</v>
      </c>
      <c r="R68" s="116" t="n">
        <f aca="false">Q68+(01_Supuestos!$I$125-1)*R66</f>
        <v>77.7792461836805</v>
      </c>
      <c r="S68" s="116" t="n">
        <f aca="false">R68+(01_Supuestos!$I$125-1)*S66</f>
        <v>79.1365123650004</v>
      </c>
      <c r="T68" s="116" t="n">
        <f aca="false">S68+(01_Supuestos!$I$125-1)*T66</f>
        <v>80.4580718757063</v>
      </c>
      <c r="U68" s="116" t="n">
        <f aca="false">T68+(01_Supuestos!$I$125-1)*U66</f>
        <v>81.7438656715309</v>
      </c>
      <c r="V68" s="116" t="n">
        <f aca="false">U68+(01_Supuestos!$I$125-1)*V66</f>
        <v>82.9938326239439</v>
      </c>
      <c r="W68" s="116" t="n">
        <f aca="false">V68+(01_Supuestos!$I$125-1)*W66</f>
        <v>84.2079094465782</v>
      </c>
      <c r="X68" s="116" t="n">
        <f aca="false">W68+(01_Supuestos!$I$125-1)*X66</f>
        <v>85.3860306190578</v>
      </c>
      <c r="Y68" s="116" t="n">
        <f aca="false">X68+(01_Supuestos!$I$125-1)*Y66</f>
        <v>86.5281283081373</v>
      </c>
      <c r="Z68" s="116" t="n">
        <f aca="false">Y68+(01_Supuestos!$I$125-1)*Z66</f>
        <v>87.634132286058</v>
      </c>
      <c r="AA68" s="116" t="n">
        <f aca="false">Z68+(01_Supuestos!$I$125-1)*AA66</f>
        <v>88.7039698460211</v>
      </c>
      <c r="AB68" s="116" t="n">
        <f aca="false">AA68+(01_Supuestos!$I$125-1)*AB66</f>
        <v>89.737565714678</v>
      </c>
      <c r="AC68" s="116" t="n">
        <f aca="false">AB68+(01_Supuestos!$I$125-1)*AC66</f>
        <v>90.7348419615307</v>
      </c>
      <c r="AD68" s="116" t="n">
        <f aca="false">AC68+(01_Supuestos!$I$125-1)*AD66</f>
        <v>91.6957179051347</v>
      </c>
      <c r="AE68" s="116" t="n">
        <f aca="false">AD68+(01_Supuestos!$I$125-1)*AE66</f>
        <v>92.6201100159905</v>
      </c>
      <c r="AF68" s="116" t="n">
        <f aca="false">AE68+(01_Supuestos!$I$125-1)*AF66</f>
        <v>93.5079318160073</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256.607001012742</v>
      </c>
      <c r="G69" s="116" t="n">
        <f aca="false">F69+G48+G49+G50+G51-G63+G245</f>
        <v>262.236608254652</v>
      </c>
      <c r="H69" s="116" t="n">
        <f aca="false">G69+H48+H49+H50+H51-H63+H245</f>
        <v>267.878706911562</v>
      </c>
      <c r="I69" s="116" t="n">
        <f aca="false">H69+I48+I49+I50+I51-I63+I245</f>
        <v>273.532672412722</v>
      </c>
      <c r="J69" s="116" t="n">
        <f aca="false">I69+J48+J49+J50+J51-J63+J245</f>
        <v>279.19791141592</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319.126273175618</v>
      </c>
      <c r="R69" s="116" t="n">
        <f aca="false">Q69+R48+R49+R50+R51-R63+R245</f>
        <v>324.763506273682</v>
      </c>
      <c r="S69" s="116" t="n">
        <f aca="false">R69+S48+S49+S50+S51-S63+S245</f>
        <v>330.307744406</v>
      </c>
      <c r="T69" s="116" t="n">
        <f aca="false">S69+T48+T49+T50+T51-T63+T245</f>
        <v>335.758632316669</v>
      </c>
      <c r="U69" s="116" t="n">
        <f aca="false">T69+U48+U49+U50+U51-U63+U245</f>
        <v>341.115832512587</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380.565374819158</v>
      </c>
      <c r="AD69" s="116" t="n">
        <f aca="false">AC69+AD48+AD49+AD50+AD51-AD63+AD245</f>
        <v>385.066722828534</v>
      </c>
      <c r="AE69" s="116" t="n">
        <f aca="false">AD69+AE48+AE49+AE50+AE51-AE63+AE245</f>
        <v>389.471810076347</v>
      </c>
      <c r="AF69" s="116" t="n">
        <f aca="false">AE69+AF48+AF49+AF50+AF51-AF63+AF245</f>
        <v>393.780444596487</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52.9916758096682</v>
      </c>
      <c r="G70" s="116" t="n">
        <f aca="false">F70+G49+G51+G57+G65+G245</f>
        <v>60.0055973515782</v>
      </c>
      <c r="H70" s="116" t="n">
        <f aca="false">G70+H49+H51+H57+H65+H245</f>
        <v>67.0195188934882</v>
      </c>
      <c r="I70" s="116" t="n">
        <f aca="false">H70+I49+I51+I57+I65+I245</f>
        <v>74.0334404353982</v>
      </c>
      <c r="J70" s="116" t="n">
        <f aca="false">I70+J49+J51+J57+J65+J245</f>
        <v>81.0473619773081</v>
      </c>
      <c r="K70" s="116" t="n">
        <f aca="false">J70+K49+K51+K57+K65+K245</f>
        <v>88.0612835192181</v>
      </c>
      <c r="L70" s="116" t="n">
        <f aca="false">K70+L49+L51+L57+L65+L245</f>
        <v>95.0752050611281</v>
      </c>
      <c r="M70" s="116" t="n">
        <f aca="false">L70+M49+M51+M57+M65+M245</f>
        <v>97.8707788843187</v>
      </c>
      <c r="N70" s="116" t="n">
        <f aca="false">M70+N49+N51+N57+N65+N245</f>
        <v>100.670347799948</v>
      </c>
      <c r="O70" s="116" t="n">
        <f aca="false">N70+O49+O51+O57+O65+O245</f>
        <v>103.474052834779</v>
      </c>
      <c r="P70" s="116" t="n">
        <f aca="false">O70+P49+P51+P57+P65+P245</f>
        <v>106.282039993819</v>
      </c>
      <c r="Q70" s="116" t="n">
        <f aca="false">P70+Q49+Q51+Q57+Q65+Q245</f>
        <v>109.094460436054</v>
      </c>
      <c r="R70" s="116" t="n">
        <f aca="false">Q70+R49+R51+R57+R65+R245</f>
        <v>111.911470656379</v>
      </c>
      <c r="S70" s="116" t="n">
        <f aca="false">R70+S49+S51+S57+S65+S245</f>
        <v>114.733232673962</v>
      </c>
      <c r="T70" s="116" t="n">
        <f aca="false">S70+T49+T51+T57+T65+T245</f>
        <v>117.559914227246</v>
      </c>
      <c r="U70" s="116" t="n">
        <f aca="false">T70+U49+U51+U57+U65+U245</f>
        <v>120.39168897584</v>
      </c>
      <c r="V70" s="116" t="n">
        <f aca="false">U70+V49+V51+V57+V65+V245</f>
        <v>123.22873670954</v>
      </c>
      <c r="W70" s="116" t="n">
        <f aca="false">V70+W49+W51+W57+W65+W245</f>
        <v>126.071243564719</v>
      </c>
      <c r="X70" s="116" t="n">
        <f aca="false">W70+X49+X51+X57+X65+X245</f>
        <v>128.919402248367</v>
      </c>
      <c r="Y70" s="116" t="n">
        <f aca="false">X70+Y49+Y51+Y57+Y65+Y245</f>
        <v>131.773412270027</v>
      </c>
      <c r="Z70" s="116" t="n">
        <f aca="false">Y70+Z49+Z51+Z57+Z65+Z245</f>
        <v>134.633480181931</v>
      </c>
      <c r="AA70" s="116" t="n">
        <f aca="false">Z70+AA49+AA51+AA57+AA65+AA245</f>
        <v>137.499819827606</v>
      </c>
      <c r="AB70" s="116" t="n">
        <f aca="false">AA70+AB49+AB51+AB57+AB65+AB245</f>
        <v>140.372652599254</v>
      </c>
      <c r="AC70" s="116" t="n">
        <f aca="false">AB70+AC49+AC51+AC57+AC65+AC245</f>
        <v>143.25220770422</v>
      </c>
      <c r="AD70" s="116" t="n">
        <f aca="false">AC70+AD49+AD51+AD57+AD65+AD245</f>
        <v>146.138722440872</v>
      </c>
      <c r="AE70" s="116" t="n">
        <f aca="false">AD70+AE49+AE51+AE57+AE65+AE245</f>
        <v>149.032442484207</v>
      </c>
      <c r="AF70" s="116" t="n">
        <f aca="false">AE70+AF49+AF51+AF57+AF65+AF245</f>
        <v>151.933622181552</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40.9900437402988</v>
      </c>
      <c r="E72" s="116" t="n">
        <f aca="false">IF($C$173="Sí",(E83-E326)+E181,$C$15*D83)</f>
        <v>62.6850171515163</v>
      </c>
      <c r="F72" s="116" t="n">
        <f aca="false">IF($C$173="Sí",(F83-F326)+F181,$C$15*E83)</f>
        <v>86.6714790482658</v>
      </c>
      <c r="G72" s="116" t="n">
        <f aca="false">IF($C$173="Sí",(G83-G326)+G181,$C$15*F83)</f>
        <v>108.902091553942</v>
      </c>
      <c r="H72" s="116" t="n">
        <f aca="false">IF($C$173="Sí",(H83-H326)+H181,$C$15*G83)</f>
        <v>123.536095831784</v>
      </c>
      <c r="I72" s="116" t="n">
        <f aca="false">IF($C$173="Sí",(I83-I326)+I181,$C$15*H83)</f>
        <v>138.997192377146</v>
      </c>
      <c r="J72" s="116" t="n">
        <f aca="false">IF($C$173="Sí",(J83-J326)+J181,$C$15*I83)</f>
        <v>154.812805363386</v>
      </c>
      <c r="K72" s="116" t="n">
        <f aca="false">IF($C$173="Sí",(K83-K326)+K181,$C$15*J83)</f>
        <v>170.991086086182</v>
      </c>
      <c r="L72" s="116" t="n">
        <f aca="false">IF($C$173="Sí",(L83-L326)+L181,$C$15*K83)</f>
        <v>183.991778208981</v>
      </c>
      <c r="M72" s="116" t="n">
        <f aca="false">IF($C$173="Sí",(M83-M326)+M181,$C$15*L83)</f>
        <v>195.945600082965</v>
      </c>
      <c r="N72" s="116" t="n">
        <f aca="false">IF($C$173="Sí",(N83-N326)+N181,$C$15*M83)</f>
        <v>206.244202749884</v>
      </c>
      <c r="O72" s="116" t="n">
        <f aca="false">IF($C$173="Sí",(O83-O326)+O181,$C$15*N83)</f>
        <v>212.197661206418</v>
      </c>
      <c r="P72" s="116" t="n">
        <f aca="false">IF($C$173="Sí",(P83-P326)+P181,$C$15*O83)</f>
        <v>217.43753000369</v>
      </c>
      <c r="Q72" s="116" t="n">
        <f aca="false">IF($C$173="Sí",(Q83-Q326)+Q181,$C$15*P83)</f>
        <v>222.427523484474</v>
      </c>
      <c r="R72" s="116" t="n">
        <f aca="false">IF($C$173="Sí",(R83-R326)+R181,$C$15*Q83)</f>
        <v>227.537306969327</v>
      </c>
      <c r="S72" s="116" t="n">
        <f aca="false">IF($C$173="Sí",(S83-S326)+S181,$C$15*R83)</f>
        <v>232.763668460409</v>
      </c>
      <c r="T72" s="116" t="n">
        <f aca="false">IF($C$173="Sí",(T83-T326)+T181,$C$15*S83)</f>
        <v>238.109688889923</v>
      </c>
      <c r="U72" s="116" t="n">
        <f aca="false">IF($C$173="Sí",(U83-U326)+U181,$C$15*T83)</f>
        <v>243.57818149299</v>
      </c>
      <c r="V72" s="116" t="n">
        <f aca="false">IF($C$173="Sí",(V83-V326)+V181,$C$15*U83)</f>
        <v>249.171994457277</v>
      </c>
      <c r="W72" s="116" t="n">
        <f aca="false">IF($C$173="Sí",(W83-W326)+W181,$C$15*V83)</f>
        <v>254.892793609876</v>
      </c>
      <c r="X72" s="116" t="n">
        <f aca="false">IF($C$173="Sí",(X83-X326)+X181,$C$15*W83)</f>
        <v>260.668345411335</v>
      </c>
      <c r="Y72" s="116" t="n">
        <f aca="false">IF($C$173="Sí",(Y83-Y326)+Y181,$C$15*X83)</f>
        <v>265.051480533456</v>
      </c>
      <c r="Z72" s="116" t="n">
        <f aca="false">IF($C$173="Sí",(Z83-Z326)+Z181,$C$15*Y83)</f>
        <v>269.290502746113</v>
      </c>
      <c r="AA72" s="116" t="n">
        <f aca="false">IF($C$173="Sí",(AA83-AA326)+AA181,$C$15*Z83)</f>
        <v>273.422991632113</v>
      </c>
      <c r="AB72" s="116" t="n">
        <f aca="false">IF($C$173="Sí",(AB83-AB326)+AB181,$C$15*AA83)</f>
        <v>277.496859594943</v>
      </c>
      <c r="AC72" s="116" t="n">
        <f aca="false">IF($C$173="Sí",(AC83-AC326)+AC181,$C$15*AB83)</f>
        <v>281.541490287973</v>
      </c>
      <c r="AD72" s="116" t="n">
        <f aca="false">IF($C$173="Sí",(AD83-AD326)+AD181,$C$15*AC83)</f>
        <v>285.563381717131</v>
      </c>
      <c r="AE72" s="116" t="n">
        <f aca="false">IF($C$173="Sí",(AE83-AE326)+AE181,$C$15*AD83)</f>
        <v>289.56420563293</v>
      </c>
      <c r="AF72" s="116" t="n">
        <f aca="false">IF($C$173="Sí",(AF83-AF326)+AF181,$C$15*AE83)</f>
        <v>293.544815725727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20.799353777741</v>
      </c>
      <c r="E73" s="116" t="n">
        <f aca="false">E72-D72</f>
        <v>21.6949734112175</v>
      </c>
      <c r="F73" s="116" t="n">
        <f aca="false">F72-E72</f>
        <v>23.9864618967496</v>
      </c>
      <c r="G73" s="116" t="n">
        <f aca="false">G72-F72</f>
        <v>22.2306125056765</v>
      </c>
      <c r="H73" s="116" t="n">
        <f aca="false">H72-G72</f>
        <v>14.6340042778416</v>
      </c>
      <c r="I73" s="116" t="n">
        <f aca="false">I72-H72</f>
        <v>15.4610965453618</v>
      </c>
      <c r="J73" s="116" t="n">
        <f aca="false">J72-I72</f>
        <v>15.8156129862405</v>
      </c>
      <c r="K73" s="116" t="n">
        <f aca="false">K72-J72</f>
        <v>16.1782807227955</v>
      </c>
      <c r="L73" s="116" t="n">
        <f aca="false">L72-K72</f>
        <v>13.0006921227991</v>
      </c>
      <c r="M73" s="116" t="n">
        <f aca="false">M72-L72</f>
        <v>11.9538218739847</v>
      </c>
      <c r="N73" s="116" t="n">
        <f aca="false">N72-M72</f>
        <v>10.298602666919</v>
      </c>
      <c r="O73" s="116" t="n">
        <f aca="false">O72-N72</f>
        <v>5.95345845653324</v>
      </c>
      <c r="P73" s="116" t="n">
        <f aca="false">P72-O72</f>
        <v>5.23986879727232</v>
      </c>
      <c r="Q73" s="116" t="n">
        <f aca="false">Q72-P72</f>
        <v>4.98999348078382</v>
      </c>
      <c r="R73" s="116" t="n">
        <f aca="false">R72-Q72</f>
        <v>5.10978348485324</v>
      </c>
      <c r="S73" s="116" t="n">
        <f aca="false">S72-R72</f>
        <v>5.22636149108195</v>
      </c>
      <c r="T73" s="116" t="n">
        <f aca="false">T72-S72</f>
        <v>5.34602042951394</v>
      </c>
      <c r="U73" s="116" t="n">
        <f aca="false">U72-T72</f>
        <v>5.46849260306712</v>
      </c>
      <c r="V73" s="116" t="n">
        <f aca="false">V72-U72</f>
        <v>5.59381296428691</v>
      </c>
      <c r="W73" s="116" t="n">
        <f aca="false">W72-V72</f>
        <v>5.72079915259855</v>
      </c>
      <c r="X73" s="116" t="n">
        <f aca="false">X72-W72</f>
        <v>5.77555180145953</v>
      </c>
      <c r="Y73" s="116" t="n">
        <f aca="false">Y72-X72</f>
        <v>4.38313512212119</v>
      </c>
      <c r="Z73" s="116" t="n">
        <f aca="false">Z72-Y72</f>
        <v>4.23902221265712</v>
      </c>
      <c r="AA73" s="116" t="n">
        <f aca="false">AA72-Z72</f>
        <v>4.13248888599935</v>
      </c>
      <c r="AB73" s="116" t="n">
        <f aca="false">AB72-AA72</f>
        <v>4.07386796283038</v>
      </c>
      <c r="AC73" s="116" t="n">
        <f aca="false">AC72-AB72</f>
        <v>4.0446306930296</v>
      </c>
      <c r="AD73" s="116" t="n">
        <f aca="false">AD72-AC72</f>
        <v>4.02189142915853</v>
      </c>
      <c r="AE73" s="116" t="n">
        <f aca="false">AE72-AD72</f>
        <v>4.00082391579855</v>
      </c>
      <c r="AF73" s="116" t="n">
        <f aca="false">AF72-AE72</f>
        <v>3.98061009279718</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13.63682799189</v>
      </c>
      <c r="H75" s="116" t="n">
        <f aca="false">$C$19*G81</f>
        <v>14.2644544068308</v>
      </c>
      <c r="I75" s="116" t="n">
        <f aca="false">$C$19*H81</f>
        <v>14.8927053925215</v>
      </c>
      <c r="J75" s="116" t="n">
        <f aca="false">$C$19*I81</f>
        <v>15.5215497204247</v>
      </c>
      <c r="K75" s="116" t="n">
        <f aca="false">$C$19*J81</f>
        <v>16.1509577234298</v>
      </c>
      <c r="L75" s="116" t="n">
        <f aca="false">$C$19*K81</f>
        <v>16.7809012177817</v>
      </c>
      <c r="M75" s="116" t="n">
        <f aca="false">$C$19*L81</f>
        <v>17.411353428913</v>
      </c>
      <c r="N75" s="116" t="n">
        <f aca="false">$C$19*M81</f>
        <v>17.9654428232202</v>
      </c>
      <c r="O75" s="116" t="n">
        <f aca="false">$C$19*N81</f>
        <v>18.5175172303069</v>
      </c>
      <c r="P75" s="116" t="n">
        <f aca="false">$C$19*O81</f>
        <v>19.0343235327796</v>
      </c>
      <c r="Q75" s="116" t="n">
        <f aca="false">$C$19*P81</f>
        <v>19.4156166892329</v>
      </c>
      <c r="R75" s="116" t="n">
        <f aca="false">$C$19*Q81</f>
        <v>19.7971991884398</v>
      </c>
      <c r="S75" s="116" t="n">
        <f aca="false">$C$19*R81</f>
        <v>20.1731372224774</v>
      </c>
      <c r="T75" s="116" t="n">
        <f aca="false">$C$19*S81</f>
        <v>20.5434594136562</v>
      </c>
      <c r="U75" s="116" t="n">
        <f aca="false">$C$19*T81</f>
        <v>20.9088166850509</v>
      </c>
      <c r="V75" s="116" t="n">
        <f aca="false">$C$19*U81</f>
        <v>21.2698426683312</v>
      </c>
      <c r="W75" s="116" t="n">
        <f aca="false">$C$19*V81</f>
        <v>21.6271661700739</v>
      </c>
      <c r="X75" s="116" t="n">
        <f aca="false">$C$19*W81</f>
        <v>21.9742413576133</v>
      </c>
      <c r="Y75" s="116" t="n">
        <f aca="false">$C$19*X81</f>
        <v>22.3117144958418</v>
      </c>
      <c r="Z75" s="116" t="n">
        <f aca="false">$C$19*Y81</f>
        <v>22.6400617912329</v>
      </c>
      <c r="AA75" s="116" t="n">
        <f aca="false">$C$19*Z81</f>
        <v>22.9565287013848</v>
      </c>
      <c r="AB75" s="116" t="n">
        <f aca="false">$C$19*AA81</f>
        <v>23.2621117434781</v>
      </c>
      <c r="AC75" s="116" t="n">
        <f aca="false">$C$19*AB81</f>
        <v>23.5571101729227</v>
      </c>
      <c r="AD75" s="116" t="n">
        <f aca="false">$C$19*AC81</f>
        <v>23.844972155973</v>
      </c>
      <c r="AE75" s="116" t="n">
        <f aca="false">$C$19*AD81</f>
        <v>24.126227786589</v>
      </c>
      <c r="AF75" s="116" t="n">
        <f aca="false">$C$19*AE81</f>
        <v>24.4008633707019</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720.100380800208</v>
      </c>
      <c r="E76" s="116" t="n">
        <f aca="false">(IF($C$173="Sí",(MAX(0,E74-D96)+MAX(0,D276+E53-E75))/E327,E73+MAX(0,E74-D96)+MAX(0,D276+E53-E75)))+IF($C$173="Sí",MAX(0,$C$226*(E70+D121)*0.3/0.55-D227)/E327,0)</f>
        <v>646.43735530755</v>
      </c>
      <c r="F76" s="116" t="n">
        <f aca="false">(IF($C$173="Sí",(MAX(0,F74-E96)+MAX(0,E276+F53-F75))/F327,F73+MAX(0,F74-E96)+MAX(0,E276+F53-F75)))+IF($C$173="Sí",MAX(0,$C$226*(F70+E121)*0.3/0.55-E227)/F327,0)</f>
        <v>756.293535002565</v>
      </c>
      <c r="G76" s="116" t="n">
        <f aca="false">(IF($C$173="Sí",(MAX(0,G74-F96)+MAX(0,F276+G53-G75))/G327,G73+MAX(0,G74-F96)+MAX(0,F276+G53-G75)))+IF($C$173="Sí",MAX(0,$C$226*(G70+F121)*0.3/0.55-F227)/G327,0)</f>
        <v>13286.0554771138</v>
      </c>
      <c r="H76" s="116" t="n">
        <f aca="false">(IF($C$173="Sí",(MAX(0,H74-G96)+MAX(0,G276+H53-H75))/H327,H73+MAX(0,H74-G96)+MAX(0,G276+H53-H75)))+IF($C$173="Sí",MAX(0,$C$226*(H70+G121)*0.3/0.55-G227)/H327,0)</f>
        <v>823.798842685333</v>
      </c>
      <c r="I76" s="116" t="n">
        <f aca="false">(IF($C$173="Sí",(MAX(0,I74-H96)+MAX(0,H276+I53-I75))/I327,I73+MAX(0,I74-H96)+MAX(0,H276+I53-I75)))+IF($C$173="Sí",MAX(0,$C$226*(I70+H121)*0.3/0.55-H227)/I327,0)</f>
        <v>893.285129108896</v>
      </c>
      <c r="J76" s="116" t="n">
        <f aca="false">(IF($C$173="Sí",(MAX(0,J74-I96)+MAX(0,I276+J53-J75))/J327,J73+MAX(0,J74-I96)+MAX(0,I276+J53-J75)))+IF($C$173="Sí",MAX(0,$C$226*(J70+I121)*0.3/0.55-I227)/J327,0)</f>
        <v>979.312777086463</v>
      </c>
      <c r="K76" s="116" t="n">
        <f aca="false">(IF($C$173="Sí",(MAX(0,K74-J96)+MAX(0,J276+K53-K75))/K327,K73+MAX(0,K74-J96)+MAX(0,J276+K53-K75)))+IF($C$173="Sí",MAX(0,$C$226*(K70+J121)*0.3/0.55-J227)/K327,0)</f>
        <v>1075.89202738449</v>
      </c>
      <c r="L76" s="116" t="n">
        <f aca="false">(IF($C$173="Sí",(MAX(0,L74-K96)+MAX(0,K276+L53-L75))/L327,L73+MAX(0,L74-K96)+MAX(0,K276+L53-L75)))+IF($C$173="Sí",MAX(0,$C$226*(L70+K121)*0.3/0.55-K227)/L327,0)</f>
        <v>1182.47722665685</v>
      </c>
      <c r="M76" s="116" t="n">
        <f aca="false">(IF($C$173="Sí",(MAX(0,M74-L96)+MAX(0,L276+M53-M75))/M327,M73+MAX(0,M74-L96)+MAX(0,L276+M53-M75)))+IF($C$173="Sí",MAX(0,$C$226*(M70+L121)*0.3/0.55-L227)/M327,0)</f>
        <v>1121.06342616266</v>
      </c>
      <c r="N76" s="116" t="n">
        <f aca="false">(IF($C$173="Sí",(MAX(0,N74-M96)+MAX(0,M276+N53-N75))/N327,N73+MAX(0,N74-M96)+MAX(0,M276+N53-N75)))+IF($C$173="Sí",MAX(0,$C$226*(N70+M121)*0.3/0.55-M227)/N327,0)</f>
        <v>935.160084745159</v>
      </c>
      <c r="O76" s="116" t="n">
        <f aca="false">(IF($C$173="Sí",(MAX(0,O74-N96)+MAX(0,N276+O53-O75))/O327,O73+MAX(0,O74-N96)+MAX(0,N276+O53-O75)))+IF($C$173="Sí",MAX(0,$C$226*(O70+N121)*0.3/0.55-N227)/O327,0)</f>
        <v>895.955815127994</v>
      </c>
      <c r="P76" s="116" t="n">
        <f aca="false">(IF($C$173="Sí",(MAX(0,P74-O96)+MAX(0,O276+P53-P75))/P327,P73+MAX(0,P74-O96)+MAX(0,O276+P53-P75)))+IF($C$173="Sí",MAX(0,$C$226*(P70+O121)*0.3/0.55-O227)/P327,0)</f>
        <v>946.811074611112</v>
      </c>
      <c r="Q76" s="116" t="n">
        <f aca="false">(IF($C$173="Sí",(MAX(0,Q74-P96)+MAX(0,P276+Q53-Q75))/Q327,Q73+MAX(0,Q74-P96)+MAX(0,P276+Q53-Q75)))+IF($C$173="Sí",MAX(0,$C$226*(Q70+P121)*0.3/0.55-P227)/Q327,0)</f>
        <v>948.859428470034</v>
      </c>
      <c r="R76" s="116" t="n">
        <f aca="false">(IF($C$173="Sí",(MAX(0,R74-Q96)+MAX(0,Q276+R53-R75))/R327,R73+MAX(0,R74-Q96)+MAX(0,Q276+R53-R75)))+IF($C$173="Sí",MAX(0,$C$226*(R70+Q121)*0.3/0.55-Q227)/R327,0)</f>
        <v>954.050493400766</v>
      </c>
      <c r="S76" s="116" t="n">
        <f aca="false">(IF($C$173="Sí",(MAX(0,S74-R96)+MAX(0,R276+S53-S75))/S327,S73+MAX(0,S74-R96)+MAX(0,R276+S53-S75)))+IF($C$173="Sí",MAX(0,$C$226*(S70+R121)*0.3/0.55-R227)/S327,0)</f>
        <v>959.272004175374</v>
      </c>
      <c r="T76" s="116" t="n">
        <f aca="false">(IF($C$173="Sí",(MAX(0,T74-S96)+MAX(0,S276+T53-T75))/T327,T73+MAX(0,T74-S96)+MAX(0,S276+T53-T75)))+IF($C$173="Sí",MAX(0,$C$226*(T70+S121)*0.3/0.55-S227)/T327,0)</f>
        <v>964.730795296485</v>
      </c>
      <c r="U76" s="116" t="n">
        <f aca="false">(IF($C$173="Sí",(MAX(0,U74-T96)+MAX(0,T276+U53-U75))/U327,U73+MAX(0,U74-T96)+MAX(0,T276+U53-U75)))+IF($C$173="Sí",MAX(0,$C$226*(U70+T121)*0.3/0.55-T227)/U327,0)</f>
        <v>970.459458596699</v>
      </c>
      <c r="V76" s="116" t="n">
        <f aca="false">(IF($C$173="Sí",(MAX(0,V74-U96)+MAX(0,U276+V53-V75))/V327,V73+MAX(0,V74-U96)+MAX(0,U276+V53-V75)))+IF($C$173="Sí",MAX(0,$C$226*(V70+U121)*0.3/0.55-U227)/V327,0)</f>
        <v>976.462712169487</v>
      </c>
      <c r="W76" s="116" t="n">
        <f aca="false">(IF($C$173="Sí",(MAX(0,W74-V96)+MAX(0,V276+W53-W75))/W327,W73+MAX(0,W74-V96)+MAX(0,V276+W53-W75)))+IF($C$173="Sí",MAX(0,$C$226*(W70+V121)*0.3/0.55-V227)/W327,0)</f>
        <v>982.745342563594</v>
      </c>
      <c r="X76" s="116" t="n">
        <f aca="false">(IF($C$173="Sí",(MAX(0,X74-W96)+MAX(0,W276+X53-X75))/X327,X73+MAX(0,X74-W96)+MAX(0,W276+X53-X75)))+IF($C$173="Sí",MAX(0,$C$226*(X70+W121)*0.3/0.55-W227)/X327,0)</f>
        <v>989.080071514176</v>
      </c>
      <c r="Y76" s="116" t="n">
        <f aca="false">(IF($C$173="Sí",(MAX(0,Y74-X96)+MAX(0,X276+Y53-Y75))/Y327,Y73+MAX(0,Y74-X96)+MAX(0,X276+Y53-Y75)))+IF($C$173="Sí",MAX(0,$C$226*(Y70+X121)*0.3/0.55-X227)/Y327,0)</f>
        <v>995.37509122965</v>
      </c>
      <c r="Z76" s="116" t="n">
        <f aca="false">(IF($C$173="Sí",(MAX(0,Z74-Y96)+MAX(0,Y276+Z53-Z75))/Z327,Z73+MAX(0,Z74-Y96)+MAX(0,Y276+Z53-Z75)))+IF($C$173="Sí",MAX(0,$C$226*(Z70+Y121)*0.3/0.55-Y227)/Z327,0)</f>
        <v>994.745795613098</v>
      </c>
      <c r="AA76" s="116" t="n">
        <f aca="false">(IF($C$173="Sí",(MAX(0,AA74-Z96)+MAX(0,Z276+AA53-AA75))/AA327,AA73+MAX(0,AA74-Z96)+MAX(0,Z276+AA53-AA75)))+IF($C$173="Sí",MAX(0,$C$226*(AA70+Z121)*0.3/0.55-Z227)/AA327,0)</f>
        <v>1003.26627033253</v>
      </c>
      <c r="AB76" s="116" t="n">
        <f aca="false">(IF($C$173="Sí",(MAX(0,AB74-AA96)+MAX(0,AA276+AB53-AB75))/AB327,AB73+MAX(0,AB74-AA96)+MAX(0,AA276+AB53-AB75)))+IF($C$173="Sí",MAX(0,$C$226*(AB70+AA121)*0.3/0.55-AA227)/AB327,0)</f>
        <v>1012.05416513795</v>
      </c>
      <c r="AC76" s="116" t="n">
        <f aca="false">(IF($C$173="Sí",(MAX(0,AC74-AB96)+MAX(0,AB276+AC53-AC75))/AC327,AC73+MAX(0,AC74-AB96)+MAX(0,AB276+AC53-AC75)))+IF($C$173="Sí",MAX(0,$C$226*(AC70+AB121)*0.3/0.55-AB227)/AC327,0)</f>
        <v>1020.91098857185</v>
      </c>
      <c r="AD76" s="116" t="n">
        <f aca="false">(IF($C$173="Sí",(MAX(0,AD74-AC96)+MAX(0,AC276+AD53-AD75))/AD327,AD73+MAX(0,AD74-AC96)+MAX(0,AC276+AD53-AD75)))+IF($C$173="Sí",MAX(0,$C$226*(AD70+AC121)*0.3/0.55-AC227)/AD327,0)</f>
        <v>1030.06782477747</v>
      </c>
      <c r="AE76" s="116" t="n">
        <f aca="false">(IF($C$173="Sí",(MAX(0,AE74-AD96)+MAX(0,AD276+AE53-AE75))/AE327,AE73+MAX(0,AE74-AD96)+MAX(0,AD276+AE53-AE75)))+IF($C$173="Sí",MAX(0,$C$226*(AE70+AD121)*0.3/0.55-AD227)/AE327,0)</f>
        <v>1039.32106601938</v>
      </c>
      <c r="AF76" s="116" t="n">
        <f aca="false">(IF($C$173="Sí",(MAX(0,AF74-AE96)+MAX(0,AE276+AF53-AF75))/AF327,AF73+MAX(0,AF74-AE96)+MAX(0,AE276+AF53-AF75)))+IF($C$173="Sí",MAX(0,$C$226*(AF70+AE121)*0.3/0.55-AE227)/AF327,0)</f>
        <v>1048.69646107843</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MIN(MIN(MIN(0+C207*C41,0+C76),C209),IF(01_Supuestos!$C$179&gt;0,01_Supuestos!$C$179/(1-01_Supuestos!$C$179)*64_Inflacion!$C$5,1E+099))</f>
        <v>13</v>
      </c>
      <c r="D78" s="116" t="n">
        <f aca="false">MIN(MIN(MIN(C83+D207*D41,C83+D76),D209),IF(01_Supuestos!$C$179&gt;0,01_Supuestos!$C$179/(1-01_Supuestos!$C$179)*64_Inflacion!$C$5*D41/$C$41,1E+099))</f>
        <v>26.299</v>
      </c>
      <c r="E78" s="116" t="n">
        <f aca="false">MIN(MIN(MIN(D83+E207*E41,D83+E76),E209),IF(01_Supuestos!$C$179&gt;0,01_Supuestos!$C$179/(1-01_Supuestos!$C$179)*64_Inflacion!$C$5*E41/$C$41,1E+099))</f>
        <v>39.903877</v>
      </c>
      <c r="F78" s="116" t="n">
        <f aca="false">MIN(MIN(MIN(E83+F207*F41,E83+F76),F209),IF(01_Supuestos!$C$179&gt;0,01_Supuestos!$C$179/(1-01_Supuestos!$C$179)*64_Inflacion!$C$5*F41/$C$41,1E+099))</f>
        <v>53.821666171</v>
      </c>
      <c r="G78" s="116" t="n">
        <f aca="false">MIN(MIN(MIN(F83+G207*G41,F83+G76),G209),IF(01_Supuestos!$C$179&gt;0,01_Supuestos!$C$179/(1-01_Supuestos!$C$179)*64_Inflacion!$C$5*G41/$C$41,1E+099))</f>
        <v>68.059564492933</v>
      </c>
      <c r="H78" s="116" t="n">
        <f aca="false">MIN(MIN(MIN(G83+H207*H41,G83+H76),H209),IF(01_Supuestos!$C$179&gt;0,01_Supuestos!$C$179/(1-01_Supuestos!$C$179)*64_Inflacion!$C$5*H41/$C$41,1E+099))</f>
        <v>82.6249344762704</v>
      </c>
      <c r="I78" s="116" t="n">
        <f aca="false">MIN(MIN(MIN(H83+I207*I41,H83+I76),I209),IF(01_Supuestos!$C$179&gt;0,01_Supuestos!$C$179/(1-01_Supuestos!$C$179)*64_Inflacion!$C$5*I41/$C$41,1E+099))</f>
        <v>97.5253079692246</v>
      </c>
      <c r="J78" s="116" t="n">
        <f aca="false">MIN(MIN(MIN(I83+J207*J41,I83+J76),J209),IF(01_Supuestos!$C$179&gt;0,01_Supuestos!$C$179/(1-01_Supuestos!$C$179)*64_Inflacion!$C$5*J41/$C$41,1E+099))</f>
        <v>112.768390052517</v>
      </c>
      <c r="K78" s="116" t="n">
        <f aca="false">MIN(MIN(MIN(J83+K207*K41,J83+K76),K209),IF(01_Supuestos!$C$179&gt;0,01_Supuestos!$C$179/(1-01_Supuestos!$C$179)*64_Inflacion!$C$5*K41/$C$41,1E+099))</f>
        <v>128.362063023725</v>
      </c>
      <c r="L78" s="116" t="n">
        <f aca="false">MIN(MIN(MIN(K83+L207*L41,K83+L76),L209),IF(01_Supuestos!$C$179&gt;0,01_Supuestos!$C$179/(1-01_Supuestos!$C$179)*64_Inflacion!$C$5*L41/$C$41,1E+099))</f>
        <v>140.326308610884</v>
      </c>
      <c r="M78" s="116" t="n">
        <f aca="false">MIN(MIN(MIN(L83+M207*M41,L83+M76),M209),IF(01_Supuestos!$C$179&gt;0,01_Supuestos!$C$179/(1-01_Supuestos!$C$179)*64_Inflacion!$C$5*M41/$C$41,1E+099))</f>
        <v>152.565731846548</v>
      </c>
      <c r="N78" s="116" t="n">
        <f aca="false">MIN(MIN(MIN(M83+N207*N41,M83+N76),N209),IF(01_Supuestos!$C$179&gt;0,01_Supuestos!$C$179/(1-01_Supuestos!$C$179)*64_Inflacion!$C$5*N41/$C$41,1E+099))</f>
        <v>162.084126425925</v>
      </c>
      <c r="O78" s="116" t="n">
        <f aca="false">MIN(MIN(MIN(N83+O207*O41,N83+O76),O209),IF(01_Supuestos!$C$179&gt;0,01_Supuestos!$C$179/(1-01_Supuestos!$C$179)*64_Inflacion!$C$5*O41/$C$41,1E+099))</f>
        <v>165.812061333721</v>
      </c>
      <c r="P78" s="116" t="n">
        <f aca="false">MIN(MIN(MIN(O83+P207*P41,O83+P76),P209),IF(01_Supuestos!$C$179&gt;0,01_Supuestos!$C$179/(1-01_Supuestos!$C$179)*64_Inflacion!$C$5*P41/$C$41,1E+099))</f>
        <v>169.625738744397</v>
      </c>
      <c r="Q78" s="116" t="n">
        <f aca="false">MIN(MIN(MIN(P83+Q207*Q41,P83+Q76),Q209),IF(01_Supuestos!$C$179&gt;0,01_Supuestos!$C$179/(1-01_Supuestos!$C$179)*64_Inflacion!$C$5*Q41/$C$41,1E+099))</f>
        <v>173.527130735518</v>
      </c>
      <c r="R78" s="116" t="n">
        <f aca="false">MIN(MIN(MIN(Q83+R207*R41,Q83+R76),R209),IF(01_Supuestos!$C$179&gt;0,01_Supuestos!$C$179/(1-01_Supuestos!$C$179)*64_Inflacion!$C$5*R41/$C$41,1E+099))</f>
        <v>177.518254742435</v>
      </c>
      <c r="S78" s="116" t="n">
        <f aca="false">MIN(MIN(MIN(R83+S207*S41,R83+S76),S209),IF(01_Supuestos!$C$179&gt;0,01_Supuestos!$C$179/(1-01_Supuestos!$C$179)*64_Inflacion!$C$5*S41/$C$41,1E+099))</f>
        <v>181.601174601511</v>
      </c>
      <c r="T78" s="116" t="n">
        <f aca="false">MIN(MIN(MIN(S83+T207*T41,S83+T76),T209),IF(01_Supuestos!$C$179&gt;0,01_Supuestos!$C$179/(1-01_Supuestos!$C$179)*64_Inflacion!$C$5*T41/$C$41,1E+099))</f>
        <v>185.778001617345</v>
      </c>
      <c r="U78" s="116" t="n">
        <f aca="false">MIN(MIN(MIN(T83+U207*U41,T83+U76),U209),IF(01_Supuestos!$C$179&gt;0,01_Supuestos!$C$179/(1-01_Supuestos!$C$179)*64_Inflacion!$C$5*U41/$C$41,1E+099))</f>
        <v>190.050895654544</v>
      </c>
      <c r="V78" s="116" t="n">
        <f aca="false">MIN(MIN(MIN(U83+V207*V41,U83+V76),V209),IF(01_Supuestos!$C$179&gt;0,01_Supuestos!$C$179/(1-01_Supuestos!$C$179)*64_Inflacion!$C$5*V41/$C$41,1E+099))</f>
        <v>194.422066254599</v>
      </c>
      <c r="W78" s="116" t="n">
        <f aca="false">MIN(MIN(MIN(V83+W207*W41,V83+W76),W209),IF(01_Supuestos!$C$179&gt;0,01_Supuestos!$C$179/(1-01_Supuestos!$C$179)*64_Inflacion!$C$5*W41/$C$41,1E+099))</f>
        <v>198.893773778455</v>
      </c>
      <c r="X78" s="116" t="n">
        <f aca="false">MIN(MIN(MIN(W83+X207*X41,W83+X76),X209),IF(01_Supuestos!$C$179&gt;0,01_Supuestos!$C$179/(1-01_Supuestos!$C$179)*64_Inflacion!$C$5*X41/$C$41,1E+099))</f>
        <v>203.468330575359</v>
      </c>
      <c r="Y78" s="116" t="n">
        <f aca="false">MIN(MIN(MIN(X83+Y207*Y41,X83+Y76),Y209),IF(01_Supuestos!$C$179&gt;0,01_Supuestos!$C$179/(1-01_Supuestos!$C$179)*64_Inflacion!$C$5*Y41/$C$41,1E+099))</f>
        <v>208.148102178592</v>
      </c>
      <c r="Z78" s="116" t="n">
        <f aca="false">MIN(MIN(MIN(Y83+Z207*Z41,Y83+Z76),Z209),IF(01_Supuestos!$C$179&gt;0,01_Supuestos!$C$179/(1-01_Supuestos!$C$179)*64_Inflacion!$C$5*Z41/$C$41,1E+099))</f>
        <v>212.9355085287</v>
      </c>
      <c r="AA78" s="116" t="n">
        <f aca="false">MIN(MIN(MIN(Z83+AA207*AA41,Z83+AA76),AA209),IF(01_Supuestos!$C$179&gt;0,01_Supuestos!$C$179/(1-01_Supuestos!$C$179)*64_Inflacion!$C$5*AA41/$C$41,1E+099))</f>
        <v>217.83302522486</v>
      </c>
      <c r="AB78" s="116" t="n">
        <f aca="false">MIN(MIN(MIN(AA83+AB207*AB41,AA83+AB76),AB209),IF(01_Supuestos!$C$179&gt;0,01_Supuestos!$C$179/(1-01_Supuestos!$C$179)*64_Inflacion!$C$5*AB41/$C$41,1E+099))</f>
        <v>222.843184805032</v>
      </c>
      <c r="AC78" s="116" t="n">
        <f aca="false">MIN(MIN(MIN(AB83+AC207*AC41,AB83+AC76),AC209),IF(01_Supuestos!$C$179&gt;0,01_Supuestos!$C$179/(1-01_Supuestos!$C$179)*64_Inflacion!$C$5*AC41/$C$41,1E+099))</f>
        <v>227.968578055547</v>
      </c>
      <c r="AD78" s="116" t="n">
        <f aca="false">MIN(MIN(MIN(AC83+AD207*AD41,AC83+AD76),AD209),IF(01_Supuestos!$C$179&gt;0,01_Supuestos!$C$179/(1-01_Supuestos!$C$179)*64_Inflacion!$C$5*AD41/$C$41,1E+099))</f>
        <v>233.211855350825</v>
      </c>
      <c r="AE78" s="116" t="n">
        <f aca="false">MIN(MIN(MIN(AD83+AE207*AE41,AD83+AE76),AE209),IF(01_Supuestos!$C$179&gt;0,01_Supuestos!$C$179/(1-01_Supuestos!$C$179)*64_Inflacion!$C$5*AE41/$C$41,1E+099))</f>
        <v>237.707527116194</v>
      </c>
      <c r="AF78" s="116" t="n">
        <f aca="false">MIN(MIN(MIN(AE83+AF207*AF41,AE83+AF76),AF209),IF(01_Supuestos!$C$179&gt;0,01_Supuestos!$C$179/(1-01_Supuestos!$C$179)*64_Inflacion!$C$5*AF41/$C$41,1E+099))</f>
        <v>240.529679923312</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140.326308610884</v>
      </c>
      <c r="M79" s="116" t="n">
        <f aca="false">MAX(0,MIN(M67,$C$9*(M69+M68+L121),M78))</f>
        <v>152.565731846548</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203.383160276532</v>
      </c>
      <c r="Y79" s="116" t="n">
        <f aca="false">MAX(0,MIN(Y67,$C$9*(Y69+Y68+X121),Y78))</f>
        <v>206.267215224716</v>
      </c>
      <c r="Z79" s="116" t="n">
        <f aca="false">MAX(0,MIN(Z67,$C$9*(Z69+Z68+Y121),Z78))</f>
        <v>209.042685152776</v>
      </c>
      <c r="AA79" s="116" t="n">
        <f aca="false">MAX(0,MIN(AA67,$C$9*(AA69+AA68+Z121),AA78))</f>
        <v>211.720065656855</v>
      </c>
      <c r="AB79" s="116" t="n">
        <f aca="false">MAX(0,MIN(AB67,$C$9*(AB69+AB68+AA121),AB78))</f>
        <v>214.302045283858</v>
      </c>
      <c r="AC79" s="116" t="n">
        <f aca="false">MAX(0,MIN(AC67,$C$9*(AC69+AC68+AB121),AC78))</f>
        <v>216.81965261055</v>
      </c>
      <c r="AD79" s="116" t="n">
        <f aca="false">MAX(0,MIN(AD67,$C$9*(AD69+AD68+AC121),AD78))</f>
        <v>219.277653389391</v>
      </c>
      <c r="AE79" s="116" t="n">
        <f aca="false">MAX(0,MIN(AE67,$C$9*(AE69+AE68+AD121),AE78))</f>
        <v>221.675919100792</v>
      </c>
      <c r="AF79" s="116" t="n">
        <f aca="false">MAX(0,MIN(AF67,$C$9*(AF69+AF68+AE121),AF78))</f>
        <v>224.014324444862</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62.7912739613924</v>
      </c>
      <c r="N80" s="116" t="n">
        <f aca="false">IF($C$177&lt;=1,N68,SUMPRODUCT($C$189:N189,((N$39-$C$39:N$39+1)&gt;=$C$177)+((N$39-$C$39:N$39+1)&lt;$C$177)*(N$39-$C$39:N$39+1)/$C$177))</f>
        <v>66.8727164422846</v>
      </c>
      <c r="O80" s="116" t="n">
        <f aca="false">IF($C$177&lt;=1,O68,SUMPRODUCT($C$189:O189,((O$39-$C$39:O$39+1)&gt;=$C$177)+((O$39-$C$39:O$39+1)&lt;$C$177)*(O$39-$C$39:O$39+1)/$C$177))</f>
        <v>70.0892053761823</v>
      </c>
      <c r="P80" s="116" t="n">
        <f aca="false">IF($C$177&lt;=1,P68,SUMPRODUCT($C$189:P189,((P$39-$C$39:P$39+1)&gt;=$C$177)+((P$39-$C$39:P$39+1)&lt;$C$177)*(P$39-$C$39:P$39+1)/$C$177))</f>
        <v>70.6620663181706</v>
      </c>
      <c r="Q80" s="116" t="n">
        <f aca="false">IF($C$177&lt;=1,Q68,SUMPRODUCT($C$189:Q189,((Q$39-$C$39:Q$39+1)&gt;=$C$177)+((Q$39-$C$39:Q$39+1)&lt;$C$177)*(Q$39-$C$39:Q$39+1)/$C$177))</f>
        <v>71.3777782975478</v>
      </c>
      <c r="R80" s="116" t="n">
        <f aca="false">IF($C$177&lt;=1,R68,SUMPRODUCT($C$189:R189,((R$39-$C$39:R$39+1)&gt;=$C$177)+((R$39-$C$39:R$39+1)&lt;$C$177)*(R$39-$C$39:R$39+1)/$C$177))</f>
        <v>72.2327818590113</v>
      </c>
      <c r="S80" s="116" t="n">
        <f aca="false">IF($C$177&lt;=1,S68,SUMPRODUCT($C$189:S189,((S$39-$C$39:S$39+1)&gt;=$C$177)+((S$39-$C$39:S$39+1)&lt;$C$177)*(S$39-$C$39:S$39+1)/$C$177))</f>
        <v>73.2235120386069</v>
      </c>
      <c r="T80" s="116" t="n">
        <f aca="false">IF($C$177&lt;=1,T68,SUMPRODUCT($C$189:T189,((T$39-$C$39:T$39+1)&gt;=$C$177)+((T$39-$C$39:T$39+1)&lt;$C$177)*(T$39-$C$39:T$39+1)/$C$177))</f>
        <v>74.346398169273</v>
      </c>
      <c r="U80" s="116" t="n">
        <f aca="false">IF($C$177&lt;=1,U68,SUMPRODUCT($C$189:U189,((U$39-$C$39:U$39+1)&gt;=$C$177)+((U$39-$C$39:U$39+1)&lt;$C$177)*(U$39-$C$39:U$39+1)/$C$177))</f>
        <v>75.5978636795216</v>
      </c>
      <c r="V80" s="116" t="n">
        <f aca="false">IF($C$177&lt;=1,V68,SUMPRODUCT($C$189:V189,((V$39-$C$39:V$39+1)&gt;=$C$177)+((V$39-$C$39:V$39+1)&lt;$C$177)*(V$39-$C$39:V$39+1)/$C$177))</f>
        <v>76.9743258850114</v>
      </c>
      <c r="W80" s="116" t="n">
        <f aca="false">IF($C$177&lt;=1,W68,SUMPRODUCT($C$189:W189,((W$39-$C$39:W$39+1)&gt;=$C$177)+((W$39-$C$39:W$39+1)&lt;$C$177)*(W$39-$C$39:W$39+1)/$C$177))</f>
        <v>78.3287719503283</v>
      </c>
      <c r="X80" s="116" t="n">
        <f aca="false">IF($C$177&lt;=1,X68,SUMPRODUCT($C$189:X189,((X$39-$C$39:X$39+1)&gt;=$C$177)+((X$39-$C$39:X$39+1)&lt;$C$177)*(X$39-$C$39:X$39+1)/$C$177))</f>
        <v>79.6577421435995</v>
      </c>
      <c r="Y80" s="116" t="n">
        <f aca="false">IF($C$177&lt;=1,Y68,SUMPRODUCT($C$189:Y189,((Y$39-$C$39:Y$39+1)&gt;=$C$177)+((Y$39-$C$39:Y$39+1)&lt;$C$177)*(Y$39-$C$39:Y$39+1)/$C$177))</f>
        <v>80.9577747445381</v>
      </c>
      <c r="Z80" s="116" t="n">
        <f aca="false">IF($C$177&lt;=1,Z68,SUMPRODUCT($C$189:Z189,((Z$39-$C$39:Z$39+1)&gt;=$C$177)+((Z$39-$C$39:Z$39+1)&lt;$C$177)*(Z$39-$C$39:Z$39+1)/$C$177))</f>
        <v>82.2254059742511</v>
      </c>
      <c r="AA80" s="116" t="n">
        <f aca="false">IF($C$177&lt;=1,AA68,SUMPRODUCT($C$189:AA189,((AA$39-$C$39:AA$39+1)&gt;=$C$177)+((AA$39-$C$39:AA$39+1)&lt;$C$177)*(AA$39-$C$39:AA$39+1)/$C$177))</f>
        <v>83.4571699225715</v>
      </c>
      <c r="AB80" s="116" t="n">
        <f aca="false">IF($C$177&lt;=1,AB68,SUMPRODUCT($C$189:AB189,((AB$39-$C$39:AB$39+1)&gt;=$C$177)+((AB$39-$C$39:AB$39+1)&lt;$C$177)*(AB$39-$C$39:AB$39+1)/$C$177))</f>
        <v>84.6530018756712</v>
      </c>
      <c r="AC80" s="116" t="n">
        <f aca="false">IF($C$177&lt;=1,AC68,SUMPRODUCT($C$189:AC189,((AC$39-$C$39:AC$39+1)&gt;=$C$177)+((AC$39-$C$39:AC$39+1)&lt;$C$177)*(AC$39-$C$39:AC$39+1)/$C$177))</f>
        <v>85.8128348353242</v>
      </c>
      <c r="AD80" s="116" t="n">
        <f aca="false">IF($C$177&lt;=1,AD68,SUMPRODUCT($C$189:AD189,((AD$39-$C$39:AD$39+1)&gt;=$C$177)+((AD$39-$C$39:AD$39+1)&lt;$C$177)*(AD$39-$C$39:AD$39+1)/$C$177))</f>
        <v>86.9365994382671</v>
      </c>
      <c r="AE80" s="116" t="n">
        <f aca="false">IF($C$177&lt;=1,AE68,SUMPRODUCT($C$189:AE189,((AE$39-$C$39:AE$39+1)&gt;=$C$177)+((AE$39-$C$39:AE$39+1)&lt;$C$177)*(AE$39-$C$39:AE$39+1)/$C$177))</f>
        <v>88.024223872713</v>
      </c>
      <c r="AF80" s="116" t="n">
        <f aca="false">IF($C$177&lt;=1,AF68,SUMPRODUCT($C$189:AF189,((AF$39-$C$39:AF$39+1)&gt;=$C$177)+((AF$39-$C$39:AF$39+1)&lt;$C$177)*(AF$39-$C$39:AF$39+1)/$C$177))</f>
        <v>89.0756337919194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272.736559837801</v>
      </c>
      <c r="G81" s="116" t="n">
        <f aca="false">G69+G80+F121</f>
        <v>285.289088136615</v>
      </c>
      <c r="H81" s="116" t="n">
        <f aca="false">H69+H80+G121</f>
        <v>297.85410785043</v>
      </c>
      <c r="I81" s="116" t="n">
        <f aca="false">I69+I80+H121</f>
        <v>310.430994408494</v>
      </c>
      <c r="J81" s="116" t="n">
        <f aca="false">J69+J80+I121</f>
        <v>323.019154468596</v>
      </c>
      <c r="K81" s="116" t="n">
        <f aca="false">K69+K80+J121</f>
        <v>335.618024355634</v>
      </c>
      <c r="L81" s="116" t="n">
        <f aca="false">L69+L80+K121</f>
        <v>348.22706857826</v>
      </c>
      <c r="M81" s="116" t="n">
        <f aca="false">M69+M80+L121</f>
        <v>359.308856464403</v>
      </c>
      <c r="N81" s="116" t="n">
        <f aca="false">N69+N80+M121</f>
        <v>370.350344606138</v>
      </c>
      <c r="O81" s="116" t="n">
        <f aca="false">O69+O80+N121</f>
        <v>380.686470655592</v>
      </c>
      <c r="P81" s="116" t="n">
        <f aca="false">P69+P80+O121</f>
        <v>388.312333784657</v>
      </c>
      <c r="Q81" s="116" t="n">
        <f aca="false">Q69+Q80+P121</f>
        <v>395.943983768796</v>
      </c>
      <c r="R81" s="116" t="n">
        <f aca="false">R69+R80+Q121</f>
        <v>403.462744449548</v>
      </c>
      <c r="S81" s="116" t="n">
        <f aca="false">S69+S80+R121</f>
        <v>410.869188273125</v>
      </c>
      <c r="T81" s="116" t="n">
        <f aca="false">T69+T80+S121</f>
        <v>418.176333701018</v>
      </c>
      <c r="U81" s="116" t="n">
        <f aca="false">U69+U80+T121</f>
        <v>425.396853366623</v>
      </c>
      <c r="V81" s="116" t="n">
        <f aca="false">V69+V80+U121</f>
        <v>432.543323401478</v>
      </c>
      <c r="W81" s="116" t="n">
        <f aca="false">W69+W80+V121</f>
        <v>439.484827152265</v>
      </c>
      <c r="X81" s="116" t="n">
        <f aca="false">X69+X80+W121</f>
        <v>446.234289916836</v>
      </c>
      <c r="Y81" s="116" t="n">
        <f aca="false">Y69+Y80+X121</f>
        <v>452.801235824658</v>
      </c>
      <c r="Z81" s="116" t="n">
        <f aca="false">Z69+Z80+Y121</f>
        <v>459.130574027695</v>
      </c>
      <c r="AA81" s="116" t="n">
        <f aca="false">AA69+AA80+Z121</f>
        <v>465.242234869562</v>
      </c>
      <c r="AB81" s="116" t="n">
        <f aca="false">AB69+AB80+AA121</f>
        <v>471.142203458454</v>
      </c>
      <c r="AC81" s="116" t="n">
        <f aca="false">AC69+AC80+AB121</f>
        <v>476.89944311946</v>
      </c>
      <c r="AD81" s="116" t="n">
        <f aca="false">AD69+AD80+AC121</f>
        <v>482.524555731779</v>
      </c>
      <c r="AE81" s="116" t="n">
        <f aca="false">AE69+AE80+AD121</f>
        <v>488.017267414038</v>
      </c>
      <c r="AF81" s="116" t="n">
        <f aca="false">AF69+AF80+AE121</f>
        <v>493.377311853384</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140.326308610884</v>
      </c>
      <c r="M83" s="136" t="n">
        <f aca="false">M79+M82</f>
        <v>152.565731846548</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203.383160276532</v>
      </c>
      <c r="Y83" s="136" t="n">
        <f aca="false">Y79+Y82</f>
        <v>206.267215224716</v>
      </c>
      <c r="Z83" s="136" t="n">
        <f aca="false">Z79+Z82</f>
        <v>209.042685152776</v>
      </c>
      <c r="AA83" s="136" t="n">
        <f aca="false">AA79+AA82</f>
        <v>211.720065656855</v>
      </c>
      <c r="AB83" s="136" t="n">
        <f aca="false">AB79+AB82</f>
        <v>214.302045283858</v>
      </c>
      <c r="AC83" s="136" t="n">
        <f aca="false">AC79+AC82</f>
        <v>216.81965261055</v>
      </c>
      <c r="AD83" s="136" t="n">
        <f aca="false">AD79+AD82</f>
        <v>219.277653389391</v>
      </c>
      <c r="AE83" s="136" t="n">
        <f aca="false">AE79+AE82</f>
        <v>221.675919100792</v>
      </c>
      <c r="AF83" s="136" t="n">
        <f aca="false">AF79+AF82</f>
        <v>224.014324444862</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112.825554906248</v>
      </c>
      <c r="M84" s="116" t="n">
        <f aca="false">M67-M79+M80-M82</f>
        <v>108.610535426832</v>
      </c>
      <c r="N84" s="116" t="n">
        <f aca="false">N67-N79+N80-N82</f>
        <v>106.078985535118</v>
      </c>
      <c r="O84" s="116" t="n">
        <f aca="false">O67-O79+O80-O82</f>
        <v>108.477528869765</v>
      </c>
      <c r="P84" s="116" t="n">
        <f aca="false">P67-P79+P80-P82</f>
        <v>108.150706645339</v>
      </c>
      <c r="Q84" s="116" t="n">
        <f aca="false">Q67-Q79+Q80-Q82</f>
        <v>107.882460301594</v>
      </c>
      <c r="R84" s="116" t="n">
        <f aca="false">R67-R79+R80-R82</f>
        <v>107.56656273388</v>
      </c>
      <c r="S84" s="116" t="n">
        <f aca="false">S67-S79+S80-S82</f>
        <v>107.196849169134</v>
      </c>
      <c r="T84" s="116" t="n">
        <f aca="false">T67-T79+T80-T82</f>
        <v>106.767114641351</v>
      </c>
      <c r="U84" s="116" t="n">
        <f aca="false">U67-U79+U80-U82</f>
        <v>106.271111561724</v>
      </c>
      <c r="V84" s="116" t="n">
        <f aca="false">V67-V79+V80-V82</f>
        <v>105.702547296173</v>
      </c>
      <c r="W84" s="116" t="n">
        <f aca="false">W67-W79+W80-W82</f>
        <v>104.911657924439</v>
      </c>
      <c r="X84" s="116" t="n">
        <f aca="false">X67-X79+X80-X82</f>
        <v>103.977359599088</v>
      </c>
      <c r="Y84" s="116" t="n">
        <f aca="false">Y67-Y79+Y80-Y82</f>
        <v>104.518726724161</v>
      </c>
      <c r="Z84" s="116" t="n">
        <f aca="false">Z67-Z79+Z80-Z82</f>
        <v>105.035081293031</v>
      </c>
      <c r="AA84" s="116" t="n">
        <f aca="false">AA67-AA79+AA80-AA82</f>
        <v>105.511999867418</v>
      </c>
      <c r="AB84" s="116" t="n">
        <f aca="false">AB67-AB79+AB80-AB82</f>
        <v>105.946272110365</v>
      </c>
      <c r="AC84" s="116" t="n">
        <f aca="false">AC67-AC79+AC80-AC82</f>
        <v>106.306349339712</v>
      </c>
      <c r="AD84" s="116" t="n">
        <f aca="false">AD67-AD79+AD80-AD82</f>
        <v>106.586946436539</v>
      </c>
      <c r="AE84" s="116" t="n">
        <f aca="false">AE67-AE79+AE80-AE82</f>
        <v>106.787672364061</v>
      </c>
      <c r="AF84" s="116" t="n">
        <f aca="false">AF67-AF79+AF80-AF82</f>
        <v>106.908131761991</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32.7283871805361</v>
      </c>
      <c r="G85" s="116" t="n">
        <f aca="false">IF(AND($C$31&gt;0,G$39&gt;10),MIN(G83,MAX(01_Supuestos!$I$137*G81,F85*(1-1/MAX(1,$C$31)))),MIN(IF(G$39&lt;=10,01_Supuestos!$I$136,01_Supuestos!$I$137)*G81,G83))</f>
        <v>34.2346905763938</v>
      </c>
      <c r="H85" s="116" t="n">
        <f aca="false">IF(AND($C$31&gt;0,H$39&gt;10),MIN(H83,MAX(01_Supuestos!$I$137*H81,G85*(1-1/MAX(1,$C$31)))),MIN(IF(H$39&lt;=10,01_Supuestos!$I$136,01_Supuestos!$I$137)*H81,H83))</f>
        <v>35.7424929420516</v>
      </c>
      <c r="I85" s="116" t="n">
        <f aca="false">IF(AND($C$31&gt;0,I$39&gt;10),MIN(I83,MAX(01_Supuestos!$I$137*I81,H85*(1-1/MAX(1,$C$31)))),MIN(IF(I$39&lt;=10,01_Supuestos!$I$136,01_Supuestos!$I$137)*I81,I83))</f>
        <v>37.2517193290193</v>
      </c>
      <c r="J85" s="116" t="n">
        <f aca="false">IF(AND($C$31&gt;0,J$39&gt;10),MIN(J83,MAX(01_Supuestos!$I$137*J81,I85*(1-1/MAX(1,$C$31)))),MIN(IF(J$39&lt;=10,01_Supuestos!$I$136,01_Supuestos!$I$137)*J81,J83))</f>
        <v>38.7622985362316</v>
      </c>
      <c r="K85" s="116" t="n">
        <f aca="false">IF(AND($C$31&gt;0,K$39&gt;10),MIN(K83,MAX(01_Supuestos!$I$137*K81,J85*(1-1/MAX(1,$C$31)))),MIN(IF(K$39&lt;=10,01_Supuestos!$I$136,01_Supuestos!$I$137)*K81,K83))</f>
        <v>40.2741629226761</v>
      </c>
      <c r="L85" s="116" t="n">
        <f aca="false">IF(AND($C$31&gt;0,L$39&gt;10),MIN(L83,MAX(01_Supuestos!$I$137*L81,K85*(1-1/MAX(1,$C$31)))),MIN(IF(L$39&lt;=10,01_Supuestos!$I$136,01_Supuestos!$I$137)*L81,L83))</f>
        <v>41.7872482293912</v>
      </c>
      <c r="M85" s="116" t="n">
        <f aca="false">IF(AND($C$31&gt;0,M$39&gt;10),MIN(M83,MAX(01_Supuestos!$I$137*M81,L85*(1-1/MAX(1,$C$31)))),MIN(IF(M$39&lt;=10,01_Supuestos!$I$136,01_Supuestos!$I$137)*M81,M83))</f>
        <v>33.429798583513</v>
      </c>
      <c r="N85" s="116" t="n">
        <f aca="false">IF(AND($C$31&gt;0,N$39&gt;10),MIN(N83,MAX(01_Supuestos!$I$137*N81,M85*(1-1/MAX(1,$C$31)))),MIN(IF(N$39&lt;=10,01_Supuestos!$I$136,01_Supuestos!$I$137)*N81,N83))</f>
        <v>27.7762758454604</v>
      </c>
      <c r="O85" s="116" t="n">
        <f aca="false">IF(AND($C$31&gt;0,O$39&gt;10),MIN(O83,MAX(01_Supuestos!$I$137*O81,N85*(1-1/MAX(1,$C$31)))),MIN(IF(O$39&lt;=10,01_Supuestos!$I$136,01_Supuestos!$I$137)*O81,O83))</f>
        <v>28.5514852991694</v>
      </c>
      <c r="P85" s="116" t="n">
        <f aca="false">IF(AND($C$31&gt;0,P$39&gt;10),MIN(P83,MAX(01_Supuestos!$I$137*P81,O85*(1-1/MAX(1,$C$31)))),MIN(IF(P$39&lt;=10,01_Supuestos!$I$136,01_Supuestos!$I$137)*P81,P83))</f>
        <v>29.1234250338493</v>
      </c>
      <c r="Q85" s="116" t="n">
        <f aca="false">IF(AND($C$31&gt;0,Q$39&gt;10),MIN(Q83,MAX(01_Supuestos!$I$137*Q81,P85*(1-1/MAX(1,$C$31)))),MIN(IF(Q$39&lt;=10,01_Supuestos!$I$136,01_Supuestos!$I$137)*Q81,Q83))</f>
        <v>29.6957987826597</v>
      </c>
      <c r="R85" s="116" t="n">
        <f aca="false">IF(AND($C$31&gt;0,R$39&gt;10),MIN(R83,MAX(01_Supuestos!$I$137*R81,Q85*(1-1/MAX(1,$C$31)))),MIN(IF(R$39&lt;=10,01_Supuestos!$I$136,01_Supuestos!$I$137)*R81,R83))</f>
        <v>30.2597058337161</v>
      </c>
      <c r="S85" s="116" t="n">
        <f aca="false">IF(AND($C$31&gt;0,S$39&gt;10),MIN(S83,MAX(01_Supuestos!$I$137*S81,R85*(1-1/MAX(1,$C$31)))),MIN(IF(S$39&lt;=10,01_Supuestos!$I$136,01_Supuestos!$I$137)*S81,S83))</f>
        <v>30.8151891204844</v>
      </c>
      <c r="T85" s="116" t="n">
        <f aca="false">IF(AND($C$31&gt;0,T$39&gt;10),MIN(T83,MAX(01_Supuestos!$I$137*T81,S85*(1-1/MAX(1,$C$31)))),MIN(IF(T$39&lt;=10,01_Supuestos!$I$136,01_Supuestos!$I$137)*T81,T83))</f>
        <v>31.3632250275764</v>
      </c>
      <c r="U85" s="116" t="n">
        <f aca="false">IF(AND($C$31&gt;0,U$39&gt;10),MIN(U83,MAX(01_Supuestos!$I$137*U81,T85*(1-1/MAX(1,$C$31)))),MIN(IF(U$39&lt;=10,01_Supuestos!$I$136,01_Supuestos!$I$137)*U81,U83))</f>
        <v>31.9047640024967</v>
      </c>
      <c r="V85" s="116" t="n">
        <f aca="false">IF(AND($C$31&gt;0,V$39&gt;10),MIN(V83,MAX(01_Supuestos!$I$137*V81,U85*(1-1/MAX(1,$C$31)))),MIN(IF(V$39&lt;=10,01_Supuestos!$I$136,01_Supuestos!$I$137)*V81,V83))</f>
        <v>32.4407492551108</v>
      </c>
      <c r="W85" s="116" t="n">
        <f aca="false">IF(AND($C$31&gt;0,W$39&gt;10),MIN(W83,MAX(01_Supuestos!$I$137*W81,V85*(1-1/MAX(1,$C$31)))),MIN(IF(W$39&lt;=10,01_Supuestos!$I$136,01_Supuestos!$I$137)*W81,W83))</f>
        <v>32.9613620364199</v>
      </c>
      <c r="X85" s="116" t="n">
        <f aca="false">IF(AND($C$31&gt;0,X$39&gt;10),MIN(X83,MAX(01_Supuestos!$I$137*X81,W85*(1-1/MAX(1,$C$31)))),MIN(IF(X$39&lt;=10,01_Supuestos!$I$136,01_Supuestos!$I$137)*X81,X83))</f>
        <v>33.4675717437627</v>
      </c>
      <c r="Y85" s="116" t="n">
        <f aca="false">IF(AND($C$31&gt;0,Y$39&gt;10),MIN(Y83,MAX(01_Supuestos!$I$137*Y81,X85*(1-1/MAX(1,$C$31)))),MIN(IF(Y$39&lt;=10,01_Supuestos!$I$136,01_Supuestos!$I$137)*Y81,Y83))</f>
        <v>33.9600926868494</v>
      </c>
      <c r="Z85" s="116" t="n">
        <f aca="false">IF(AND($C$31&gt;0,Z$39&gt;10),MIN(Z83,MAX(01_Supuestos!$I$137*Z81,Y85*(1-1/MAX(1,$C$31)))),MIN(IF(Z$39&lt;=10,01_Supuestos!$I$136,01_Supuestos!$I$137)*Z81,Z83))</f>
        <v>34.4347930520772</v>
      </c>
      <c r="AA85" s="116" t="n">
        <f aca="false">IF(AND($C$31&gt;0,AA$39&gt;10),MIN(AA83,MAX(01_Supuestos!$I$137*AA81,Z85*(1-1/MAX(1,$C$31)))),MIN(IF(AA$39&lt;=10,01_Supuestos!$I$136,01_Supuestos!$I$137)*AA81,AA83))</f>
        <v>34.8931676152172</v>
      </c>
      <c r="AB85" s="116" t="n">
        <f aca="false">IF(AND($C$31&gt;0,AB$39&gt;10),MIN(AB83,MAX(01_Supuestos!$I$137*AB81,AA85*(1-1/MAX(1,$C$31)))),MIN(IF(AB$39&lt;=10,01_Supuestos!$I$136,01_Supuestos!$I$137)*AB81,AB83))</f>
        <v>35.3356652593841</v>
      </c>
      <c r="AC85" s="116" t="n">
        <f aca="false">IF(AND($C$31&gt;0,AC$39&gt;10),MIN(AC83,MAX(01_Supuestos!$I$137*AC81,AB85*(1-1/MAX(1,$C$31)))),MIN(IF(AC$39&lt;=10,01_Supuestos!$I$136,01_Supuestos!$I$137)*AC81,AC83))</f>
        <v>35.7674582339595</v>
      </c>
      <c r="AD85" s="116" t="n">
        <f aca="false">IF(AND($C$31&gt;0,AD$39&gt;10),MIN(AD83,MAX(01_Supuestos!$I$137*AD81,AC85*(1-1/MAX(1,$C$31)))),MIN(IF(AD$39&lt;=10,01_Supuestos!$I$136,01_Supuestos!$I$137)*AD81,AD83))</f>
        <v>36.1893416798835</v>
      </c>
      <c r="AE85" s="116" t="n">
        <f aca="false">IF(AND($C$31&gt;0,AE$39&gt;10),MIN(AE83,MAX(01_Supuestos!$I$137*AE81,AD85*(1-1/MAX(1,$C$31)))),MIN(IF(AE$39&lt;=10,01_Supuestos!$I$136,01_Supuestos!$I$137)*AE81,AE83))</f>
        <v>36.6012950560529</v>
      </c>
      <c r="AF85" s="116" t="n">
        <f aca="false">IF(AND($C$31&gt;0,AF$39&gt;10),MIN(AF83,MAX(01_Supuestos!$I$137*AF81,AE85*(1-1/MAX(1,$C$31)))),MIN(IF(AF$39&lt;=10,01_Supuestos!$I$136,01_Supuestos!$I$137)*AF81,AF83))</f>
        <v>37.0032983890038</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7.0163154305442</v>
      </c>
      <c r="M86" s="116" t="n">
        <f aca="false">01_Supuestos!$I$127*M83</f>
        <v>7.62828659232739</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10.1691580138266</v>
      </c>
      <c r="Y86" s="116" t="n">
        <f aca="false">01_Supuestos!$I$127*Y83</f>
        <v>10.3133607612358</v>
      </c>
      <c r="Z86" s="116" t="n">
        <f aca="false">01_Supuestos!$I$127*Z83</f>
        <v>10.4521342576388</v>
      </c>
      <c r="AA86" s="116" t="n">
        <f aca="false">01_Supuestos!$I$127*AA83</f>
        <v>10.5860032828428</v>
      </c>
      <c r="AB86" s="116" t="n">
        <f aca="false">01_Supuestos!$I$127*AB83</f>
        <v>10.7151022641929</v>
      </c>
      <c r="AC86" s="116" t="n">
        <f aca="false">01_Supuestos!$I$127*AC83</f>
        <v>10.8409826305275</v>
      </c>
      <c r="AD86" s="116" t="n">
        <f aca="false">01_Supuestos!$I$127*AD83</f>
        <v>10.9638826694696</v>
      </c>
      <c r="AE86" s="116" t="n">
        <f aca="false">01_Supuestos!$I$127*AE83</f>
        <v>11.0837959550396</v>
      </c>
      <c r="AF86" s="116" t="n">
        <f aca="false">01_Supuestos!$I$127*AF83</f>
        <v>11.2007162222431</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18.4021956819139</v>
      </c>
      <c r="G87" s="116" t="n">
        <f aca="false">G83-G85-G86</f>
        <v>30.4218956918925</v>
      </c>
      <c r="H87" s="116" t="n">
        <f aca="false">H83-H85-H86</f>
        <v>42.7511948104053</v>
      </c>
      <c r="I87" s="116" t="n">
        <f aca="false">I83-I85-I86</f>
        <v>55.3973232417441</v>
      </c>
      <c r="J87" s="116" t="n">
        <f aca="false">J83-J85-J86</f>
        <v>68.3676720136594</v>
      </c>
      <c r="K87" s="116" t="n">
        <f aca="false">K83-K85-K86</f>
        <v>81.6697969498624</v>
      </c>
      <c r="L87" s="116" t="n">
        <f aca="false">L83-L85-L86</f>
        <v>91.5227449509485</v>
      </c>
      <c r="M87" s="116" t="n">
        <f aca="false">M83-M85-M86</f>
        <v>111.507646670707</v>
      </c>
      <c r="N87" s="116" t="n">
        <f aca="false">N83-N85-N86</f>
        <v>126.203644259168</v>
      </c>
      <c r="O87" s="116" t="n">
        <f aca="false">O83-O85-O86</f>
        <v>128.969972967866</v>
      </c>
      <c r="P87" s="116" t="n">
        <f aca="false">P83-P85-P86</f>
        <v>132.021026773328</v>
      </c>
      <c r="Q87" s="116" t="n">
        <f aca="false">Q83-Q85-Q86</f>
        <v>135.154975416082</v>
      </c>
      <c r="R87" s="116" t="n">
        <f aca="false">R83-R85-R86</f>
        <v>138.382636171597</v>
      </c>
      <c r="S87" s="116" t="n">
        <f aca="false">S83-S85-S86</f>
        <v>141.705926750951</v>
      </c>
      <c r="T87" s="116" t="n">
        <f aca="false">T83-T85-T86</f>
        <v>145.125876508902</v>
      </c>
      <c r="U87" s="116" t="n">
        <f aca="false">U83-U85-U86</f>
        <v>148.64358686932</v>
      </c>
      <c r="V87" s="116" t="n">
        <f aca="false">V83-V85-V86</f>
        <v>152.260213686758</v>
      </c>
      <c r="W87" s="116" t="n">
        <f aca="false">W83-W85-W86</f>
        <v>155.987723053112</v>
      </c>
      <c r="X87" s="116" t="n">
        <f aca="false">X83-X85-X86</f>
        <v>159.746430518943</v>
      </c>
      <c r="Y87" s="116" t="n">
        <f aca="false">Y83-Y85-Y86</f>
        <v>161.993761776631</v>
      </c>
      <c r="Z87" s="116" t="n">
        <f aca="false">Z83-Z85-Z86</f>
        <v>164.15575784306</v>
      </c>
      <c r="AA87" s="116" t="n">
        <f aca="false">AA83-AA85-AA86</f>
        <v>166.240894758795</v>
      </c>
      <c r="AB87" s="116" t="n">
        <f aca="false">AB83-AB85-AB86</f>
        <v>168.251277760281</v>
      </c>
      <c r="AC87" s="116" t="n">
        <f aca="false">AC83-AC85-AC86</f>
        <v>170.211211746063</v>
      </c>
      <c r="AD87" s="116" t="n">
        <f aca="false">AD83-AD85-AD86</f>
        <v>172.124429040038</v>
      </c>
      <c r="AE87" s="116" t="n">
        <f aca="false">AE83-AE85-AE86</f>
        <v>173.9908280897</v>
      </c>
      <c r="AF87" s="116" t="n">
        <f aca="false">AF83-AF85-AF86</f>
        <v>175.810309833615</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0.394667742968111</v>
      </c>
      <c r="M88" s="116" t="n">
        <f aca="false">M86/01_Supuestos!$I$131*01_Supuestos!$I$129*01_Supuestos!$I$130*01_Supuestos!$I$128</f>
        <v>0.429091120818416</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0.572015138277747</v>
      </c>
      <c r="Y88" s="116" t="n">
        <f aca="false">Y86/01_Supuestos!$I$131*01_Supuestos!$I$129*01_Supuestos!$I$130*01_Supuestos!$I$128</f>
        <v>0.580126542819513</v>
      </c>
      <c r="Z88" s="116" t="n">
        <f aca="false">Z86/01_Supuestos!$I$131*01_Supuestos!$I$129*01_Supuestos!$I$130*01_Supuestos!$I$128</f>
        <v>0.587932551992183</v>
      </c>
      <c r="AA88" s="116" t="n">
        <f aca="false">AA86/01_Supuestos!$I$131*01_Supuestos!$I$129*01_Supuestos!$I$130*01_Supuestos!$I$128</f>
        <v>0.595462684659906</v>
      </c>
      <c r="AB88" s="116" t="n">
        <f aca="false">AB86/01_Supuestos!$I$131*01_Supuestos!$I$129*01_Supuestos!$I$130*01_Supuestos!$I$128</f>
        <v>0.602724502360849</v>
      </c>
      <c r="AC88" s="116" t="n">
        <f aca="false">AC86/01_Supuestos!$I$131*01_Supuestos!$I$129*01_Supuestos!$I$130*01_Supuestos!$I$128</f>
        <v>0.609805272967171</v>
      </c>
      <c r="AD88" s="116" t="n">
        <f aca="false">AD86/01_Supuestos!$I$131*01_Supuestos!$I$129*01_Supuestos!$I$130*01_Supuestos!$I$128</f>
        <v>0.616718400157663</v>
      </c>
      <c r="AE88" s="116" t="n">
        <f aca="false">AE86/01_Supuestos!$I$131*01_Supuestos!$I$129*01_Supuestos!$I$130*01_Supuestos!$I$128</f>
        <v>0.623463522470978</v>
      </c>
      <c r="AF88" s="116" t="n">
        <f aca="false">AF86/01_Supuestos!$I$131*01_Supuestos!$I$129*01_Supuestos!$I$130*01_Supuestos!$I$128</f>
        <v>0.630040287501175</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0.658446222259034</v>
      </c>
      <c r="E90" s="116" t="n">
        <f aca="false">E83-D83-E73+E185-E228</f>
        <v>0.439882188782537</v>
      </c>
      <c r="F90" s="116" t="n">
        <f aca="false">F83-E83-F73+F185-F228</f>
        <v>-1.15475731534958</v>
      </c>
      <c r="G90" s="116" t="n">
        <f aca="false">G83-F83-G73+G185-G228</f>
        <v>1.31828677165546</v>
      </c>
      <c r="H90" s="116" t="n">
        <f aca="false">H83-G83-H73+H185-H228</f>
        <v>0.913780689709263</v>
      </c>
      <c r="I90" s="116" t="n">
        <f aca="false">I83-H83-I73+I185-I228</f>
        <v>0.444287476442725</v>
      </c>
      <c r="J90" s="116" t="n">
        <f aca="false">J83-I83-J73+J185-J228</f>
        <v>0.455594868065461</v>
      </c>
      <c r="K90" s="116" t="n">
        <f aca="false">K83-J83-K73+K185-K228</f>
        <v>0.467164912159511</v>
      </c>
      <c r="L90" s="116" t="n">
        <f aca="false">L83-K83-L73+L185-L228</f>
        <v>0.0395168993735027</v>
      </c>
      <c r="M90" s="116" t="n">
        <f aca="false">M83-L83-M73+M185-M228</f>
        <v>1.38631195569791</v>
      </c>
      <c r="N90" s="116" t="n">
        <f aca="false">N83-M83-N73+N185-N228</f>
        <v>0.345818850139061</v>
      </c>
      <c r="O90" s="116" t="n">
        <f aca="false">O83-N83-O73+O185-O228</f>
        <v>-1.07359799148925</v>
      </c>
      <c r="P90" s="116" t="n">
        <f aca="false">P83-O83-P73+P185-P228</f>
        <v>-0.247771541532266</v>
      </c>
      <c r="Q90" s="116" t="n">
        <f aca="false">Q83-P83-Q73+Q185-Q228</f>
        <v>0.116922011838163</v>
      </c>
      <c r="R90" s="116" t="n">
        <f aca="false">R83-Q83-R73+R185-R228</f>
        <v>0.114591064099059</v>
      </c>
      <c r="S90" s="116" t="n">
        <f aca="false">S83-R83-S73+S185-S228</f>
        <v>0.118173672496326</v>
      </c>
      <c r="T90" s="116" t="n">
        <f aca="false">T83-S83-T73+T185-T228</f>
        <v>0.121439042826594</v>
      </c>
      <c r="U90" s="116" t="n">
        <f aca="false">U83-T83-U73+U185-U228</f>
        <v>0.12471843713724</v>
      </c>
      <c r="V90" s="116" t="n">
        <f aca="false">V83-U83-V73+V185-V228</f>
        <v>0.128041929842198</v>
      </c>
      <c r="W90" s="116" t="n">
        <f aca="false">W83-V83-W73+W185-W228</f>
        <v>0.132658404095444</v>
      </c>
      <c r="X90" s="116" t="n">
        <f aca="false">X83-W83-X73+X185-X228</f>
        <v>0.127364980211837</v>
      </c>
      <c r="Y90" s="116" t="n">
        <f aca="false">Y83-X83-Y73+Y185-Y228</f>
        <v>-0.0530386938215059</v>
      </c>
      <c r="Z90" s="116" t="n">
        <f aca="false">Z83-Y83-Z73+Z185-Z228</f>
        <v>0.0157481495620857</v>
      </c>
      <c r="AA90" s="116" t="n">
        <f aca="false">AA83-Z83-AA73+AA185-AA228</f>
        <v>0.0582159622245229</v>
      </c>
      <c r="AB90" s="116" t="n">
        <f aca="false">AB83-AA83-AB73+AB185-AB228</f>
        <v>0.0562424682315594</v>
      </c>
      <c r="AC90" s="116" t="n">
        <f aca="false">AC83-AB83-AC73+AC185-AC228</f>
        <v>0.0567144462158353</v>
      </c>
      <c r="AD90" s="116" t="n">
        <f aca="false">AD83-AC83-AD73+AD185-AD228</f>
        <v>0.05627313192484</v>
      </c>
      <c r="AE90" s="116" t="n">
        <f aca="false">AE83-AD83-AE73+AE185-AE228</f>
        <v>0.0548693448358932</v>
      </c>
      <c r="AF90" s="116" t="n">
        <f aca="false">AF83-AE83-AF73+AF185-AF228</f>
        <v>0.0533436341389546</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0.658446222259034</v>
      </c>
      <c r="E92" s="116" t="n">
        <f aca="false">IF(E90&gt;0,IF($C$20="BC",MIN(E90-E91,MAX(0,D276+E53-E75)),MIN(E90,MAX(0,D276+E53-E75))),0)</f>
        <v>0.439882188782537</v>
      </c>
      <c r="F92" s="116" t="n">
        <f aca="false">IF(F90&gt;0,IF($C$20="BC",MIN(F90-F91,MAX(0,E276+F53-F75)),MIN(F90,MAX(0,E276+F53-F75))),0)</f>
        <v>0</v>
      </c>
      <c r="G92" s="116" t="n">
        <f aca="false">IF(G90&gt;0,IF($C$20="BC",MIN(G90-G91,MAX(0,F276+G53-G75)),MIN(G90,MAX(0,F276+G53-G75))),0)</f>
        <v>1.31828677165546</v>
      </c>
      <c r="H92" s="116" t="n">
        <f aca="false">IF(H90&gt;0,IF($C$20="BC",MIN(H90-H91,MAX(0,G276+H53-H75)),MIN(H90,MAX(0,G276+H53-H75))),0)</f>
        <v>0.913780689709263</v>
      </c>
      <c r="I92" s="116" t="n">
        <f aca="false">IF(I90&gt;0,IF($C$20="BC",MIN(I90-I91,MAX(0,H276+I53-I75)),MIN(I90,MAX(0,H276+I53-I75))),0)</f>
        <v>0.444287476442725</v>
      </c>
      <c r="J92" s="116" t="n">
        <f aca="false">IF(J90&gt;0,IF($C$20="BC",MIN(J90-J91,MAX(0,I276+J53-J75)),MIN(J90,MAX(0,I276+J53-J75))),0)</f>
        <v>0.455594868065461</v>
      </c>
      <c r="K92" s="116" t="n">
        <f aca="false">IF(K90&gt;0,IF($C$20="BC",MIN(K90-K91,MAX(0,J276+K53-K75)),MIN(K90,MAX(0,J276+K53-K75))),0)</f>
        <v>0.467164912159511</v>
      </c>
      <c r="L92" s="116" t="n">
        <f aca="false">IF(L90&gt;0,IF($C$20="BC",MIN(L90-L91,MAX(0,K276+L53-L75)),MIN(L90,MAX(0,K276+L53-L75))),0)</f>
        <v>0.0395168993735027</v>
      </c>
      <c r="M92" s="116" t="n">
        <f aca="false">IF(M90&gt;0,IF($C$20="BC",MIN(M90-M91,MAX(0,L276+M53-M75)),MIN(M90,MAX(0,L276+M53-M75))),0)</f>
        <v>1.38631195569791</v>
      </c>
      <c r="N92" s="116" t="n">
        <f aca="false">IF(N90&gt;0,IF($C$20="BC",MIN(N90-N91,MAX(0,M276+N53-N75)),MIN(N90,MAX(0,M276+N53-N75))),0)</f>
        <v>0.345818850139061</v>
      </c>
      <c r="O92" s="116" t="n">
        <f aca="false">IF(O90&gt;0,IF($C$20="BC",MIN(O90-O91,MAX(0,N276+O53-O75)),MIN(O90,MAX(0,N276+O53-O75))),0)</f>
        <v>0</v>
      </c>
      <c r="P92" s="116" t="n">
        <f aca="false">IF(P90&gt;0,IF($C$20="BC",MIN(P90-P91,MAX(0,O276+P53-P75)),MIN(P90,MAX(0,O276+P53-P75))),0)</f>
        <v>0</v>
      </c>
      <c r="Q92" s="116" t="n">
        <f aca="false">IF(Q90&gt;0,IF($C$20="BC",MIN(Q90-Q91,MAX(0,P276+Q53-Q75)),MIN(Q90,MAX(0,P276+Q53-Q75))),0)</f>
        <v>0.116922011838163</v>
      </c>
      <c r="R92" s="116" t="n">
        <f aca="false">IF(R90&gt;0,IF($C$20="BC",MIN(R90-R91,MAX(0,Q276+R53-R75)),MIN(R90,MAX(0,Q276+R53-R75))),0)</f>
        <v>0.114591064099059</v>
      </c>
      <c r="S92" s="116" t="n">
        <f aca="false">IF(S90&gt;0,IF($C$20="BC",MIN(S90-S91,MAX(0,R276+S53-S75)),MIN(S90,MAX(0,R276+S53-S75))),0)</f>
        <v>0.118173672496326</v>
      </c>
      <c r="T92" s="116" t="n">
        <f aca="false">IF(T90&gt;0,IF($C$20="BC",MIN(T90-T91,MAX(0,S276+T53-T75)),MIN(T90,MAX(0,S276+T53-T75))),0)</f>
        <v>0.121439042826594</v>
      </c>
      <c r="U92" s="116" t="n">
        <f aca="false">IF(U90&gt;0,IF($C$20="BC",MIN(U90-U91,MAX(0,T276+U53-U75)),MIN(U90,MAX(0,T276+U53-U75))),0)</f>
        <v>0.12471843713724</v>
      </c>
      <c r="V92" s="116" t="n">
        <f aca="false">IF(V90&gt;0,IF($C$20="BC",MIN(V90-V91,MAX(0,U276+V53-V75)),MIN(V90,MAX(0,U276+V53-V75))),0)</f>
        <v>0.128041929842198</v>
      </c>
      <c r="W92" s="116" t="n">
        <f aca="false">IF(W90&gt;0,IF($C$20="BC",MIN(W90-W91,MAX(0,V276+W53-W75)),MIN(W90,MAX(0,V276+W53-W75))),0)</f>
        <v>0.132658404095444</v>
      </c>
      <c r="X92" s="116" t="n">
        <f aca="false">IF(X90&gt;0,IF($C$20="BC",MIN(X90-X91,MAX(0,W276+X53-X75)),MIN(X90,MAX(0,W276+X53-X75))),0)</f>
        <v>0.127364980211837</v>
      </c>
      <c r="Y92" s="116" t="n">
        <f aca="false">IF(Y90&gt;0,IF($C$20="BC",MIN(Y90-Y91,MAX(0,X276+Y53-Y75)),MIN(Y90,MAX(0,X276+Y53-Y75))),0)</f>
        <v>0</v>
      </c>
      <c r="Z92" s="116" t="n">
        <f aca="false">IF(Z90&gt;0,IF($C$20="BC",MIN(Z90-Z91,MAX(0,Y276+Z53-Z75)),MIN(Z90,MAX(0,Y276+Z53-Z75))),0)</f>
        <v>0.0157481495620857</v>
      </c>
      <c r="AA92" s="116" t="n">
        <f aca="false">IF(AA90&gt;0,IF($C$20="BC",MIN(AA90-AA91,MAX(0,Z276+AA53-AA75)),MIN(AA90,MAX(0,Z276+AA53-AA75))),0)</f>
        <v>0.0582159622245229</v>
      </c>
      <c r="AB92" s="116" t="n">
        <f aca="false">IF(AB90&gt;0,IF($C$20="BC",MIN(AB90-AB91,MAX(0,AA276+AB53-AB75)),MIN(AB90,MAX(0,AA276+AB53-AB75))),0)</f>
        <v>0.0562424682315594</v>
      </c>
      <c r="AC92" s="116" t="n">
        <f aca="false">IF(AC90&gt;0,IF($C$20="BC",MIN(AC90-AC91,MAX(0,AB276+AC53-AC75)),MIN(AC90,MAX(0,AB276+AC53-AC75))),0)</f>
        <v>0.0567144462158353</v>
      </c>
      <c r="AD92" s="116" t="n">
        <f aca="false">IF(AD90&gt;0,IF($C$20="BC",MIN(AD90-AD91,MAX(0,AC276+AD53-AD75)),MIN(AD90,MAX(0,AC276+AD53-AD75))),0)</f>
        <v>0.05627313192484</v>
      </c>
      <c r="AE92" s="116" t="n">
        <f aca="false">IF(AE90&gt;0,IF($C$20="BC",MIN(AE90-AE91,MAX(0,AD276+AE53-AE75)),MIN(AE90,MAX(0,AD276+AE53-AE75))),0)</f>
        <v>0.0548693448358932</v>
      </c>
      <c r="AF92" s="116" t="n">
        <f aca="false">IF(AF90&gt;0,IF($C$20="BC",MIN(AF90-AF91,MAX(0,AE276+AF53-AF75)),MIN(AF90,MAX(0,AE276+AF53-AF75))),0)</f>
        <v>0.0533436341389546</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1.15475731534958</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1.07359799148925</v>
      </c>
      <c r="P94" s="116" t="n">
        <f aca="false">IF(P90&lt;0,-P90-P93,0)</f>
        <v>0.247771541532266</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0.0530386938215059</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6.81841399594502</v>
      </c>
      <c r="G100" s="116" t="n">
        <f aca="false">$C$21*$C$22*G81</f>
        <v>7.13222720341538</v>
      </c>
      <c r="H100" s="116" t="n">
        <f aca="false">$C$21*$C$22*H81</f>
        <v>7.44635269626074</v>
      </c>
      <c r="I100" s="116" t="n">
        <f aca="false">$C$21*$C$22*I81</f>
        <v>7.76077486021236</v>
      </c>
      <c r="J100" s="116" t="n">
        <f aca="false">$C$21*$C$22*J81</f>
        <v>8.07547886171491</v>
      </c>
      <c r="K100" s="116" t="n">
        <f aca="false">$C$21*$C$22*K81</f>
        <v>8.39045060889085</v>
      </c>
      <c r="L100" s="116" t="n">
        <f aca="false">$C$21*$C$22*L81</f>
        <v>8.70567671445651</v>
      </c>
      <c r="M100" s="116" t="n">
        <f aca="false">$C$21*$C$22*M81</f>
        <v>8.98272141161009</v>
      </c>
      <c r="N100" s="116" t="n">
        <f aca="false">$C$21*$C$22*N81</f>
        <v>9.25875861515346</v>
      </c>
      <c r="O100" s="116" t="n">
        <f aca="false">$C$21*$C$22*O81</f>
        <v>9.5171617663898</v>
      </c>
      <c r="P100" s="116" t="n">
        <f aca="false">$C$21*$C$22*P81</f>
        <v>9.70780834461642</v>
      </c>
      <c r="Q100" s="116" t="n">
        <f aca="false">$C$21*$C$22*Q81</f>
        <v>9.89859959421989</v>
      </c>
      <c r="R100" s="116" t="n">
        <f aca="false">$C$21*$C$22*R81</f>
        <v>10.0865686112387</v>
      </c>
      <c r="S100" s="116" t="n">
        <f aca="false">$C$21*$C$22*S81</f>
        <v>10.2717297068281</v>
      </c>
      <c r="T100" s="116" t="n">
        <f aca="false">$C$21*$C$22*T81</f>
        <v>10.4544083425255</v>
      </c>
      <c r="U100" s="116" t="n">
        <f aca="false">$C$21*$C$22*U81</f>
        <v>10.6349213341656</v>
      </c>
      <c r="V100" s="116" t="n">
        <f aca="false">$C$21*$C$22*V81</f>
        <v>10.8135830850369</v>
      </c>
      <c r="W100" s="116" t="n">
        <f aca="false">$C$21*$C$22*W81</f>
        <v>10.9871206788066</v>
      </c>
      <c r="X100" s="116" t="n">
        <f aca="false">$C$21*$C$22*X81</f>
        <v>11.1558572479209</v>
      </c>
      <c r="Y100" s="116" t="n">
        <f aca="false">$C$21*$C$22*Y81</f>
        <v>11.3200308956165</v>
      </c>
      <c r="Z100" s="116" t="n">
        <f aca="false">$C$21*$C$22*Z81</f>
        <v>11.4782643506924</v>
      </c>
      <c r="AA100" s="116" t="n">
        <f aca="false">$C$21*$C$22*AA81</f>
        <v>11.6310558717391</v>
      </c>
      <c r="AB100" s="116" t="n">
        <f aca="false">$C$21*$C$22*AB81</f>
        <v>11.7785550864614</v>
      </c>
      <c r="AC100" s="116" t="n">
        <f aca="false">$C$21*$C$22*AC81</f>
        <v>11.9224860779865</v>
      </c>
      <c r="AD100" s="116" t="n">
        <f aca="false">$C$21*$C$22*AD81</f>
        <v>12.0631138932945</v>
      </c>
      <c r="AE100" s="116" t="n">
        <f aca="false">$C$21*$C$22*AE81</f>
        <v>12.200431685351</v>
      </c>
      <c r="AF100" s="116" t="n">
        <f aca="false">$C$21*$C$22*AF81</f>
        <v>12.3344327963346</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0.00681841399594502</v>
      </c>
      <c r="H102" s="116" t="n">
        <f aca="false">G104*$C$24</f>
        <v>0.00713222720341538</v>
      </c>
      <c r="I102" s="116" t="n">
        <f aca="false">H104*$C$24</f>
        <v>0.00744635269626074</v>
      </c>
      <c r="J102" s="116" t="n">
        <f aca="false">I104*$C$24</f>
        <v>0.00776077486021236</v>
      </c>
      <c r="K102" s="116" t="n">
        <f aca="false">J104*$C$24</f>
        <v>0.00807547886171491</v>
      </c>
      <c r="L102" s="116" t="n">
        <f aca="false">K104*$C$24</f>
        <v>0.00839045060889085</v>
      </c>
      <c r="M102" s="116" t="n">
        <f aca="false">L104*$C$24</f>
        <v>0.00870567671445651</v>
      </c>
      <c r="N102" s="116" t="n">
        <f aca="false">M104*$C$24</f>
        <v>0.00898272141161009</v>
      </c>
      <c r="O102" s="116" t="n">
        <f aca="false">N104*$C$24</f>
        <v>0.00925875861515346</v>
      </c>
      <c r="P102" s="116" t="n">
        <f aca="false">O104*$C$24</f>
        <v>0.0095171617663898</v>
      </c>
      <c r="Q102" s="116" t="n">
        <f aca="false">P104*$C$24</f>
        <v>0.00970780834461642</v>
      </c>
      <c r="R102" s="116" t="n">
        <f aca="false">Q104*$C$24</f>
        <v>0.00989859959421989</v>
      </c>
      <c r="S102" s="116" t="n">
        <f aca="false">R104*$C$24</f>
        <v>0.0100865686112387</v>
      </c>
      <c r="T102" s="116" t="n">
        <f aca="false">S104*$C$24</f>
        <v>0.0102717297068281</v>
      </c>
      <c r="U102" s="116" t="n">
        <f aca="false">T104*$C$24</f>
        <v>0.0104544083425255</v>
      </c>
      <c r="V102" s="116" t="n">
        <f aca="false">U104*$C$24</f>
        <v>0.0106349213341656</v>
      </c>
      <c r="W102" s="116" t="n">
        <f aca="false">V104*$C$24</f>
        <v>0.0108135830850369</v>
      </c>
      <c r="X102" s="116" t="n">
        <f aca="false">W104*$C$24</f>
        <v>0.0109871206788066</v>
      </c>
      <c r="Y102" s="116" t="n">
        <f aca="false">X104*$C$24</f>
        <v>0.0111558572479209</v>
      </c>
      <c r="Z102" s="116" t="n">
        <f aca="false">Y104*$C$24</f>
        <v>0.0113200308956165</v>
      </c>
      <c r="AA102" s="116" t="n">
        <f aca="false">Z104*$C$24</f>
        <v>0.0114782643506924</v>
      </c>
      <c r="AB102" s="116" t="n">
        <f aca="false">AA104*$C$24</f>
        <v>0.0116310558717391</v>
      </c>
      <c r="AC102" s="116" t="n">
        <f aca="false">AB104*$C$24</f>
        <v>0.0117785550864614</v>
      </c>
      <c r="AD102" s="116" t="n">
        <f aca="false">AC104*$C$24</f>
        <v>0.0119224860779865</v>
      </c>
      <c r="AE102" s="116" t="n">
        <f aca="false">AD104*$C$24</f>
        <v>0.0120631138932945</v>
      </c>
      <c r="AF102" s="116" t="n">
        <f aca="false">AE104*$C$24</f>
        <v>0.012200431685351</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3.54064310075416</v>
      </c>
      <c r="G103" s="116" t="n">
        <f aca="false">MIN(MAX(0,G100-F104-G101),MAX(0,F276))</f>
        <v>0.313813207470362</v>
      </c>
      <c r="H103" s="116" t="n">
        <f aca="false">MIN(MAX(0,H100-G104-H101),MAX(0,G276))</f>
        <v>0.314125492845364</v>
      </c>
      <c r="I103" s="116" t="n">
        <f aca="false">MIN(MAX(0,I100-H104-I101),MAX(0,H276))</f>
        <v>0.314422163951614</v>
      </c>
      <c r="J103" s="116" t="n">
        <f aca="false">MIN(MAX(0,J100-I104-J101),MAX(0,I276))</f>
        <v>0.314704001502549</v>
      </c>
      <c r="K103" s="116" t="n">
        <f aca="false">MIN(MAX(0,K100-J104-K101),MAX(0,J276))</f>
        <v>0.314971747175941</v>
      </c>
      <c r="L103" s="116" t="n">
        <f aca="false">MIN(MAX(0,L100-K104-L101),MAX(0,K276))</f>
        <v>0.315226105565662</v>
      </c>
      <c r="M103" s="116" t="n">
        <f aca="false">MIN(MAX(0,M100-L104-M101),MAX(0,L276))</f>
        <v>0.277044697153578</v>
      </c>
      <c r="N103" s="116" t="n">
        <f aca="false">MIN(MAX(0,N100-M104-N101),MAX(0,M276))</f>
        <v>0.276037203543375</v>
      </c>
      <c r="O103" s="116" t="n">
        <f aca="false">MIN(MAX(0,O100-N104-O101),MAX(0,N276))</f>
        <v>0.258403151236337</v>
      </c>
      <c r="P103" s="116" t="n">
        <f aca="false">MIN(MAX(0,P100-O104-P101),MAX(0,O276))</f>
        <v>0.190646578226627</v>
      </c>
      <c r="Q103" s="116" t="n">
        <f aca="false">MIN(MAX(0,Q100-P104-Q101),MAX(0,P276))</f>
        <v>0.190791249603469</v>
      </c>
      <c r="R103" s="116" t="n">
        <f aca="false">MIN(MAX(0,R100-Q104-R101),MAX(0,Q276))</f>
        <v>0.187969017018798</v>
      </c>
      <c r="S103" s="116" t="n">
        <f aca="false">MIN(MAX(0,S100-R104-S101),MAX(0,R276))</f>
        <v>0.185161095589427</v>
      </c>
      <c r="T103" s="116" t="n">
        <f aca="false">MIN(MAX(0,T100-S104-T101),MAX(0,S276))</f>
        <v>0.182678635697332</v>
      </c>
      <c r="U103" s="116" t="n">
        <f aca="false">MIN(MAX(0,U100-T104-U101),MAX(0,T276))</f>
        <v>0.180512991640125</v>
      </c>
      <c r="V103" s="116" t="n">
        <f aca="false">MIN(MAX(0,V100-U104-V101),MAX(0,U276))</f>
        <v>0.178661750871367</v>
      </c>
      <c r="W103" s="116" t="n">
        <f aca="false">MIN(MAX(0,W100-V104-W101),MAX(0,V276))</f>
        <v>0.173537593769685</v>
      </c>
      <c r="X103" s="116" t="n">
        <f aca="false">MIN(MAX(0,X100-W104-X101),MAX(0,W276))</f>
        <v>0.168736569114266</v>
      </c>
      <c r="Y103" s="116" t="n">
        <f aca="false">MIN(MAX(0,Y100-X104-Y101),MAX(0,X276))</f>
        <v>0.164173647695559</v>
      </c>
      <c r="Z103" s="116" t="n">
        <f aca="false">MIN(MAX(0,Z100-Y104-Z101),MAX(0,Y276))</f>
        <v>0.158233455075933</v>
      </c>
      <c r="AA103" s="116" t="n">
        <f aca="false">MIN(MAX(0,AA100-Z104-AA101),MAX(0,Z276))</f>
        <v>0.152791521046671</v>
      </c>
      <c r="AB103" s="116" t="n">
        <f aca="false">MIN(MAX(0,AB100-AA104-AB101),MAX(0,AA276))</f>
        <v>0.1474992147223</v>
      </c>
      <c r="AC103" s="116" t="n">
        <f aca="false">MIN(MAX(0,AC100-AB104-AC101),MAX(0,AB276))</f>
        <v>0.143930991525131</v>
      </c>
      <c r="AD103" s="116" t="n">
        <f aca="false">MIN(MAX(0,AD100-AC104-AD101),MAX(0,AC276))</f>
        <v>0.140627815307996</v>
      </c>
      <c r="AE103" s="116" t="n">
        <f aca="false">MIN(MAX(0,AE100-AD104-AE101),MAX(0,AD276))</f>
        <v>0.137317792056468</v>
      </c>
      <c r="AF103" s="116" t="n">
        <f aca="false">MIN(MAX(0,AF100-AE104-AF101),MAX(0,AE276))</f>
        <v>0.13400111098364</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6.81841399594502</v>
      </c>
      <c r="G104" s="136" t="n">
        <f aca="false">F104+G101+G103</f>
        <v>7.13222720341538</v>
      </c>
      <c r="H104" s="136" t="n">
        <f aca="false">G104+H101+H103</f>
        <v>7.44635269626074</v>
      </c>
      <c r="I104" s="136" t="n">
        <f aca="false">H104+I101+I103</f>
        <v>7.76077486021236</v>
      </c>
      <c r="J104" s="136" t="n">
        <f aca="false">I104+J101+J103</f>
        <v>8.07547886171491</v>
      </c>
      <c r="K104" s="136" t="n">
        <f aca="false">J104+K101+K103</f>
        <v>8.39045060889085</v>
      </c>
      <c r="L104" s="136" t="n">
        <f aca="false">K104+L101+L103</f>
        <v>8.70567671445651</v>
      </c>
      <c r="M104" s="136" t="n">
        <f aca="false">L104+M101+M103</f>
        <v>8.98272141161009</v>
      </c>
      <c r="N104" s="136" t="n">
        <f aca="false">M104+N101+N103</f>
        <v>9.25875861515346</v>
      </c>
      <c r="O104" s="136" t="n">
        <f aca="false">N104+O101+O103</f>
        <v>9.5171617663898</v>
      </c>
      <c r="P104" s="136" t="n">
        <f aca="false">O104+P101+P103</f>
        <v>9.70780834461642</v>
      </c>
      <c r="Q104" s="136" t="n">
        <f aca="false">P104+Q101+Q103</f>
        <v>9.89859959421989</v>
      </c>
      <c r="R104" s="136" t="n">
        <f aca="false">Q104+R101+R103</f>
        <v>10.0865686112387</v>
      </c>
      <c r="S104" s="136" t="n">
        <f aca="false">R104+S101+S103</f>
        <v>10.2717297068281</v>
      </c>
      <c r="T104" s="136" t="n">
        <f aca="false">S104+T101+T103</f>
        <v>10.4544083425255</v>
      </c>
      <c r="U104" s="136" t="n">
        <f aca="false">T104+U101+U103</f>
        <v>10.6349213341656</v>
      </c>
      <c r="V104" s="136" t="n">
        <f aca="false">U104+V101+V103</f>
        <v>10.8135830850369</v>
      </c>
      <c r="W104" s="136" t="n">
        <f aca="false">V104+W101+W103</f>
        <v>10.9871206788066</v>
      </c>
      <c r="X104" s="136" t="n">
        <f aca="false">W104+X101+X103</f>
        <v>11.1558572479209</v>
      </c>
      <c r="Y104" s="136" t="n">
        <f aca="false">X104+Y101+Y103</f>
        <v>11.3200308956165</v>
      </c>
      <c r="Z104" s="136" t="n">
        <f aca="false">Y104+Z101+Z103</f>
        <v>11.4782643506924</v>
      </c>
      <c r="AA104" s="136" t="n">
        <f aca="false">Z104+AA101+AA103</f>
        <v>11.6310558717391</v>
      </c>
      <c r="AB104" s="136" t="n">
        <f aca="false">AA104+AB101+AB103</f>
        <v>11.7785550864614</v>
      </c>
      <c r="AC104" s="136" t="n">
        <f aca="false">AB104+AC101+AC103</f>
        <v>11.9224860779865</v>
      </c>
      <c r="AD104" s="136" t="n">
        <f aca="false">AC104+AD101+AD103</f>
        <v>12.0631138932945</v>
      </c>
      <c r="AE104" s="136" t="n">
        <f aca="false">AD104+AE101+AE103</f>
        <v>12.200431685351</v>
      </c>
      <c r="AF104" s="136" t="n">
        <f aca="false">AE104+AF101+AF103</f>
        <v>12.3344327963346</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53.0956193936339</v>
      </c>
      <c r="G105" s="139" t="n">
        <f aca="false">G104/($C$36*(1+$C$23)^(G$39-1))</f>
        <v>55.5393118174808</v>
      </c>
      <c r="H105" s="139" t="n">
        <f aca="false">H104/($C$36*(1+$C$23)^(H$39-1))</f>
        <v>57.9854360363789</v>
      </c>
      <c r="I105" s="139" t="n">
        <f aca="false">I104/($C$36*(1+$C$23)^(I$39-1))</f>
        <v>60.4338704605758</v>
      </c>
      <c r="J105" s="139" t="n">
        <f aca="false">J104/($C$36*(1+$C$23)^(J$39-1))</f>
        <v>62.8844995798065</v>
      </c>
      <c r="K105" s="139" t="n">
        <f aca="false">K104/($C$36*(1+$C$23)^(K$39-1))</f>
        <v>65.3372136593193</v>
      </c>
      <c r="L105" s="139" t="n">
        <f aca="false">L104/($C$36*(1+$C$23)^(L$39-1))</f>
        <v>67.7919084511001</v>
      </c>
      <c r="M105" s="139" t="n">
        <f aca="false">M104/($C$36*(1+$C$23)^(M$39-1))</f>
        <v>69.9492810899336</v>
      </c>
      <c r="N105" s="139" t="n">
        <f aca="false">N104/($C$36*(1+$C$23)^(N$39-1))</f>
        <v>72.0988082829932</v>
      </c>
      <c r="O105" s="139" t="n">
        <f aca="false">O104/($C$36*(1+$C$23)^(O$39-1))</f>
        <v>74.1110174824228</v>
      </c>
      <c r="P105" s="139" t="n">
        <f aca="false">P104/($C$36*(1+$C$23)^(P$39-1))</f>
        <v>75.5955999912349</v>
      </c>
      <c r="Q105" s="139" t="n">
        <f aca="false">Q104/($C$36*(1+$C$23)^(Q$39-1))</f>
        <v>77.0813090694174</v>
      </c>
      <c r="R105" s="139" t="n">
        <f aca="false">R104/($C$36*(1+$C$23)^(R$39-1))</f>
        <v>78.5450411618601</v>
      </c>
      <c r="S105" s="139" t="n">
        <f aca="false">S104/($C$36*(1+$C$23)^(S$39-1))</f>
        <v>79.986907710851</v>
      </c>
      <c r="T105" s="139" t="n">
        <f aca="false">T104/($C$36*(1+$C$23)^(T$39-1))</f>
        <v>81.4094431154337</v>
      </c>
      <c r="U105" s="139" t="n">
        <f aca="false">U104/($C$36*(1+$C$23)^(U$39-1))</f>
        <v>82.815114449769</v>
      </c>
      <c r="V105" s="139" t="n">
        <f aca="false">V104/($C$36*(1+$C$23)^(V$39-1))</f>
        <v>84.2063700012957</v>
      </c>
      <c r="W105" s="139" t="n">
        <f aca="false">W104/($C$36*(1+$C$23)^(W$39-1))</f>
        <v>85.5577232683109</v>
      </c>
      <c r="X105" s="139" t="n">
        <f aca="false">X104/($C$36*(1+$C$23)^(X$39-1))</f>
        <v>86.8716905130113</v>
      </c>
      <c r="Y105" s="139" t="n">
        <f aca="false">Y104/($C$36*(1+$C$23)^(Y$39-1))</f>
        <v>88.1501258672876</v>
      </c>
      <c r="Z105" s="139" t="n">
        <f aca="false">Z104/($C$36*(1+$C$23)^(Z$39-1))</f>
        <v>89.3823043931219</v>
      </c>
      <c r="AA105" s="139" t="n">
        <f aca="false">AA104/($C$36*(1+$C$23)^(AA$39-1))</f>
        <v>90.5721060761662</v>
      </c>
      <c r="AB105" s="139" t="n">
        <f aca="false">AB104/($C$36*(1+$C$23)^(AB$39-1))</f>
        <v>91.7206960811751</v>
      </c>
      <c r="AC105" s="139" t="n">
        <f aca="false">AC104/($C$36*(1+$C$23)^(AC$39-1))</f>
        <v>92.8415000026606</v>
      </c>
      <c r="AD105" s="139" t="n">
        <f aca="false">AD104/($C$36*(1+$C$23)^(AD$39-1))</f>
        <v>93.9365817859304</v>
      </c>
      <c r="AE105" s="139" t="n">
        <f aca="false">AE104/($C$36*(1+$C$23)^(AE$39-1))</f>
        <v>95.0058881124956</v>
      </c>
      <c r="AF105" s="139" t="n">
        <f aca="false">AF104/($C$36*(1+$C$23)^(AF$39-1))</f>
        <v>96.0493671372868</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0.511155618932986</v>
      </c>
      <c r="D107" s="116" t="n">
        <f aca="false">D87*(1-$C$340)*$C$175+D85*01_Supuestos!$I$126+D55*D88</f>
        <v>1.04097916554757</v>
      </c>
      <c r="E107" s="116" t="n">
        <f aca="false">E87*(1-$C$340)*$C$175+E85*01_Supuestos!$I$126+E55*E88</f>
        <v>1.58456102533868</v>
      </c>
      <c r="F107" s="116" t="n">
        <f aca="false">F87*(1-$C$340)*$C$175+F85*01_Supuestos!$I$126+F55*F88</f>
        <v>2.10765430101111</v>
      </c>
      <c r="G107" s="116" t="n">
        <f aca="false">G87*(1-$C$340)*$C$175+G85*01_Supuestos!$I$126+G55*G88</f>
        <v>2.68358947517325</v>
      </c>
      <c r="H107" s="116" t="n">
        <f aca="false">H87*(1-$C$340)*$C$175+H85*01_Supuestos!$I$126+H55*H88</f>
        <v>3.27285634358247</v>
      </c>
      <c r="I107" s="116" t="n">
        <f aca="false">I87*(1-$C$340)*$C$175+I85*01_Supuestos!$I$126+I55*I88</f>
        <v>3.87576181642816</v>
      </c>
      <c r="J107" s="116" t="n">
        <f aca="false">J87*(1-$C$340)*$C$175+J85*01_Supuestos!$I$126+J55*J88</f>
        <v>4.49261984877301</v>
      </c>
      <c r="K107" s="116" t="n">
        <f aca="false">K87*(1-$C$340)*$C$175+K85*01_Supuestos!$I$126+K55*K88</f>
        <v>5.12375160328811</v>
      </c>
      <c r="L107" s="116" t="n">
        <f aca="false">L87*(1-$C$340)*$C$175+L85*01_Supuestos!$I$126+L55*L88</f>
        <v>5.60707995603434</v>
      </c>
      <c r="M107" s="116" t="n">
        <f aca="false">M87*(1-$C$340)*$C$175+M85*01_Supuestos!$I$126+M55*M88</f>
        <v>6.12698157419438</v>
      </c>
      <c r="N107" s="116" t="n">
        <f aca="false">N87*(1-$C$340)*$C$175+N85*01_Supuestos!$I$126+N55*N88</f>
        <v>6.5291263304885</v>
      </c>
      <c r="O107" s="116" t="n">
        <f aca="false">O87*(1-$C$340)*$C$175+O85*01_Supuestos!$I$126+O55*O88</f>
        <v>6.67894580345892</v>
      </c>
      <c r="P107" s="116" t="n">
        <f aca="false">P87*(1-$C$340)*$C$175+P85*01_Supuestos!$I$126+P55*P88</f>
        <v>6.83277935011639</v>
      </c>
      <c r="Q107" s="116" t="n">
        <f aca="false">Q87*(1-$C$340)*$C$175+Q85*01_Supuestos!$I$126+Q55*Q88</f>
        <v>6.99018376028837</v>
      </c>
      <c r="R107" s="116" t="n">
        <f aca="false">R87*(1-$C$340)*$C$175+R85*01_Supuestos!$I$126+R55*R88</f>
        <v>7.15126406431983</v>
      </c>
      <c r="S107" s="116" t="n">
        <f aca="false">S87*(1-$C$340)*$C$175+S85*01_Supuestos!$I$126+S55*S88</f>
        <v>7.31610419696402</v>
      </c>
      <c r="T107" s="116" t="n">
        <f aca="false">T87*(1-$C$340)*$C$175+T85*01_Supuestos!$I$126+T55*T88</f>
        <v>7.48478762704188</v>
      </c>
      <c r="U107" s="116" t="n">
        <f aca="false">U87*(1-$C$340)*$C$175+U85*01_Supuestos!$I$126+U55*U88</f>
        <v>7.65739986752967</v>
      </c>
      <c r="V107" s="116" t="n">
        <f aca="false">V87*(1-$C$340)*$C$175+V85*01_Supuestos!$I$126+V55*V88</f>
        <v>7.83402847298383</v>
      </c>
      <c r="W107" s="116" t="n">
        <f aca="false">W87*(1-$C$340)*$C$175+W85*01_Supuestos!$I$126+W55*W88</f>
        <v>8.01479072570296</v>
      </c>
      <c r="X107" s="116" t="n">
        <f aca="false">X87*(1-$C$340)*$C$175+X85*01_Supuestos!$I$126+X55*X88</f>
        <v>8.19630993076969</v>
      </c>
      <c r="Y107" s="116" t="n">
        <f aca="false">Y87*(1-$C$340)*$C$175+Y85*01_Supuestos!$I$126+Y55*Y88</f>
        <v>8.31249080058709</v>
      </c>
      <c r="Z107" s="116" t="n">
        <f aca="false">Z87*(1-$C$340)*$C$175+Z85*01_Supuestos!$I$126+Z55*Z88</f>
        <v>8.42429558866137</v>
      </c>
      <c r="AA107" s="116" t="n">
        <f aca="false">AA87*(1-$C$340)*$C$175+AA85*01_Supuestos!$I$126+AA55*AA88</f>
        <v>8.5321478629566</v>
      </c>
      <c r="AB107" s="116" t="n">
        <f aca="false">AB87*(1-$C$340)*$C$175+AB85*01_Supuestos!$I$126+AB55*AB88</f>
        <v>8.63615595486659</v>
      </c>
      <c r="AC107" s="116" t="n">
        <f aca="false">AC87*(1-$C$340)*$C$175+AC85*01_Supuestos!$I$126+AC55*AC88</f>
        <v>8.73757014068499</v>
      </c>
      <c r="AD107" s="116" t="n">
        <f aca="false">AD87*(1-$C$340)*$C$175+AD85*01_Supuestos!$I$126+AD55*AD88</f>
        <v>8.83658245144552</v>
      </c>
      <c r="AE107" s="116" t="n">
        <f aca="false">AE87*(1-$C$340)*$C$175+AE85*01_Supuestos!$I$126+AE55*AE88</f>
        <v>8.93318770626772</v>
      </c>
      <c r="AF107" s="116" t="n">
        <f aca="false">AF87*(1-$C$340)*$C$175+AF85*01_Supuestos!$I$126+AF55*AF88</f>
        <v>9.02738085392727</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0.0341423727877068</v>
      </c>
      <c r="E108" s="116" t="n">
        <f aca="false">E330-E332</f>
        <v>0.0865500843129078</v>
      </c>
      <c r="F108" s="116" t="n">
        <f aca="false">F330-F332</f>
        <v>0.144139988545045</v>
      </c>
      <c r="G108" s="116" t="n">
        <f aca="false">G330-G332</f>
        <v>0.11961427193244</v>
      </c>
      <c r="H108" s="116" t="n">
        <f aca="false">H330-H332</f>
        <v>0.197742321997301</v>
      </c>
      <c r="I108" s="116" t="n">
        <f aca="false">I330-I332</f>
        <v>0.277882766267635</v>
      </c>
      <c r="J108" s="116" t="n">
        <f aca="false">J330-J332</f>
        <v>0.360082601071337</v>
      </c>
      <c r="K108" s="116" t="n">
        <f aca="false">K330-K332</f>
        <v>0.444389868088786</v>
      </c>
      <c r="L108" s="116" t="n">
        <f aca="false">L330-L332</f>
        <v>0.530853680174106</v>
      </c>
      <c r="M108" s="116" t="n">
        <f aca="false">M330-M332</f>
        <v>0.594897842181165</v>
      </c>
      <c r="N108" s="116" t="n">
        <f aca="false">N330-N332</f>
        <v>0.724799703359598</v>
      </c>
      <c r="O108" s="116" t="n">
        <f aca="false">O330-O332</f>
        <v>0.820323687684593</v>
      </c>
      <c r="P108" s="116" t="n">
        <f aca="false">P330-P332</f>
        <v>0.838304824291126</v>
      </c>
      <c r="Q108" s="116" t="n">
        <f aca="false">Q330-Q332</f>
        <v>0.858136674026629</v>
      </c>
      <c r="R108" s="116" t="n">
        <f aca="false">R330-R332</f>
        <v>0.878507340204534</v>
      </c>
      <c r="S108" s="116" t="n">
        <f aca="false">S330-S332</f>
        <v>0.899487135115379</v>
      </c>
      <c r="T108" s="116" t="n">
        <f aca="false">T330-T332</f>
        <v>0.92108852388118</v>
      </c>
      <c r="U108" s="116" t="n">
        <f aca="false">U330-U332</f>
        <v>0.943318197307861</v>
      </c>
      <c r="V108" s="116" t="n">
        <f aca="false">V330-V332</f>
        <v>0.966183314650582</v>
      </c>
      <c r="W108" s="116" t="n">
        <f aca="false">W330-W332</f>
        <v>0.989691388963927</v>
      </c>
      <c r="X108" s="116" t="n">
        <f aca="false">X330-X332</f>
        <v>1.01392019984523</v>
      </c>
      <c r="Y108" s="116" t="n">
        <f aca="false">Y330-Y332</f>
        <v>1.03835179837313</v>
      </c>
      <c r="Z108" s="116" t="n">
        <f aca="false">Z330-Z332</f>
        <v>1.0529594515481</v>
      </c>
      <c r="AA108" s="116" t="n">
        <f aca="false">AA330-AA332</f>
        <v>1.06701242597989</v>
      </c>
      <c r="AB108" s="116" t="n">
        <f aca="false">AB330-AB332</f>
        <v>1.08056581593217</v>
      </c>
      <c r="AC108" s="116" t="n">
        <f aca="false">AC330-AC332</f>
        <v>1.09363330544182</v>
      </c>
      <c r="AD108" s="116" t="n">
        <f aca="false">AD330-AD332</f>
        <v>1.10637287634941</v>
      </c>
      <c r="AE108" s="116" t="n">
        <f aca="false">AE330-AE332</f>
        <v>1.11880878876025</v>
      </c>
      <c r="AF108" s="116" t="n">
        <f aca="false">AF330-AF332</f>
        <v>1.13094038258305</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1.25253051913761</v>
      </c>
      <c r="G109" s="116" t="n">
        <f aca="false">(G70+F121)*(0.3*$C$5+0.25*01_Supuestos!$I$134)/0.55-F227*$C$5</f>
        <v>1.41831411921912</v>
      </c>
      <c r="H109" s="116" t="n">
        <f aca="false">(H70+G121)*(0.3*$C$5+0.25*01_Supuestos!$I$134)/0.55-G227*$C$5</f>
        <v>1.58409771930063</v>
      </c>
      <c r="I109" s="116" t="n">
        <f aca="false">(I70+H121)*(0.3*$C$5+0.25*01_Supuestos!$I$134)/0.55-H227*$C$5</f>
        <v>1.74988131938214</v>
      </c>
      <c r="J109" s="116" t="n">
        <f aca="false">(J70+I121)*(0.3*$C$5+0.25*01_Supuestos!$I$134)/0.55-I227*$C$5</f>
        <v>1.91566491946365</v>
      </c>
      <c r="K109" s="116" t="n">
        <f aca="false">(K70+J121)*(0.3*$C$5+0.25*01_Supuestos!$I$134)/0.55-J227*$C$5</f>
        <v>2.08144851954516</v>
      </c>
      <c r="L109" s="116" t="n">
        <f aca="false">(L70+K121)*(0.3*$C$5+0.25*01_Supuestos!$I$134)/0.55-K227*$C$5</f>
        <v>2.24723211962667</v>
      </c>
      <c r="M109" s="116" t="n">
        <f aca="false">(M70+L121)*(0.3*$C$5+0.25*01_Supuestos!$I$134)/0.55-L227*$C$5</f>
        <v>2.31949756269692</v>
      </c>
      <c r="N109" s="116" t="n">
        <f aca="false">(N70+M121)*(0.3*$C$5+0.25*01_Supuestos!$I$134)/0.55-M227*$C$5</f>
        <v>2.41533458979316</v>
      </c>
      <c r="O109" s="116" t="n">
        <f aca="false">(O70+N121)*(0.3*$C$5+0.25*01_Supuestos!$I$134)/0.55-N227*$C$5</f>
        <v>2.51483535614069</v>
      </c>
      <c r="P109" s="116" t="n">
        <f aca="false">(P70+O121)*(0.3*$C$5+0.25*01_Supuestos!$I$134)/0.55-O227*$C$5</f>
        <v>2.61266645297086</v>
      </c>
      <c r="Q109" s="116" t="n">
        <f aca="false">(Q70+P121)*(0.3*$C$5+0.25*01_Supuestos!$I$134)/0.55-P227*$C$5</f>
        <v>2.70717655547617</v>
      </c>
      <c r="R109" s="116" t="n">
        <f aca="false">(R70+Q121)*(0.3*$C$5+0.25*01_Supuestos!$I$134)/0.55-Q227*$C$5</f>
        <v>2.79802372845824</v>
      </c>
      <c r="S109" s="116" t="n">
        <f aca="false">(S70+R121)*(0.3*$C$5+0.25*01_Supuestos!$I$134)/0.55-R227*$C$5</f>
        <v>2.88531843369499</v>
      </c>
      <c r="T109" s="116" t="n">
        <f aca="false">(T70+S121)*(0.3*$C$5+0.25*01_Supuestos!$I$134)/0.55-S227*$C$5</f>
        <v>2.96946513954577</v>
      </c>
      <c r="U109" s="116" t="n">
        <f aca="false">(U70+T121)*(0.3*$C$5+0.25*01_Supuestos!$I$134)/0.55-T227*$C$5</f>
        <v>3.05085999991748</v>
      </c>
      <c r="V109" s="116" t="n">
        <f aca="false">(V70+U121)*(0.3*$C$5+0.25*01_Supuestos!$I$134)/0.55-U227*$C$5</f>
        <v>3.1298967782894</v>
      </c>
      <c r="W109" s="116" t="n">
        <f aca="false">(W70+V121)*(0.3*$C$5+0.25*01_Supuestos!$I$134)/0.55-V227*$C$5</f>
        <v>3.20696752880332</v>
      </c>
      <c r="X109" s="116" t="n">
        <f aca="false">(X70+W121)*(0.3*$C$5+0.25*01_Supuestos!$I$134)/0.55-W227*$C$5</f>
        <v>3.28247092824691</v>
      </c>
      <c r="Y109" s="116" t="n">
        <f aca="false">(Y70+X121)*(0.3*$C$5+0.25*01_Supuestos!$I$134)/0.55-X227*$C$5</f>
        <v>3.35672512797301</v>
      </c>
      <c r="Z109" s="116" t="n">
        <f aca="false">(Z70+Y121)*(0.3*$C$5+0.25*01_Supuestos!$I$134)/0.55-Y227*$C$5</f>
        <v>3.428520906481</v>
      </c>
      <c r="AA109" s="116" t="n">
        <f aca="false">(AA70+Z121)*(0.3*$C$5+0.25*01_Supuestos!$I$134)/0.55-Z227*$C$5</f>
        <v>3.49842218452502</v>
      </c>
      <c r="AB109" s="116" t="n">
        <f aca="false">(AB70+AA121)*(0.3*$C$5+0.25*01_Supuestos!$I$134)/0.55-AA227*$C$5</f>
        <v>3.56658276151819</v>
      </c>
      <c r="AC109" s="116" t="n">
        <f aca="false">(AC70+AB121)*(0.3*$C$5+0.25*01_Supuestos!$I$134)/0.55-AB227*$C$5</f>
        <v>3.63464497309013</v>
      </c>
      <c r="AD109" s="116" t="n">
        <f aca="false">(AD70+AC121)*(0.3*$C$5+0.25*01_Supuestos!$I$134)/0.55-AC227*$C$5</f>
        <v>3.70287168504735</v>
      </c>
      <c r="AE109" s="116" t="n">
        <f aca="false">(AE70+AD121)*(0.3*$C$5+0.25*01_Supuestos!$I$134)/0.55-AD227*$C$5</f>
        <v>3.77126870425346</v>
      </c>
      <c r="AF109" s="116" t="n">
        <f aca="false">(AF70+AE121)*(0.3*$C$5+0.25*01_Supuestos!$I$134)/0.55-AE227*$C$5</f>
        <v>3.83984204255435</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0.660025503392723</v>
      </c>
      <c r="E110" s="116" t="n">
        <f aca="false">D120*$C$10</f>
        <v>1.2213947162794</v>
      </c>
      <c r="F110" s="116" t="n">
        <f aca="false">E120*$C$10</f>
        <v>1.84175345731575</v>
      </c>
      <c r="G110" s="116" t="n">
        <f aca="false">F120*$C$10</f>
        <v>2.13215396630313</v>
      </c>
      <c r="H110" s="116" t="n">
        <f aca="false">G120*$C$10</f>
        <v>2.49934570526411</v>
      </c>
      <c r="I110" s="116" t="n">
        <f aca="false">H120*$C$10</f>
        <v>2.91971887513687</v>
      </c>
      <c r="J110" s="116" t="n">
        <f aca="false">I120*$C$10</f>
        <v>3.39708842253205</v>
      </c>
      <c r="K110" s="116" t="n">
        <f aca="false">J120*$C$10</f>
        <v>3.91636800587987</v>
      </c>
      <c r="L110" s="116" t="n">
        <f aca="false">K120*$C$10</f>
        <v>4.47881854531786</v>
      </c>
      <c r="M110" s="116" t="n">
        <f aca="false">L120*$C$10</f>
        <v>5.08639522761805</v>
      </c>
      <c r="N110" s="116" t="n">
        <f aca="false">M120*$C$10</f>
        <v>5.0761169109484</v>
      </c>
      <c r="O110" s="116" t="n">
        <f aca="false">N120*$C$10</f>
        <v>5.10348959440417</v>
      </c>
      <c r="P110" s="116" t="n">
        <f aca="false">O120*$C$10</f>
        <v>5.18238750028105</v>
      </c>
      <c r="Q110" s="116" t="n">
        <f aca="false">P120*$C$10</f>
        <v>5.23601211262647</v>
      </c>
      <c r="R110" s="116" t="n">
        <f aca="false">Q120*$C$10</f>
        <v>5.27815801807148</v>
      </c>
      <c r="S110" s="116" t="n">
        <f aca="false">R120*$C$10</f>
        <v>5.32180718156771</v>
      </c>
      <c r="T110" s="116" t="n">
        <f aca="false">S120*$C$10</f>
        <v>5.36678520017845</v>
      </c>
      <c r="U110" s="116" t="n">
        <f aca="false">T120*$C$10</f>
        <v>5.41312568531119</v>
      </c>
      <c r="V110" s="116" t="n">
        <f aca="false">U120*$C$10</f>
        <v>5.46085180428209</v>
      </c>
      <c r="W110" s="116" t="n">
        <f aca="false">V120*$C$10</f>
        <v>5.50998662490968</v>
      </c>
      <c r="X110" s="116" t="n">
        <f aca="false">W120*$C$10</f>
        <v>5.56063595067328</v>
      </c>
      <c r="Y110" s="116" t="n">
        <f aca="false">X120*$C$10</f>
        <v>5.61317273677796</v>
      </c>
      <c r="Z110" s="116" t="n">
        <f aca="false">Y120*$C$10</f>
        <v>5.67375586223174</v>
      </c>
      <c r="AA110" s="116" t="n">
        <f aca="false">Z120*$C$10</f>
        <v>5.73375117612977</v>
      </c>
      <c r="AB110" s="116" t="n">
        <f aca="false">AA120*$C$10</f>
        <v>5.79410270102715</v>
      </c>
      <c r="AC110" s="116" t="n">
        <f aca="false">AB120*$C$10</f>
        <v>5.85422449384572</v>
      </c>
      <c r="AD110" s="116" t="n">
        <f aca="false">AC120*$C$10</f>
        <v>5.91394168230007</v>
      </c>
      <c r="AE110" s="116" t="n">
        <f aca="false">AD120*$C$10</f>
        <v>5.97362250375953</v>
      </c>
      <c r="AF110" s="116" t="n">
        <f aca="false">AE120*$C$10</f>
        <v>6.03364946341648</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12.0384856508805</v>
      </c>
      <c r="G111" s="136" t="n">
        <f aca="false">G69*01_Supuestos!$I$107-G218</f>
        <v>11.9686104803045</v>
      </c>
      <c r="H111" s="136" t="n">
        <f aca="false">H69*01_Supuestos!$I$107-H218</f>
        <v>11.9220198581063</v>
      </c>
      <c r="I111" s="136" t="n">
        <f aca="false">I69*01_Supuestos!$I$107-I218</f>
        <v>11.8972211454721</v>
      </c>
      <c r="J111" s="136" t="n">
        <f aca="false">J69*01_Supuestos!$I$107-J218</f>
        <v>11.8928175157698</v>
      </c>
      <c r="K111" s="136" t="n">
        <f aca="false">K69*01_Supuestos!$I$107-K218</f>
        <v>11.9075017979621</v>
      </c>
      <c r="L111" s="136" t="n">
        <f aca="false">L69*01_Supuestos!$I$107-L218</f>
        <v>11.9400507159457</v>
      </c>
      <c r="M111" s="136" t="n">
        <f aca="false">M69*01_Supuestos!$I$107-M218</f>
        <v>12.0815481177673</v>
      </c>
      <c r="N111" s="136" t="n">
        <f aca="false">N69*01_Supuestos!$I$107-N218</f>
        <v>12.2891228407001</v>
      </c>
      <c r="O111" s="136" t="n">
        <f aca="false">O69*01_Supuestos!$I$107-O218</f>
        <v>12.550086887955</v>
      </c>
      <c r="P111" s="136" t="n">
        <f aca="false">P69*01_Supuestos!$I$107-P218</f>
        <v>13.0189356222772</v>
      </c>
      <c r="Q111" s="136" t="n">
        <f aca="false">Q69*01_Supuestos!$I$107-Q218</f>
        <v>13.47639191512</v>
      </c>
      <c r="R111" s="136" t="n">
        <f aca="false">R69*01_Supuestos!$I$107-R218</f>
        <v>13.9181912001576</v>
      </c>
      <c r="S111" s="136" t="n">
        <f aca="false">S69*01_Supuestos!$I$107-S218</f>
        <v>14.3450258769335</v>
      </c>
      <c r="T111" s="136" t="n">
        <f aca="false">T69*01_Supuestos!$I$107-T218</f>
        <v>14.7575434190715</v>
      </c>
      <c r="U111" s="136" t="n">
        <f aca="false">U69*01_Supuestos!$I$107-U218</f>
        <v>15.1563492852328</v>
      </c>
      <c r="V111" s="136" t="n">
        <f aca="false">V69*01_Supuestos!$I$107-V218</f>
        <v>15.5420096416593</v>
      </c>
      <c r="W111" s="136" t="n">
        <f aca="false">W69*01_Supuestos!$I$107-W218</f>
        <v>15.9150539084887</v>
      </c>
      <c r="X111" s="136" t="n">
        <f aca="false">X69*01_Supuestos!$I$107-X218</f>
        <v>16.2759771412383</v>
      </c>
      <c r="Y111" s="136" t="n">
        <f aca="false">Y69*01_Supuestos!$I$107-Y218</f>
        <v>16.6252422581189</v>
      </c>
      <c r="Z111" s="136" t="n">
        <f aca="false">Z69*01_Supuestos!$I$107-Z218</f>
        <v>16.9632821231507</v>
      </c>
      <c r="AA111" s="136" t="n">
        <f aca="false">AA69*01_Supuestos!$I$107-AA218</f>
        <v>17.2905014944087</v>
      </c>
      <c r="AB111" s="136" t="n">
        <f aca="false">AB69*01_Supuestos!$I$107-AB218</f>
        <v>17.6072788461221</v>
      </c>
      <c r="AC111" s="136" t="n">
        <f aca="false">AC69*01_Supuestos!$I$107-AC218</f>
        <v>17.913968072787</v>
      </c>
      <c r="AD111" s="136" t="n">
        <f aca="false">AD69*01_Supuestos!$I$107-AD218</f>
        <v>18.2109000829274</v>
      </c>
      <c r="AE111" s="136" t="n">
        <f aca="false">AE69*01_Supuestos!$I$107-AE218</f>
        <v>18.4983842896424</v>
      </c>
      <c r="AF111" s="136" t="n">
        <f aca="false">AF69*01_Supuestos!$I$107-AF218</f>
        <v>18.7767100046175</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0.118288787723829</v>
      </c>
      <c r="D112" s="116" t="n">
        <f aca="false">D81*$C$7</f>
        <v>0.194477540223313</v>
      </c>
      <c r="E112" s="116" t="n">
        <f aca="false">E81*$C$7</f>
        <v>0.262221671615268</v>
      </c>
      <c r="F112" s="116" t="n">
        <f aca="false">F81*$C$7</f>
        <v>0.545473119675601</v>
      </c>
      <c r="G112" s="116" t="n">
        <f aca="false">G81*$C$7</f>
        <v>0.57057817627323</v>
      </c>
      <c r="H112" s="116" t="n">
        <f aca="false">H81*$C$7</f>
        <v>0.59570821570086</v>
      </c>
      <c r="I112" s="116" t="n">
        <f aca="false">I81*$C$7</f>
        <v>0.620861988816989</v>
      </c>
      <c r="J112" s="116" t="n">
        <f aca="false">J81*$C$7</f>
        <v>0.646038308937193</v>
      </c>
      <c r="K112" s="116" t="n">
        <f aca="false">K81*$C$7</f>
        <v>0.671236048711268</v>
      </c>
      <c r="L112" s="116" t="n">
        <f aca="false">L81*$C$7</f>
        <v>0.696454137156521</v>
      </c>
      <c r="M112" s="116" t="n">
        <f aca="false">M81*$C$7</f>
        <v>0.718617712928807</v>
      </c>
      <c r="N112" s="116" t="n">
        <f aca="false">N81*$C$7</f>
        <v>0.740700689212277</v>
      </c>
      <c r="O112" s="116" t="n">
        <f aca="false">O81*$C$7</f>
        <v>0.761372941311184</v>
      </c>
      <c r="P112" s="116" t="n">
        <f aca="false">P81*$C$7</f>
        <v>0.776624667569314</v>
      </c>
      <c r="Q112" s="116" t="n">
        <f aca="false">Q81*$C$7</f>
        <v>0.791887967537591</v>
      </c>
      <c r="R112" s="116" t="n">
        <f aca="false">R81*$C$7</f>
        <v>0.806925488899095</v>
      </c>
      <c r="S112" s="116" t="n">
        <f aca="false">S81*$C$7</f>
        <v>0.82173837654625</v>
      </c>
      <c r="T112" s="116" t="n">
        <f aca="false">T81*$C$7</f>
        <v>0.836352667402036</v>
      </c>
      <c r="U112" s="116" t="n">
        <f aca="false">U81*$C$7</f>
        <v>0.850793706733246</v>
      </c>
      <c r="V112" s="116" t="n">
        <f aca="false">V81*$C$7</f>
        <v>0.865086646802955</v>
      </c>
      <c r="W112" s="116" t="n">
        <f aca="false">W81*$C$7</f>
        <v>0.87896965430453</v>
      </c>
      <c r="X112" s="116" t="n">
        <f aca="false">X81*$C$7</f>
        <v>0.892468579833671</v>
      </c>
      <c r="Y112" s="116" t="n">
        <f aca="false">Y81*$C$7</f>
        <v>0.905602471649316</v>
      </c>
      <c r="Z112" s="116" t="n">
        <f aca="false">Z81*$C$7</f>
        <v>0.918261148055391</v>
      </c>
      <c r="AA112" s="116" t="n">
        <f aca="false">AA81*$C$7</f>
        <v>0.930484469739125</v>
      </c>
      <c r="AB112" s="116" t="n">
        <f aca="false">AB81*$C$7</f>
        <v>0.942284406916909</v>
      </c>
      <c r="AC112" s="116" t="n">
        <f aca="false">AC81*$C$7</f>
        <v>0.953798886238919</v>
      </c>
      <c r="AD112" s="116" t="n">
        <f aca="false">AD81*$C$7</f>
        <v>0.965049111463559</v>
      </c>
      <c r="AE112" s="116" t="n">
        <f aca="false">AE81*$C$7</f>
        <v>0.976034534828076</v>
      </c>
      <c r="AF112" s="116" t="n">
        <f aca="false">AF81*$C$7</f>
        <v>0.986754623706767</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-2.20281843705148</v>
      </c>
      <c r="D113" s="136" t="n">
        <f aca="false">D107+D109+D110-D111-D112-D108-D97-D98-D102+D184-D190-D229-D265-D268-D274</f>
        <v>-2.56821415675865</v>
      </c>
      <c r="E113" s="136" t="n">
        <f aca="false">E107+E109+E110-E111-E112-E108-E97-E98-E102+E184-E190-E229-E265-E268-E274</f>
        <v>-2.71294946063668</v>
      </c>
      <c r="F113" s="136" t="n">
        <f aca="false">F107+F109+F110-F111-F112-F108-F97-F98-F102+F184-F190-F229-F265-F268-F274</f>
        <v>-6.73770664179602</v>
      </c>
      <c r="G113" s="136" t="n">
        <f aca="false">G107+G109+G110-G111-G112-G108-G97-G98-G102+G184-G190-G229-G265-G268-G274</f>
        <v>-5.41817245344263</v>
      </c>
      <c r="H113" s="136" t="n">
        <f aca="false">H107+H109+H110-H111-H112-H108-H97-H98-H102+H184-H190-H229-H265-H268-H274</f>
        <v>-4.33566815402629</v>
      </c>
      <c r="I113" s="136" t="n">
        <f aca="false">I107+I109+I110-I111-I112-I108-I97-I98-I102+I184-I190-I229-I265-I268-I274</f>
        <v>-3.21002082652285</v>
      </c>
      <c r="J113" s="136" t="n">
        <f aca="false">J107+J109+J110-J111-J112-J108-J97-J98-J102+J184-J190-J229-J265-J268-J274</f>
        <v>-2.03550125630457</v>
      </c>
      <c r="K113" s="136" t="n">
        <f aca="false">K107+K109+K110-K111-K112-K108-K97-K98-K102+K184-K190-K229-K265-K268-K274</f>
        <v>-0.825605135113237</v>
      </c>
      <c r="L113" s="136" t="n">
        <f aca="false">L107+L109+L110-L111-L112-L108-L97-L98-L102+L184-L190-L229-L265-L268-L274</f>
        <v>0.261810306705037</v>
      </c>
      <c r="M113" s="136" t="n">
        <f aca="false">M107+M109+M110-M111-M112-M108-M97-M98-M102+M184-M190-M229-M265-M268-M274</f>
        <v>1.25507453844255</v>
      </c>
      <c r="N113" s="136" t="n">
        <f aca="false">N107+N109+N110-N111-N112-N108-N97-N98-N102+N184-N190-N229-N265-N268-N274</f>
        <v>1.40594277217994</v>
      </c>
      <c r="O113" s="136" t="n">
        <f aca="false">O107+O109+O110-O111-O112-O108-O97-O98-O102+O184-O190-O229-O265-O268-O274</f>
        <v>1.33102078377427</v>
      </c>
      <c r="P113" s="136" t="n">
        <f aca="false">P107+P109+P110-P111-P112-P108-P97-P98-P102+P184-P190-P229-P265-P268-P274</f>
        <v>1.18608389452864</v>
      </c>
      <c r="Q113" s="136" t="n">
        <f aca="false">Q107+Q109+Q110-Q111-Q112-Q108-Q97-Q98-Q102+Q184-Q190-Q229-Q265-Q268-Q274</f>
        <v>1.0265240212237</v>
      </c>
      <c r="R113" s="136" t="n">
        <f aca="false">R107+R109+R110-R111-R112-R108-R97-R98-R102+R184-R190-R229-R265-R268-R274</f>
        <v>0.871475511664113</v>
      </c>
      <c r="S113" s="136" t="n">
        <f aca="false">S107+S109+S110-S111-S112-S108-S97-S98-S102+S184-S190-S229-S265-S268-S274</f>
        <v>0.733371386557334</v>
      </c>
      <c r="T113" s="136" t="n">
        <f aca="false">T107+T109+T110-T111-T112-T108-T97-T98-T102+T184-T190-T229-T265-T268-T274</f>
        <v>0.6118539594394</v>
      </c>
      <c r="U113" s="136" t="n">
        <f aca="false">U107+U109+U110-U111-U112-U108-U97-U98-U102+U184-U190-U229-U265-U268-U274</f>
        <v>0.506815966650417</v>
      </c>
      <c r="V113" s="136" t="n">
        <f aca="false">V107+V109+V110-V111-V112-V108-V97-V98-V102+V184-V190-V229-V265-V268-V274</f>
        <v>0.418178743486549</v>
      </c>
      <c r="W113" s="136" t="n">
        <f aca="false">W107+W109+W110-W111-W112-W108-W97-W98-W102+W184-W190-W229-W265-W268-W274</f>
        <v>0.346215908196635</v>
      </c>
      <c r="X113" s="136" t="n">
        <f aca="false">X107+X109+X110-X111-X112-X108-X97-X98-X102+X184-X190-X229-X265-X268-X274</f>
        <v>0.287513812905813</v>
      </c>
      <c r="Y113" s="136" t="n">
        <f aca="false">Y107+Y109+Y110-Y111-Y112-Y108-Y97-Y98-Y102+Y184-Y190-Y229-Y265-Y268-Y274</f>
        <v>0.177445794202605</v>
      </c>
      <c r="Z113" s="136" t="n">
        <f aca="false">Z107+Z109+Z110-Z111-Z112-Z108-Z97-Z98-Z102+Z184-Z190-Z229-Z265-Z268-Z274</f>
        <v>0.0910221177257767</v>
      </c>
      <c r="AA113" s="136" t="n">
        <f aca="false">AA107+AA109+AA110-AA111-AA112-AA108-AA97-AA98-AA102+AA184-AA190-AA229-AA265-AA268-AA274</f>
        <v>0.0108839472949976</v>
      </c>
      <c r="AB113" s="136" t="n">
        <f aca="false">AB107+AB109+AB110-AB111-AB112-AB108-AB97-AB98-AB102+AB184-AB190-AB229-AB265-AB268-AB274</f>
        <v>-0.0622129931488161</v>
      </c>
      <c r="AC113" s="136" t="n">
        <f aca="false">AC107+AC109+AC110-AC111-AC112-AC108-AC97-AC98-AC102+AC184-AC190-AC229-AC265-AC268-AC274</f>
        <v>-0.126462367683861</v>
      </c>
      <c r="AD113" s="136" t="n">
        <f aca="false">AD107+AD109+AD110-AD111-AD112-AD108-AD97-AD98-AD102+AD184-AD190-AD229-AD265-AD268-AD274</f>
        <v>-0.182078744934509</v>
      </c>
      <c r="AE113" s="136" t="n">
        <f aca="false">AE107+AE109+AE110-AE111-AE112-AE108-AE97-AE98-AE102+AE184-AE190-AE229-AE265-AE268-AE274</f>
        <v>-0.229006542979472</v>
      </c>
      <c r="AF113" s="136" t="n">
        <f aca="false">AF107+AF109+AF110-AF111-AF112-AF108-AF97-AF98-AF102+AF184-AF190-AF229-AF265-AF268-AF274</f>
        <v>-0.267129408305398</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18.8578715255064</v>
      </c>
      <c r="D114" s="116" t="n">
        <f aca="false">C120+D53+D56-D57+(D58-D65)+D113-D92+D94-D95-D103+D60-D245</f>
        <v>34.8969918936973</v>
      </c>
      <c r="E114" s="116" t="n">
        <f aca="false">D120+E53+E56-E57+(E58-E65)+E113-E92+E94-E95-E103+E60-E245</f>
        <v>52.6215273518786</v>
      </c>
      <c r="F114" s="116" t="n">
        <f aca="false">E120+F53+F56-F57+(F58-F65)+F113-F92+F94-F95-F103+F60-F245</f>
        <v>60.918684751518</v>
      </c>
      <c r="G114" s="116" t="n">
        <f aca="false">F120+G53+G56-G57+(G58-G65)+G113-G92+G94-G95-G103+G60-G245</f>
        <v>71.4098772932602</v>
      </c>
      <c r="H114" s="116" t="n">
        <f aca="false">G120+H53+H56-H57+(H58-H65)+H113-H92+H94-H95-H103+H60-H245</f>
        <v>83.4205392896249</v>
      </c>
      <c r="I114" s="116" t="n">
        <f aca="false">H120+I53+I56-I57+(I58-I65)+I113-I92+I94-I95-I103+I60-I245</f>
        <v>97.0596692152014</v>
      </c>
      <c r="J114" s="116" t="n">
        <f aca="false">I120+J53+J56-J57+(J58-J65)+J113-J92+J94-J95-J103+J60-J245</f>
        <v>111.896228739425</v>
      </c>
      <c r="K114" s="116" t="n">
        <f aca="false">J120+K53+K56-K57+(K58-K65)+K113-K92+K94-K95-K103+K60-K245</f>
        <v>127.966244151939</v>
      </c>
      <c r="L114" s="116" t="n">
        <f aca="false">K120+L53+L56-L57+(L58-L65)+L113-L92+L94-L95-L103+L60-L245</f>
        <v>145.587388238649</v>
      </c>
      <c r="M114" s="116" t="n">
        <f aca="false">L120+M53+M56-M57+(M58-M65)+M113-M92+M94-M95-M103+M60-M245</f>
        <v>146.286986279825</v>
      </c>
      <c r="N114" s="116" t="n">
        <f aca="false">M120+N53+N56-N57+(N58-N65)+N113-N92+N94-N95-N103+N60-N245</f>
        <v>147.219931183728</v>
      </c>
      <c r="O114" s="116" t="n">
        <f aca="false">N120+O53+O56-O57+(O58-O65)+O113-O92+O94-O95-O103+O60-O245</f>
        <v>149.399235077518</v>
      </c>
      <c r="P114" s="116" t="n">
        <f aca="false">O120+P53+P56-P57+(P58-P65)+P113-P92+P94-P95-P103+P60-P245</f>
        <v>150.786429969571</v>
      </c>
      <c r="Q114" s="116" t="n">
        <f aca="false">P120+Q53+Q56-Q57+(Q58-Q65)+Q113-Q92+Q94-Q95-Q103+Q60-Q245</f>
        <v>151.831038823266</v>
      </c>
      <c r="R114" s="116" t="n">
        <f aca="false">Q120+R53+R56-R57+(R58-R65)+R113-R92+R94-R95-R103+R60-R245</f>
        <v>152.923109270742</v>
      </c>
      <c r="S114" s="116" t="n">
        <f aca="false">R120+S53+S56-S57+(S58-S65)+S113-S92+S94-S95-S103+S60-S245</f>
        <v>154.070091391656</v>
      </c>
      <c r="T114" s="116" t="n">
        <f aca="false">S120+T53+T56-T57+(T58-T65)+T113-T92+T94-T95-T103+T60-T245</f>
        <v>155.272587825473</v>
      </c>
      <c r="U114" s="116" t="n">
        <f aca="false">T120+U53+U56-U57+(U58-U65)+U113-U92+U94-U95-U103+U60-U245</f>
        <v>156.531153231853</v>
      </c>
      <c r="V114" s="116" t="n">
        <f aca="false">U120+V53+V56-V57+(V58-V65)+V113-V92+V94-V95-V103+V60-V245</f>
        <v>157.84636802662</v>
      </c>
      <c r="W114" s="116" t="n">
        <f aca="false">V120+W53+W56-W57+(W58-W65)+W113-W92+W94-W95-W103+W60-W245</f>
        <v>159.221528784576</v>
      </c>
      <c r="X114" s="116" t="n">
        <f aca="false">W120+X53+X56-X57+(X58-X65)+X113-X92+X94-X95-X103+X60-X245</f>
        <v>160.663877720848</v>
      </c>
      <c r="Y114" s="116" t="n">
        <f aca="false">X120+Y53+Y56-Y57+(Y58-Y65)+Y113-Y92+Y94-Y95-Y103+Y60-Y245</f>
        <v>162.284756143681</v>
      </c>
      <c r="Z114" s="116" t="n">
        <f aca="false">Y120+Z53+Z56-Z57+(Z58-Z65)+Z113-Z92+Z94-Z95-Z103+Z60-Z245</f>
        <v>163.912484292862</v>
      </c>
      <c r="AA114" s="116" t="n">
        <f aca="false">Z120+AA53+AA56-AA57+(AA58-AA65)+AA113-AA92+AA94-AA95-AA103+AA60-AA245</f>
        <v>165.556675405213</v>
      </c>
      <c r="AB114" s="116" t="n">
        <f aca="false">AA120+AB53+AB56-AB57+(AB58-AB65)+AB113-AB92+AB94-AB95-AB103+AB60-AB245</f>
        <v>167.26355696702</v>
      </c>
      <c r="AC114" s="116" t="n">
        <f aca="false">AB120+AC53+AC56-AC57+(AC58-AC65)+AC113-AC92+AC94-AC95-AC103+AC60-AC245</f>
        <v>168.96976235143</v>
      </c>
      <c r="AD114" s="116" t="n">
        <f aca="false">AC120+AD53+AD56-AD57+(AD58-AD65)+AD113-AD92+AD94-AD95-AD103+AD60-AD245</f>
        <v>170.674928678844</v>
      </c>
      <c r="AE114" s="116" t="n">
        <f aca="false">AD120+AE53+AE56-AE57+(AE58-AE65)+AE113-AE92+AE94-AE95-AE103+AE60-AE245</f>
        <v>172.389984669042</v>
      </c>
      <c r="AF114" s="116" t="n">
        <f aca="false">AE120+AF53+AF56-AF57+(AF58-AF65)+AF113-AF92+AF94-AF95-AF103+AF60-AF245</f>
        <v>174.125166427436</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0.261810306705037</v>
      </c>
      <c r="M115" s="116" t="n">
        <f aca="false">IF(M113&gt;0,MIN(M113,01_Supuestos!$I$106*M81),0)</f>
        <v>1.25507453844255</v>
      </c>
      <c r="N115" s="116" t="n">
        <f aca="false">IF(N113&gt;0,MIN(N113,01_Supuestos!$I$106*N81),0)</f>
        <v>1.40594277217994</v>
      </c>
      <c r="O115" s="116" t="n">
        <f aca="false">IF(O113&gt;0,MIN(O113,01_Supuestos!$I$106*O81),0)</f>
        <v>1.33102078377427</v>
      </c>
      <c r="P115" s="116" t="n">
        <f aca="false">IF(P113&gt;0,MIN(P113,01_Supuestos!$I$106*P81),0)</f>
        <v>1.18608389452864</v>
      </c>
      <c r="Q115" s="116" t="n">
        <f aca="false">IF(Q113&gt;0,MIN(Q113,01_Supuestos!$I$106*Q81),0)</f>
        <v>1.0265240212237</v>
      </c>
      <c r="R115" s="116" t="n">
        <f aca="false">IF(R113&gt;0,MIN(R113,01_Supuestos!$I$106*R81),0)</f>
        <v>0.871475511664113</v>
      </c>
      <c r="S115" s="116" t="n">
        <f aca="false">IF(S113&gt;0,MIN(S113,01_Supuestos!$I$106*S81),0)</f>
        <v>0.733371386557334</v>
      </c>
      <c r="T115" s="116" t="n">
        <f aca="false">IF(T113&gt;0,MIN(T113,01_Supuestos!$I$106*T81),0)</f>
        <v>0.6118539594394</v>
      </c>
      <c r="U115" s="116" t="n">
        <f aca="false">IF(U113&gt;0,MIN(U113,01_Supuestos!$I$106*U81),0)</f>
        <v>0.506815966650417</v>
      </c>
      <c r="V115" s="116" t="n">
        <f aca="false">IF(V113&gt;0,MIN(V113,01_Supuestos!$I$106*V81),0)</f>
        <v>0.418178743486549</v>
      </c>
      <c r="W115" s="116" t="n">
        <f aca="false">IF(W113&gt;0,MIN(W113,01_Supuestos!$I$106*W81),0)</f>
        <v>0.346215908196635</v>
      </c>
      <c r="X115" s="116" t="n">
        <f aca="false">IF(X113&gt;0,MIN(X113,01_Supuestos!$I$106*X81),0)</f>
        <v>0.287513812905813</v>
      </c>
      <c r="Y115" s="116" t="n">
        <f aca="false">IF(Y113&gt;0,MIN(Y113,01_Supuestos!$I$106*Y81),0)</f>
        <v>0.177445794202605</v>
      </c>
      <c r="Z115" s="116" t="n">
        <f aca="false">IF(Z113&gt;0,MIN(Z113,01_Supuestos!$I$106*Z81),0)</f>
        <v>0.0910221177257767</v>
      </c>
      <c r="AA115" s="116" t="n">
        <f aca="false">IF(AA113&gt;0,MIN(AA113,01_Supuestos!$I$106*AA81),0)</f>
        <v>0.0108839472949976</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18.8578715255064</v>
      </c>
      <c r="D120" s="136" t="n">
        <f aca="false">D114-D115+D118+D119</f>
        <v>34.8969918936973</v>
      </c>
      <c r="E120" s="136" t="n">
        <f aca="false">E114-E115+E118+E119</f>
        <v>52.6215273518786</v>
      </c>
      <c r="F120" s="136" t="n">
        <f aca="false">F114-F115+F118+F119</f>
        <v>60.918684751518</v>
      </c>
      <c r="G120" s="136" t="n">
        <f aca="false">G114-G115+G118+G119</f>
        <v>71.4098772932602</v>
      </c>
      <c r="H120" s="136" t="n">
        <f aca="false">H114-H115+H118+H119</f>
        <v>83.4205392896249</v>
      </c>
      <c r="I120" s="136" t="n">
        <f aca="false">I114-I115+I118+I119</f>
        <v>97.0596692152014</v>
      </c>
      <c r="J120" s="136" t="n">
        <f aca="false">J114-J115+J118+J119</f>
        <v>111.896228739425</v>
      </c>
      <c r="K120" s="136" t="n">
        <f aca="false">K114-K115+K118+K119</f>
        <v>127.966244151939</v>
      </c>
      <c r="L120" s="136" t="n">
        <f aca="false">L114-L115+L118+L119</f>
        <v>145.325577931944</v>
      </c>
      <c r="M120" s="136" t="n">
        <f aca="false">M114-M115+M118+M119</f>
        <v>145.031911741383</v>
      </c>
      <c r="N120" s="136" t="n">
        <f aca="false">N114-N115+N118+N119</f>
        <v>145.813988411548</v>
      </c>
      <c r="O120" s="136" t="n">
        <f aca="false">O114-O115+O118+O119</f>
        <v>148.068214293744</v>
      </c>
      <c r="P120" s="136" t="n">
        <f aca="false">P114-P115+P118+P119</f>
        <v>149.600346075042</v>
      </c>
      <c r="Q120" s="136" t="n">
        <f aca="false">Q114-Q115+Q118+Q119</f>
        <v>150.804514802042</v>
      </c>
      <c r="R120" s="136" t="n">
        <f aca="false">R114-R115+R118+R119</f>
        <v>152.051633759077</v>
      </c>
      <c r="S120" s="136" t="n">
        <f aca="false">S114-S115+S118+S119</f>
        <v>153.336720005098</v>
      </c>
      <c r="T120" s="136" t="n">
        <f aca="false">T114-T115+T118+T119</f>
        <v>154.660733866034</v>
      </c>
      <c r="U120" s="136" t="n">
        <f aca="false">U114-U115+U118+U119</f>
        <v>156.024337265203</v>
      </c>
      <c r="V120" s="136" t="n">
        <f aca="false">V114-V115+V118+V119</f>
        <v>157.428189283134</v>
      </c>
      <c r="W120" s="136" t="n">
        <f aca="false">W114-W115+W118+W119</f>
        <v>158.875312876379</v>
      </c>
      <c r="X120" s="136" t="n">
        <f aca="false">X114-X115+X118+X119</f>
        <v>160.376363907942</v>
      </c>
      <c r="Y120" s="136" t="n">
        <f aca="false">Y114-Y115+Y118+Y119</f>
        <v>162.107310349478</v>
      </c>
      <c r="Z120" s="136" t="n">
        <f aca="false">Z114-Z115+Z118+Z119</f>
        <v>163.821462175136</v>
      </c>
      <c r="AA120" s="136" t="n">
        <f aca="false">AA114-AA115+AA118+AA119</f>
        <v>165.545791457918</v>
      </c>
      <c r="AB120" s="136" t="n">
        <f aca="false">AB114-AB115+AB118+AB119</f>
        <v>167.26355696702</v>
      </c>
      <c r="AC120" s="136" t="n">
        <f aca="false">AC114-AC115+AC118+AC119</f>
        <v>168.96976235143</v>
      </c>
      <c r="AD120" s="136" t="n">
        <f aca="false">AD114-AD115+AD118+AD119</f>
        <v>170.674928678844</v>
      </c>
      <c r="AE120" s="136" t="n">
        <f aca="false">AE114-AE115+AE118+AE119</f>
        <v>172.389984669042</v>
      </c>
      <c r="AF120" s="136" t="n">
        <f aca="false">AF114-AF115+AF118+AF119</f>
        <v>174.125166427436</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0.261810306705037</v>
      </c>
      <c r="M121" s="116" t="n">
        <f aca="false">L121+M115</f>
        <v>1.51688484514758</v>
      </c>
      <c r="N121" s="116" t="n">
        <f aca="false">M121+N115</f>
        <v>2.92282761732753</v>
      </c>
      <c r="O121" s="116" t="n">
        <f aca="false">N121+O115</f>
        <v>4.2538484011018</v>
      </c>
      <c r="P121" s="116" t="n">
        <f aca="false">O121+P115</f>
        <v>5.43993229563044</v>
      </c>
      <c r="Q121" s="116" t="n">
        <f aca="false">P121+Q115</f>
        <v>6.46645631685414</v>
      </c>
      <c r="R121" s="116" t="n">
        <f aca="false">Q121+R115</f>
        <v>7.33793182851825</v>
      </c>
      <c r="S121" s="116" t="n">
        <f aca="false">R121+S115</f>
        <v>8.07130321507559</v>
      </c>
      <c r="T121" s="116" t="n">
        <f aca="false">S121+T115</f>
        <v>8.68315717451499</v>
      </c>
      <c r="U121" s="116" t="n">
        <f aca="false">T121+U115</f>
        <v>9.1899731411654</v>
      </c>
      <c r="V121" s="116" t="n">
        <f aca="false">U121+V115</f>
        <v>9.60815188465195</v>
      </c>
      <c r="W121" s="116" t="n">
        <f aca="false">V121+W115</f>
        <v>9.95436779284859</v>
      </c>
      <c r="X121" s="116" t="n">
        <f aca="false">W121+X115</f>
        <v>10.2418816057544</v>
      </c>
      <c r="Y121" s="116" t="n">
        <f aca="false">X121+Y115</f>
        <v>10.419327399957</v>
      </c>
      <c r="Z121" s="116" t="n">
        <f aca="false">Y121+Z115</f>
        <v>10.5103495176828</v>
      </c>
      <c r="AA121" s="116" t="n">
        <f aca="false">Z121+AA115</f>
        <v>10.5212334649778</v>
      </c>
      <c r="AB121" s="116" t="n">
        <f aca="false">AA121+AB115</f>
        <v>10.5212334649778</v>
      </c>
      <c r="AC121" s="116" t="n">
        <f aca="false">AB121+AC115</f>
        <v>10.5212334649778</v>
      </c>
      <c r="AD121" s="116" t="n">
        <f aca="false">AC121+AD115</f>
        <v>10.5212334649778</v>
      </c>
      <c r="AE121" s="116" t="n">
        <f aca="false">AD121+AE115</f>
        <v>10.5212334649778</v>
      </c>
      <c r="AF121" s="116" t="n">
        <f aca="false">AE121+AF115</f>
        <v>10.5212334649778</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0.302390463337876</v>
      </c>
      <c r="D122" s="87" t="n">
        <f aca="false">D276/(D81+D115)</f>
        <v>0.338563523355657</v>
      </c>
      <c r="E122" s="87" t="n">
        <f aca="false">E276/(E81+E115)</f>
        <v>0.378307889804179</v>
      </c>
      <c r="F122" s="87" t="n">
        <f aca="false">F276/(F81+F115)</f>
        <v>0.223360904705064</v>
      </c>
      <c r="G122" s="87" t="n">
        <f aca="false">G276/(G81+G115)</f>
        <v>0.25030707539387</v>
      </c>
      <c r="H122" s="87" t="n">
        <f aca="false">H276/(H81+H115)</f>
        <v>0.280071810631248</v>
      </c>
      <c r="I122" s="87" t="n">
        <f aca="false">I276/(I81+I115)</f>
        <v>0.312661013118688</v>
      </c>
      <c r="J122" s="87" t="n">
        <f aca="false">J276/(J81+J115)</f>
        <v>0.346407410184412</v>
      </c>
      <c r="K122" s="87" t="n">
        <f aca="false">K276/(K81+K115)</f>
        <v>0.381285374638702</v>
      </c>
      <c r="L122" s="87" t="n">
        <f aca="false">L276/(L81+L115)</f>
        <v>0.417016400629288</v>
      </c>
      <c r="M122" s="87" t="n">
        <f aca="false">M276/(M81+M115)</f>
        <v>0.402236328348212</v>
      </c>
      <c r="N122" s="87" t="n">
        <f aca="false">N276/(N81+N115)</f>
        <v>0.392230053296072</v>
      </c>
      <c r="O122" s="87" t="n">
        <f aca="false">O276/(O81+O115)</f>
        <v>0.387595378776643</v>
      </c>
      <c r="P122" s="87" t="n">
        <f aca="false">P276/(P81+P115)</f>
        <v>0.384084605443152</v>
      </c>
      <c r="Q122" s="87" t="n">
        <f aca="false">Q276/(Q81+Q115)</f>
        <v>0.379888459829392</v>
      </c>
      <c r="R122" s="87" t="n">
        <f aca="false">R276/(R81+R115)</f>
        <v>0.376054328950104</v>
      </c>
      <c r="S122" s="87" t="n">
        <f aca="false">S276/(S81+S115)</f>
        <v>0.372535875704658</v>
      </c>
      <c r="T122" s="87" t="n">
        <f aca="false">T276/(T81+T115)</f>
        <v>0.369305387360708</v>
      </c>
      <c r="U122" s="87" t="n">
        <f aca="false">U276/(U81+U115)</f>
        <v>0.366337152035927</v>
      </c>
      <c r="V122" s="87" t="n">
        <f aca="false">V276/(V81+V115)</f>
        <v>0.363607823104844</v>
      </c>
      <c r="W122" s="87" t="n">
        <f aca="false">W276/(W81+W115)</f>
        <v>0.361218962106182</v>
      </c>
      <c r="X122" s="87" t="n">
        <f aca="false">X276/(X81+X115)</f>
        <v>0.359168046371617</v>
      </c>
      <c r="Y122" s="87" t="n">
        <f aca="false">Y276/(Y81+Y115)</f>
        <v>0.357869623731822</v>
      </c>
      <c r="Z122" s="87" t="n">
        <f aca="false">Z276/(Z81+Z115)</f>
        <v>0.356737277929018</v>
      </c>
      <c r="AA122" s="87" t="n">
        <f aca="false">AA276/(AA81+AA115)</f>
        <v>0.355818767811601</v>
      </c>
      <c r="AB122" s="87" t="n">
        <f aca="false">AB276/(AB81+AB115)</f>
        <v>0.355017138645636</v>
      </c>
      <c r="AC122" s="87" t="n">
        <f aca="false">AC276/(AC81+AC115)</f>
        <v>0.354308994881977</v>
      </c>
      <c r="AD122" s="87" t="n">
        <f aca="false">AD276/(AD81+AD115)</f>
        <v>0.353712420749249</v>
      </c>
      <c r="AE122" s="87" t="n">
        <f aca="false">AE276/(AE81+AE115)</f>
        <v>0.353245666044814</v>
      </c>
      <c r="AF122" s="87" t="n">
        <f aca="false">AF276/(AF81+AF115)</f>
        <v>0.352924956709766</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2.20281843705148</v>
      </c>
      <c r="D127" s="116" t="n">
        <f aca="false">MAX(0,-D113)</f>
        <v>2.56821415675865</v>
      </c>
      <c r="E127" s="116" t="n">
        <f aca="false">MAX(0,-E113)</f>
        <v>2.71294946063668</v>
      </c>
      <c r="F127" s="116" t="n">
        <f aca="false">MAX(0,-F113)</f>
        <v>6.73770664179602</v>
      </c>
      <c r="G127" s="116" t="n">
        <f aca="false">MAX(0,-G113)</f>
        <v>5.41817245344263</v>
      </c>
      <c r="H127" s="116" t="n">
        <f aca="false">MAX(0,-H113)</f>
        <v>4.33566815402629</v>
      </c>
      <c r="I127" s="116" t="n">
        <f aca="false">MAX(0,-I113)</f>
        <v>3.21002082652285</v>
      </c>
      <c r="J127" s="116" t="n">
        <f aca="false">MAX(0,-J113)</f>
        <v>2.03550125630457</v>
      </c>
      <c r="K127" s="116" t="n">
        <f aca="false">MAX(0,-K113)</f>
        <v>0.825605135113237</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0.0622129931488161</v>
      </c>
      <c r="AC127" s="116" t="n">
        <f aca="false">MAX(0,-AC113)</f>
        <v>0.126462367683861</v>
      </c>
      <c r="AD127" s="116" t="n">
        <f aca="false">MAX(0,-AD113)</f>
        <v>0.182078744934509</v>
      </c>
      <c r="AE127" s="116" t="n">
        <f aca="false">MAX(0,-AE113)</f>
        <v>0.229006542979472</v>
      </c>
      <c r="AF127" s="116" t="n">
        <f aca="false">MAX(0,-AF113)</f>
        <v>0.267129408305398</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4.33062094127716</v>
      </c>
      <c r="D128" s="116" t="n">
        <f aca="false">IF(AVERAGE(E127:I127)&gt;0,D120/AVERAGE(E127:I127),99)</f>
        <v>7.78446197581284</v>
      </c>
      <c r="E128" s="116" t="n">
        <f aca="false">IF(AVERAGE(F127:J127)&gt;0,E120/AVERAGE(F127:J127),99)</f>
        <v>12.1040988893081</v>
      </c>
      <c r="F128" s="116" t="n">
        <f aca="false">IF(AVERAGE(G127:K127)&gt;0,F120/AVERAGE(G127:K127),99)</f>
        <v>19.2476488494666</v>
      </c>
      <c r="G128" s="116" t="n">
        <f aca="false">IF(AVERAGE(H127:L127)&gt;0,G120/AVERAGE(H127:L127),99)</f>
        <v>34.3092540695183</v>
      </c>
      <c r="H128" s="116" t="n">
        <f aca="false">IF(AVERAGE(I127:M127)&gt;0,H120/AVERAGE(I127:M127),99)</f>
        <v>68.7026776865347</v>
      </c>
      <c r="I128" s="116" t="n">
        <f aca="false">IF(AVERAGE(J127:N127)&gt;0,I120/AVERAGE(J127:N127),99)</f>
        <v>169.619119209168</v>
      </c>
      <c r="J128" s="116" t="n">
        <f aca="false">IF(AVERAGE(K127:O127)&gt;0,J120/AVERAGE(K127:O127),99)</f>
        <v>677.661899014701</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12768.6601170549</v>
      </c>
      <c r="X128" s="116" t="n">
        <f aca="false">IF(AVERAGE(Y127:AC127)&gt;0,X120/AVERAGE(Y127:AC127),99)</f>
        <v>4250.06114206316</v>
      </c>
      <c r="Y128" s="116" t="n">
        <f aca="false">IF(AVERAGE(Z127:AD127)&gt;0,Y120/AVERAGE(Z127:AD127),99)</f>
        <v>2186.18361641655</v>
      </c>
      <c r="Z128" s="116" t="n">
        <f aca="false">IF(AVERAGE(AA127:AE127)&gt;0,Z120/AVERAGE(AA127:AE127),99)</f>
        <v>1365.72366424406</v>
      </c>
      <c r="AA128" s="116" t="n">
        <f aca="false">IF(AVERAGE(AB127:AF127)&gt;0,AA120/AVERAGE(AB127:AF127),99)</f>
        <v>954.825759686718</v>
      </c>
      <c r="AB128" s="116" t="n">
        <f aca="false">IF(AVERAGE(AC127:AF127)&gt;0,AB120/AVERAGE(AC127:AF127),99)</f>
        <v>831.456814020156</v>
      </c>
      <c r="AC128" s="116" t="n">
        <f aca="false">IF(AVERAGE(AD127:AF127)&gt;0,AC120/AVERAGE(AD127:AF127),99)</f>
        <v>747.417137788361</v>
      </c>
      <c r="AD128" s="116" t="n">
        <f aca="false">IF(AVERAGE(AE127:AF127)&gt;0,AD120/AVERAGE(AE127:AF127),99)</f>
        <v>688.016775389236</v>
      </c>
      <c r="AE128" s="116" t="n">
        <f aca="false">IF(AVERAGE(AF127:AF127)&gt;0,AE120/AVERAGE(AF127:AF127),99)</f>
        <v>645.342591677349</v>
      </c>
      <c r="AF128" s="116" t="n">
        <f aca="false">IF(AF127&gt;0,AF120/AF127,99)</f>
        <v>651.838251475353</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0.35186416290591</v>
      </c>
      <c r="M129" s="87" t="n">
        <f aca="false">M83/M41</f>
        <v>0.3739532384222</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0.38818908729929</v>
      </c>
      <c r="Y129" s="87" t="n">
        <f aca="false">Y83/Y41</f>
        <v>0.384842389601481</v>
      </c>
      <c r="Z129" s="87" t="n">
        <f aca="false">Z83/Z41</f>
        <v>0.381251919493706</v>
      </c>
      <c r="AA129" s="87" t="n">
        <f aca="false">AA83/AA41</f>
        <v>0.377453494033262</v>
      </c>
      <c r="AB129" s="87" t="n">
        <f aca="false">AB83/AB41</f>
        <v>0.373466896032427</v>
      </c>
      <c r="AC129" s="87" t="n">
        <f aca="false">AC83/AC41</f>
        <v>0.369359102927869</v>
      </c>
      <c r="AD129" s="87" t="n">
        <f aca="false">AD83/AD41</f>
        <v>0.365147981059318</v>
      </c>
      <c r="AE129" s="87" t="n">
        <f aca="false">AE83/AE41</f>
        <v>0.360842275514454</v>
      </c>
      <c r="AF129" s="87" t="n">
        <f aca="false">AF83/AF41</f>
        <v>0.356450354738704</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0.674436573088052</v>
      </c>
      <c r="G136" s="116" t="n">
        <f aca="false">01_Supuestos!$C$152*MAX(0,G111-01_Supuestos!$C$153-01_Supuestos!$C$154-G59-0.05*SUM($C$51:G51))</f>
        <v>0.654037064030453</v>
      </c>
      <c r="H136" s="116" t="n">
        <f aca="false">01_Supuestos!$C$152*MAX(0,H111-01_Supuestos!$C$153-01_Supuestos!$C$154-H59-0.05*SUM($C$51:H51))</f>
        <v>0.635966009810634</v>
      </c>
      <c r="I136" s="116" t="n">
        <f aca="false">01_Supuestos!$C$152*MAX(0,I111-01_Supuestos!$C$153-01_Supuestos!$C$154-I59-0.05*SUM($C$51:I51))</f>
        <v>0.620074146547213</v>
      </c>
      <c r="J136" s="116" t="n">
        <f aca="false">01_Supuestos!$C$152*MAX(0,J111-01_Supuestos!$C$153-01_Supuestos!$C$154-J59-0.05*SUM($C$51:J51))</f>
        <v>0.606221791576975</v>
      </c>
      <c r="K136" s="116" t="n">
        <f aca="false">01_Supuestos!$C$152*MAX(0,K111-01_Supuestos!$C$153-01_Supuestos!$C$154-K59-0.05*SUM($C$51:K51))</f>
        <v>0.59427822779621</v>
      </c>
      <c r="L136" s="116" t="n">
        <f aca="false">01_Supuestos!$C$152*MAX(0,L111-01_Supuestos!$C$153-01_Supuestos!$C$154-L59-0.05*SUM($C$51:L51))</f>
        <v>0.584121127594575</v>
      </c>
      <c r="M136" s="116" t="n">
        <f aca="false">01_Supuestos!$C$152*MAX(0,M111-01_Supuestos!$C$153-01_Supuestos!$C$154-M59-0.05*SUM($C$51:M51))</f>
        <v>0.584858875776728</v>
      </c>
      <c r="N136" s="116" t="n">
        <f aca="false">01_Supuestos!$C$152*MAX(0,N111-01_Supuestos!$C$153-01_Supuestos!$C$154-N59-0.05*SUM($C$51:N51))</f>
        <v>0.592204356070011</v>
      </c>
      <c r="O136" s="116" t="n">
        <f aca="false">01_Supuestos!$C$152*MAX(0,O111-01_Supuestos!$C$153-01_Supuestos!$C$154-O59-0.05*SUM($C$51:O51))</f>
        <v>0.604888768795499</v>
      </c>
      <c r="P136" s="116" t="n">
        <f aca="false">01_Supuestos!$C$152*MAX(0,P111-01_Supuestos!$C$153-01_Supuestos!$C$154-P59-0.05*SUM($C$51:P51))</f>
        <v>0.63836165022772</v>
      </c>
      <c r="Q136" s="116" t="n">
        <f aca="false">01_Supuestos!$C$152*MAX(0,Q111-01_Supuestos!$C$153-01_Supuestos!$C$154-Q59-0.05*SUM($C$51:Q51))</f>
        <v>0.670695287511998</v>
      </c>
      <c r="R136" s="116" t="n">
        <f aca="false">01_Supuestos!$C$152*MAX(0,R111-01_Supuestos!$C$153-01_Supuestos!$C$154-R59-0.05*SUM($C$51:R51))</f>
        <v>0.701463224015755</v>
      </c>
      <c r="S136" s="116" t="n">
        <f aca="false">01_Supuestos!$C$152*MAX(0,S111-01_Supuestos!$C$153-01_Supuestos!$C$154-S59-0.05*SUM($C$51:S51))</f>
        <v>0.73073469969335</v>
      </c>
      <c r="T136" s="116" t="n">
        <f aca="false">01_Supuestos!$C$152*MAX(0,T111-01_Supuestos!$C$153-01_Supuestos!$C$154-T59-0.05*SUM($C$51:T51))</f>
        <v>0.758574461907152</v>
      </c>
      <c r="U136" s="116" t="n">
        <f aca="false">01_Supuestos!$C$152*MAX(0,U111-01_Supuestos!$C$153-01_Supuestos!$C$154-U59-0.05*SUM($C$51:U51))</f>
        <v>0.785043056523277</v>
      </c>
      <c r="V136" s="116" t="n">
        <f aca="false">01_Supuestos!$C$152*MAX(0,V111-01_Supuestos!$C$153-01_Supuestos!$C$154-V59-0.05*SUM($C$51:V51))</f>
        <v>0.810197100165926</v>
      </c>
      <c r="W136" s="116" t="n">
        <f aca="false">01_Supuestos!$C$152*MAX(0,W111-01_Supuestos!$C$153-01_Supuestos!$C$154-W59-0.05*SUM($C$51:W51))</f>
        <v>0.834089534848869</v>
      </c>
      <c r="X136" s="116" t="n">
        <f aca="false">01_Supuestos!$C$152*MAX(0,X111-01_Supuestos!$C$153-01_Supuestos!$C$154-X59-0.05*SUM($C$51:X51))</f>
        <v>0.856769866123831</v>
      </c>
      <c r="Y136" s="116" t="n">
        <f aca="false">01_Supuestos!$C$152*MAX(0,Y111-01_Supuestos!$C$153-01_Supuestos!$C$154-Y59-0.05*SUM($C$51:Y51))</f>
        <v>0.878284385811889</v>
      </c>
      <c r="Z136" s="116" t="n">
        <f aca="false">01_Supuestos!$C$152*MAX(0,Z111-01_Supuestos!$C$153-01_Supuestos!$C$154-Z59-0.05*SUM($C$51:Z51))</f>
        <v>0.898676380315068</v>
      </c>
      <c r="AA136" s="116" t="n">
        <f aca="false">01_Supuestos!$C$152*MAX(0,AA111-01_Supuestos!$C$153-01_Supuestos!$C$154-AA59-0.05*SUM($C$51:AA51))</f>
        <v>0.917986325440875</v>
      </c>
      <c r="AB136" s="116" t="n">
        <f aca="false">01_Supuestos!$C$152*MAX(0,AB111-01_Supuestos!$C$153-01_Supuestos!$C$154-AB59-0.05*SUM($C$51:AB51))</f>
        <v>0.936252068612208</v>
      </c>
      <c r="AC136" s="116" t="n">
        <f aca="false">01_Supuestos!$C$152*MAX(0,AC111-01_Supuestos!$C$153-01_Supuestos!$C$154-AC59-0.05*SUM($C$51:AC51))</f>
        <v>0.953508999278695</v>
      </c>
      <c r="AD136" s="116" t="n">
        <f aca="false">01_Supuestos!$C$152*MAX(0,AD111-01_Supuestos!$C$153-01_Supuestos!$C$154-AD59-0.05*SUM($C$51:AD51))</f>
        <v>0.969790208292742</v>
      </c>
      <c r="AE136" s="116" t="n">
        <f aca="false">01_Supuestos!$C$152*MAX(0,AE111-01_Supuestos!$C$153-01_Supuestos!$C$154-AE59-0.05*SUM($C$51:AE51))</f>
        <v>0.985126636964244</v>
      </c>
      <c r="AF136" s="116" t="n">
        <f aca="false">01_Supuestos!$C$152*MAX(0,AF111-01_Supuestos!$C$153-01_Supuestos!$C$154-AF59-0.05*SUM($C$51:AF51))</f>
        <v>0.999547216461745</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0.3552009686713</v>
      </c>
      <c r="M139" s="116" t="n">
        <f aca="false">(1-M55)*M88</f>
        <v>0.386182008736574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0.514813624449973</v>
      </c>
      <c r="Y139" s="116" t="n">
        <f aca="false">(1-Y55)*Y88</f>
        <v>0.522113888537562</v>
      </c>
      <c r="Z139" s="116" t="n">
        <f aca="false">(1-Z55)*Z88</f>
        <v>0.529139296792965</v>
      </c>
      <c r="AA139" s="116" t="n">
        <f aca="false">(1-AA55)*AA88</f>
        <v>0.535916416193916</v>
      </c>
      <c r="AB139" s="116" t="n">
        <f aca="false">(1-AB55)*AB88</f>
        <v>0.542452052124764</v>
      </c>
      <c r="AC139" s="116" t="n">
        <f aca="false">(1-AC55)*AC88</f>
        <v>0.548824745670454</v>
      </c>
      <c r="AD139" s="116" t="n">
        <f aca="false">(1-AD55)*AD88</f>
        <v>0.555046560141896</v>
      </c>
      <c r="AE139" s="116" t="n">
        <f aca="false">(1-AE55)*AE88</f>
        <v>0.56111717022388</v>
      </c>
      <c r="AF139" s="116" t="n">
        <f aca="false">(1-AF55)*AF88</f>
        <v>0.567036258751058</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-17.8974782674412</v>
      </c>
      <c r="G140" s="116" t="n">
        <f aca="false">SUM(G133:G139)</f>
        <v>-17.9079300866619</v>
      </c>
      <c r="H140" s="116" t="n">
        <f aca="false">SUM(H133:H139)</f>
        <v>-17.9160261540253</v>
      </c>
      <c r="I140" s="116" t="n">
        <f aca="false">SUM(I133:I139)</f>
        <v>-17.9219122293364</v>
      </c>
      <c r="J140" s="116" t="n">
        <f aca="false">SUM(J133:J139)</f>
        <v>-17.9257245760947</v>
      </c>
      <c r="K140" s="116" t="n">
        <f aca="false">SUM(K133:K139)</f>
        <v>-17.9275905761207</v>
      </c>
      <c r="L140" s="116" t="n">
        <f aca="false">SUM(L133:L139)</f>
        <v>-17.9377241369199</v>
      </c>
      <c r="M140" s="116" t="n">
        <f aca="false">SUM(M133:M139)</f>
        <v>2.66284894754166</v>
      </c>
      <c r="N140" s="116" t="n">
        <f aca="false">SUM(N133:N139)</f>
        <v>2.66223914179718</v>
      </c>
      <c r="O140" s="116" t="n">
        <f aca="false">SUM(O133:O139)</f>
        <v>2.65138930472508</v>
      </c>
      <c r="P140" s="116" t="n">
        <f aca="false">SUM(P133:P139)</f>
        <v>2.66060368212582</v>
      </c>
      <c r="Q140" s="116" t="n">
        <f aca="false">SUM(Q133:Q139)</f>
        <v>2.66793953147702</v>
      </c>
      <c r="R140" s="116" t="n">
        <f aca="false">SUM(R133:R139)</f>
        <v>2.67295487543025</v>
      </c>
      <c r="S140" s="116" t="n">
        <f aca="false">SUM(S133:S139)</f>
        <v>2.67570293282979</v>
      </c>
      <c r="T140" s="116" t="n">
        <f aca="false">SUM(T133:T139)</f>
        <v>2.67623191985376</v>
      </c>
      <c r="U140" s="116" t="n">
        <f aca="false">SUM(U133:U139)</f>
        <v>2.67458533109069</v>
      </c>
      <c r="V140" s="116" t="n">
        <f aca="false">SUM(V133:V139)</f>
        <v>2.67080220142944</v>
      </c>
      <c r="W140" s="116" t="n">
        <f aca="false">SUM(W133:W139)</f>
        <v>2.664917349975</v>
      </c>
      <c r="X140" s="116" t="n">
        <f aca="false">SUM(X133:X139)</f>
        <v>2.65674601980465</v>
      </c>
      <c r="Y140" s="116" t="n">
        <f aca="false">SUM(Y133:Y139)</f>
        <v>2.6422010307545</v>
      </c>
      <c r="Z140" s="116" t="n">
        <f aca="false">SUM(Z133:Z139)</f>
        <v>2.62508836907334</v>
      </c>
      <c r="AA140" s="116" t="n">
        <f aca="false">SUM(AA133:AA139)</f>
        <v>2.60544840917486</v>
      </c>
      <c r="AB140" s="116" t="n">
        <f aca="false">SUM(AB133:AB139)</f>
        <v>2.58329839111791</v>
      </c>
      <c r="AC140" s="116" t="n">
        <f aca="false">SUM(AC133:AC139)</f>
        <v>2.5587240720324</v>
      </c>
      <c r="AD140" s="116" t="n">
        <f aca="false">SUM(AD133:AD139)</f>
        <v>2.53174165526448</v>
      </c>
      <c r="AE140" s="116" t="n">
        <f aca="false">SUM(AE133:AE139)</f>
        <v>2.50235201133613</v>
      </c>
      <c r="AF140" s="116" t="n">
        <f aca="false">SUM(AF133:AF139)</f>
        <v>2.47055319638251</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-1.30913548722144</v>
      </c>
      <c r="G141" s="116" t="n">
        <f aca="false">-G85*01_Supuestos!$I$126</f>
        <v>-1.36938762305575</v>
      </c>
      <c r="H141" s="116" t="n">
        <f aca="false">-H85*01_Supuestos!$I$126</f>
        <v>-1.42969971768206</v>
      </c>
      <c r="I141" s="116" t="n">
        <f aca="false">-I85*01_Supuestos!$I$126</f>
        <v>-1.49006877316077</v>
      </c>
      <c r="J141" s="116" t="n">
        <f aca="false">-J85*01_Supuestos!$I$126</f>
        <v>-1.55049194144926</v>
      </c>
      <c r="K141" s="116" t="n">
        <f aca="false">-K85*01_Supuestos!$I$126</f>
        <v>-1.61096651690704</v>
      </c>
      <c r="L141" s="116" t="n">
        <f aca="false">-L85*01_Supuestos!$I$126</f>
        <v>-1.67148992917565</v>
      </c>
      <c r="M141" s="116" t="n">
        <f aca="false">-M85*01_Supuestos!$I$126</f>
        <v>-1.33719194334052</v>
      </c>
      <c r="N141" s="116" t="n">
        <f aca="false">-N85*01_Supuestos!$I$126</f>
        <v>-1.11105103381842</v>
      </c>
      <c r="O141" s="116" t="n">
        <f aca="false">-O85*01_Supuestos!$I$126</f>
        <v>-1.14205941196678</v>
      </c>
      <c r="P141" s="116" t="n">
        <f aca="false">-P85*01_Supuestos!$I$126</f>
        <v>-1.16493700135397</v>
      </c>
      <c r="Q141" s="116" t="n">
        <f aca="false">-Q85*01_Supuestos!$I$126</f>
        <v>-1.18783195130639</v>
      </c>
      <c r="R141" s="116" t="n">
        <f aca="false">-R85*01_Supuestos!$I$126</f>
        <v>-1.21038823334864</v>
      </c>
      <c r="S141" s="116" t="n">
        <f aca="false">-S85*01_Supuestos!$I$126</f>
        <v>-1.23260756481937</v>
      </c>
      <c r="T141" s="116" t="n">
        <f aca="false">-T85*01_Supuestos!$I$126</f>
        <v>-1.25452900110305</v>
      </c>
      <c r="U141" s="116" t="n">
        <f aca="false">-U85*01_Supuestos!$I$126</f>
        <v>-1.27619056009987</v>
      </c>
      <c r="V141" s="116" t="n">
        <f aca="false">-V85*01_Supuestos!$I$126</f>
        <v>-1.29762997020443</v>
      </c>
      <c r="W141" s="116" t="n">
        <f aca="false">-W85*01_Supuestos!$I$126</f>
        <v>-1.3184544814568</v>
      </c>
      <c r="X141" s="116" t="n">
        <f aca="false">-X85*01_Supuestos!$I$126</f>
        <v>-1.33870286975051</v>
      </c>
      <c r="Y141" s="116" t="n">
        <f aca="false">-Y85*01_Supuestos!$I$126</f>
        <v>-1.35840370747397</v>
      </c>
      <c r="Z141" s="116" t="n">
        <f aca="false">-Z85*01_Supuestos!$I$126</f>
        <v>-1.37739172208309</v>
      </c>
      <c r="AA141" s="116" t="n">
        <f aca="false">-AA85*01_Supuestos!$I$126</f>
        <v>-1.39572670460869</v>
      </c>
      <c r="AB141" s="116" t="n">
        <f aca="false">-AB85*01_Supuestos!$I$126</f>
        <v>-1.41342661037536</v>
      </c>
      <c r="AC141" s="116" t="n">
        <f aca="false">-AC85*01_Supuestos!$I$126</f>
        <v>-1.43069832935838</v>
      </c>
      <c r="AD141" s="116" t="n">
        <f aca="false">-AD85*01_Supuestos!$I$126</f>
        <v>-1.44757366719534</v>
      </c>
      <c r="AE141" s="116" t="n">
        <f aca="false">-AE85*01_Supuestos!$I$126</f>
        <v>-1.46405180224211</v>
      </c>
      <c r="AF141" s="116" t="n">
        <f aca="false">-AF85*01_Supuestos!$I$126</f>
        <v>-1.48013193556015</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0.883666453874474</v>
      </c>
      <c r="G142" s="116" t="n">
        <f aca="false">G85*01_Supuestos!$I$101</f>
        <v>0.924336645562633</v>
      </c>
      <c r="H142" s="116" t="n">
        <f aca="false">H85*01_Supuestos!$I$101</f>
        <v>0.965047309435392</v>
      </c>
      <c r="I142" s="116" t="n">
        <f aca="false">I85*01_Supuestos!$I$101</f>
        <v>1.00579642188352</v>
      </c>
      <c r="J142" s="116" t="n">
        <f aca="false">J85*01_Supuestos!$I$101</f>
        <v>1.04658206047825</v>
      </c>
      <c r="K142" s="116" t="n">
        <f aca="false">K85*01_Supuestos!$I$101</f>
        <v>1.08740239891225</v>
      </c>
      <c r="L142" s="116" t="n">
        <f aca="false">L85*01_Supuestos!$I$101</f>
        <v>1.12825570219356</v>
      </c>
      <c r="M142" s="116" t="n">
        <f aca="false">M85*01_Supuestos!$I$101</f>
        <v>0.902604561754851</v>
      </c>
      <c r="N142" s="116" t="n">
        <f aca="false">N85*01_Supuestos!$I$101</f>
        <v>0.74995944782743</v>
      </c>
      <c r="O142" s="116" t="n">
        <f aca="false">O85*01_Supuestos!$I$101</f>
        <v>0.770890103077574</v>
      </c>
      <c r="P142" s="116" t="n">
        <f aca="false">P85*01_Supuestos!$I$101</f>
        <v>0.78633247591393</v>
      </c>
      <c r="Q142" s="116" t="n">
        <f aca="false">Q85*01_Supuestos!$I$101</f>
        <v>0.801786567131811</v>
      </c>
      <c r="R142" s="116" t="n">
        <f aca="false">R85*01_Supuestos!$I$101</f>
        <v>0.817012057510334</v>
      </c>
      <c r="S142" s="116" t="n">
        <f aca="false">S85*01_Supuestos!$I$101</f>
        <v>0.832010106253078</v>
      </c>
      <c r="T142" s="116" t="n">
        <f aca="false">T85*01_Supuestos!$I$101</f>
        <v>0.846807075744561</v>
      </c>
      <c r="U142" s="116" t="n">
        <f aca="false">U85*01_Supuestos!$I$101</f>
        <v>0.861428628067412</v>
      </c>
      <c r="V142" s="116" t="n">
        <f aca="false">V85*01_Supuestos!$I$101</f>
        <v>0.875900229887992</v>
      </c>
      <c r="W142" s="116" t="n">
        <f aca="false">W85*01_Supuestos!$I$101</f>
        <v>0.889956774983337</v>
      </c>
      <c r="X142" s="116" t="n">
        <f aca="false">X85*01_Supuestos!$I$101</f>
        <v>0.903624437081592</v>
      </c>
      <c r="Y142" s="116" t="n">
        <f aca="false">Y85*01_Supuestos!$I$101</f>
        <v>0.916922502544933</v>
      </c>
      <c r="Z142" s="116" t="n">
        <f aca="false">Z85*01_Supuestos!$I$101</f>
        <v>0.929739412406083</v>
      </c>
      <c r="AA142" s="116" t="n">
        <f aca="false">AA85*01_Supuestos!$I$101</f>
        <v>0.942115525610864</v>
      </c>
      <c r="AB142" s="116" t="n">
        <f aca="false">AB85*01_Supuestos!$I$101</f>
        <v>0.95406296200337</v>
      </c>
      <c r="AC142" s="116" t="n">
        <f aca="false">AC85*01_Supuestos!$I$101</f>
        <v>0.965721372316906</v>
      </c>
      <c r="AD142" s="116" t="n">
        <f aca="false">AD85*01_Supuestos!$I$101</f>
        <v>0.977112225356853</v>
      </c>
      <c r="AE142" s="116" t="n">
        <f aca="false">AE85*01_Supuestos!$I$101</f>
        <v>0.988234966513427</v>
      </c>
      <c r="AF142" s="116" t="n">
        <f aca="false">AF85*01_Supuestos!$I$101</f>
        <v>0.999089056503102</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-18.3229473007882</v>
      </c>
      <c r="G148" s="136" t="n">
        <f aca="false">G140+G141+G142+G144+G145+G146+G147</f>
        <v>-18.3529810641551</v>
      </c>
      <c r="H148" s="136" t="n">
        <f aca="false">H140+H141+H142+H144+H145+H146+H147</f>
        <v>-18.3806785622719</v>
      </c>
      <c r="I148" s="136" t="n">
        <f aca="false">I140+I141+I142+I144+I145+I146+I147</f>
        <v>-18.4061845806136</v>
      </c>
      <c r="J148" s="136" t="n">
        <f aca="false">J140+J141+J142+J144+J145+J146+J147</f>
        <v>-18.4296344570657</v>
      </c>
      <c r="K148" s="136" t="n">
        <f aca="false">K140+K141+K142+K144+K145+K146+K147</f>
        <v>-18.4511546941155</v>
      </c>
      <c r="L148" s="136" t="n">
        <f aca="false">L140+L141+L142+L144+L145+L146+L147</f>
        <v>-18.480958363902</v>
      </c>
      <c r="M148" s="136" t="n">
        <f aca="false">M140+M141+M142+M144+M145+M146+M147</f>
        <v>2.22826156595599</v>
      </c>
      <c r="N148" s="136" t="n">
        <f aca="false">N140+N141+N142+N144+N145+N146+N147</f>
        <v>2.3011475558062</v>
      </c>
      <c r="O148" s="136" t="n">
        <f aca="false">O140+O141+O142+O144+O145+O146+O147</f>
        <v>2.28021999583588</v>
      </c>
      <c r="P148" s="136" t="n">
        <f aca="false">P140+P141+P142+P144+P145+P146+P147</f>
        <v>2.28199915668578</v>
      </c>
      <c r="Q148" s="136" t="n">
        <f aca="false">Q140+Q141+Q142+Q144+Q145+Q146+Q147</f>
        <v>2.28189414730244</v>
      </c>
      <c r="R148" s="136" t="n">
        <f aca="false">R140+R141+R142+R144+R145+R146+R147</f>
        <v>2.27957869959194</v>
      </c>
      <c r="S148" s="136" t="n">
        <f aca="false">S140+S141+S142+S144+S145+S146+S147</f>
        <v>2.27510547426349</v>
      </c>
      <c r="T148" s="136" t="n">
        <f aca="false">T140+T141+T142+T144+T145+T146+T147</f>
        <v>2.26850999449527</v>
      </c>
      <c r="U148" s="136" t="n">
        <f aca="false">U140+U141+U142+U144+U145+U146+U147</f>
        <v>2.25982339905823</v>
      </c>
      <c r="V148" s="136" t="n">
        <f aca="false">V140+V141+V142+V144+V145+V146+V147</f>
        <v>2.249072461113</v>
      </c>
      <c r="W148" s="136" t="n">
        <f aca="false">W140+W141+W142+W144+W145+W146+W147</f>
        <v>2.23641964350154</v>
      </c>
      <c r="X148" s="136" t="n">
        <f aca="false">X140+X141+X142+X144+X145+X146+X147</f>
        <v>2.22166758713573</v>
      </c>
      <c r="Y148" s="136" t="n">
        <f aca="false">Y140+Y141+Y142+Y144+Y145+Y146+Y147</f>
        <v>2.20071982582546</v>
      </c>
      <c r="Z148" s="136" t="n">
        <f aca="false">Z140+Z141+Z142+Z144+Z145+Z146+Z147</f>
        <v>2.17743605939634</v>
      </c>
      <c r="AA148" s="136" t="n">
        <f aca="false">AA140+AA141+AA142+AA144+AA145+AA146+AA147</f>
        <v>2.15183723017704</v>
      </c>
      <c r="AB148" s="136" t="n">
        <f aca="false">AB140+AB141+AB142+AB144+AB145+AB146+AB147</f>
        <v>2.12393474274592</v>
      </c>
      <c r="AC148" s="136" t="n">
        <f aca="false">AC140+AC141+AC142+AC144+AC145+AC146+AC147</f>
        <v>2.09374711499093</v>
      </c>
      <c r="AD148" s="136" t="n">
        <f aca="false">AD140+AD141+AD142+AD144+AD145+AD146+AD147</f>
        <v>2.06128021342599</v>
      </c>
      <c r="AE148" s="136" t="n">
        <f aca="false">AE140+AE141+AE142+AE144+AE145+AE146+AE147</f>
        <v>2.02653517560744</v>
      </c>
      <c r="AF148" s="136" t="n">
        <f aca="false">AF140+AF141+AF142+AF144+AF145+AF146+AF147</f>
        <v>1.98951031732546</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-74.9598494115226</v>
      </c>
      <c r="G149" s="138" t="n">
        <f aca="false">F149+G148</f>
        <v>-93.3128304756776</v>
      </c>
      <c r="H149" s="138" t="n">
        <f aca="false">G149+H148</f>
        <v>-111.69350903795</v>
      </c>
      <c r="I149" s="138" t="n">
        <f aca="false">H149+I148</f>
        <v>-130.099693618563</v>
      </c>
      <c r="J149" s="138" t="n">
        <f aca="false">I149+J148</f>
        <v>-148.529328075629</v>
      </c>
      <c r="K149" s="138" t="n">
        <f aca="false">J149+K148</f>
        <v>-166.980482769744</v>
      </c>
      <c r="L149" s="138" t="n">
        <f aca="false">K149+L148</f>
        <v>-185.461441133646</v>
      </c>
      <c r="M149" s="138" t="n">
        <f aca="false">L149+M148</f>
        <v>-183.23317956769</v>
      </c>
      <c r="N149" s="138" t="n">
        <f aca="false">M149+N148</f>
        <v>-180.932032011884</v>
      </c>
      <c r="O149" s="138" t="n">
        <f aca="false">N149+O148</f>
        <v>-178.651812016048</v>
      </c>
      <c r="P149" s="138" t="n">
        <f aca="false">O149+P148</f>
        <v>-176.369812859363</v>
      </c>
      <c r="Q149" s="138" t="n">
        <f aca="false">P149+Q148</f>
        <v>-174.08791871206</v>
      </c>
      <c r="R149" s="138" t="n">
        <f aca="false">Q149+R148</f>
        <v>-171.808340012468</v>
      </c>
      <c r="S149" s="138" t="n">
        <f aca="false">R149+S148</f>
        <v>-169.533234538205</v>
      </c>
      <c r="T149" s="138" t="n">
        <f aca="false">S149+T148</f>
        <v>-167.264724543709</v>
      </c>
      <c r="U149" s="138" t="n">
        <f aca="false">T149+U148</f>
        <v>-165.004901144651</v>
      </c>
      <c r="V149" s="138" t="n">
        <f aca="false">U149+V148</f>
        <v>-162.755828683538</v>
      </c>
      <c r="W149" s="138" t="n">
        <f aca="false">V149+W148</f>
        <v>-160.519409040037</v>
      </c>
      <c r="X149" s="138" t="n">
        <f aca="false">W149+X148</f>
        <v>-158.297741452901</v>
      </c>
      <c r="Y149" s="138" t="n">
        <f aca="false">X149+Y148</f>
        <v>-156.097021627075</v>
      </c>
      <c r="Z149" s="138" t="n">
        <f aca="false">Y149+Z148</f>
        <v>-153.919585567679</v>
      </c>
      <c r="AA149" s="138" t="n">
        <f aca="false">Z149+AA148</f>
        <v>-151.767748337502</v>
      </c>
      <c r="AB149" s="138" t="n">
        <f aca="false">AA149+AB148</f>
        <v>-149.643813594756</v>
      </c>
      <c r="AC149" s="138" t="n">
        <f aca="false">AB149+AC148</f>
        <v>-147.550066479765</v>
      </c>
      <c r="AD149" s="138" t="n">
        <f aca="false">AC149+AD148</f>
        <v>-145.488786266339</v>
      </c>
      <c r="AE149" s="138" t="n">
        <f aca="false">AD149+AE148</f>
        <v>-143.462251090732</v>
      </c>
      <c r="AF149" s="138" t="n">
        <f aca="false">AE149+AF148</f>
        <v>-141.472740773406</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140.326308610884</v>
      </c>
      <c r="M152" s="116" t="n">
        <f aca="false">M83</f>
        <v>152.565731846548</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203.383160276532</v>
      </c>
      <c r="Y152" s="116" t="n">
        <f aca="false">Y83</f>
        <v>206.267215224716</v>
      </c>
      <c r="Z152" s="116" t="n">
        <f aca="false">Z83</f>
        <v>209.042685152776</v>
      </c>
      <c r="AA152" s="116" t="n">
        <f aca="false">AA83</f>
        <v>211.720065656855</v>
      </c>
      <c r="AB152" s="116" t="n">
        <f aca="false">AB83</f>
        <v>214.302045283858</v>
      </c>
      <c r="AC152" s="116" t="n">
        <f aca="false">AC83</f>
        <v>216.81965261055</v>
      </c>
      <c r="AD152" s="116" t="n">
        <f aca="false">AD83</f>
        <v>219.277653389391</v>
      </c>
      <c r="AE152" s="116" t="n">
        <f aca="false">AE83</f>
        <v>221.675919100792</v>
      </c>
      <c r="AF152" s="116" t="n">
        <f aca="false">AF83</f>
        <v>224.014324444862</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18.8578715255064</v>
      </c>
      <c r="D153" s="116" t="n">
        <f aca="false">D120</f>
        <v>34.8969918936973</v>
      </c>
      <c r="E153" s="116" t="n">
        <f aca="false">E120</f>
        <v>52.6215273518786</v>
      </c>
      <c r="F153" s="116" t="n">
        <f aca="false">F120</f>
        <v>60.918684751518</v>
      </c>
      <c r="G153" s="116" t="n">
        <f aca="false">G120</f>
        <v>71.4098772932602</v>
      </c>
      <c r="H153" s="116" t="n">
        <f aca="false">H120</f>
        <v>83.4205392896249</v>
      </c>
      <c r="I153" s="116" t="n">
        <f aca="false">I120</f>
        <v>97.0596692152014</v>
      </c>
      <c r="J153" s="116" t="n">
        <f aca="false">J120</f>
        <v>111.896228739425</v>
      </c>
      <c r="K153" s="116" t="n">
        <f aca="false">K120</f>
        <v>127.966244151939</v>
      </c>
      <c r="L153" s="116" t="n">
        <f aca="false">L120</f>
        <v>145.325577931944</v>
      </c>
      <c r="M153" s="116" t="n">
        <f aca="false">M120</f>
        <v>145.031911741383</v>
      </c>
      <c r="N153" s="116" t="n">
        <f aca="false">N120</f>
        <v>145.813988411548</v>
      </c>
      <c r="O153" s="116" t="n">
        <f aca="false">O120</f>
        <v>148.068214293744</v>
      </c>
      <c r="P153" s="116" t="n">
        <f aca="false">P120</f>
        <v>149.600346075042</v>
      </c>
      <c r="Q153" s="116" t="n">
        <f aca="false">Q120</f>
        <v>150.804514802042</v>
      </c>
      <c r="R153" s="116" t="n">
        <f aca="false">R120</f>
        <v>152.051633759077</v>
      </c>
      <c r="S153" s="116" t="n">
        <f aca="false">S120</f>
        <v>153.336720005098</v>
      </c>
      <c r="T153" s="116" t="n">
        <f aca="false">T120</f>
        <v>154.660733866034</v>
      </c>
      <c r="U153" s="116" t="n">
        <f aca="false">U120</f>
        <v>156.024337265203</v>
      </c>
      <c r="V153" s="116" t="n">
        <f aca="false">V120</f>
        <v>157.428189283134</v>
      </c>
      <c r="W153" s="116" t="n">
        <f aca="false">W120</f>
        <v>158.875312876379</v>
      </c>
      <c r="X153" s="116" t="n">
        <f aca="false">X120</f>
        <v>160.376363907942</v>
      </c>
      <c r="Y153" s="116" t="n">
        <f aca="false">Y120</f>
        <v>162.107310349478</v>
      </c>
      <c r="Z153" s="116" t="n">
        <f aca="false">Z120</f>
        <v>163.821462175136</v>
      </c>
      <c r="AA153" s="116" t="n">
        <f aca="false">AA120</f>
        <v>165.545791457918</v>
      </c>
      <c r="AB153" s="116" t="n">
        <f aca="false">AB120</f>
        <v>167.26355696702</v>
      </c>
      <c r="AC153" s="116" t="n">
        <f aca="false">AC120</f>
        <v>168.96976235143</v>
      </c>
      <c r="AD153" s="116" t="n">
        <f aca="false">AD120</f>
        <v>170.674928678844</v>
      </c>
      <c r="AE153" s="116" t="n">
        <f aca="false">AE120</f>
        <v>172.389984669042</v>
      </c>
      <c r="AF153" s="116" t="n">
        <f aca="false">AF120</f>
        <v>174.125166427436</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6.81841399594502</v>
      </c>
      <c r="G154" s="116" t="n">
        <f aca="false">G104</f>
        <v>7.13222720341538</v>
      </c>
      <c r="H154" s="116" t="n">
        <f aca="false">H104</f>
        <v>7.44635269626074</v>
      </c>
      <c r="I154" s="116" t="n">
        <f aca="false">I104</f>
        <v>7.76077486021236</v>
      </c>
      <c r="J154" s="116" t="n">
        <f aca="false">J104</f>
        <v>8.07547886171491</v>
      </c>
      <c r="K154" s="116" t="n">
        <f aca="false">K104</f>
        <v>8.39045060889085</v>
      </c>
      <c r="L154" s="116" t="n">
        <f aca="false">L104</f>
        <v>8.70567671445651</v>
      </c>
      <c r="M154" s="116" t="n">
        <f aca="false">M104</f>
        <v>8.98272141161009</v>
      </c>
      <c r="N154" s="116" t="n">
        <f aca="false">N104</f>
        <v>9.25875861515346</v>
      </c>
      <c r="O154" s="116" t="n">
        <f aca="false">O104</f>
        <v>9.5171617663898</v>
      </c>
      <c r="P154" s="116" t="n">
        <f aca="false">P104</f>
        <v>9.70780834461642</v>
      </c>
      <c r="Q154" s="116" t="n">
        <f aca="false">Q104</f>
        <v>9.89859959421989</v>
      </c>
      <c r="R154" s="116" t="n">
        <f aca="false">R104</f>
        <v>10.0865686112387</v>
      </c>
      <c r="S154" s="116" t="n">
        <f aca="false">S104</f>
        <v>10.2717297068281</v>
      </c>
      <c r="T154" s="116" t="n">
        <f aca="false">T104</f>
        <v>10.4544083425255</v>
      </c>
      <c r="U154" s="116" t="n">
        <f aca="false">U104</f>
        <v>10.6349213341656</v>
      </c>
      <c r="V154" s="116" t="n">
        <f aca="false">V104</f>
        <v>10.8135830850369</v>
      </c>
      <c r="W154" s="116" t="n">
        <f aca="false">W104</f>
        <v>10.9871206788066</v>
      </c>
      <c r="X154" s="116" t="n">
        <f aca="false">X104</f>
        <v>11.1558572479209</v>
      </c>
      <c r="Y154" s="116" t="n">
        <f aca="false">Y104</f>
        <v>11.3200308956165</v>
      </c>
      <c r="Z154" s="116" t="n">
        <f aca="false">Z104</f>
        <v>11.4782643506924</v>
      </c>
      <c r="AA154" s="116" t="n">
        <f aca="false">AA104</f>
        <v>11.6310558717391</v>
      </c>
      <c r="AB154" s="116" t="n">
        <f aca="false">AB104</f>
        <v>11.7785550864614</v>
      </c>
      <c r="AC154" s="116" t="n">
        <f aca="false">AC104</f>
        <v>11.9224860779865</v>
      </c>
      <c r="AD154" s="116" t="n">
        <f aca="false">AD104</f>
        <v>12.0631138932945</v>
      </c>
      <c r="AE154" s="116" t="n">
        <f aca="false">AE104</f>
        <v>12.200431685351</v>
      </c>
      <c r="AF154" s="116" t="n">
        <f aca="false">AF104</f>
        <v>12.3344327963346</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52.9916758096682</v>
      </c>
      <c r="G155" s="116" t="n">
        <f aca="false">G70+G121-G227</f>
        <v>60.0055973515782</v>
      </c>
      <c r="H155" s="116" t="n">
        <f aca="false">H70+H121-H227</f>
        <v>67.0195188934882</v>
      </c>
      <c r="I155" s="116" t="n">
        <f aca="false">I70+I121-I227</f>
        <v>74.0334404353982</v>
      </c>
      <c r="J155" s="116" t="n">
        <f aca="false">J70+J121-J227</f>
        <v>81.0473619773081</v>
      </c>
      <c r="K155" s="116" t="n">
        <f aca="false">K70+K121-K227</f>
        <v>88.0612835192181</v>
      </c>
      <c r="L155" s="116" t="n">
        <f aca="false">L70+L121-L227</f>
        <v>95.3370153678332</v>
      </c>
      <c r="M155" s="116" t="n">
        <f aca="false">M70+M121-M227</f>
        <v>99.3876637294663</v>
      </c>
      <c r="N155" s="116" t="n">
        <f aca="false">N70+N121-N227</f>
        <v>103.593175417275</v>
      </c>
      <c r="O155" s="116" t="n">
        <f aca="false">O70+O121-O227</f>
        <v>107.727901235881</v>
      </c>
      <c r="P155" s="116" t="n">
        <f aca="false">P70+P121-P227</f>
        <v>111.72197228945</v>
      </c>
      <c r="Q155" s="116" t="n">
        <f aca="false">Q70+Q121-Q227</f>
        <v>115.560916752908</v>
      </c>
      <c r="R155" s="116" t="n">
        <f aca="false">R70+R121-R227</f>
        <v>119.249402484897</v>
      </c>
      <c r="S155" s="116" t="n">
        <f aca="false">S70+S121-S227</f>
        <v>122.804535889038</v>
      </c>
      <c r="T155" s="116" t="n">
        <f aca="false">T70+T121-T227</f>
        <v>126.243071401761</v>
      </c>
      <c r="U155" s="116" t="n">
        <f aca="false">U70+U121-U227</f>
        <v>129.581662117005</v>
      </c>
      <c r="V155" s="116" t="n">
        <f aca="false">V70+V121-V227</f>
        <v>132.836888594192</v>
      </c>
      <c r="W155" s="116" t="n">
        <f aca="false">W70+W121-W227</f>
        <v>136.025611357568</v>
      </c>
      <c r="X155" s="116" t="n">
        <f aca="false">X70+X121-X227</f>
        <v>139.161283854121</v>
      </c>
      <c r="Y155" s="116" t="n">
        <f aca="false">Y70+Y121-Y227</f>
        <v>142.192739669984</v>
      </c>
      <c r="Z155" s="116" t="n">
        <f aca="false">Z70+Z121-Z227</f>
        <v>145.143829699614</v>
      </c>
      <c r="AA155" s="116" t="n">
        <f aca="false">AA70+AA121-AA227</f>
        <v>148.021053292584</v>
      </c>
      <c r="AB155" s="116" t="n">
        <f aca="false">AB70+AB121-AB227</f>
        <v>150.893886064231</v>
      </c>
      <c r="AC155" s="116" t="n">
        <f aca="false">AC70+AC121-AC227</f>
        <v>153.773441169198</v>
      </c>
      <c r="AD155" s="116" t="n">
        <f aca="false">AD70+AD121-AD227</f>
        <v>156.659955905849</v>
      </c>
      <c r="AE155" s="116" t="n">
        <f aca="false">AE70+AE121-AE227</f>
        <v>159.553675949185</v>
      </c>
      <c r="AF155" s="116" t="n">
        <f aca="false">AF70+AF121-AF227</f>
        <v>162.45485564653</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39.7378715255064</v>
      </c>
      <c r="D156" s="136" t="n">
        <f aca="false">SUM(D152:D155)+D187</f>
        <v>79.7485851464887</v>
      </c>
      <c r="E156" s="136" t="n">
        <f aca="false">SUM(E152:E155)+E187</f>
        <v>120.540525534269</v>
      </c>
      <c r="F156" s="136" t="n">
        <f aca="false">SUM(F152:F155)+F187</f>
        <v>207.953134738531</v>
      </c>
      <c r="G156" s="136" t="n">
        <f aca="false">SUM(G152:G155)+G187</f>
        <v>249.320961306986</v>
      </c>
      <c r="H156" s="136" t="n">
        <f aca="false">SUM(H152:H155)+H187</f>
        <v>284.207455305657</v>
      </c>
      <c r="I156" s="136" t="n">
        <f aca="false">SUM(I152:I155)+I187</f>
        <v>321.080312958899</v>
      </c>
      <c r="J156" s="136" t="n">
        <f aca="false">SUM(J152:J155)+J187</f>
        <v>359.516705880841</v>
      </c>
      <c r="K156" s="136" t="n">
        <f aca="false">SUM(K152:K155)+K187</f>
        <v>399.561060217396</v>
      </c>
      <c r="L156" s="136" t="n">
        <f aca="false">SUM(L152:L155)+L187</f>
        <v>437.551560973755</v>
      </c>
      <c r="M156" s="136" t="n">
        <f aca="false">SUM(M152:M155)+M187</f>
        <v>454.925721671663</v>
      </c>
      <c r="N156" s="136" t="n">
        <f aca="false">SUM(N152:N155)+N187</f>
        <v>470.833768750238</v>
      </c>
      <c r="O156" s="136" t="n">
        <f aca="false">SUM(O152:O155)+O187</f>
        <v>482.36098406732</v>
      </c>
      <c r="P156" s="136" t="n">
        <f aca="false">SUM(P152:P155)+P187</f>
        <v>493.069930736154</v>
      </c>
      <c r="Q156" s="136" t="n">
        <f aca="false">SUM(Q152:Q155)+Q187</f>
        <v>503.410750668837</v>
      </c>
      <c r="R156" s="136" t="n">
        <f aca="false">SUM(R152:R155)+R187</f>
        <v>513.758698923833</v>
      </c>
      <c r="S156" s="136" t="n">
        <f aca="false">SUM(S152:S155)+S187</f>
        <v>524.128614833162</v>
      </c>
      <c r="T156" s="136" t="n">
        <f aca="false">SUM(T152:T155)+T187</f>
        <v>534.541302314859</v>
      </c>
      <c r="U156" s="136" t="n">
        <f aca="false">SUM(U152:U155)+U187</f>
        <v>545.017220461117</v>
      </c>
      <c r="V156" s="136" t="n">
        <f aca="false">SUM(V152:V155)+V187</f>
        <v>555.576815601235</v>
      </c>
      <c r="W156" s="136" t="n">
        <f aca="false">SUM(W152:W155)+W187</f>
        <v>566.23965710832</v>
      </c>
      <c r="X156" s="136" t="n">
        <f aca="false">SUM(X152:X155)+X187</f>
        <v>576.948033987221</v>
      </c>
      <c r="Y156" s="136" t="n">
        <f aca="false">SUM(Y152:Y155)+Y187</f>
        <v>586.204706320616</v>
      </c>
      <c r="Z156" s="136" t="n">
        <f aca="false">SUM(Z152:Z155)+Z187</f>
        <v>595.282951993199</v>
      </c>
      <c r="AA156" s="136" t="n">
        <f aca="false">SUM(AA152:AA155)+AA187</f>
        <v>604.228001238222</v>
      </c>
      <c r="AB156" s="136" t="n">
        <f aca="false">SUM(AB152:AB155)+AB187</f>
        <v>613.096209164755</v>
      </c>
      <c r="AC156" s="136" t="n">
        <f aca="false">SUM(AC152:AC155)+AC187</f>
        <v>621.927245784902</v>
      </c>
      <c r="AD156" s="136" t="n">
        <f aca="false">SUM(AD152:AD155)+AD187</f>
        <v>630.737719225359</v>
      </c>
      <c r="AE156" s="136" t="n">
        <f aca="false">SUM(AE152:AE155)+AE187</f>
        <v>639.539506311583</v>
      </c>
      <c r="AF156" s="136" t="n">
        <f aca="false">SUM(AF152:AF155)+AF187</f>
        <v>648.343822605242</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272.736559837801</v>
      </c>
      <c r="G157" s="116" t="n">
        <f aca="false">G69+G80+G121</f>
        <v>285.289088136615</v>
      </c>
      <c r="H157" s="116" t="n">
        <f aca="false">H69+H80+H121</f>
        <v>297.85410785043</v>
      </c>
      <c r="I157" s="116" t="n">
        <f aca="false">I69+I80+I121</f>
        <v>310.430994408494</v>
      </c>
      <c r="J157" s="116" t="n">
        <f aca="false">J69+J80+J121</f>
        <v>323.019154468596</v>
      </c>
      <c r="K157" s="116" t="n">
        <f aca="false">K69+K80+K121</f>
        <v>335.618024355634</v>
      </c>
      <c r="L157" s="116" t="n">
        <f aca="false">L69+L80+L121</f>
        <v>348.488878884965</v>
      </c>
      <c r="M157" s="116" t="n">
        <f aca="false">M69+M80+M121</f>
        <v>360.563931002846</v>
      </c>
      <c r="N157" s="116" t="n">
        <f aca="false">N69+N80+N121</f>
        <v>371.756287378318</v>
      </c>
      <c r="O157" s="116" t="n">
        <f aca="false">O69+O80+O121</f>
        <v>382.017491439366</v>
      </c>
      <c r="P157" s="116" t="n">
        <f aca="false">P69+P80+P121</f>
        <v>389.498417679186</v>
      </c>
      <c r="Q157" s="116" t="n">
        <f aca="false">Q69+Q80+Q121</f>
        <v>396.970507790019</v>
      </c>
      <c r="R157" s="116" t="n">
        <f aca="false">R69+R80+R121</f>
        <v>404.334219961212</v>
      </c>
      <c r="S157" s="116" t="n">
        <f aca="false">S69+S80+S121</f>
        <v>411.602559659682</v>
      </c>
      <c r="T157" s="116" t="n">
        <f aca="false">T69+T80+T121</f>
        <v>418.788187660457</v>
      </c>
      <c r="U157" s="116" t="n">
        <f aca="false">U69+U80+U121</f>
        <v>425.903669333273</v>
      </c>
      <c r="V157" s="116" t="n">
        <f aca="false">V69+V80+V121</f>
        <v>432.961502144964</v>
      </c>
      <c r="W157" s="116" t="n">
        <f aca="false">W69+W80+W121</f>
        <v>439.831043060462</v>
      </c>
      <c r="X157" s="116" t="n">
        <f aca="false">X69+X80+X121</f>
        <v>446.521803729742</v>
      </c>
      <c r="Y157" s="116" t="n">
        <f aca="false">Y69+Y80+Y121</f>
        <v>452.978681618861</v>
      </c>
      <c r="Z157" s="116" t="n">
        <f aca="false">Z69+Z80+Z121</f>
        <v>459.221596145421</v>
      </c>
      <c r="AA157" s="116" t="n">
        <f aca="false">AA69+AA80+AA121</f>
        <v>465.253118816857</v>
      </c>
      <c r="AB157" s="116" t="n">
        <f aca="false">AB69+AB80+AB121</f>
        <v>471.142203458454</v>
      </c>
      <c r="AC157" s="116" t="n">
        <f aca="false">AC69+AC80+AC121</f>
        <v>476.89944311946</v>
      </c>
      <c r="AD157" s="116" t="n">
        <f aca="false">AD69+AD80+AD121</f>
        <v>482.524555731779</v>
      </c>
      <c r="AE157" s="116" t="n">
        <f aca="false">AE69+AE80+AE121</f>
        <v>488.017267414038</v>
      </c>
      <c r="AF157" s="116" t="n">
        <f aca="false">AF69+AF80+AF121</f>
        <v>493.377311853384</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40.9900437402988</v>
      </c>
      <c r="E159" s="116" t="n">
        <f aca="false">E72</f>
        <v>62.6850171515163</v>
      </c>
      <c r="F159" s="116" t="n">
        <f aca="false">F72</f>
        <v>86.6714790482658</v>
      </c>
      <c r="G159" s="116" t="n">
        <f aca="false">G72</f>
        <v>108.902091553942</v>
      </c>
      <c r="H159" s="116" t="n">
        <f aca="false">H72</f>
        <v>123.536095831784</v>
      </c>
      <c r="I159" s="116" t="n">
        <f aca="false">I72</f>
        <v>138.997192377146</v>
      </c>
      <c r="J159" s="116" t="n">
        <f aca="false">J72</f>
        <v>154.812805363386</v>
      </c>
      <c r="K159" s="116" t="n">
        <f aca="false">K72</f>
        <v>170.991086086182</v>
      </c>
      <c r="L159" s="116" t="n">
        <f aca="false">L72</f>
        <v>183.991778208981</v>
      </c>
      <c r="M159" s="116" t="n">
        <f aca="false">M72</f>
        <v>195.945600082965</v>
      </c>
      <c r="N159" s="116" t="n">
        <f aca="false">N72</f>
        <v>206.244202749884</v>
      </c>
      <c r="O159" s="116" t="n">
        <f aca="false">O72</f>
        <v>212.197661206418</v>
      </c>
      <c r="P159" s="116" t="n">
        <f aca="false">P72</f>
        <v>217.43753000369</v>
      </c>
      <c r="Q159" s="116" t="n">
        <f aca="false">Q72</f>
        <v>222.427523484474</v>
      </c>
      <c r="R159" s="116" t="n">
        <f aca="false">R72</f>
        <v>227.537306969327</v>
      </c>
      <c r="S159" s="116" t="n">
        <f aca="false">S72</f>
        <v>232.763668460409</v>
      </c>
      <c r="T159" s="116" t="n">
        <f aca="false">T72</f>
        <v>238.109688889923</v>
      </c>
      <c r="U159" s="116" t="n">
        <f aca="false">U72</f>
        <v>243.57818149299</v>
      </c>
      <c r="V159" s="116" t="n">
        <f aca="false">V72</f>
        <v>249.171994457277</v>
      </c>
      <c r="W159" s="116" t="n">
        <f aca="false">W72</f>
        <v>254.892793609876</v>
      </c>
      <c r="X159" s="116" t="n">
        <f aca="false">X72</f>
        <v>260.668345411335</v>
      </c>
      <c r="Y159" s="116" t="n">
        <f aca="false">Y72</f>
        <v>265.051480533456</v>
      </c>
      <c r="Z159" s="116" t="n">
        <f aca="false">Z72</f>
        <v>269.290502746113</v>
      </c>
      <c r="AA159" s="116" t="n">
        <f aca="false">AA72</f>
        <v>273.422991632113</v>
      </c>
      <c r="AB159" s="116" t="n">
        <f aca="false">AB72</f>
        <v>277.496859594943</v>
      </c>
      <c r="AC159" s="116" t="n">
        <f aca="false">AC72</f>
        <v>281.541490287973</v>
      </c>
      <c r="AD159" s="116" t="n">
        <f aca="false">AD72</f>
        <v>285.563381717131</v>
      </c>
      <c r="AE159" s="116" t="n">
        <f aca="false">AE72</f>
        <v>289.56420563293</v>
      </c>
      <c r="AF159" s="116" t="n">
        <f aca="false">AF72</f>
        <v>293.544815725727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138.228813851955</v>
      </c>
      <c r="E160" s="136" t="n">
        <f aca="false">SUM(E157:E159)</f>
        <v>193.79585295915</v>
      </c>
      <c r="F160" s="136" t="n">
        <f aca="false">SUM(F157:F159)</f>
        <v>359.408038886067</v>
      </c>
      <c r="G160" s="136" t="n">
        <f aca="false">SUM(G157:G159)</f>
        <v>394.191179690558</v>
      </c>
      <c r="H160" s="136" t="n">
        <f aca="false">SUM(H157:H159)</f>
        <v>421.390203682214</v>
      </c>
      <c r="I160" s="136" t="n">
        <f aca="false">SUM(I157:I159)</f>
        <v>449.42818678564</v>
      </c>
      <c r="J160" s="136" t="n">
        <f aca="false">SUM(J157:J159)</f>
        <v>477.831959831982</v>
      </c>
      <c r="K160" s="136" t="n">
        <f aca="false">SUM(K157:K159)</f>
        <v>506.609110441816</v>
      </c>
      <c r="L160" s="136" t="n">
        <f aca="false">SUM(L157:L159)</f>
        <v>532.480657093946</v>
      </c>
      <c r="M160" s="136" t="n">
        <f aca="false">SUM(M157:M159)</f>
        <v>556.509531085811</v>
      </c>
      <c r="N160" s="136" t="n">
        <f aca="false">SUM(N157:N159)</f>
        <v>578.000490128203</v>
      </c>
      <c r="O160" s="136" t="n">
        <f aca="false">SUM(O157:O159)</f>
        <v>594.215152645784</v>
      </c>
      <c r="P160" s="136" t="n">
        <f aca="false">SUM(P157:P159)</f>
        <v>606.935947682876</v>
      </c>
      <c r="Q160" s="136" t="n">
        <f aca="false">SUM(Q157:Q159)</f>
        <v>619.398031274493</v>
      </c>
      <c r="R160" s="136" t="n">
        <f aca="false">SUM(R157:R159)</f>
        <v>631.871526930539</v>
      </c>
      <c r="S160" s="136" t="n">
        <f aca="false">SUM(S157:S159)</f>
        <v>644.366228120091</v>
      </c>
      <c r="T160" s="136" t="n">
        <f aca="false">SUM(T157:T159)</f>
        <v>656.89787655038</v>
      </c>
      <c r="U160" s="136" t="n">
        <f aca="false">SUM(U157:U159)</f>
        <v>669.481850826264</v>
      </c>
      <c r="V160" s="136" t="n">
        <f aca="false">SUM(V157:V159)</f>
        <v>682.133496602241</v>
      </c>
      <c r="W160" s="136" t="n">
        <f aca="false">SUM(W157:W159)</f>
        <v>694.723836670337</v>
      </c>
      <c r="X160" s="136" t="n">
        <f aca="false">SUM(X157:X159)</f>
        <v>707.190149141077</v>
      </c>
      <c r="Y160" s="136" t="n">
        <f aca="false">SUM(Y157:Y159)</f>
        <v>718.030162152317</v>
      </c>
      <c r="Z160" s="136" t="n">
        <f aca="false">SUM(Z157:Z159)</f>
        <v>728.512098891535</v>
      </c>
      <c r="AA160" s="136" t="n">
        <f aca="false">SUM(AA157:AA159)</f>
        <v>738.67611044897</v>
      </c>
      <c r="AB160" s="136" t="n">
        <f aca="false">SUM(AB157:AB159)</f>
        <v>748.639063053397</v>
      </c>
      <c r="AC160" s="136" t="n">
        <f aca="false">SUM(AC157:AC159)</f>
        <v>758.440933407432</v>
      </c>
      <c r="AD160" s="136" t="n">
        <f aca="false">SUM(AD157:AD159)</f>
        <v>768.087937448911</v>
      </c>
      <c r="AE160" s="136" t="n">
        <f aca="false">SUM(AE157:AE159)</f>
        <v>777.581473046968</v>
      </c>
      <c r="AF160" s="136" t="n">
        <f aca="false">SUM(AF157:AF159)</f>
        <v>786.922127579111</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-39.5972122989658</v>
      </c>
      <c r="D161" s="138" t="n">
        <f aca="false">D156-D160</f>
        <v>-58.4802287054667</v>
      </c>
      <c r="E161" s="138" t="n">
        <f aca="false">E156-E160</f>
        <v>-73.255327424881</v>
      </c>
      <c r="F161" s="138" t="n">
        <f aca="false">F156-F160</f>
        <v>-151.454904147535</v>
      </c>
      <c r="G161" s="138" t="n">
        <f aca="false">G156-G160</f>
        <v>-144.870218383572</v>
      </c>
      <c r="H161" s="138" t="n">
        <f aca="false">H156-H160</f>
        <v>-137.182748376557</v>
      </c>
      <c r="I161" s="138" t="n">
        <f aca="false">I156-I160</f>
        <v>-128.347873826741</v>
      </c>
      <c r="J161" s="138" t="n">
        <f aca="false">J156-J160</f>
        <v>-118.315253951141</v>
      </c>
      <c r="K161" s="138" t="n">
        <f aca="false">K156-K160</f>
        <v>-107.048050224419</v>
      </c>
      <c r="L161" s="138" t="n">
        <f aca="false">L156-L160</f>
        <v>-94.9290961201914</v>
      </c>
      <c r="M161" s="138" t="n">
        <f aca="false">M156-M160</f>
        <v>-101.583809414149</v>
      </c>
      <c r="N161" s="138" t="n">
        <f aca="false">N156-N160</f>
        <v>-107.166721377965</v>
      </c>
      <c r="O161" s="138" t="n">
        <f aca="false">O156-O160</f>
        <v>-111.854168578464</v>
      </c>
      <c r="P161" s="138" t="n">
        <f aca="false">P156-P160</f>
        <v>-113.866016946722</v>
      </c>
      <c r="Q161" s="138" t="n">
        <f aca="false">Q156-Q160</f>
        <v>-115.987280605656</v>
      </c>
      <c r="R161" s="138" t="n">
        <f aca="false">R156-R160</f>
        <v>-118.112828006706</v>
      </c>
      <c r="S161" s="138" t="n">
        <f aca="false">S156-S160</f>
        <v>-120.237613286929</v>
      </c>
      <c r="T161" s="138" t="n">
        <f aca="false">T156-T160</f>
        <v>-122.356574235522</v>
      </c>
      <c r="U161" s="138" t="n">
        <f aca="false">U156-U160</f>
        <v>-124.464630365147</v>
      </c>
      <c r="V161" s="138" t="n">
        <f aca="false">V156-V160</f>
        <v>-126.556681001007</v>
      </c>
      <c r="W161" s="138" t="n">
        <f aca="false">W156-W160</f>
        <v>-128.484179562017</v>
      </c>
      <c r="X161" s="138" t="n">
        <f aca="false">X156-X160</f>
        <v>-130.242115153856</v>
      </c>
      <c r="Y161" s="138" t="n">
        <f aca="false">Y156-Y160</f>
        <v>-131.825455831701</v>
      </c>
      <c r="Z161" s="138" t="n">
        <f aca="false">Z156-Z160</f>
        <v>-133.229146898335</v>
      </c>
      <c r="AA161" s="138" t="n">
        <f aca="false">AA156-AA160</f>
        <v>-134.448109210748</v>
      </c>
      <c r="AB161" s="138" t="n">
        <f aca="false">AB156-AB160</f>
        <v>-135.542853888642</v>
      </c>
      <c r="AC161" s="138" t="n">
        <f aca="false">AC156-AC160</f>
        <v>-136.51368762253</v>
      </c>
      <c r="AD161" s="138" t="n">
        <f aca="false">AD156-AD160</f>
        <v>-137.350218223552</v>
      </c>
      <c r="AE161" s="138" t="n">
        <f aca="false">AE156-AE160</f>
        <v>-138.041966735384</v>
      </c>
      <c r="AF161" s="138" t="n">
        <f aca="false">AF156-AF160</f>
        <v>-138.578304973868</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93.3029176301665</v>
      </c>
      <c r="G162" s="116" t="n">
        <f aca="false">G48+G50+(G80-F80)-G63</f>
        <v>9.87012989881451</v>
      </c>
      <c r="H162" s="116" t="n">
        <f aca="false">H48+H50+(H80-G80)-H63</f>
        <v>9.88262131381451</v>
      </c>
      <c r="I162" s="116" t="n">
        <f aca="false">I48+I50+(I80-H80)-I63</f>
        <v>9.89448815806452</v>
      </c>
      <c r="J162" s="116" t="n">
        <f aca="false">J48+J50+(J80-I80)-J63</f>
        <v>9.90576166010201</v>
      </c>
      <c r="K162" s="116" t="n">
        <f aca="false">K48+K50+(K80-J80)-K63</f>
        <v>9.91647148703763</v>
      </c>
      <c r="L162" s="116" t="n">
        <f aca="false">L48+L50+(L80-K80)-L63</f>
        <v>9.92664582262648</v>
      </c>
      <c r="M162" s="116" t="n">
        <f aca="false">M48+M50+(M80-L80)-M63</f>
        <v>8.13757917943803</v>
      </c>
      <c r="N162" s="116" t="n">
        <f aca="false">N48+N50+(N80-M80)-N63</f>
        <v>7.10401520329251</v>
      </c>
      <c r="O162" s="116" t="n">
        <f aca="false">O48+O50+(O80-N80)-O63</f>
        <v>6.24778487727347</v>
      </c>
      <c r="P162" s="116" t="n">
        <f aca="false">P48+P50+(P80-O80)-P63</f>
        <v>3.61244394529077</v>
      </c>
      <c r="Q162" s="116" t="n">
        <f aca="false">Q48+Q50+(Q80-P80)-Q63</f>
        <v>3.76316768961011</v>
      </c>
      <c r="R162" s="116" t="n">
        <f aca="false">R48+R50+(R80-Q80)-R63</f>
        <v>3.80983825952828</v>
      </c>
      <c r="S162" s="116" t="n">
        <f aca="false">S48+S50+(S80-R80)-S63</f>
        <v>3.85256991191292</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3.46949400883476</v>
      </c>
      <c r="AA162" s="116" t="n">
        <f aca="false">AA48+AA50+(AA80-Z80)-AA63</f>
        <v>3.33824032414111</v>
      </c>
      <c r="AB162" s="116" t="n">
        <f aca="false">AB48+AB50+(AB80-AA80)-AB63</f>
        <v>3.20668624159695</v>
      </c>
      <c r="AC162" s="116" t="n">
        <f aca="false">AC48+AC50+(AC80-AB80)-AC63</f>
        <v>3.07484126100528</v>
      </c>
      <c r="AD162" s="116" t="n">
        <f aca="false">AD48+AD50+(AD80-AC80)-AD63</f>
        <v>2.94271421231978</v>
      </c>
      <c r="AE162" s="116" t="n">
        <f aca="false">AE48+AE50+(AE80-AD80)-AE63</f>
        <v>2.81031328225874</v>
      </c>
      <c r="AF162" s="116" t="n">
        <f aca="false">AF48+AF50+(AF80-AE80)-AF63</f>
        <v>2.67764603934558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-39.5972122989658</v>
      </c>
      <c r="D163" s="116" t="n">
        <f aca="false">C163+D53+D56+D58+D118+D119+D60+D113+D101-D115-D162</f>
        <v>-58.4802287054668</v>
      </c>
      <c r="E163" s="116" t="n">
        <f aca="false">D163+E53+E56+E58+E118+E119+E60+E113+E101-E115-E162</f>
        <v>-73.255327424881</v>
      </c>
      <c r="F163" s="116" t="n">
        <f aca="false">E163+F53+F56+F58+F118+F119+F60+F113+F101-F115-F162</f>
        <v>-151.454904147535</v>
      </c>
      <c r="G163" s="116" t="n">
        <f aca="false">F163+G53+G56+G58+G118+G119+G60+G113+G101-G115-G162</f>
        <v>-144.870218383572</v>
      </c>
      <c r="H163" s="116" t="n">
        <f aca="false">G163+H53+H56+H58+H118+H119+H60+H113+H101-H115-H162</f>
        <v>-137.182748376557</v>
      </c>
      <c r="I163" s="116" t="n">
        <f aca="false">H163+I53+I56+I58+I118+I119+I60+I113+I101-I115-I162</f>
        <v>-128.347873826741</v>
      </c>
      <c r="J163" s="116" t="n">
        <f aca="false">I163+J53+J56+J58+J118+J119+J60+J113+J101-J115-J162</f>
        <v>-118.315253951141</v>
      </c>
      <c r="K163" s="116" t="n">
        <f aca="false">J163+K53+K56+K58+K118+K119+K60+K113+K101-K115-K162</f>
        <v>-107.048050224419</v>
      </c>
      <c r="L163" s="116" t="n">
        <f aca="false">K163+L53+L56+L58+L118+L119+L60+L113+L101-L115-L162</f>
        <v>-94.9290961201913</v>
      </c>
      <c r="M163" s="116" t="n">
        <f aca="false">L163+M53+M56+M58+M118+M119+M60+M113+M101-M115-M162</f>
        <v>-101.583809414149</v>
      </c>
      <c r="N163" s="116" t="n">
        <f aca="false">M163+N53+N56+N58+N118+N119+N60+N113+N101-N115-N162</f>
        <v>-107.166721377965</v>
      </c>
      <c r="O163" s="116" t="n">
        <f aca="false">N163+O53+O56+O58+O118+O119+O60+O113+O101-O115-O162</f>
        <v>-111.854168578464</v>
      </c>
      <c r="P163" s="116" t="n">
        <f aca="false">O163+P53+P56+P58+P118+P119+P60+P113+P101-P115-P162</f>
        <v>-113.866016946722</v>
      </c>
      <c r="Q163" s="116" t="n">
        <f aca="false">P163+Q53+Q56+Q58+Q118+Q119+Q60+Q113+Q101-Q115-Q162</f>
        <v>-115.987280605656</v>
      </c>
      <c r="R163" s="116" t="n">
        <f aca="false">Q163+R53+R56+R58+R118+R119+R60+R113+R101-R115-R162</f>
        <v>-118.112828006706</v>
      </c>
      <c r="S163" s="116" t="n">
        <f aca="false">R163+S53+S56+S58+S118+S119+S60+S113+S101-S115-S162</f>
        <v>-120.237613286929</v>
      </c>
      <c r="T163" s="116" t="n">
        <f aca="false">S163+T53+T56+T58+T118+T119+T60+T113+T101-T115-T162</f>
        <v>-122.356574235522</v>
      </c>
      <c r="U163" s="116" t="n">
        <f aca="false">T163+U53+U56+U58+U118+U119+U60+U113+U101-U115-U162</f>
        <v>-124.464630365147</v>
      </c>
      <c r="V163" s="116" t="n">
        <f aca="false">U163+V53+V56+V58+V118+V119+V60+V113+V101-V115-V162</f>
        <v>-126.556681001007</v>
      </c>
      <c r="W163" s="116" t="n">
        <f aca="false">V163+W53+W56+W58+W118+W119+W60+W113+W101-W115-W162</f>
        <v>-128.484179562017</v>
      </c>
      <c r="X163" s="116" t="n">
        <f aca="false">W163+X53+X56+X58+X118+X119+X60+X113+X101-X115-X162</f>
        <v>-130.242115153855</v>
      </c>
      <c r="Y163" s="116" t="n">
        <f aca="false">X163+Y53+Y56+Y58+Y118+Y119+Y60+Y113+Y101-Y115-Y162</f>
        <v>-131.825455831701</v>
      </c>
      <c r="Z163" s="116" t="n">
        <f aca="false">Y163+Z53+Z56+Z58+Z118+Z119+Z60+Z113+Z101-Z115-Z162</f>
        <v>-133.229146898335</v>
      </c>
      <c r="AA163" s="116" t="n">
        <f aca="false">Z163+AA53+AA56+AA58+AA118+AA119+AA60+AA113+AA101-AA115-AA162</f>
        <v>-134.448109210748</v>
      </c>
      <c r="AB163" s="116" t="n">
        <f aca="false">AA163+AB53+AB56+AB58+AB118+AB119+AB60+AB113+AB101-AB115-AB162</f>
        <v>-135.542853888642</v>
      </c>
      <c r="AC163" s="116" t="n">
        <f aca="false">AB163+AC53+AC56+AC58+AC118+AC119+AC60+AC113+AC101-AC115-AC162</f>
        <v>-136.51368762253</v>
      </c>
      <c r="AD163" s="116" t="n">
        <f aca="false">AC163+AD53+AD56+AD58+AD118+AD119+AD60+AD113+AD101-AD115-AD162</f>
        <v>-137.350218223552</v>
      </c>
      <c r="AE163" s="116" t="n">
        <f aca="false">AD163+AE53+AE56+AE58+AE118+AE119+AE60+AE113+AE101-AE115-AE162</f>
        <v>-138.041966735384</v>
      </c>
      <c r="AF163" s="116" t="n">
        <f aca="false">AE163+AF53+AF56+AF58+AF118+AF119+AF60+AF113+AF101-AF115-AF162</f>
        <v>-138.578304973868</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1365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64.9685725576113</v>
      </c>
      <c r="M186" s="142" t="n">
        <f aca="false">M84-M181</f>
        <v>59.6528424841762</v>
      </c>
      <c r="N186" s="142" t="n">
        <f aca="false">N84-N181</f>
        <v>55.9952656547815</v>
      </c>
      <c r="O186" s="142" t="n">
        <f aca="false">O84-O181</f>
        <v>57.2418834321801</v>
      </c>
      <c r="P186" s="142" t="n">
        <f aca="false">P84-P181</f>
        <v>55.7366413626904</v>
      </c>
      <c r="Q186" s="142" t="n">
        <f aca="false">Q84-Q181</f>
        <v>54.262871517444</v>
      </c>
      <c r="R186" s="142" t="n">
        <f aca="false">R84-R181</f>
        <v>52.7137234076945</v>
      </c>
      <c r="S186" s="142" t="n">
        <f aca="false">S84-S181</f>
        <v>51.0823945384463</v>
      </c>
      <c r="T186" s="142" t="n">
        <f aca="false">T84-T181</f>
        <v>49.3620275541581</v>
      </c>
      <c r="U186" s="142" t="n">
        <f aca="false">U84-U181</f>
        <v>47.5457074715249</v>
      </c>
      <c r="V186" s="142" t="n">
        <f aca="false">V84-V181</f>
        <v>45.6264589119001</v>
      </c>
      <c r="W186" s="142" t="n">
        <f aca="false">W84-W181</f>
        <v>43.4538195073275</v>
      </c>
      <c r="X186" s="142" t="n">
        <f aca="false">X84-X181</f>
        <v>41.1059908983828</v>
      </c>
      <c r="Y186" s="142" t="n">
        <f aca="false">Y84-Y181</f>
        <v>40.2013165433395</v>
      </c>
      <c r="Z186" s="142" t="n">
        <f aca="false">Z84-Z181</f>
        <v>39.2383706780504</v>
      </c>
      <c r="AA186" s="142" t="n">
        <f aca="false">AA84-AA181</f>
        <v>38.2019649082928</v>
      </c>
      <c r="AB186" s="142" t="n">
        <f aca="false">AB84-AB181</f>
        <v>37.0881063471806</v>
      </c>
      <c r="AC186" s="142" t="n">
        <f aca="false">AC84-AC181</f>
        <v>35.8644457639741</v>
      </c>
      <c r="AD186" s="142" t="n">
        <f aca="false">AD84-AD181</f>
        <v>34.5248790785588</v>
      </c>
      <c r="AE186" s="142" t="n">
        <f aca="false">AE84-AE181</f>
        <v>33.0681774568476</v>
      </c>
      <c r="AF186" s="142" t="n">
        <f aca="false">AF84-AF181</f>
        <v>31.4930884719118</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1.03359586865686</v>
      </c>
      <c r="AC189" s="142" t="n">
        <f aca="false">AC68-AB68</f>
        <v>0.997276246852678</v>
      </c>
      <c r="AD189" s="142" t="n">
        <f aca="false">AD68-AC68</f>
        <v>0.960875943603995</v>
      </c>
      <c r="AE189" s="142" t="n">
        <f aca="false">AE68-AD68</f>
        <v>0.92439211085582</v>
      </c>
      <c r="AF189" s="142" t="n">
        <f aca="false">AF68-AE68</f>
        <v>0.887821800016823</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-78.2970494115226</v>
      </c>
      <c r="G192" s="142" t="n">
        <f aca="false">G149-SUM($C$191:G191)</f>
        <v>-98.8748304756776</v>
      </c>
      <c r="H192" s="142" t="n">
        <f aca="false">H149-SUM($C$191:H191)</f>
        <v>-120.03650903795</v>
      </c>
      <c r="I192" s="142" t="n">
        <f aca="false">I149-SUM($C$191:I191)</f>
        <v>-141.779893618563</v>
      </c>
      <c r="J192" s="142" t="n">
        <f aca="false">J149-SUM($C$191:J191)</f>
        <v>-164.102928075629</v>
      </c>
      <c r="K192" s="142" t="n">
        <f aca="false">K149-SUM($C$191:K191)</f>
        <v>-187.003682769744</v>
      </c>
      <c r="L192" s="142" t="n">
        <f aca="false">L149-SUM($C$191:L191)</f>
        <v>-210.490441133646</v>
      </c>
      <c r="M192" s="142" t="n">
        <f aca="false">M149-SUM($C$191:M191)</f>
        <v>-213.82417956769</v>
      </c>
      <c r="N192" s="142" t="n">
        <f aca="false">N149-SUM($C$191:N191)</f>
        <v>-217.085032011884</v>
      </c>
      <c r="O192" s="142" t="n">
        <f aca="false">O149-SUM($C$191:O191)</f>
        <v>-220.366812016048</v>
      </c>
      <c r="P192" s="142" t="n">
        <f aca="false">P149-SUM($C$191:P191)</f>
        <v>-223.646812859363</v>
      </c>
      <c r="Q192" s="142" t="n">
        <f aca="false">Q149-SUM($C$191:Q191)</f>
        <v>-226.92691871206</v>
      </c>
      <c r="R192" s="142" t="n">
        <f aca="false">R149-SUM($C$191:R191)</f>
        <v>-230.209340012468</v>
      </c>
      <c r="S192" s="142" t="n">
        <f aca="false">S149-SUM($C$191:S191)</f>
        <v>-233.496234538205</v>
      </c>
      <c r="T192" s="142" t="n">
        <f aca="false">T149-SUM($C$191:T191)</f>
        <v>-236.789724543709</v>
      </c>
      <c r="U192" s="142" t="n">
        <f aca="false">U149-SUM($C$191:U191)</f>
        <v>-240.091901144651</v>
      </c>
      <c r="V192" s="142" t="n">
        <f aca="false">V149-SUM($C$191:V191)</f>
        <v>-243.404828683538</v>
      </c>
      <c r="W192" s="142" t="n">
        <f aca="false">W149-SUM($C$191:W191)</f>
        <v>-246.730409040037</v>
      </c>
      <c r="X192" s="142" t="n">
        <f aca="false">X149-SUM($C$191:X191)</f>
        <v>-250.070741452901</v>
      </c>
      <c r="Y192" s="142" t="n">
        <f aca="false">Y149-SUM($C$191:Y191)</f>
        <v>-253.432021627075</v>
      </c>
      <c r="Z192" s="142" t="n">
        <f aca="false">Z149-SUM($C$191:Z191)</f>
        <v>-256.816585567679</v>
      </c>
      <c r="AA192" s="142" t="n">
        <f aca="false">AA149-SUM($C$191:AA191)</f>
        <v>-260.226748337502</v>
      </c>
      <c r="AB192" s="142" t="n">
        <f aca="false">AB149-SUM($C$191:AB191)</f>
        <v>-263.664813594756</v>
      </c>
      <c r="AC192" s="142" t="n">
        <f aca="false">AC149-SUM($C$191:AC191)</f>
        <v>-267.133066479765</v>
      </c>
      <c r="AD192" s="142" t="n">
        <f aca="false">AD149-SUM($C$191:AD191)</f>
        <v>-270.633786266339</v>
      </c>
      <c r="AE192" s="142" t="n">
        <f aca="false">AE149-SUM($C$191:AE191)</f>
        <v>-274.169251090732</v>
      </c>
      <c r="AF192" s="142" t="n">
        <f aca="false">AF149-SUM($C$191:AF191)</f>
        <v>-277.741740773406</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5" hidden="false" customHeight="true" outlineLevel="0" collapsed="false">
      <c r="B196" s="7" t="s">
        <v>1373</v>
      </c>
    </row>
    <row r="197" customFormat="false" ht="15" hidden="false" customHeight="true" outlineLevel="0" collapsed="false">
      <c r="B197" s="103" t="s">
        <v>1374</v>
      </c>
      <c r="C197" s="149" t="n">
        <f aca="false">64_Inflacion!C5</f>
        <v>294.5</v>
      </c>
    </row>
    <row r="198" customFormat="false" ht="15" hidden="false" customHeight="true" outlineLevel="0" collapsed="false">
      <c r="B198" s="103" t="s">
        <v>1375</v>
      </c>
      <c r="C198" s="150" t="n">
        <v>0.25</v>
      </c>
    </row>
    <row r="199" customFormat="false" ht="15" hidden="false" customHeight="true" outlineLevel="0" collapsed="false">
      <c r="B199" s="103" t="s">
        <v>1376</v>
      </c>
      <c r="C199" s="141" t="n">
        <v>0.03</v>
      </c>
    </row>
    <row r="200" customFormat="false" ht="15" hidden="false" customHeight="true" outlineLevel="0" collapsed="false">
      <c r="B200" s="103" t="s">
        <v>1377</v>
      </c>
      <c r="C200" s="141" t="n">
        <v>0.003</v>
      </c>
    </row>
    <row r="201" customFormat="false" ht="15" hidden="false" customHeight="true" outlineLevel="0" collapsed="false">
      <c r="B201" s="103" t="s">
        <v>1378</v>
      </c>
      <c r="C201" s="151" t="s">
        <v>1389</v>
      </c>
    </row>
    <row r="203" customFormat="false" ht="15" hidden="false" customHeight="true" outlineLevel="0" collapsed="false">
      <c r="B203" s="103" t="s">
        <v>1380</v>
      </c>
      <c r="C203" s="88" t="n">
        <f aca="false">$C$197*C41/$C$41</f>
        <v>294.5</v>
      </c>
      <c r="D203" s="88" t="n">
        <f aca="false">$C$197*D41/$C$41</f>
        <v>301.2735</v>
      </c>
      <c r="E203" s="88" t="n">
        <f aca="false">$C$197*E41/$C$41</f>
        <v>308.2027905</v>
      </c>
      <c r="F203" s="88" t="n">
        <f aca="false">$C$197*F41/$C$41</f>
        <v>315.2914546815</v>
      </c>
      <c r="G203" s="88" t="n">
        <f aca="false">$C$197*G41/$C$41</f>
        <v>322.543158139174</v>
      </c>
      <c r="H203" s="88" t="n">
        <f aca="false">$C$197*H41/$C$41</f>
        <v>329.961650776375</v>
      </c>
      <c r="I203" s="88" t="n">
        <f aca="false">$C$197*I41/$C$41</f>
        <v>337.550768744232</v>
      </c>
      <c r="J203" s="88" t="n">
        <f aca="false">$C$197*J41/$C$41</f>
        <v>345.314436425349</v>
      </c>
      <c r="K203" s="88" t="n">
        <f aca="false">$C$197*K41/$C$41</f>
        <v>353.256668463132</v>
      </c>
      <c r="L203" s="88" t="n">
        <f aca="false">$C$197*L41/$C$41</f>
        <v>361.381571837784</v>
      </c>
      <c r="M203" s="88" t="n">
        <f aca="false">$C$197*M41/$C$41</f>
        <v>369.693347990053</v>
      </c>
      <c r="N203" s="88" t="n">
        <f aca="false">$C$197*N41/$C$41</f>
        <v>378.196294993825</v>
      </c>
      <c r="O203" s="88" t="n">
        <f aca="false">$C$197*O41/$C$41</f>
        <v>386.894809778682</v>
      </c>
      <c r="P203" s="88" t="n">
        <f aca="false">$C$197*P41/$C$41</f>
        <v>395.793390403592</v>
      </c>
      <c r="Q203" s="88" t="n">
        <f aca="false">$C$197*Q41/$C$41</f>
        <v>404.896638382875</v>
      </c>
      <c r="R203" s="88" t="n">
        <f aca="false">$C$197*R41/$C$41</f>
        <v>414.209261065681</v>
      </c>
      <c r="S203" s="88" t="n">
        <f aca="false">$C$197*S41/$C$41</f>
        <v>423.736074070191</v>
      </c>
      <c r="T203" s="88" t="n">
        <f aca="false">$C$197*T41/$C$41</f>
        <v>433.482003773806</v>
      </c>
      <c r="U203" s="88" t="n">
        <f aca="false">$C$197*U41/$C$41</f>
        <v>443.452089860603</v>
      </c>
      <c r="V203" s="88" t="n">
        <f aca="false">$C$197*V41/$C$41</f>
        <v>453.651487927397</v>
      </c>
      <c r="W203" s="88" t="n">
        <f aca="false">$C$197*W41/$C$41</f>
        <v>464.085472149727</v>
      </c>
      <c r="X203" s="88" t="n">
        <f aca="false">$C$197*X41/$C$41</f>
        <v>474.759438009171</v>
      </c>
      <c r="Y203" s="88" t="n">
        <f aca="false">$C$197*Y41/$C$41</f>
        <v>485.678905083382</v>
      </c>
      <c r="Z203" s="88" t="n">
        <f aca="false">$C$197*Z41/$C$41</f>
        <v>496.8495199003</v>
      </c>
      <c r="AA203" s="88" t="n">
        <f aca="false">$C$197*AA41/$C$41</f>
        <v>508.277058858006</v>
      </c>
      <c r="AB203" s="88" t="n">
        <f aca="false">$C$197*AB41/$C$41</f>
        <v>519.96743121174</v>
      </c>
      <c r="AC203" s="88" t="n">
        <f aca="false">$C$197*AC41/$C$41</f>
        <v>531.92668212961</v>
      </c>
      <c r="AD203" s="88" t="n">
        <f aca="false">$C$197*AD41/$C$41</f>
        <v>544.160995818591</v>
      </c>
      <c r="AE203" s="88" t="n">
        <f aca="false">$C$197*AE41/$C$41</f>
        <v>556.676698722419</v>
      </c>
      <c r="AF203" s="88" t="n">
        <f aca="false">$C$197*AF41/$C$41</f>
        <v>569.480262793035</v>
      </c>
      <c r="AG203" s="88"/>
      <c r="AH203" s="88"/>
      <c r="AI203" s="88"/>
      <c r="AJ203" s="88"/>
      <c r="AK203" s="88"/>
      <c r="AL203" s="88"/>
      <c r="AM203" s="88"/>
      <c r="AN203" s="88"/>
      <c r="AO203" s="88"/>
      <c r="AP203" s="88"/>
      <c r="AQ203" s="88"/>
      <c r="AR203" s="88"/>
      <c r="AS203" s="88"/>
      <c r="AT203" s="88"/>
      <c r="AU203" s="88"/>
      <c r="AV203" s="88"/>
      <c r="AW203" s="88"/>
      <c r="AX203" s="88"/>
      <c r="AY203" s="88"/>
      <c r="AZ203" s="88"/>
      <c r="BA203" s="88"/>
      <c r="BB203" s="88"/>
      <c r="BC203" s="88"/>
      <c r="BD203" s="88"/>
      <c r="BE203" s="88"/>
      <c r="BF203" s="88"/>
      <c r="BG203" s="88"/>
      <c r="BH203" s="88"/>
      <c r="BI203" s="88"/>
      <c r="BJ203" s="88"/>
      <c r="BK203" s="88"/>
      <c r="BL203" s="88"/>
      <c r="BM203" s="88"/>
      <c r="BN203" s="88"/>
      <c r="BO203" s="88"/>
      <c r="BP203" s="88"/>
      <c r="BQ203" s="88"/>
      <c r="BR203" s="88"/>
      <c r="BS203" s="88"/>
      <c r="BT203" s="88"/>
    </row>
    <row r="204" customFormat="false" ht="15" hidden="false" customHeight="true" outlineLevel="0" collapsed="false">
      <c r="B204" s="103" t="s">
        <v>1381</v>
      </c>
      <c r="C204" s="87" t="n">
        <f aca="false">C83/C203</f>
        <v>0.0441426146010187</v>
      </c>
      <c r="D204" s="87" t="n">
        <f aca="false">D83/D203</f>
        <v>0.0872927755013302</v>
      </c>
      <c r="E204" s="87" t="n">
        <f aca="false">E83/E203</f>
        <v>0.129472795931742</v>
      </c>
      <c r="F204" s="87" t="n">
        <f aca="false">F83/F203</f>
        <v>0.170704487457072</v>
      </c>
      <c r="G204" s="87" t="n">
        <f aca="false">G83/G203</f>
        <v>0.211009171255048</v>
      </c>
      <c r="H204" s="87" t="n">
        <f aca="false">H83/H203</f>
        <v>0.250407689141632</v>
      </c>
      <c r="I204" s="87" t="n">
        <f aca="false">I83/I203</f>
        <v>0.28892041434846</v>
      </c>
      <c r="J204" s="87" t="n">
        <f aca="false">J83/J203</f>
        <v>0.326567262057969</v>
      </c>
      <c r="K204" s="87" t="n">
        <f aca="false">K83/K203</f>
        <v>0.363367699701672</v>
      </c>
      <c r="L204" s="87" t="n">
        <f aca="false">L83/L203</f>
        <v>0.388305103376641</v>
      </c>
      <c r="M204" s="87" t="n">
        <f aca="false">M83/M203</f>
        <v>0.41268184206185</v>
      </c>
      <c r="N204" s="87" t="n">
        <f aca="false">N83/N203</f>
        <v>0.428571428571429</v>
      </c>
      <c r="O204" s="87" t="n">
        <f aca="false">O83/O203</f>
        <v>0.428571428571429</v>
      </c>
      <c r="P204" s="87" t="n">
        <f aca="false">P83/P203</f>
        <v>0.428571428571429</v>
      </c>
      <c r="Q204" s="87" t="n">
        <f aca="false">Q83/Q203</f>
        <v>0.428571428571429</v>
      </c>
      <c r="R204" s="87" t="n">
        <f aca="false">R83/R203</f>
        <v>0.428571428571429</v>
      </c>
      <c r="S204" s="87" t="n">
        <f aca="false">S83/S203</f>
        <v>0.428571428571429</v>
      </c>
      <c r="T204" s="87" t="n">
        <f aca="false">T83/T203</f>
        <v>0.428571428571429</v>
      </c>
      <c r="U204" s="87" t="n">
        <f aca="false">U83/U203</f>
        <v>0.428571428571429</v>
      </c>
      <c r="V204" s="87" t="n">
        <f aca="false">V83/V203</f>
        <v>0.428571428571429</v>
      </c>
      <c r="W204" s="87" t="n">
        <f aca="false">W83/W203</f>
        <v>0.428571428571429</v>
      </c>
      <c r="X204" s="87" t="n">
        <f aca="false">X83/X203</f>
        <v>0.428392031824344</v>
      </c>
      <c r="Y204" s="87" t="n">
        <f aca="false">Y83/Y203</f>
        <v>0.424698732157831</v>
      </c>
      <c r="Z204" s="87" t="n">
        <f aca="false">Z83/Z203</f>
        <v>0.420736413702732</v>
      </c>
      <c r="AA204" s="87" t="n">
        <f aca="false">AA83/AA203</f>
        <v>0.416544602922955</v>
      </c>
      <c r="AB204" s="87" t="n">
        <f aca="false">AB83/AB203</f>
        <v>0.412145131444953</v>
      </c>
      <c r="AC204" s="87" t="n">
        <f aca="false">AC83/AC203</f>
        <v>0.407611913248072</v>
      </c>
      <c r="AD204" s="87" t="n">
        <f aca="false">AD83/AD203</f>
        <v>0.402964665006039</v>
      </c>
      <c r="AE204" s="87" t="n">
        <f aca="false">AE83/AE203</f>
        <v>0.398213037494728</v>
      </c>
      <c r="AF204" s="87" t="n">
        <f aca="false">AF83/AF203</f>
        <v>0.393366265840675</v>
      </c>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c r="BG204" s="87"/>
      <c r="BH204" s="87"/>
      <c r="BI204" s="87"/>
      <c r="BJ204" s="87"/>
      <c r="BK204" s="87"/>
      <c r="BL204" s="87"/>
      <c r="BM204" s="87"/>
      <c r="BN204" s="87"/>
      <c r="BO204" s="87"/>
      <c r="BP204" s="87"/>
      <c r="BQ204" s="87"/>
      <c r="BR204" s="87"/>
      <c r="BS204" s="87"/>
      <c r="BT204" s="87"/>
    </row>
    <row r="205" customFormat="false" ht="15" hidden="false" customHeight="true" outlineLevel="0" collapsed="false">
      <c r="B205" s="103" t="s">
        <v>1382</v>
      </c>
      <c r="C205" s="87" t="n">
        <f aca="false">C83/(C203+C83)</f>
        <v>0.0422764227642276</v>
      </c>
      <c r="D205" s="87" t="n">
        <f aca="false">D83/(D203+D83)</f>
        <v>0.0802845171679552</v>
      </c>
      <c r="E205" s="87" t="n">
        <f aca="false">E83/(E203+E83)</f>
        <v>0.114631176950956</v>
      </c>
      <c r="F205" s="87" t="n">
        <f aca="false">F83/(F203+F83)</f>
        <v>0.145813473242821</v>
      </c>
      <c r="G205" s="87" t="n">
        <f aca="false">G83/(G203+G83)</f>
        <v>0.174242422158013</v>
      </c>
      <c r="H205" s="87" t="n">
        <f aca="false">H83/(H203+H83)</f>
        <v>0.200260835978648</v>
      </c>
      <c r="I205" s="87" t="n">
        <f aca="false">I83/(I203+I83)</f>
        <v>0.224156907697445</v>
      </c>
      <c r="J205" s="87" t="n">
        <f aca="false">J83/(J203+J83)</f>
        <v>0.246174673081672</v>
      </c>
      <c r="K205" s="87" t="n">
        <f aca="false">K83/(K203+K83)</f>
        <v>0.266522156701514</v>
      </c>
      <c r="L205" s="87" t="n">
        <f aca="false">L83/(L203+L83)</f>
        <v>0.27969723833198</v>
      </c>
      <c r="M205" s="87" t="n">
        <f aca="false">M83/(M203+M83)</f>
        <v>0.292126528263101</v>
      </c>
      <c r="N205" s="87" t="n">
        <f aca="false">N83/(N203+N83)</f>
        <v>0.3</v>
      </c>
      <c r="O205" s="87" t="n">
        <f aca="false">O83/(O203+O83)</f>
        <v>0.3</v>
      </c>
      <c r="P205" s="87" t="n">
        <f aca="false">P83/(P203+P83)</f>
        <v>0.3</v>
      </c>
      <c r="Q205" s="87" t="n">
        <f aca="false">Q83/(Q203+Q83)</f>
        <v>0.3</v>
      </c>
      <c r="R205" s="87" t="n">
        <f aca="false">R83/(R203+R83)</f>
        <v>0.3</v>
      </c>
      <c r="S205" s="87" t="n">
        <f aca="false">S83/(S203+S83)</f>
        <v>0.3</v>
      </c>
      <c r="T205" s="87" t="n">
        <f aca="false">T83/(T203+T83)</f>
        <v>0.3</v>
      </c>
      <c r="U205" s="87" t="n">
        <f aca="false">U83/(U203+U83)</f>
        <v>0.3</v>
      </c>
      <c r="V205" s="87" t="n">
        <f aca="false">V83/(V203+V83)</f>
        <v>0.3</v>
      </c>
      <c r="W205" s="87" t="n">
        <f aca="false">W83/(W203+W83)</f>
        <v>0.3</v>
      </c>
      <c r="X205" s="87" t="n">
        <f aca="false">X83/(X203+X83)</f>
        <v>0.299912084553707</v>
      </c>
      <c r="Y205" s="87" t="n">
        <f aca="false">Y83/(Y203+Y83)</f>
        <v>0.298097220536294</v>
      </c>
      <c r="Z205" s="87" t="n">
        <f aca="false">Z83/(Z203+Z83)</f>
        <v>0.296139670698104</v>
      </c>
      <c r="AA205" s="87" t="n">
        <f aca="false">AA83/(AA203+AA83)</f>
        <v>0.294056821128992</v>
      </c>
      <c r="AB205" s="87" t="n">
        <f aca="false">AB83/(AB203+AB83)</f>
        <v>0.291857488488618</v>
      </c>
      <c r="AC205" s="87" t="n">
        <f aca="false">AC83/(AC203+AC83)</f>
        <v>0.289576913502746</v>
      </c>
      <c r="AD205" s="87" t="n">
        <f aca="false">AD83/(AD203+AD83)</f>
        <v>0.287223673594306</v>
      </c>
      <c r="AE205" s="87" t="n">
        <f aca="false">AE83/(AE203+AE83)</f>
        <v>0.284801404947727</v>
      </c>
      <c r="AF205" s="87" t="n">
        <f aca="false">AF83/(AF203+AF83)</f>
        <v>0.282313613788648</v>
      </c>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c r="BG205" s="87"/>
      <c r="BH205" s="87"/>
      <c r="BI205" s="87"/>
      <c r="BJ205" s="87"/>
      <c r="BK205" s="87"/>
      <c r="BL205" s="87"/>
      <c r="BM205" s="87"/>
      <c r="BN205" s="87"/>
      <c r="BO205" s="87"/>
      <c r="BP205" s="87"/>
      <c r="BQ205" s="87"/>
      <c r="BR205" s="87"/>
      <c r="BS205" s="87"/>
      <c r="BT205" s="87"/>
    </row>
    <row r="206" customFormat="false" ht="15" hidden="false" customHeight="true" outlineLevel="0" collapsed="false">
      <c r="B206" s="103" t="s">
        <v>1383</v>
      </c>
      <c r="C206" s="1" t="n">
        <v>0</v>
      </c>
      <c r="D206" s="1" t="n">
        <f aca="false">IF($C$201="No",0,IF(AND(C205&gt;$C$198,OR($C$201="Siempre",$C$8&gt;$C$200)),1,0))</f>
        <v>0</v>
      </c>
      <c r="E206" s="1" t="n">
        <f aca="false">IF($C$201="No",0,IF(AND(D205&gt;$C$198,OR($C$201="Siempre",$C$8&gt;$C$200)),1,0))</f>
        <v>0</v>
      </c>
      <c r="F206" s="1" t="n">
        <f aca="false">IF($C$201="No",0,IF(AND(E205&gt;$C$198,OR($C$201="Siempre",$C$8&gt;$C$200)),1,0))</f>
        <v>0</v>
      </c>
      <c r="G206" s="1" t="n">
        <f aca="false">IF($C$201="No",0,IF(AND(F205&gt;$C$198,OR($C$201="Siempre",$C$8&gt;$C$200)),1,0))</f>
        <v>0</v>
      </c>
      <c r="H206" s="1" t="n">
        <f aca="false">IF($C$201="No",0,IF(AND(G205&gt;$C$198,OR($C$201="Siempre",$C$8&gt;$C$200)),1,0))</f>
        <v>0</v>
      </c>
      <c r="I206" s="1" t="n">
        <f aca="false">IF($C$201="No",0,IF(AND(H205&gt;$C$198,OR($C$201="Siempre",$C$8&gt;$C$200)),1,0))</f>
        <v>0</v>
      </c>
      <c r="J206" s="1" t="n">
        <f aca="false">IF($C$201="No",0,IF(AND(I205&gt;$C$198,OR($C$201="Siempre",$C$8&gt;$C$200)),1,0))</f>
        <v>0</v>
      </c>
      <c r="K206" s="1" t="n">
        <f aca="false">IF($C$201="No",0,IF(AND(J205&gt;$C$198,OR($C$201="Siempre",$C$8&gt;$C$200)),1,0))</f>
        <v>0</v>
      </c>
      <c r="L206" s="1" t="n">
        <f aca="false">IF($C$201="No",0,IF(AND(K205&gt;$C$198,OR($C$201="Siempre",$C$8&gt;$C$200)),1,0))</f>
        <v>1</v>
      </c>
      <c r="M206" s="1" t="n">
        <f aca="false">IF($C$201="No",0,IF(AND(L205&gt;$C$198,OR($C$201="Siempre",$C$8&gt;$C$200)),1,0))</f>
        <v>1</v>
      </c>
      <c r="N206" s="1" t="n">
        <f aca="false">IF($C$201="No",0,IF(AND(M205&gt;$C$198,OR($C$201="Siempre",$C$8&gt;$C$200)),1,0))</f>
        <v>1</v>
      </c>
      <c r="O206" s="1" t="n">
        <f aca="false">IF($C$201="No",0,IF(AND(N205&gt;$C$198,OR($C$201="Siempre",$C$8&gt;$C$200)),1,0))</f>
        <v>1</v>
      </c>
      <c r="P206" s="1" t="n">
        <f aca="false">IF($C$201="No",0,IF(AND(O205&gt;$C$198,OR($C$201="Siempre",$C$8&gt;$C$200)),1,0))</f>
        <v>1</v>
      </c>
      <c r="Q206" s="1" t="n">
        <f aca="false">IF($C$201="No",0,IF(AND(P205&gt;$C$198,OR($C$201="Siempre",$C$8&gt;$C$200)),1,0))</f>
        <v>1</v>
      </c>
      <c r="R206" s="1" t="n">
        <f aca="false">IF($C$201="No",0,IF(AND(Q205&gt;$C$198,OR($C$201="Siempre",$C$8&gt;$C$200)),1,0))</f>
        <v>1</v>
      </c>
      <c r="S206" s="1" t="n">
        <f aca="false">IF($C$201="No",0,IF(AND(R205&gt;$C$198,OR($C$201="Siempre",$C$8&gt;$C$200)),1,0))</f>
        <v>1</v>
      </c>
      <c r="T206" s="1" t="n">
        <f aca="false">IF($C$201="No",0,IF(AND(S205&gt;$C$198,OR($C$201="Siempre",$C$8&gt;$C$200)),1,0))</f>
        <v>1</v>
      </c>
      <c r="U206" s="1" t="n">
        <f aca="false">IF($C$201="No",0,IF(AND(T205&gt;$C$198,OR($C$201="Siempre",$C$8&gt;$C$200)),1,0))</f>
        <v>1</v>
      </c>
      <c r="V206" s="1" t="n">
        <f aca="false">IF($C$201="No",0,IF(AND(U205&gt;$C$198,OR($C$201="Siempre",$C$8&gt;$C$200)),1,0))</f>
        <v>1</v>
      </c>
      <c r="W206" s="1" t="n">
        <f aca="false">IF($C$201="No",0,IF(AND(V205&gt;$C$198,OR($C$201="Siempre",$C$8&gt;$C$200)),1,0))</f>
        <v>1</v>
      </c>
      <c r="X206" s="1" t="n">
        <f aca="false">IF($C$201="No",0,IF(AND(W205&gt;$C$198,OR($C$201="Siempre",$C$8&gt;$C$200)),1,0))</f>
        <v>1</v>
      </c>
      <c r="Y206" s="1" t="n">
        <f aca="false">IF($C$201="No",0,IF(AND(X205&gt;$C$198,OR($C$201="Siempre",$C$8&gt;$C$200)),1,0))</f>
        <v>1</v>
      </c>
      <c r="Z206" s="1" t="n">
        <f aca="false">IF($C$201="No",0,IF(AND(Y205&gt;$C$198,OR($C$201="Siempre",$C$8&gt;$C$200)),1,0))</f>
        <v>1</v>
      </c>
      <c r="AA206" s="1" t="n">
        <f aca="false">IF($C$201="No",0,IF(AND(Z205&gt;$C$198,OR($C$201="Siempre",$C$8&gt;$C$200)),1,0))</f>
        <v>1</v>
      </c>
      <c r="AB206" s="1" t="n">
        <f aca="false">IF($C$201="No",0,IF(AND(AA205&gt;$C$198,OR($C$201="Siempre",$C$8&gt;$C$200)),1,0))</f>
        <v>1</v>
      </c>
      <c r="AC206" s="1" t="n">
        <f aca="false">IF($C$201="No",0,IF(AND(AB205&gt;$C$198,OR($C$201="Siempre",$C$8&gt;$C$200)),1,0))</f>
        <v>1</v>
      </c>
      <c r="AD206" s="1" t="n">
        <f aca="false">IF($C$201="No",0,IF(AND(AC205&gt;$C$198,OR($C$201="Siempre",$C$8&gt;$C$200)),1,0))</f>
        <v>1</v>
      </c>
      <c r="AE206" s="1" t="n">
        <f aca="false">IF($C$201="No",0,IF(AND(AD205&gt;$C$198,OR($C$201="Siempre",$C$8&gt;$C$200)),1,0))</f>
        <v>1</v>
      </c>
      <c r="AF206" s="1" t="n">
        <f aca="false">IF($C$201="No",0,IF(AND(AE205&gt;$C$198,OR($C$201="Siempre",$C$8&gt;$C$200)),1,0))</f>
        <v>1</v>
      </c>
    </row>
    <row r="207" customFormat="false" ht="15" hidden="false" customHeight="true" outlineLevel="0" collapsed="false">
      <c r="B207" s="103" t="s">
        <v>1384</v>
      </c>
      <c r="C207" s="87" t="n">
        <f aca="false">IF(C206=1,$C$199,IF(C$39&lt;=01_Supuestos!$C$182,01_Supuestos!$C$181,$C$174))</f>
        <v>0.04</v>
      </c>
      <c r="D207" s="87" t="n">
        <f aca="false">IF(D206=1,$C$199,IF(D$39&lt;=01_Supuestos!$C$182,01_Supuestos!$C$181,$C$174))</f>
        <v>0.04</v>
      </c>
      <c r="E207" s="87" t="n">
        <f aca="false">IF(E206=1,$C$199,IF(E$39&lt;=01_Supuestos!$C$182,01_Supuestos!$C$181,$C$174))</f>
        <v>0.04</v>
      </c>
      <c r="F207" s="87" t="n">
        <f aca="false">IF(F206=1,$C$199,IF(F$39&lt;=01_Supuestos!$C$182,01_Supuestos!$C$181,$C$174))</f>
        <v>0.04</v>
      </c>
      <c r="G207" s="87" t="n">
        <f aca="false">IF(G206=1,$C$199,IF(G$39&lt;=01_Supuestos!$C$182,01_Supuestos!$C$181,$C$174))</f>
        <v>0.04</v>
      </c>
      <c r="H207" s="87" t="n">
        <f aca="false">IF(H206=1,$C$199,IF(H$39&lt;=01_Supuestos!$C$182,01_Supuestos!$C$181,$C$174))</f>
        <v>0.04</v>
      </c>
      <c r="I207" s="87" t="n">
        <f aca="false">IF(I206=1,$C$199,IF(I$39&lt;=01_Supuestos!$C$182,01_Supuestos!$C$181,$C$174))</f>
        <v>0.04</v>
      </c>
      <c r="J207" s="87" t="n">
        <f aca="false">IF(J206=1,$C$199,IF(J$39&lt;=01_Supuestos!$C$182,01_Supuestos!$C$181,$C$174))</f>
        <v>0.04</v>
      </c>
      <c r="K207" s="87" t="n">
        <f aca="false">IF(K206=1,$C$199,IF(K$39&lt;=01_Supuestos!$C$182,01_Supuestos!$C$181,$C$174))</f>
        <v>0.04</v>
      </c>
      <c r="L207" s="87" t="n">
        <f aca="false">IF(L206=1,$C$199,IF(L$39&lt;=01_Supuestos!$C$182,01_Supuestos!$C$181,$C$174))</f>
        <v>0.03</v>
      </c>
      <c r="M207" s="87" t="n">
        <f aca="false">IF(M206=1,$C$199,IF(M$39&lt;=01_Supuestos!$C$182,01_Supuestos!$C$181,$C$174))</f>
        <v>0.03</v>
      </c>
      <c r="N207" s="87" t="n">
        <f aca="false">IF(N206=1,$C$199,IF(N$39&lt;=01_Supuestos!$C$182,01_Supuestos!$C$181,$C$174))</f>
        <v>0.03</v>
      </c>
      <c r="O207" s="87" t="n">
        <f aca="false">IF(O206=1,$C$199,IF(O$39&lt;=01_Supuestos!$C$182,01_Supuestos!$C$181,$C$174))</f>
        <v>0.03</v>
      </c>
      <c r="P207" s="87" t="n">
        <f aca="false">IF(P206=1,$C$199,IF(P$39&lt;=01_Supuestos!$C$182,01_Supuestos!$C$181,$C$174))</f>
        <v>0.03</v>
      </c>
      <c r="Q207" s="87" t="n">
        <f aca="false">IF(Q206=1,$C$199,IF(Q$39&lt;=01_Supuestos!$C$182,01_Supuestos!$C$181,$C$174))</f>
        <v>0.03</v>
      </c>
      <c r="R207" s="87" t="n">
        <f aca="false">IF(R206=1,$C$199,IF(R$39&lt;=01_Supuestos!$C$182,01_Supuestos!$C$181,$C$174))</f>
        <v>0.03</v>
      </c>
      <c r="S207" s="87" t="n">
        <f aca="false">IF(S206=1,$C$199,IF(S$39&lt;=01_Supuestos!$C$182,01_Supuestos!$C$181,$C$174))</f>
        <v>0.03</v>
      </c>
      <c r="T207" s="87" t="n">
        <f aca="false">IF(T206=1,$C$199,IF(T$39&lt;=01_Supuestos!$C$182,01_Supuestos!$C$181,$C$174))</f>
        <v>0.03</v>
      </c>
      <c r="U207" s="87" t="n">
        <f aca="false">IF(U206=1,$C$199,IF(U$39&lt;=01_Supuestos!$C$182,01_Supuestos!$C$181,$C$174))</f>
        <v>0.03</v>
      </c>
      <c r="V207" s="87" t="n">
        <f aca="false">IF(V206=1,$C$199,IF(V$39&lt;=01_Supuestos!$C$182,01_Supuestos!$C$181,$C$174))</f>
        <v>0.03</v>
      </c>
      <c r="W207" s="87" t="n">
        <f aca="false">IF(W206=1,$C$199,IF(W$39&lt;=01_Supuestos!$C$182,01_Supuestos!$C$181,$C$174))</f>
        <v>0.03</v>
      </c>
      <c r="X207" s="87" t="n">
        <f aca="false">IF(X206=1,$C$199,IF(X$39&lt;=01_Supuestos!$C$182,01_Supuestos!$C$181,$C$174))</f>
        <v>0.03</v>
      </c>
      <c r="Y207" s="87" t="n">
        <f aca="false">IF(Y206=1,$C$199,IF(Y$39&lt;=01_Supuestos!$C$182,01_Supuestos!$C$181,$C$174))</f>
        <v>0.03</v>
      </c>
      <c r="Z207" s="87" t="n">
        <f aca="false">IF(Z206=1,$C$199,IF(Z$39&lt;=01_Supuestos!$C$182,01_Supuestos!$C$181,$C$174))</f>
        <v>0.03</v>
      </c>
      <c r="AA207" s="87" t="n">
        <f aca="false">IF(AA206=1,$C$199,IF(AA$39&lt;=01_Supuestos!$C$182,01_Supuestos!$C$181,$C$174))</f>
        <v>0.03</v>
      </c>
      <c r="AB207" s="87" t="n">
        <f aca="false">IF(AB206=1,$C$199,IF(AB$39&lt;=01_Supuestos!$C$182,01_Supuestos!$C$181,$C$174))</f>
        <v>0.03</v>
      </c>
      <c r="AC207" s="87" t="n">
        <f aca="false">IF(AC206=1,$C$199,IF(AC$39&lt;=01_Supuestos!$C$182,01_Supuestos!$C$181,$C$174))</f>
        <v>0.03</v>
      </c>
      <c r="AD207" s="87" t="n">
        <f aca="false">IF(AD206=1,$C$199,IF(AD$39&lt;=01_Supuestos!$C$182,01_Supuestos!$C$181,$C$174))</f>
        <v>0.03</v>
      </c>
      <c r="AE207" s="87" t="n">
        <f aca="false">IF(AE206=1,$C$199,IF(AE$39&lt;=01_Supuestos!$C$182,01_Supuestos!$C$181,$C$174))</f>
        <v>0.03</v>
      </c>
      <c r="AF207" s="87" t="n">
        <f aca="false">IF(AF206=1,$C$199,IF(AF$39&lt;=01_Supuestos!$C$182,01_Supuestos!$C$181,$C$174))</f>
        <v>0.03</v>
      </c>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87"/>
      <c r="BJ207" s="87"/>
      <c r="BK207" s="87"/>
      <c r="BL207" s="87"/>
      <c r="BM207" s="87"/>
      <c r="BN207" s="87"/>
      <c r="BO207" s="87"/>
      <c r="BP207" s="87"/>
      <c r="BQ207" s="87"/>
      <c r="BR207" s="87"/>
      <c r="BS207" s="87"/>
      <c r="BT207" s="87"/>
    </row>
    <row r="208" customFormat="false" ht="15" hidden="false" customHeight="true" outlineLevel="0" collapsed="false">
      <c r="B208" s="103" t="s">
        <v>1385</v>
      </c>
      <c r="C208" s="1" t="n">
        <f aca="false">C206</f>
        <v>0</v>
      </c>
      <c r="D208" s="1" t="n">
        <f aca="false">C208+D206</f>
        <v>0</v>
      </c>
      <c r="E208" s="1" t="n">
        <f aca="false">D208+E206</f>
        <v>0</v>
      </c>
      <c r="F208" s="1" t="n">
        <f aca="false">E208+F206</f>
        <v>0</v>
      </c>
      <c r="G208" s="1" t="n">
        <f aca="false">F208+G206</f>
        <v>0</v>
      </c>
      <c r="H208" s="1" t="n">
        <f aca="false">G208+H206</f>
        <v>0</v>
      </c>
      <c r="I208" s="1" t="n">
        <f aca="false">H208+I206</f>
        <v>0</v>
      </c>
      <c r="J208" s="1" t="n">
        <f aca="false">I208+J206</f>
        <v>0</v>
      </c>
      <c r="K208" s="1" t="n">
        <f aca="false">J208+K206</f>
        <v>0</v>
      </c>
      <c r="L208" s="1" t="n">
        <f aca="false">K208+L206</f>
        <v>1</v>
      </c>
      <c r="M208" s="1" t="n">
        <f aca="false">L208+M206</f>
        <v>2</v>
      </c>
      <c r="N208" s="1" t="n">
        <f aca="false">M208+N206</f>
        <v>3</v>
      </c>
      <c r="O208" s="1" t="n">
        <f aca="false">N208+O206</f>
        <v>4</v>
      </c>
      <c r="P208" s="1" t="n">
        <f aca="false">O208+P206</f>
        <v>5</v>
      </c>
      <c r="Q208" s="1" t="n">
        <f aca="false">P208+Q206</f>
        <v>6</v>
      </c>
      <c r="R208" s="1" t="n">
        <f aca="false">Q208+R206</f>
        <v>7</v>
      </c>
      <c r="S208" s="1" t="n">
        <f aca="false">R208+S206</f>
        <v>8</v>
      </c>
      <c r="T208" s="1" t="n">
        <f aca="false">S208+T206</f>
        <v>9</v>
      </c>
      <c r="U208" s="1" t="n">
        <f aca="false">T208+U206</f>
        <v>10</v>
      </c>
      <c r="V208" s="1" t="n">
        <f aca="false">U208+V206</f>
        <v>11</v>
      </c>
      <c r="W208" s="1" t="n">
        <f aca="false">V208+W206</f>
        <v>12</v>
      </c>
      <c r="X208" s="1" t="n">
        <f aca="false">W208+X206</f>
        <v>13</v>
      </c>
      <c r="Y208" s="1" t="n">
        <f aca="false">X208+Y206</f>
        <v>14</v>
      </c>
      <c r="Z208" s="1" t="n">
        <f aca="false">Y208+Z206</f>
        <v>15</v>
      </c>
      <c r="AA208" s="1" t="n">
        <f aca="false">Z208+AA206</f>
        <v>16</v>
      </c>
      <c r="AB208" s="1" t="n">
        <f aca="false">AA208+AB206</f>
        <v>17</v>
      </c>
      <c r="AC208" s="1" t="n">
        <f aca="false">AB208+AC206</f>
        <v>18</v>
      </c>
      <c r="AD208" s="1" t="n">
        <f aca="false">AC208+AD206</f>
        <v>19</v>
      </c>
      <c r="AE208" s="1" t="n">
        <f aca="false">AD208+AE206</f>
        <v>20</v>
      </c>
      <c r="AF208" s="1" t="n">
        <f aca="false">AE208+AF206</f>
        <v>21</v>
      </c>
    </row>
    <row r="209" customFormat="false" ht="15" hidden="false" customHeight="true" outlineLevel="0" collapsed="false">
      <c r="B209" s="103" t="s">
        <v>1386</v>
      </c>
      <c r="C209" s="88" t="n">
        <f aca="false">IF($C$201="Tope",$C$198/(1-$C$198)*C203,1E+099)</f>
        <v>1E+099</v>
      </c>
      <c r="D209" s="88" t="n">
        <f aca="false">IF($C$201="Tope",$C$198/(1-$C$198)*D203,1E+099)</f>
        <v>1E+099</v>
      </c>
      <c r="E209" s="88" t="n">
        <f aca="false">IF($C$201="Tope",$C$198/(1-$C$198)*E203,1E+099)</f>
        <v>1E+099</v>
      </c>
      <c r="F209" s="88" t="n">
        <f aca="false">IF($C$201="Tope",$C$198/(1-$C$198)*F203,1E+099)</f>
        <v>1E+099</v>
      </c>
      <c r="G209" s="88" t="n">
        <f aca="false">IF($C$201="Tope",$C$198/(1-$C$198)*G203,1E+099)</f>
        <v>1E+099</v>
      </c>
      <c r="H209" s="88" t="n">
        <f aca="false">IF($C$201="Tope",$C$198/(1-$C$198)*H203,1E+099)</f>
        <v>1E+099</v>
      </c>
      <c r="I209" s="88" t="n">
        <f aca="false">IF($C$201="Tope",$C$198/(1-$C$198)*I203,1E+099)</f>
        <v>1E+099</v>
      </c>
      <c r="J209" s="88" t="n">
        <f aca="false">IF($C$201="Tope",$C$198/(1-$C$198)*J203,1E+099)</f>
        <v>1E+099</v>
      </c>
      <c r="K209" s="88" t="n">
        <f aca="false">IF($C$201="Tope",$C$198/(1-$C$198)*K203,1E+099)</f>
        <v>1E+099</v>
      </c>
      <c r="L209" s="88" t="n">
        <f aca="false">IF($C$201="Tope",$C$198/(1-$C$198)*L203,1E+099)</f>
        <v>1E+099</v>
      </c>
      <c r="M209" s="88" t="n">
        <f aca="false">IF($C$201="Tope",$C$198/(1-$C$198)*M203,1E+099)</f>
        <v>1E+099</v>
      </c>
      <c r="N209" s="88" t="n">
        <f aca="false">IF($C$201="Tope",$C$198/(1-$C$198)*N203,1E+099)</f>
        <v>1E+099</v>
      </c>
      <c r="O209" s="88" t="n">
        <f aca="false">IF($C$201="Tope",$C$198/(1-$C$198)*O203,1E+099)</f>
        <v>1E+099</v>
      </c>
      <c r="P209" s="88" t="n">
        <f aca="false">IF($C$201="Tope",$C$198/(1-$C$198)*P203,1E+099)</f>
        <v>1E+099</v>
      </c>
      <c r="Q209" s="88" t="n">
        <f aca="false">IF($C$201="Tope",$C$198/(1-$C$198)*Q203,1E+099)</f>
        <v>1E+099</v>
      </c>
      <c r="R209" s="88" t="n">
        <f aca="false">IF($C$201="Tope",$C$198/(1-$C$198)*R203,1E+099)</f>
        <v>1E+099</v>
      </c>
      <c r="S209" s="88" t="n">
        <f aca="false">IF($C$201="Tope",$C$198/(1-$C$198)*S203,1E+099)</f>
        <v>1E+099</v>
      </c>
      <c r="T209" s="88" t="n">
        <f aca="false">IF($C$201="Tope",$C$198/(1-$C$198)*T203,1E+099)</f>
        <v>1E+099</v>
      </c>
      <c r="U209" s="88" t="n">
        <f aca="false">IF($C$201="Tope",$C$198/(1-$C$198)*U203,1E+099)</f>
        <v>1E+099</v>
      </c>
      <c r="V209" s="88" t="n">
        <f aca="false">IF($C$201="Tope",$C$198/(1-$C$198)*V203,1E+099)</f>
        <v>1E+099</v>
      </c>
      <c r="W209" s="88" t="n">
        <f aca="false">IF($C$201="Tope",$C$198/(1-$C$198)*W203,1E+099)</f>
        <v>1E+099</v>
      </c>
      <c r="X209" s="88" t="n">
        <f aca="false">IF($C$201="Tope",$C$198/(1-$C$198)*X203,1E+099)</f>
        <v>1E+099</v>
      </c>
      <c r="Y209" s="88" t="n">
        <f aca="false">IF($C$201="Tope",$C$198/(1-$C$198)*Y203,1E+099)</f>
        <v>1E+099</v>
      </c>
      <c r="Z209" s="88" t="n">
        <f aca="false">IF($C$201="Tope",$C$198/(1-$C$198)*Z203,1E+099)</f>
        <v>1E+099</v>
      </c>
      <c r="AA209" s="88" t="n">
        <f aca="false">IF($C$201="Tope",$C$198/(1-$C$198)*AA203,1E+099)</f>
        <v>1E+099</v>
      </c>
      <c r="AB209" s="88" t="n">
        <f aca="false">IF($C$201="Tope",$C$198/(1-$C$198)*AB203,1E+099)</f>
        <v>1E+099</v>
      </c>
      <c r="AC209" s="88" t="n">
        <f aca="false">IF($C$201="Tope",$C$198/(1-$C$198)*AC203,1E+099)</f>
        <v>1E+099</v>
      </c>
      <c r="AD209" s="88" t="n">
        <f aca="false">IF($C$201="Tope",$C$198/(1-$C$198)*AD203,1E+099)</f>
        <v>1E+099</v>
      </c>
      <c r="AE209" s="88" t="n">
        <f aca="false">IF($C$201="Tope",$C$198/(1-$C$198)*AE203,1E+099)</f>
        <v>1E+099</v>
      </c>
      <c r="AF209" s="88" t="n">
        <f aca="false">IF($C$201="Tope",$C$198/(1-$C$198)*AF203,1E+099)</f>
        <v>1E+099</v>
      </c>
      <c r="AG209" s="88"/>
      <c r="AH209" s="88"/>
      <c r="AI209" s="88"/>
      <c r="AJ209" s="88"/>
      <c r="AK209" s="88"/>
      <c r="AL209" s="88"/>
      <c r="AM209" s="88"/>
      <c r="AN209" s="88"/>
      <c r="AO209" s="88"/>
      <c r="AP209" s="88"/>
      <c r="AQ209" s="88"/>
      <c r="AR209" s="88"/>
      <c r="AS209" s="88"/>
      <c r="AT209" s="88"/>
      <c r="AU209" s="88"/>
      <c r="AV209" s="88"/>
      <c r="AW209" s="88"/>
      <c r="AX209" s="88"/>
      <c r="AY209" s="88"/>
      <c r="AZ209" s="88"/>
      <c r="BA209" s="88"/>
      <c r="BB209" s="88"/>
      <c r="BC209" s="88"/>
      <c r="BD209" s="88"/>
      <c r="BE209" s="88"/>
      <c r="BF209" s="88"/>
      <c r="BG209" s="88"/>
      <c r="BH209" s="88"/>
      <c r="BI209" s="88"/>
      <c r="BJ209" s="88"/>
      <c r="BK209" s="88"/>
      <c r="BL209" s="88"/>
      <c r="BM209" s="88"/>
      <c r="BN209" s="88"/>
      <c r="BO209" s="88"/>
      <c r="BP209" s="88"/>
      <c r="BQ209" s="88"/>
      <c r="BR209" s="88"/>
      <c r="BS209" s="88"/>
      <c r="BT209" s="88"/>
    </row>
    <row r="210" customFormat="false" ht="15" hidden="false" customHeight="true" outlineLevel="0" collapsed="false">
      <c r="B210" s="83" t="s">
        <v>1387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1346</v>
      </c>
      <c r="C221" s="116" t="n">
        <f aca="false">C112</f>
        <v>0.118288787723829</v>
      </c>
      <c r="D221" s="116" t="n">
        <f aca="false">D112</f>
        <v>0.194477540223313</v>
      </c>
      <c r="E221" s="116" t="n">
        <f aca="false">E112</f>
        <v>0.262221671615268</v>
      </c>
      <c r="F221" s="116" t="n">
        <f aca="false">F112</f>
        <v>0.545473119675601</v>
      </c>
      <c r="G221" s="116" t="n">
        <f aca="false">G112</f>
        <v>0.57057817627323</v>
      </c>
      <c r="H221" s="116" t="n">
        <f aca="false">H112</f>
        <v>0.59570821570086</v>
      </c>
      <c r="I221" s="116" t="n">
        <f aca="false">I112</f>
        <v>0.620861988816989</v>
      </c>
      <c r="J221" s="116" t="n">
        <f aca="false">J112</f>
        <v>0.646038308937193</v>
      </c>
      <c r="K221" s="116" t="n">
        <f aca="false">K112</f>
        <v>0.671236048711268</v>
      </c>
      <c r="L221" s="116" t="n">
        <f aca="false">L112</f>
        <v>0.696454137156521</v>
      </c>
      <c r="M221" s="116" t="n">
        <f aca="false">M112</f>
        <v>0.718617712928807</v>
      </c>
      <c r="N221" s="116" t="n">
        <f aca="false">N112</f>
        <v>0.740700689212277</v>
      </c>
      <c r="O221" s="116" t="n">
        <f aca="false">O112</f>
        <v>0.761372941311184</v>
      </c>
      <c r="P221" s="116" t="n">
        <f aca="false">P112</f>
        <v>0.776624667569314</v>
      </c>
      <c r="Q221" s="116" t="n">
        <f aca="false">Q112</f>
        <v>0.791887967537591</v>
      </c>
      <c r="R221" s="116" t="n">
        <f aca="false">R112</f>
        <v>0.806925488899095</v>
      </c>
      <c r="S221" s="116" t="n">
        <f aca="false">S112</f>
        <v>0.82173837654625</v>
      </c>
      <c r="T221" s="116" t="n">
        <f aca="false">T112</f>
        <v>0.836352667402036</v>
      </c>
      <c r="U221" s="116" t="n">
        <f aca="false">U112</f>
        <v>0.850793706733246</v>
      </c>
      <c r="V221" s="116" t="n">
        <f aca="false">V112</f>
        <v>0.865086646802955</v>
      </c>
      <c r="W221" s="116" t="n">
        <f aca="false">W112</f>
        <v>0.87896965430453</v>
      </c>
      <c r="X221" s="116" t="n">
        <f aca="false">X112</f>
        <v>0.892468579833671</v>
      </c>
      <c r="Y221" s="116" t="n">
        <f aca="false">Y112</f>
        <v>0.905602471649316</v>
      </c>
      <c r="Z221" s="116" t="n">
        <f aca="false">Z112</f>
        <v>0.918261148055391</v>
      </c>
      <c r="AA221" s="116" t="n">
        <f aca="false">AA112</f>
        <v>0.930484469739125</v>
      </c>
      <c r="AB221" s="116" t="n">
        <f aca="false">AB112</f>
        <v>0.942284406916909</v>
      </c>
      <c r="AC221" s="116" t="n">
        <f aca="false">AC112</f>
        <v>0.953798886238919</v>
      </c>
      <c r="AD221" s="116" t="n">
        <f aca="false">AD112</f>
        <v>0.965049111463559</v>
      </c>
      <c r="AE221" s="116" t="n">
        <f aca="false">AE112</f>
        <v>0.976034534828076</v>
      </c>
      <c r="AF221" s="116" t="n">
        <f aca="false">AF112</f>
        <v>0.986754623706767</v>
      </c>
    </row>
    <row r="222" customFormat="false" ht="14.25" hidden="false" customHeight="true" outlineLevel="0" collapsed="false">
      <c r="B222" s="1" t="s">
        <v>1218</v>
      </c>
      <c r="C222" s="87" t="n">
        <f aca="false">IF(C221&gt;0,C220/C221,0)</f>
        <v>0.779690291911077</v>
      </c>
      <c r="D222" s="87" t="n">
        <f aca="false">IF(D221&gt;0,D220/D221,0)</f>
        <v>1.20777960047155</v>
      </c>
      <c r="E222" s="87" t="n">
        <f aca="false">IF(E221&gt;0,E220/E221,0)</f>
        <v>1.58753747659019</v>
      </c>
      <c r="F222" s="87" t="n">
        <f aca="false">IF(F221&gt;0,F220/F221,0)</f>
        <v>1.45170196512618</v>
      </c>
      <c r="G222" s="87" t="n">
        <f aca="false">IF(G221&gt;0,G220/G221,0)</f>
        <v>2.00361664705631</v>
      </c>
      <c r="H222" s="87" t="n">
        <f aca="false">IF(H221&gt;0,H220/H221,0)</f>
        <v>2.47086652269859</v>
      </c>
      <c r="I222" s="87" t="n">
        <f aca="false">IF(I221&gt;0,I220/I221,0)</f>
        <v>2.8660354591115</v>
      </c>
      <c r="J222" s="87" t="n">
        <f aca="false">IF(J221&gt;0,J220/J221,0)</f>
        <v>3.19962148750406</v>
      </c>
      <c r="K222" s="87" t="n">
        <f aca="false">IF(K221&gt;0,K220/K221,0)</f>
        <v>3.48043168841404</v>
      </c>
      <c r="L222" s="87" t="n">
        <f aca="false">IF(L221&gt;0,L220/L221,0)</f>
        <v>3.715892140736</v>
      </c>
      <c r="M222" s="87" t="n">
        <f aca="false">IF(M221&gt;0,M220/M221,0)</f>
        <v>3.80068629385232</v>
      </c>
      <c r="N222" s="87" t="n">
        <f aca="false">IF(N221&gt;0,N220/N221,0)</f>
        <v>3.79223938379542</v>
      </c>
      <c r="O222" s="87" t="n">
        <f aca="false">IF(O221&gt;0,O220/O221,0)</f>
        <v>3.72174376235282</v>
      </c>
      <c r="P222" s="87" t="n">
        <f aca="false">IF(P221&gt;0,P220/P221,0)</f>
        <v>3.41334165870471</v>
      </c>
      <c r="Q222" s="87" t="n">
        <f aca="false">IF(Q221&gt;0,Q220/Q221,0)</f>
        <v>3.13165731179414</v>
      </c>
      <c r="R222" s="87" t="n">
        <f aca="false">IF(R221&gt;0,R220/R221,0)</f>
        <v>2.87509087944633</v>
      </c>
      <c r="S222" s="87" t="n">
        <f aca="false">IF(S221&gt;0,S220/S221,0)</f>
        <v>2.64118289386516</v>
      </c>
      <c r="T222" s="87" t="n">
        <f aca="false">IF(T221&gt;0,T220/T221,0)</f>
        <v>2.42766990038897</v>
      </c>
      <c r="U222" s="87" t="n">
        <f aca="false">IF(U221&gt;0,U220/U221,0)</f>
        <v>2.23255335031774</v>
      </c>
      <c r="V222" s="87" t="n">
        <f aca="false">IF(V221&gt;0,V220/V221,0)</f>
        <v>2.0540619643971</v>
      </c>
      <c r="W222" s="87" t="n">
        <f aca="false">IF(W221&gt;0,W220/W221,0)</f>
        <v>1.89123850776266</v>
      </c>
      <c r="X222" s="87" t="n">
        <f aca="false">IF(X221&gt;0,X220/X221,0)</f>
        <v>1.74250600292383</v>
      </c>
      <c r="Y222" s="87" t="n">
        <f aca="false">IF(Y221&gt;0,Y220/Y221,0)</f>
        <v>1.60648492152389</v>
      </c>
      <c r="Z222" s="87" t="n">
        <f aca="false">IF(Z221&gt;0,Z220/Z221,0)</f>
        <v>1.48215996332406</v>
      </c>
      <c r="AA222" s="87" t="n">
        <f aca="false">IF(AA221&gt;0,AA220/AA221,0)</f>
        <v>1.36835629015241</v>
      </c>
      <c r="AB222" s="87" t="n">
        <f aca="false">IF(AB221&gt;0,AB220/AB221,0)</f>
        <v>1.264076483729</v>
      </c>
      <c r="AC222" s="87" t="n">
        <f aca="false">IF(AC221&gt;0,AC220/AC221,0)</f>
        <v>1.16827633607847</v>
      </c>
      <c r="AD222" s="87" t="n">
        <f aca="false">IF(AD221&gt;0,AD220/AD221,0)</f>
        <v>1.08018964642989</v>
      </c>
      <c r="AE222" s="87" t="n">
        <f aca="false">IF(AE221&gt;0,AE220/AE221,0)</f>
        <v>0.99915134083519</v>
      </c>
      <c r="AF222" s="87" t="n">
        <f aca="false">IF(AF221&gt;0,AF220/AF221,0)</f>
        <v>0.924558348436978</v>
      </c>
    </row>
    <row r="223" customFormat="false" ht="14.25" hidden="false" customHeight="true" outlineLevel="0" collapsed="false">
      <c r="B223" s="1" t="s">
        <v>1219</v>
      </c>
      <c r="C223" s="88" t="n">
        <f aca="false">C220-C221</f>
        <v>-0.0260601682936292</v>
      </c>
      <c r="D223" s="88" t="n">
        <f aca="false">D220-D221</f>
        <v>0.0404084656082906</v>
      </c>
      <c r="E223" s="88" t="n">
        <f aca="false">E220-E221</f>
        <v>0.154065059248095</v>
      </c>
      <c r="F223" s="88" t="n">
        <f aca="false">F220-F221</f>
        <v>0.246391280080977</v>
      </c>
      <c r="G223" s="88" t="n">
        <f aca="false">G220-G221</f>
        <v>0.572641756154843</v>
      </c>
      <c r="H223" s="88" t="n">
        <f aca="false">H220-H221</f>
        <v>0.876207271770902</v>
      </c>
      <c r="I223" s="88" t="n">
        <f aca="false">I220-I221</f>
        <v>1.15855048634699</v>
      </c>
      <c r="J223" s="88" t="n">
        <f aca="false">J220-J221</f>
        <v>1.42103974608903</v>
      </c>
      <c r="K223" s="88" t="n">
        <f aca="false">K220-K221</f>
        <v>1.66495516562926</v>
      </c>
      <c r="L223" s="88" t="n">
        <f aca="false">L220-L221</f>
        <v>1.89149431748647</v>
      </c>
      <c r="M223" s="88" t="n">
        <f aca="false">M220-M221</f>
        <v>2.01262277911921</v>
      </c>
      <c r="N223" s="88" t="n">
        <f aca="false">N220-N221</f>
        <v>2.06821363602293</v>
      </c>
      <c r="O223" s="88" t="n">
        <f aca="false">O220-O221</f>
        <v>2.07226205383793</v>
      </c>
      <c r="P223" s="88" t="n">
        <f aca="false">P220-P221</f>
        <v>1.87426066342272</v>
      </c>
      <c r="Q223" s="88" t="n">
        <f aca="false">Q220-Q221</f>
        <v>1.68803377612331</v>
      </c>
      <c r="R223" s="88" t="n">
        <f aca="false">R220-R221</f>
        <v>1.51305862462746</v>
      </c>
      <c r="S223" s="88" t="n">
        <f aca="false">S220-S221</f>
        <v>1.34862296682023</v>
      </c>
      <c r="T223" s="88" t="n">
        <f aca="false">T220-T221</f>
        <v>1.19403552935991</v>
      </c>
      <c r="U223" s="88" t="n">
        <f aca="false">U220-U221</f>
        <v>1.04864863366331</v>
      </c>
      <c r="V223" s="88" t="n">
        <f aca="false">V220-V221</f>
        <v>0.911854930302825</v>
      </c>
      <c r="W223" s="88" t="n">
        <f aca="false">W220-W221</f>
        <v>0.783371603071027</v>
      </c>
      <c r="X223" s="88" t="n">
        <f aca="false">X220-X221</f>
        <v>0.662663277947404</v>
      </c>
      <c r="Y223" s="88" t="n">
        <f aca="false">Y220-Y221</f>
        <v>0.549234243950076</v>
      </c>
      <c r="Z223" s="88" t="n">
        <f aca="false">Z220-Z221</f>
        <v>0.442748761468298</v>
      </c>
      <c r="AA223" s="88" t="n">
        <f aca="false">AA220-AA221</f>
        <v>0.342749807317536</v>
      </c>
      <c r="AB223" s="88" t="n">
        <f aca="false">AB220-AB221</f>
        <v>0.24883515285128</v>
      </c>
      <c r="AC223" s="88" t="n">
        <f aca="false">AC220-AC221</f>
        <v>0.160501781932007</v>
      </c>
      <c r="AD223" s="88" t="n">
        <f aca="false">AD220-AD221</f>
        <v>0.0773869470357412</v>
      </c>
      <c r="AE223" s="88" t="n">
        <f aca="false">AE220-AE221</f>
        <v>-0.000828320653153081</v>
      </c>
      <c r="AF223" s="88" t="n">
        <f aca="false">AF220-AF221</f>
        <v>-0.074442398499887</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0.0119714901411787</v>
      </c>
      <c r="D233" s="1" t="n">
        <f aca="false">IF(C81&gt;0,(D107+D109+D110+D184-D108-D229)/C81,0)</f>
        <v>0.0349936947237541</v>
      </c>
      <c r="E233" s="1" t="n">
        <f aca="false">IF(D81&gt;0,(E107+E109+E110+E184-E108-E229)/D81,0)</f>
        <v>0.0343227341240657</v>
      </c>
      <c r="F233" s="1" t="n">
        <f aca="false">IF(E81&gt;0,(F107+F109+F110+F184-F108-F229)/E81,0)</f>
        <v>0.0449456797592645</v>
      </c>
      <c r="G233" s="1" t="n">
        <f aca="false">IF(F81&gt;0,(G107+G109+G110+G184-G108-G229)/F81,0)</f>
        <v>0.0263341506807134</v>
      </c>
      <c r="H233" s="1" t="n">
        <f aca="false">IF(G81&gt;0,(H107+H109+H110+H184-H108-H229)/G81,0)</f>
        <v>0.0289214012663152</v>
      </c>
      <c r="I233" s="1" t="n">
        <f aca="false">IF(H81&gt;0,(I107+I109+I110+I184-I108-I229)/H81,0)</f>
        <v>0.0315087387056078</v>
      </c>
      <c r="J233" s="1" t="n">
        <f aca="false">IF(I81&gt;0,(J107+J109+J110+J184-J108-J229)/I81,0)</f>
        <v>0.0341090997247875</v>
      </c>
      <c r="K233" s="1" t="n">
        <f aca="false">IF(J81&gt;0,(K107+K109+K110+K184-K108-K229)/J81,0)</f>
        <v>0.0366749264542969</v>
      </c>
      <c r="L233" s="1" t="n">
        <f aca="false">IF(K81&gt;0,(L107+L109+L110+L184-L108-L229)/K81,0)</f>
        <v>0.0387306418493983</v>
      </c>
      <c r="M233" s="1" t="n">
        <f aca="false">IF(L81&gt;0,(M107+M109+M110+M184-M108-M229)/L81,0)</f>
        <v>0.0406686329805284</v>
      </c>
      <c r="N233" s="1" t="n">
        <f aca="false">IF(M81&gt;0,(N107+N109+N110+N184-N108-N229)/M81,0)</f>
        <v>0.0404884846647807</v>
      </c>
      <c r="O233" s="1" t="n">
        <f aca="false">IF(N81&gt;0,(O107+O109+O110+O184-O108-O229)/N81,0)</f>
        <v>0.0398483177272416</v>
      </c>
      <c r="P233" s="1" t="n">
        <f aca="false">IF(O81&gt;0,(P107+P109+P110+P184-P108-P229)/O81,0)</f>
        <v>0.0396648719486653</v>
      </c>
      <c r="Q233" s="1" t="n">
        <f aca="false">IF(P81&gt;0,(Q107+Q109+Q110+Q184-Q108-Q229)/P81,0)</f>
        <v>0.039699293925897</v>
      </c>
      <c r="R233" s="1" t="n">
        <f aca="false">IF(Q81&gt;0,(R107+R109+R110+R184-R108-R229)/Q81,0)</f>
        <v>0.0397032411104375</v>
      </c>
      <c r="S233" s="1" t="n">
        <f aca="false">IF(R81&gt;0,(S107+S109+S110+S184-S108-S229)/R81,0)</f>
        <v>0.0397226367573143</v>
      </c>
      <c r="T233" s="1" t="n">
        <f aca="false">IF(S81&gt;0,(T107+T109+T110+T184-T108-T229)/S81,0)</f>
        <v>0.0397573658144597</v>
      </c>
      <c r="U233" s="1" t="n">
        <f aca="false">IF(T81&gt;0,(U107+U109+U110+U184-U108-U229)/T81,0)</f>
        <v>0.0398066583787282</v>
      </c>
      <c r="V233" s="1" t="n">
        <f aca="false">IF(U81&gt;0,(V107+V109+V110+V184-V108-V229)/U81,0)</f>
        <v>0.0398698199487959</v>
      </c>
      <c r="W233" s="1" t="n">
        <f aca="false">IF(V81&gt;0,(W107+W109+W110+W184-W108-W229)/V81,0)</f>
        <v>0.0399462863396051</v>
      </c>
      <c r="X233" s="1" t="n">
        <f aca="false">IF(W81&gt;0,(X107+X109+X110+X184-X108-X229)/W81,0)</f>
        <v>0.0400407016128124</v>
      </c>
      <c r="Y233" s="1" t="n">
        <f aca="false">IF(X81&gt;0,(Y107+Y109+Y110+Y184-Y108-Y229)/X81,0)</f>
        <v>0.0400058277117442</v>
      </c>
      <c r="Z233" s="1" t="n">
        <f aca="false">IF(Y81&gt;0,(Z107+Z109+Z110+Z184-Z108-Z229)/Y81,0)</f>
        <v>0.0400143136495694</v>
      </c>
      <c r="AA233" s="1" t="n">
        <f aca="false">IF(Z81&gt;0,(AA107+AA109+AA110+AA184-AA108-AA229)/Z81,0)</f>
        <v>0.0400323147952698</v>
      </c>
      <c r="AB233" s="1" t="n">
        <f aca="false">IF(AA81&gt;0,(AB107+AB109+AB110+AB184-AB108-AB229)/AA81,0)</f>
        <v>0.0400602704326376</v>
      </c>
      <c r="AC233" s="1" t="n">
        <f aca="false">IF(AB81&gt;0,(AC107+AC109+AC110+AC184-AC108-AC229)/AB81,0)</f>
        <v>0.0401022318800581</v>
      </c>
      <c r="AD233" s="1" t="n">
        <f aca="false">IF(AC81&gt;0,(AD107+AD109+AD110+AD184-AD108-AD229)/AC81,0)</f>
        <v>0.0401522268534007</v>
      </c>
      <c r="AE233" s="1" t="n">
        <f aca="false">IF(AD81&gt;0,(AE107+AE109+AE110+AE184-AE108-AE229)/AD81,0)</f>
        <v>0.0402098862487445</v>
      </c>
      <c r="AF233" s="1" t="n">
        <f aca="false">IF(AE81&gt;0,(AF107+AF109+AF110+AF184-AF108-AF229)/AE81,0)</f>
        <v>0.0402758454915311</v>
      </c>
    </row>
    <row r="234" customFormat="false" ht="14.25" hidden="false" customHeight="true" outlineLevel="0" collapsed="false">
      <c r="B234" s="1" t="s">
        <v>1230</v>
      </c>
      <c r="C234" s="1" t="n">
        <f aca="false">(C232+0)/2*C233</f>
        <v>0.0110411400824315</v>
      </c>
      <c r="D234" s="1" t="n">
        <f aca="false">(D232+C232)/2*D233</f>
        <v>0.114469493360868</v>
      </c>
      <c r="E234" s="1" t="n">
        <f aca="false">(E232+D232)/2*E233</f>
        <v>0.223500287104216</v>
      </c>
      <c r="F234" s="1" t="n">
        <f aca="false">(F232+E232)/2*F233</f>
        <v>0.543011738176372</v>
      </c>
      <c r="G234" s="1" t="n">
        <f aca="false">(G232+F232)/2*G233</f>
        <v>0.509588023836382</v>
      </c>
      <c r="H234" s="1" t="n">
        <f aca="false">(H232+G232)/2*H233</f>
        <v>0.756333808446768</v>
      </c>
      <c r="I234" s="1" t="n">
        <f aca="false">(I232+H232)/2*I233</f>
        <v>1.02445243220925</v>
      </c>
      <c r="J234" s="1" t="n">
        <f aca="false">(J232+I232)/2*J233</f>
        <v>1.31200329084708</v>
      </c>
      <c r="K234" s="1" t="n">
        <f aca="false">(K232+J232)/2*K233</f>
        <v>1.61489576612491</v>
      </c>
      <c r="L234" s="1" t="n">
        <f aca="false">(L232+K232)/2*L233</f>
        <v>1.90715089935815</v>
      </c>
      <c r="M234" s="1" t="n">
        <f aca="false">(M232+L232)/2*M233</f>
        <v>2.1632414302706</v>
      </c>
      <c r="N234" s="1" t="n">
        <f aca="false">(N232+M232)/2*N233</f>
        <v>2.24312473360083</v>
      </c>
      <c r="O234" s="1" t="n">
        <f aca="false">(O232+N232)/2*O233</f>
        <v>2.24846098110306</v>
      </c>
      <c r="P234" s="1" t="n">
        <f aca="false">(P232+O232)/2*P233</f>
        <v>2.17542796436241</v>
      </c>
      <c r="Q234" s="1" t="n">
        <f aca="false">(Q232+P232)/2*Q233</f>
        <v>2.03689418133719</v>
      </c>
      <c r="R234" s="1" t="n">
        <f aca="false">(R232+Q232)/2*R233</f>
        <v>1.90571819555315</v>
      </c>
      <c r="S234" s="1" t="n">
        <f aca="false">(S232+R232)/2*S233</f>
        <v>1.78368361499019</v>
      </c>
      <c r="T234" s="1" t="n">
        <f aca="false">(T232+S232)/2*T233</f>
        <v>1.6701073616181</v>
      </c>
      <c r="U234" s="1" t="n">
        <f aca="false">(U232+T232)/2*U233</f>
        <v>1.56433421678962</v>
      </c>
      <c r="V234" s="1" t="n">
        <f aca="false">(V232+U232)/2*V233</f>
        <v>1.46576764853467</v>
      </c>
      <c r="W234" s="1" t="n">
        <f aca="false">(W232+V232)/2*W233</f>
        <v>1.3738657690908</v>
      </c>
      <c r="X234" s="1" t="n">
        <f aca="false">(X232+W232)/2*X233</f>
        <v>1.28829880951233</v>
      </c>
      <c r="Y234" s="1" t="n">
        <f aca="false">(Y232+X232)/2*Y233</f>
        <v>1.20416284164424</v>
      </c>
      <c r="Z234" s="1" t="n">
        <f aca="false">(Z232+Y232)/2*Z233</f>
        <v>1.12674170046757</v>
      </c>
      <c r="AA234" s="1" t="n">
        <f aca="false">(AA232+Z232)/2*AA233</f>
        <v>1.05454892524794</v>
      </c>
      <c r="AB234" s="1" t="n">
        <f aca="false">(AB232+AA232)/2*AB233</f>
        <v>0.987226811449116</v>
      </c>
      <c r="AC234" s="1" t="n">
        <f aca="false">(AC232+AB232)/2*AC233</f>
        <v>0.924524965617908</v>
      </c>
      <c r="AD234" s="1" t="n">
        <f aca="false">(AD232+AC232)/2*AD233</f>
        <v>0.865977823123239</v>
      </c>
      <c r="AE234" s="1" t="n">
        <f aca="false">(AE232+AD232)/2*AE233</f>
        <v>0.811291662748887</v>
      </c>
      <c r="AF234" s="1" t="n">
        <f aca="false">(AF232+AE232)/2*AF233</f>
        <v>0.760214010269575</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0.00181827813941157</v>
      </c>
      <c r="D236" s="1" t="n">
        <f aca="false">MAX(0,D234-D235)</f>
        <v>0.0909808927777074</v>
      </c>
      <c r="E236" s="1" t="n">
        <f aca="false">MAX(0,E234-E235)</f>
        <v>0.18187161401788</v>
      </c>
      <c r="F236" s="1" t="n">
        <f aca="false">MAX(0,F234-F235)</f>
        <v>0.463825298200714</v>
      </c>
      <c r="G236" s="1" t="n">
        <f aca="false">MAX(0,G234-G235)</f>
        <v>0.395266030593575</v>
      </c>
      <c r="H236" s="1" t="n">
        <f aca="false">MAX(0,H234-H235)</f>
        <v>0.609142259699592</v>
      </c>
      <c r="I236" s="1" t="n">
        <f aca="false">MAX(0,I234-I235)</f>
        <v>0.846511184692857</v>
      </c>
      <c r="J236" s="1" t="n">
        <f aca="false">MAX(0,J234-J235)</f>
        <v>1.10529548534446</v>
      </c>
      <c r="K236" s="1" t="n">
        <f aca="false">MAX(0,K234-K235)</f>
        <v>1.38127664469086</v>
      </c>
      <c r="L236" s="1" t="n">
        <f aca="false">MAX(0,L234-L235)</f>
        <v>1.64835605389385</v>
      </c>
      <c r="M236" s="1" t="n">
        <f aca="false">MAX(0,M234-M235)</f>
        <v>1.8901173810658</v>
      </c>
      <c r="N236" s="1" t="n">
        <f aca="false">MAX(0,N234-N235)</f>
        <v>1.96223330107731</v>
      </c>
      <c r="O236" s="1" t="n">
        <f aca="false">MAX(0,O234-O235)</f>
        <v>1.96509748158814</v>
      </c>
      <c r="P236" s="1" t="n">
        <f aca="false">MAX(0,P234-P235)</f>
        <v>1.9103394312632</v>
      </c>
      <c r="Q236" s="1" t="n">
        <f aca="false">MAX(0,Q234-Q235)</f>
        <v>1.7889020069711</v>
      </c>
      <c r="R236" s="1" t="n">
        <f aca="false">MAX(0,R234-R235)</f>
        <v>1.67371978420049</v>
      </c>
      <c r="S236" s="1" t="n">
        <f aca="false">MAX(0,S234-S235)</f>
        <v>1.56664748065354</v>
      </c>
      <c r="T236" s="1" t="n">
        <f aca="false">MAX(0,T234-T235)</f>
        <v>1.4670685419419</v>
      </c>
      <c r="U236" s="1" t="n">
        <f aca="false">MAX(0,U234-U235)</f>
        <v>1.37438998274997</v>
      </c>
      <c r="V236" s="1" t="n">
        <f aca="false">MAX(0,V234-V235)</f>
        <v>1.28807349082409</v>
      </c>
      <c r="W236" s="1" t="n">
        <f aca="false">MAX(0,W234-W235)</f>
        <v>1.20763164335324</v>
      </c>
      <c r="X236" s="1" t="n">
        <f aca="false">MAX(0,X234-X235)</f>
        <v>1.13278562373422</v>
      </c>
      <c r="Y236" s="1" t="n">
        <f aca="false">MAX(0,Y234-Y235)</f>
        <v>1.0586791700843</v>
      </c>
      <c r="Z236" s="1" t="n">
        <f aca="false">MAX(0,Z234-Z235)</f>
        <v>0.990640709515196</v>
      </c>
      <c r="AA236" s="1" t="n">
        <f aca="false">MAX(0,AA234-AA235)</f>
        <v>0.927225497542273</v>
      </c>
      <c r="AB236" s="1" t="n">
        <f aca="false">MAX(0,AB234-AB235)</f>
        <v>0.868114855472297</v>
      </c>
      <c r="AC236" s="1" t="n">
        <f aca="false">MAX(0,AC234-AC235)</f>
        <v>0.813094898800815</v>
      </c>
      <c r="AD236" s="1" t="n">
        <f aca="false">MAX(0,AD234-AD235)</f>
        <v>0.761734217273309</v>
      </c>
      <c r="AE236" s="1" t="n">
        <f aca="false">MAX(0,AE234-AE235)</f>
        <v>0.713771041331395</v>
      </c>
      <c r="AF236" s="1" t="n">
        <f aca="false">MAX(0,AF234-AF235)</f>
        <v>0.668982787748887</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0.0779690291911077</v>
      </c>
      <c r="D238" s="1" t="n">
        <f aca="false">IF(D112&gt;0,D235/D112,0)</f>
        <v>0.120777960047155</v>
      </c>
      <c r="E238" s="1" t="n">
        <f aca="false">IF(E112&gt;0,E235/E112,0)</f>
        <v>0.158753747659019</v>
      </c>
      <c r="F238" s="1" t="n">
        <f aca="false">IF(F112&gt;0,F235/F112,0)</f>
        <v>0.145170196512618</v>
      </c>
      <c r="G238" s="1" t="n">
        <f aca="false">IF(G112&gt;0,G235/G112,0)</f>
        <v>0.200361664705631</v>
      </c>
      <c r="H238" s="1" t="n">
        <f aca="false">IF(H112&gt;0,H235/H112,0)</f>
        <v>0.247086652269859</v>
      </c>
      <c r="I238" s="1" t="n">
        <f aca="false">IF(I112&gt;0,I235/I112,0)</f>
        <v>0.28660354591115</v>
      </c>
      <c r="J238" s="1" t="n">
        <f aca="false">IF(J112&gt;0,J235/J112,0)</f>
        <v>0.319962148750406</v>
      </c>
      <c r="K238" s="1" t="n">
        <f aca="false">IF(K112&gt;0,K235/K112,0)</f>
        <v>0.348043168841404</v>
      </c>
      <c r="L238" s="1" t="n">
        <f aca="false">IF(L112&gt;0,L235/L112,0)</f>
        <v>0.3715892140736</v>
      </c>
      <c r="M238" s="1" t="n">
        <f aca="false">IF(M112&gt;0,M235/M112,0)</f>
        <v>0.380068629385232</v>
      </c>
      <c r="N238" s="1" t="n">
        <f aca="false">IF(N112&gt;0,N235/N112,0)</f>
        <v>0.379223938379542</v>
      </c>
      <c r="O238" s="1" t="n">
        <f aca="false">IF(O112&gt;0,O235/O112,0)</f>
        <v>0.372174376235282</v>
      </c>
      <c r="P238" s="1" t="n">
        <f aca="false">IF(P112&gt;0,P235/P112,0)</f>
        <v>0.341334165870471</v>
      </c>
      <c r="Q238" s="1" t="n">
        <f aca="false">IF(Q112&gt;0,Q235/Q112,0)</f>
        <v>0.313165731179414</v>
      </c>
      <c r="R238" s="1" t="n">
        <f aca="false">IF(R112&gt;0,R235/R112,0)</f>
        <v>0.287509087944633</v>
      </c>
      <c r="S238" s="1" t="n">
        <f aca="false">IF(S112&gt;0,S235/S112,0)</f>
        <v>0.264118289386516</v>
      </c>
      <c r="T238" s="1" t="n">
        <f aca="false">IF(T112&gt;0,T235/T112,0)</f>
        <v>0.242766990038897</v>
      </c>
      <c r="U238" s="1" t="n">
        <f aca="false">IF(U112&gt;0,U235/U112,0)</f>
        <v>0.223255335031774</v>
      </c>
      <c r="V238" s="1" t="n">
        <f aca="false">IF(V112&gt;0,V235/V112,0)</f>
        <v>0.20540619643971</v>
      </c>
      <c r="W238" s="1" t="n">
        <f aca="false">IF(W112&gt;0,W235/W112,0)</f>
        <v>0.189123850776266</v>
      </c>
      <c r="X238" s="1" t="n">
        <f aca="false">IF(X112&gt;0,X235/X112,0)</f>
        <v>0.174250600292383</v>
      </c>
      <c r="Y238" s="1" t="n">
        <f aca="false">IF(Y112&gt;0,Y235/Y112,0)</f>
        <v>0.160648492152389</v>
      </c>
      <c r="Z238" s="1" t="n">
        <f aca="false">IF(Z112&gt;0,Z235/Z112,0)</f>
        <v>0.148215996332406</v>
      </c>
      <c r="AA238" s="1" t="n">
        <f aca="false">IF(AA112&gt;0,AA235/AA112,0)</f>
        <v>0.136835629015241</v>
      </c>
      <c r="AB238" s="1" t="n">
        <f aca="false">IF(AB112&gt;0,AB235/AB112,0)</f>
        <v>0.1264076483729</v>
      </c>
      <c r="AC238" s="1" t="n">
        <f aca="false">IF(AC112&gt;0,AC235/AC112,0)</f>
        <v>0.116827633607847</v>
      </c>
      <c r="AD238" s="1" t="n">
        <f aca="false">IF(AD112&gt;0,AD235/AD112,0)</f>
        <v>0.108018964642989</v>
      </c>
      <c r="AE238" s="1" t="n">
        <f aca="false">IF(AE112&gt;0,AE235/AE112,0)</f>
        <v>0.099915134083519</v>
      </c>
      <c r="AF238" s="1" t="n">
        <f aca="false">IF(AF112&gt;0,AF235/AF112,0)</f>
        <v>0.0924558348436978</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0.00181827813941157</v>
      </c>
      <c r="D243" s="1" t="n">
        <f aca="false">D236</f>
        <v>0.0909808927777074</v>
      </c>
      <c r="E243" s="1" t="n">
        <f aca="false">E236</f>
        <v>0.18187161401788</v>
      </c>
      <c r="F243" s="1" t="n">
        <f aca="false">F236</f>
        <v>0.463825298200714</v>
      </c>
      <c r="G243" s="1" t="n">
        <f aca="false">G236</f>
        <v>0.395266030593575</v>
      </c>
      <c r="H243" s="1" t="n">
        <f aca="false">H236</f>
        <v>0.609142259699592</v>
      </c>
      <c r="I243" s="1" t="n">
        <f aca="false">I236</f>
        <v>0.846511184692857</v>
      </c>
      <c r="J243" s="1" t="n">
        <f aca="false">J236</f>
        <v>1.10529548534446</v>
      </c>
      <c r="K243" s="1" t="n">
        <f aca="false">K236</f>
        <v>1.38127664469086</v>
      </c>
      <c r="L243" s="1" t="n">
        <f aca="false">L236</f>
        <v>1.64835605389385</v>
      </c>
      <c r="M243" s="1" t="n">
        <f aca="false">M236</f>
        <v>1.8901173810658</v>
      </c>
      <c r="N243" s="1" t="n">
        <f aca="false">N236</f>
        <v>1.96223330107731</v>
      </c>
      <c r="O243" s="1" t="n">
        <f aca="false">O236</f>
        <v>1.96509748158814</v>
      </c>
      <c r="P243" s="1" t="n">
        <f aca="false">P236</f>
        <v>1.9103394312632</v>
      </c>
      <c r="Q243" s="1" t="n">
        <f aca="false">Q236</f>
        <v>1.7889020069711</v>
      </c>
      <c r="R243" s="1" t="n">
        <f aca="false">R236</f>
        <v>1.67371978420049</v>
      </c>
      <c r="S243" s="1" t="n">
        <f aca="false">S236</f>
        <v>1.56664748065354</v>
      </c>
      <c r="T243" s="1" t="n">
        <f aca="false">T236</f>
        <v>1.4670685419419</v>
      </c>
      <c r="U243" s="1" t="n">
        <f aca="false">U236</f>
        <v>1.37438998274997</v>
      </c>
      <c r="V243" s="1" t="n">
        <f aca="false">V236</f>
        <v>1.28807349082409</v>
      </c>
      <c r="W243" s="1" t="n">
        <f aca="false">W236</f>
        <v>1.20763164335324</v>
      </c>
      <c r="X243" s="1" t="n">
        <f aca="false">X236</f>
        <v>1.13278562373422</v>
      </c>
      <c r="Y243" s="1" t="n">
        <f aca="false">Y236</f>
        <v>1.0586791700843</v>
      </c>
      <c r="Z243" s="1" t="n">
        <f aca="false">Z236</f>
        <v>0.990640709515196</v>
      </c>
      <c r="AA243" s="1" t="n">
        <f aca="false">AA236</f>
        <v>0.927225497542273</v>
      </c>
      <c r="AB243" s="1" t="n">
        <f aca="false">AB236</f>
        <v>0.868114855472297</v>
      </c>
      <c r="AC243" s="1" t="n">
        <f aca="false">AC236</f>
        <v>0.813094898800815</v>
      </c>
      <c r="AD243" s="1" t="n">
        <f aca="false">AD236</f>
        <v>0.761734217273309</v>
      </c>
      <c r="AE243" s="1" t="n">
        <f aca="false">AE236</f>
        <v>0.713771041331395</v>
      </c>
      <c r="AF243" s="1" t="n">
        <f aca="false">AF236</f>
        <v>0.668982787748887</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0.00181827813941157</v>
      </c>
      <c r="D247" s="1" t="n">
        <f aca="false">MAX(0,C248+D243-D244-D245-D246)</f>
        <v>0.092799170917119</v>
      </c>
      <c r="E247" s="1" t="n">
        <f aca="false">MAX(0,D248+E243-E244-E245-E246)</f>
        <v>0.274670784934999</v>
      </c>
      <c r="F247" s="1" t="n">
        <f aca="false">MAX(0,E248+F243-F244-F245-F246)</f>
        <v>0.738496083135713</v>
      </c>
      <c r="G247" s="1" t="n">
        <f aca="false">MAX(0,F248+G243-G244-G245-G246)</f>
        <v>1.13376211372929</v>
      </c>
      <c r="H247" s="1" t="n">
        <f aca="false">MAX(0,G248+H243-H244-H245-H246)</f>
        <v>1.74290437342888</v>
      </c>
      <c r="I247" s="1" t="n">
        <f aca="false">MAX(0,H248+I243-I244-I245-I246)</f>
        <v>2.58941555812174</v>
      </c>
      <c r="J247" s="1" t="n">
        <f aca="false">MAX(0,I248+J243-J244-J245-J246)</f>
        <v>3.6947110434662</v>
      </c>
      <c r="K247" s="1" t="n">
        <f aca="false">MAX(0,J248+K243-K244-K245-K246)</f>
        <v>5.07598768815706</v>
      </c>
      <c r="L247" s="1" t="n">
        <f aca="false">MAX(0,K248+L243-L244-L245-L246)</f>
        <v>6.72434374205091</v>
      </c>
      <c r="M247" s="1" t="n">
        <f aca="false">MAX(0,L248+M243-M244-M245-M246)</f>
        <v>8.61446112311671</v>
      </c>
      <c r="N247" s="1" t="n">
        <f aca="false">MAX(0,M248+N243-N244-N245-N246)</f>
        <v>10.576694424194</v>
      </c>
      <c r="O247" s="1" t="n">
        <f aca="false">MAX(0,N248+O243-O244-O245-O246)</f>
        <v>12.5417919057822</v>
      </c>
      <c r="P247" s="1" t="n">
        <f aca="false">MAX(0,O248+P243-P244-P245-P246)</f>
        <v>14.4521313370454</v>
      </c>
      <c r="Q247" s="1" t="n">
        <f aca="false">MAX(0,P248+Q243-Q244-Q245-Q246)</f>
        <v>16.2410333440165</v>
      </c>
      <c r="R247" s="1" t="n">
        <f aca="false">MAX(0,Q248+R243-R244-R245-R246)</f>
        <v>17.914753128217</v>
      </c>
      <c r="S247" s="1" t="n">
        <f aca="false">MAX(0,R248+S243-S244-S245-S246)</f>
        <v>19.4814006088705</v>
      </c>
      <c r="T247" s="1" t="n">
        <f aca="false">MAX(0,S248+T243-T244-T245-T246)</f>
        <v>20.9484691508124</v>
      </c>
      <c r="U247" s="1" t="n">
        <f aca="false">MAX(0,T248+U243-U244-U245-U246)</f>
        <v>22.3228591335624</v>
      </c>
      <c r="V247" s="1" t="n">
        <f aca="false">MAX(0,U248+V243-V244-V245-V246)</f>
        <v>23.6109326243865</v>
      </c>
      <c r="W247" s="1" t="n">
        <f aca="false">MAX(0,V248+W243-W244-W245-W246)</f>
        <v>24.8185642677397</v>
      </c>
      <c r="X247" s="1" t="n">
        <f aca="false">MAX(0,W248+X243-X244-X245-X246)</f>
        <v>25.9513498914739</v>
      </c>
      <c r="Y247" s="1" t="n">
        <f aca="false">MAX(0,X248+Y243-Y244-Y245-Y246)</f>
        <v>27.0100290615582</v>
      </c>
      <c r="Z247" s="1" t="n">
        <f aca="false">MAX(0,Y248+Z243-Z244-Z245-Z246)</f>
        <v>28.0006697710734</v>
      </c>
      <c r="AA247" s="1" t="n">
        <f aca="false">MAX(0,Z248+AA243-AA244-AA245-AA246)</f>
        <v>28.9278952686157</v>
      </c>
      <c r="AB247" s="1" t="n">
        <f aca="false">MAX(0,AA248+AB243-AB244-AB245-AB246)</f>
        <v>29.796010124088</v>
      </c>
      <c r="AC247" s="1" t="n">
        <f aca="false">MAX(0,AB248+AC243-AC244-AC245-AC246)</f>
        <v>30.6091050228888</v>
      </c>
      <c r="AD247" s="1" t="n">
        <f aca="false">MAX(0,AC248+AD243-AD244-AD245-AD246)</f>
        <v>31.3708392401621</v>
      </c>
      <c r="AE247" s="1" t="n">
        <f aca="false">MAX(0,AD248+AE243-AE244-AE245-AE246)</f>
        <v>32.0846102814935</v>
      </c>
      <c r="AF247" s="1" t="n">
        <f aca="false">MAX(0,AE248+AF243-AF244-AF245-AF246)</f>
        <v>32.7535930692424</v>
      </c>
    </row>
    <row r="248" customFormat="false" ht="14.25" hidden="false" customHeight="true" outlineLevel="0" collapsed="false">
      <c r="B248" s="1" t="s">
        <v>1244</v>
      </c>
      <c r="C248" s="1" t="n">
        <f aca="false">MIN(C247,MAX(0,C276))</f>
        <v>0.00181827813941157</v>
      </c>
      <c r="D248" s="1" t="n">
        <f aca="false">MIN(D247,MAX(0,D276))</f>
        <v>0.092799170917119</v>
      </c>
      <c r="E248" s="1" t="n">
        <f aca="false">MIN(E247,MAX(0,E276))</f>
        <v>0.274670784934999</v>
      </c>
      <c r="F248" s="1" t="n">
        <f aca="false">MIN(F247,MAX(0,F276))</f>
        <v>0.738496083135713</v>
      </c>
      <c r="G248" s="1" t="n">
        <f aca="false">MIN(G247,MAX(0,G276))</f>
        <v>1.13376211372929</v>
      </c>
      <c r="H248" s="1" t="n">
        <f aca="false">MIN(H247,MAX(0,H276))</f>
        <v>1.74290437342888</v>
      </c>
      <c r="I248" s="1" t="n">
        <f aca="false">MIN(I247,MAX(0,I276))</f>
        <v>2.58941555812174</v>
      </c>
      <c r="J248" s="1" t="n">
        <f aca="false">MIN(J247,MAX(0,J276))</f>
        <v>3.6947110434662</v>
      </c>
      <c r="K248" s="1" t="n">
        <f aca="false">MIN(K247,MAX(0,K276))</f>
        <v>5.07598768815706</v>
      </c>
      <c r="L248" s="1" t="n">
        <f aca="false">MIN(L247,MAX(0,L276))</f>
        <v>6.72434374205091</v>
      </c>
      <c r="M248" s="1" t="n">
        <f aca="false">MIN(M247,MAX(0,M276))</f>
        <v>8.61446112311671</v>
      </c>
      <c r="N248" s="1" t="n">
        <f aca="false">MIN(N247,MAX(0,N276))</f>
        <v>10.576694424194</v>
      </c>
      <c r="O248" s="1" t="n">
        <f aca="false">MIN(O247,MAX(0,O276))</f>
        <v>12.5417919057822</v>
      </c>
      <c r="P248" s="1" t="n">
        <f aca="false">MIN(P247,MAX(0,P276))</f>
        <v>14.4521313370454</v>
      </c>
      <c r="Q248" s="1" t="n">
        <f aca="false">MIN(Q247,MAX(0,Q276))</f>
        <v>16.2410333440165</v>
      </c>
      <c r="R248" s="1" t="n">
        <f aca="false">MIN(R247,MAX(0,R276))</f>
        <v>17.914753128217</v>
      </c>
      <c r="S248" s="1" t="n">
        <f aca="false">MIN(S247,MAX(0,S276))</f>
        <v>19.4814006088705</v>
      </c>
      <c r="T248" s="1" t="n">
        <f aca="false">MIN(T247,MAX(0,T276))</f>
        <v>20.9484691508124</v>
      </c>
      <c r="U248" s="1" t="n">
        <f aca="false">MIN(U247,MAX(0,U276))</f>
        <v>22.3228591335624</v>
      </c>
      <c r="V248" s="1" t="n">
        <f aca="false">MIN(V247,MAX(0,V276))</f>
        <v>23.6109326243865</v>
      </c>
      <c r="W248" s="1" t="n">
        <f aca="false">MIN(W247,MAX(0,W276))</f>
        <v>24.8185642677397</v>
      </c>
      <c r="X248" s="1" t="n">
        <f aca="false">MIN(X247,MAX(0,X276))</f>
        <v>25.9513498914739</v>
      </c>
      <c r="Y248" s="1" t="n">
        <f aca="false">MIN(Y247,MAX(0,Y276))</f>
        <v>27.0100290615582</v>
      </c>
      <c r="Z248" s="1" t="n">
        <f aca="false">MIN(Z247,MAX(0,Z276))</f>
        <v>28.0006697710734</v>
      </c>
      <c r="AA248" s="1" t="n">
        <f aca="false">MIN(AA247,MAX(0,AA276))</f>
        <v>28.9278952686157</v>
      </c>
      <c r="AB248" s="1" t="n">
        <f aca="false">MIN(AB247,MAX(0,AB276))</f>
        <v>29.796010124088</v>
      </c>
      <c r="AC248" s="1" t="n">
        <f aca="false">MIN(AC247,MAX(0,AC276))</f>
        <v>30.6091050228888</v>
      </c>
      <c r="AD248" s="1" t="n">
        <f aca="false">MIN(AD247,MAX(0,AD276))</f>
        <v>31.3708392401621</v>
      </c>
      <c r="AE248" s="1" t="n">
        <f aca="false">MIN(AE247,MAX(0,AE276))</f>
        <v>32.0846102814935</v>
      </c>
      <c r="AF248" s="1" t="n">
        <f aca="false">MIN(AF247,MAX(0,AF276))</f>
        <v>32.7535930692424</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18.856053247367</v>
      </c>
      <c r="D250" s="1" t="n">
        <f aca="false">D120-D248</f>
        <v>34.8041927227802</v>
      </c>
      <c r="E250" s="1" t="n">
        <f aca="false">E120-E248</f>
        <v>52.3468565669436</v>
      </c>
      <c r="F250" s="1" t="n">
        <f aca="false">F120-F248</f>
        <v>60.1801886683823</v>
      </c>
      <c r="G250" s="1" t="n">
        <f aca="false">G120-G248</f>
        <v>70.2761151795309</v>
      </c>
      <c r="H250" s="1" t="n">
        <f aca="false">H120-H248</f>
        <v>81.677634916196</v>
      </c>
      <c r="I250" s="1" t="n">
        <f aca="false">I120-I248</f>
        <v>94.4702536570797</v>
      </c>
      <c r="J250" s="1" t="n">
        <f aca="false">J120-J248</f>
        <v>108.201517695959</v>
      </c>
      <c r="K250" s="1" t="n">
        <f aca="false">K120-K248</f>
        <v>122.890256463782</v>
      </c>
      <c r="L250" s="1" t="n">
        <f aca="false">L120-L248</f>
        <v>138.601234189893</v>
      </c>
      <c r="M250" s="1" t="n">
        <f aca="false">M120-M248</f>
        <v>136.417450618266</v>
      </c>
      <c r="N250" s="1" t="n">
        <f aca="false">N120-N248</f>
        <v>135.237293987354</v>
      </c>
      <c r="O250" s="1" t="n">
        <f aca="false">O120-O248</f>
        <v>135.526422387962</v>
      </c>
      <c r="P250" s="1" t="n">
        <f aca="false">P120-P248</f>
        <v>135.148214737997</v>
      </c>
      <c r="Q250" s="1" t="n">
        <f aca="false">Q120-Q248</f>
        <v>134.563481458026</v>
      </c>
      <c r="R250" s="1" t="n">
        <f aca="false">R120-R248</f>
        <v>134.13688063086</v>
      </c>
      <c r="S250" s="1" t="n">
        <f aca="false">S120-S248</f>
        <v>133.855319396228</v>
      </c>
      <c r="T250" s="1" t="n">
        <f aca="false">T120-T248</f>
        <v>133.712264715222</v>
      </c>
      <c r="U250" s="1" t="n">
        <f aca="false">U120-U248</f>
        <v>133.70147813164</v>
      </c>
      <c r="V250" s="1" t="n">
        <f aca="false">V120-V248</f>
        <v>133.817256658747</v>
      </c>
      <c r="W250" s="1" t="n">
        <f aca="false">W120-W248</f>
        <v>134.05674860864</v>
      </c>
      <c r="X250" s="1" t="n">
        <f aca="false">X120-X248</f>
        <v>134.425014016468</v>
      </c>
      <c r="Y250" s="1" t="n">
        <f aca="false">Y120-Y248</f>
        <v>135.09728128792</v>
      </c>
      <c r="Z250" s="1" t="n">
        <f aca="false">Z120-Z248</f>
        <v>135.820792404063</v>
      </c>
      <c r="AA250" s="1" t="n">
        <f aca="false">AA120-AA248</f>
        <v>136.617896189303</v>
      </c>
      <c r="AB250" s="1" t="n">
        <f aca="false">AB120-AB248</f>
        <v>137.467546842932</v>
      </c>
      <c r="AC250" s="1" t="n">
        <f aca="false">AC120-AC248</f>
        <v>138.360657328542</v>
      </c>
      <c r="AD250" s="1" t="n">
        <f aca="false">AD120-AD248</f>
        <v>139.304089438682</v>
      </c>
      <c r="AE250" s="1" t="n">
        <f aca="false">AE120-AE248</f>
        <v>140.305374387549</v>
      </c>
      <c r="AF250" s="1" t="n">
        <f aca="false">AF120-AF248</f>
        <v>141.371573358194</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9.6420114908103E-005</v>
      </c>
      <c r="D252" s="1" t="n">
        <f aca="false">IF(D120&gt;0,D248/D120,0)</f>
        <v>0.00265923123688719</v>
      </c>
      <c r="E252" s="1" t="n">
        <f aca="false">IF(E120&gt;0,E248/E120,0)</f>
        <v>0.00521974178169104</v>
      </c>
      <c r="F252" s="1" t="n">
        <f aca="false">IF(F120&gt;0,F248/F120,0)</f>
        <v>0.0121226531095997</v>
      </c>
      <c r="G252" s="1" t="n">
        <f aca="false">IF(G120&gt;0,G248/G120,0)</f>
        <v>0.0158768248413766</v>
      </c>
      <c r="H252" s="1" t="n">
        <f aca="false">IF(H120&gt;0,H248/H120,0)</f>
        <v>0.0208929885645758</v>
      </c>
      <c r="I252" s="1" t="n">
        <f aca="false">IF(I120&gt;0,I248/I120,0)</f>
        <v>0.0266785945085024</v>
      </c>
      <c r="J252" s="1" t="n">
        <f aca="false">IF(J120&gt;0,J248/J120,0)</f>
        <v>0.0330190846026647</v>
      </c>
      <c r="K252" s="1" t="n">
        <f aca="false">IF(K120&gt;0,K248/K120,0)</f>
        <v>0.03966661459666</v>
      </c>
      <c r="L252" s="1" t="n">
        <f aca="false">IF(L120&gt;0,L248/L120,0)</f>
        <v>0.0462708893901658</v>
      </c>
      <c r="M252" s="1" t="n">
        <f aca="false">IF(M120&gt;0,M248/M120,0)</f>
        <v>0.0593970045604708</v>
      </c>
      <c r="N252" s="1" t="n">
        <f aca="false">IF(N120&gt;0,N248/N120,0)</f>
        <v>0.0725355265253577</v>
      </c>
      <c r="O252" s="1" t="n">
        <f aca="false">IF(O120&gt;0,O248/O120,0)</f>
        <v>0.0847027970561001</v>
      </c>
      <c r="P252" s="1" t="n">
        <f aca="false">IF(P120&gt;0,P248/P120,0)</f>
        <v>0.0966049325166396</v>
      </c>
      <c r="Q252" s="1" t="n">
        <f aca="false">IF(Q120&gt;0,Q248/Q120,0)</f>
        <v>0.107695935796987</v>
      </c>
      <c r="R252" s="1" t="n">
        <f aca="false">IF(R120&gt;0,R248/R120,0)</f>
        <v>0.11782019492538</v>
      </c>
      <c r="S252" s="1" t="n">
        <f aca="false">IF(S120&gt;0,S248/S120,0)</f>
        <v>0.12704980651877</v>
      </c>
      <c r="T252" s="1" t="n">
        <f aca="false">IF(T120&gt;0,T248/T120,0)</f>
        <v>0.135447884069642</v>
      </c>
      <c r="U252" s="1" t="n">
        <f aca="false">IF(U120&gt;0,U248/U120,0)</f>
        <v>0.143072930318679</v>
      </c>
      <c r="V252" s="1" t="n">
        <f aca="false">IF(V120&gt;0,V248/V120,0)</f>
        <v>0.149979064943206</v>
      </c>
      <c r="W252" s="1" t="n">
        <f aca="false">IF(W120&gt;0,W248/W120,0)</f>
        <v>0.156214101602122</v>
      </c>
      <c r="X252" s="1" t="n">
        <f aca="false">IF(X120&gt;0,X248/X120,0)</f>
        <v>0.161815302823366</v>
      </c>
      <c r="Y252" s="1" t="n">
        <f aca="false">IF(Y120&gt;0,Y248/Y120,0)</f>
        <v>0.166618204961447</v>
      </c>
      <c r="Z252" s="1" t="n">
        <f aca="false">IF(Z120&gt;0,Z248/Z120,0)</f>
        <v>0.170921864567042</v>
      </c>
      <c r="AA252" s="1" t="n">
        <f aca="false">IF(AA120&gt;0,AA248/AA120,0)</f>
        <v>0.174742559226999</v>
      </c>
      <c r="AB252" s="1" t="n">
        <f aca="false">IF(AB120&gt;0,AB248/AB120,0)</f>
        <v>0.178138087365695</v>
      </c>
      <c r="AC252" s="1" t="n">
        <f aca="false">IF(AC120&gt;0,AC248/AC120,0)</f>
        <v>0.181151376417437</v>
      </c>
      <c r="AD252" s="1" t="n">
        <f aca="false">IF(AD120&gt;0,AD248/AD120,0)</f>
        <v>0.183804613149668</v>
      </c>
      <c r="AE252" s="1" t="n">
        <f aca="false">IF(AE120&gt;0,AE248/AE120,0)</f>
        <v>0.186116440250808</v>
      </c>
      <c r="AF252" s="1" t="n">
        <f aca="false">IF(AF120&gt;0,AF248/AF120,0)</f>
        <v>0.188103728721442</v>
      </c>
    </row>
    <row r="253" customFormat="false" ht="14.25" hidden="false" customHeight="true" outlineLevel="0" collapsed="false">
      <c r="B253" s="1" t="s">
        <v>1249</v>
      </c>
    </row>
    <row r="254" customFormat="false" ht="14.25" hidden="false" customHeight="true" outlineLevel="0" collapsed="false">
      <c r="B254" s="1" t="s">
        <v>1250</v>
      </c>
      <c r="C254" s="116" t="n">
        <f aca="false">C112</f>
        <v>0.118288787723829</v>
      </c>
      <c r="D254" s="116" t="n">
        <f aca="false">D112</f>
        <v>0.194477540223313</v>
      </c>
      <c r="E254" s="116" t="n">
        <f aca="false">E112</f>
        <v>0.262221671615268</v>
      </c>
      <c r="F254" s="116" t="n">
        <f aca="false">F112</f>
        <v>0.545473119675601</v>
      </c>
      <c r="G254" s="116" t="n">
        <f aca="false">G112</f>
        <v>0.57057817627323</v>
      </c>
      <c r="H254" s="116" t="n">
        <f aca="false">H112</f>
        <v>0.59570821570086</v>
      </c>
      <c r="I254" s="116" t="n">
        <f aca="false">I112</f>
        <v>0.620861988816989</v>
      </c>
      <c r="J254" s="116" t="n">
        <f aca="false">J112</f>
        <v>0.646038308937193</v>
      </c>
      <c r="K254" s="116" t="n">
        <f aca="false">K112</f>
        <v>0.671236048711268</v>
      </c>
      <c r="L254" s="116" t="n">
        <f aca="false">L112</f>
        <v>0.696454137156521</v>
      </c>
      <c r="M254" s="116" t="n">
        <f aca="false">M112</f>
        <v>0.718617712928807</v>
      </c>
      <c r="N254" s="116" t="n">
        <f aca="false">N112</f>
        <v>0.740700689212277</v>
      </c>
      <c r="O254" s="116" t="n">
        <f aca="false">O112</f>
        <v>0.761372941311184</v>
      </c>
      <c r="P254" s="116" t="n">
        <f aca="false">P112</f>
        <v>0.776624667569314</v>
      </c>
      <c r="Q254" s="116" t="n">
        <f aca="false">Q112</f>
        <v>0.791887967537591</v>
      </c>
      <c r="R254" s="116" t="n">
        <f aca="false">R112</f>
        <v>0.806925488899095</v>
      </c>
      <c r="S254" s="116" t="n">
        <f aca="false">S112</f>
        <v>0.82173837654625</v>
      </c>
      <c r="T254" s="116" t="n">
        <f aca="false">T112</f>
        <v>0.836352667402036</v>
      </c>
      <c r="U254" s="116" t="n">
        <f aca="false">U112</f>
        <v>0.850793706733246</v>
      </c>
      <c r="V254" s="116" t="n">
        <f aca="false">V112</f>
        <v>0.865086646802955</v>
      </c>
      <c r="W254" s="116" t="n">
        <f aca="false">W112</f>
        <v>0.87896965430453</v>
      </c>
      <c r="X254" s="116" t="n">
        <f aca="false">X112</f>
        <v>0.892468579833671</v>
      </c>
      <c r="Y254" s="116" t="n">
        <f aca="false">Y112</f>
        <v>0.905602471649316</v>
      </c>
      <c r="Z254" s="116" t="n">
        <f aca="false">Z112</f>
        <v>0.918261148055391</v>
      </c>
      <c r="AA254" s="116" t="n">
        <f aca="false">AA112</f>
        <v>0.930484469739125</v>
      </c>
      <c r="AB254" s="116" t="n">
        <f aca="false">AB112</f>
        <v>0.942284406916909</v>
      </c>
      <c r="AC254" s="116" t="n">
        <f aca="false">AC112</f>
        <v>0.953798886238919</v>
      </c>
      <c r="AD254" s="116" t="n">
        <f aca="false">AD112</f>
        <v>0.965049111463559</v>
      </c>
      <c r="AE254" s="116" t="n">
        <f aca="false">AE112</f>
        <v>0.976034534828076</v>
      </c>
      <c r="AF254" s="116" t="n">
        <f aca="false">AF112</f>
        <v>0.986754623706767</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0.109065925780809</v>
      </c>
      <c r="D256" s="1" t="n">
        <f aca="false">MIN(D254-D255,MAX(0,D107-D108+D109+D110+D184-D229-D235))</f>
        <v>0.170988939640153</v>
      </c>
      <c r="E256" s="1" t="n">
        <f aca="false">MIN(E254-E255,MAX(0,E107-E108+E109+E110+E184-E229-E235))</f>
        <v>0.220592998528932</v>
      </c>
      <c r="F256" s="1" t="n">
        <f aca="false">MIN(F254-F255,MAX(0,F107-F108+F109+F110+F184-F229-F235))</f>
        <v>0.466286679699944</v>
      </c>
      <c r="G256" s="1" t="n">
        <f aca="false">MIN(G254-G255,MAX(0,G107-G108+G109+G110+G184-G229-G235))</f>
        <v>0.456256183030423</v>
      </c>
      <c r="H256" s="1" t="n">
        <f aca="false">MIN(H254-H255,MAX(0,H107-H108+H109+H110+H184-H229-H235))</f>
        <v>0.448516666953683</v>
      </c>
      <c r="I256" s="1" t="n">
        <f aca="false">MIN(I254-I255,MAX(0,I107-I108+I109+I110+I184-I229-I235))</f>
        <v>0.442920741300591</v>
      </c>
      <c r="J256" s="1" t="n">
        <f aca="false">MIN(J254-J255,MAX(0,J107-J108+J109+J110+J184-J229-J235))</f>
        <v>0.43933050343457</v>
      </c>
      <c r="K256" s="1" t="n">
        <f aca="false">MIN(K254-K255,MAX(0,K107-K108+K109+K110+K184-K229-K235))</f>
        <v>0.437616927277215</v>
      </c>
      <c r="L256" s="1" t="n">
        <f aca="false">MIN(L254-L255,MAX(0,L107-L108+L109+L110+L184-L229-L235))</f>
        <v>0.437659291692222</v>
      </c>
      <c r="M256" s="1" t="n">
        <f aca="false">MIN(M254-M255,MAX(0,M107-M108+M109+M110+M184-M229-M235))</f>
        <v>0.445493663724005</v>
      </c>
      <c r="N256" s="1" t="n">
        <f aca="false">MIN(N254-N255,MAX(0,N107-N108+N109+N110+N184-N229-N235))</f>
        <v>0.459809256688756</v>
      </c>
      <c r="O256" s="1" t="n">
        <f aca="false">MIN(O254-O255,MAX(0,O107-O108+O109+O110+O184-O229-O235))</f>
        <v>0.478009441796272</v>
      </c>
      <c r="P256" s="1" t="n">
        <f aca="false">MIN(P254-P255,MAX(0,P107-P108+P109+P110+P184-P229-P235))</f>
        <v>0.511536134470111</v>
      </c>
      <c r="Q256" s="1" t="n">
        <f aca="false">MIN(Q254-Q255,MAX(0,Q107-Q108+Q109+Q110+Q184-Q229-Q235))</f>
        <v>0.543895793171502</v>
      </c>
      <c r="R256" s="1" t="n">
        <f aca="false">MIN(R254-R255,MAX(0,R107-R108+R109+R110+R184-R229-R235))</f>
        <v>0.574927077546439</v>
      </c>
      <c r="S256" s="1" t="n">
        <f aca="false">MIN(S254-S255,MAX(0,S107-S108+S109+S110+S184-S229-S235))</f>
        <v>0.604702242209601</v>
      </c>
      <c r="T256" s="1" t="n">
        <f aca="false">MIN(T254-T255,MAX(0,T107-T108+T109+T110+T184-T229-T235))</f>
        <v>0.633313847725841</v>
      </c>
      <c r="U256" s="1" t="n">
        <f aca="false">MIN(U254-U255,MAX(0,U107-U108+U109+U110+U184-U229-U235))</f>
        <v>0.660849472693591</v>
      </c>
      <c r="V256" s="1" t="n">
        <f aca="false">MIN(V254-V255,MAX(0,V107-V108+V109+V110+V184-V229-V235))</f>
        <v>0.687392489092377</v>
      </c>
      <c r="W256" s="1" t="n">
        <f aca="false">MIN(W254-W255,MAX(0,W107-W108+W109+W110+W184-W229-W235))</f>
        <v>0.712735528566975</v>
      </c>
      <c r="X256" s="1" t="n">
        <f aca="false">MIN(X254-X255,MAX(0,X107-X108+X109+X110+X184-X229-X235))</f>
        <v>0.736955394055564</v>
      </c>
      <c r="Y256" s="1" t="n">
        <f aca="false">MIN(Y254-Y255,MAX(0,Y107-Y108+Y109+Y110+Y184-Y229-Y235))</f>
        <v>0.760118800089377</v>
      </c>
      <c r="Z256" s="1" t="n">
        <f aca="false">MIN(Z254-Z255,MAX(0,Z107-Z108+Z109+Z110+Z184-Z229-Z235))</f>
        <v>0.782160157103022</v>
      </c>
      <c r="AA256" s="1" t="n">
        <f aca="false">MIN(AA254-AA255,MAX(0,AA107-AA108+AA109+AA110+AA184-AA229-AA235))</f>
        <v>0.803161042033459</v>
      </c>
      <c r="AB256" s="1" t="n">
        <f aca="false">MIN(AB254-AB255,MAX(0,AB107-AB108+AB109+AB110+AB184-AB229-AB235))</f>
        <v>0.82317245094009</v>
      </c>
      <c r="AC256" s="1" t="n">
        <f aca="false">MIN(AC254-AC255,MAX(0,AC107-AC108+AC109+AC110+AC184-AC229-AC235))</f>
        <v>0.842368819421827</v>
      </c>
      <c r="AD256" s="1" t="n">
        <f aca="false">MIN(AD254-AD255,MAX(0,AD107-AD108+AD109+AD110+AD184-AD229-AD235))</f>
        <v>0.860805505613629</v>
      </c>
      <c r="AE256" s="1" t="n">
        <f aca="false">MIN(AE254-AE255,MAX(0,AE107-AE108+AE109+AE110+AE184-AE229-AE235))</f>
        <v>0.878513913410584</v>
      </c>
      <c r="AF256" s="1" t="n">
        <f aca="false">MIN(AF254-AF255,MAX(0,AF107-AF108+AF109+AF110+AF184-AF229-AF235))</f>
        <v>0.895523401186079</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40.9900437402988</v>
      </c>
      <c r="E261" s="1" t="n">
        <f aca="false">(E83-E326)+E181</f>
        <v>62.6850171515163</v>
      </c>
      <c r="F261" s="1" t="n">
        <f aca="false">(F83-F326)+F181</f>
        <v>86.6714790482658</v>
      </c>
      <c r="G261" s="1" t="n">
        <f aca="false">(G83-G326)+G181</f>
        <v>108.902091553942</v>
      </c>
      <c r="H261" s="1" t="n">
        <f aca="false">(H83-H326)+H181</f>
        <v>123.536095831784</v>
      </c>
      <c r="I261" s="1" t="n">
        <f aca="false">(I83-I326)+I181</f>
        <v>138.997192377146</v>
      </c>
      <c r="J261" s="1" t="n">
        <f aca="false">(J83-J326)+J181</f>
        <v>154.812805363386</v>
      </c>
      <c r="K261" s="1" t="n">
        <f aca="false">(K83-K326)+K181</f>
        <v>170.991086086182</v>
      </c>
      <c r="L261" s="1" t="n">
        <f aca="false">(L83-L326)+L181</f>
        <v>183.991778208981</v>
      </c>
      <c r="M261" s="1" t="n">
        <f aca="false">(M83-M326)+M181</f>
        <v>195.945600082965</v>
      </c>
      <c r="N261" s="1" t="n">
        <f aca="false">(N83-N326)+N181</f>
        <v>206.244202749884</v>
      </c>
      <c r="O261" s="1" t="n">
        <f aca="false">(O83-O326)+O181</f>
        <v>212.197661206418</v>
      </c>
      <c r="P261" s="1" t="n">
        <f aca="false">(P83-P326)+P181</f>
        <v>217.43753000369</v>
      </c>
      <c r="Q261" s="1" t="n">
        <f aca="false">(Q83-Q326)+Q181</f>
        <v>222.427523484474</v>
      </c>
      <c r="R261" s="1" t="n">
        <f aca="false">(R83-R326)+R181</f>
        <v>227.537306969327</v>
      </c>
      <c r="S261" s="1" t="n">
        <f aca="false">(S83-S326)+S181</f>
        <v>232.763668460409</v>
      </c>
      <c r="T261" s="1" t="n">
        <f aca="false">(T83-T326)+T181</f>
        <v>238.109688889923</v>
      </c>
      <c r="U261" s="1" t="n">
        <f aca="false">(U83-U326)+U181</f>
        <v>243.57818149299</v>
      </c>
      <c r="V261" s="1" t="n">
        <f aca="false">(V83-V326)+V181</f>
        <v>249.171994457277</v>
      </c>
      <c r="W261" s="1" t="n">
        <f aca="false">(W83-W326)+W181</f>
        <v>254.892793609876</v>
      </c>
      <c r="X261" s="1" t="n">
        <f aca="false">(X83-X326)+X181</f>
        <v>260.668345411335</v>
      </c>
      <c r="Y261" s="1" t="n">
        <f aca="false">(Y83-Y326)+Y181</f>
        <v>265.051480533456</v>
      </c>
      <c r="Z261" s="1" t="n">
        <f aca="false">(Z83-Z326)+Z181</f>
        <v>269.290502746113</v>
      </c>
      <c r="AA261" s="1" t="n">
        <f aca="false">(AA83-AA326)+AA181</f>
        <v>273.422991632113</v>
      </c>
      <c r="AB261" s="1" t="n">
        <f aca="false">(AB83-AB326)+AB181</f>
        <v>277.496859594943</v>
      </c>
      <c r="AC261" s="1" t="n">
        <f aca="false">(AC83-AC326)+AC181</f>
        <v>281.541490287973</v>
      </c>
      <c r="AD261" s="1" t="n">
        <f aca="false">(AD83-AD326)+AD181</f>
        <v>285.563381717131</v>
      </c>
      <c r="AE261" s="1" t="n">
        <f aca="false">(AE83-AE326)+AE181</f>
        <v>289.56420563293</v>
      </c>
      <c r="AF261" s="1" t="n">
        <f aca="false">(AF83-AF326)+AF181</f>
        <v>293.544815725727</v>
      </c>
    </row>
    <row r="262" customFormat="false" ht="14.25" hidden="false" customHeight="true" outlineLevel="0" collapsed="false">
      <c r="B262" s="1" t="s">
        <v>1257</v>
      </c>
      <c r="C262" s="1" t="n">
        <f aca="false">$C$260*C261</f>
        <v>1.00953449812789</v>
      </c>
      <c r="D262" s="1" t="n">
        <f aca="false">$C$260*D261</f>
        <v>2.04950218701494</v>
      </c>
      <c r="E262" s="1" t="n">
        <f aca="false">$C$260*E261</f>
        <v>3.13425085757581</v>
      </c>
      <c r="F262" s="1" t="n">
        <f aca="false">$C$260*F261</f>
        <v>4.33357395241329</v>
      </c>
      <c r="G262" s="1" t="n">
        <f aca="false">$C$260*G261</f>
        <v>5.44510457769712</v>
      </c>
      <c r="H262" s="1" t="n">
        <f aca="false">$C$260*H261</f>
        <v>6.1768047915892</v>
      </c>
      <c r="I262" s="1" t="n">
        <f aca="false">$C$260*I261</f>
        <v>6.94985961885729</v>
      </c>
      <c r="J262" s="1" t="n">
        <f aca="false">$C$260*J261</f>
        <v>7.74064026816931</v>
      </c>
      <c r="K262" s="1" t="n">
        <f aca="false">$C$260*K261</f>
        <v>8.54955430430909</v>
      </c>
      <c r="L262" s="1" t="n">
        <f aca="false">$C$260*L261</f>
        <v>9.19958891044904</v>
      </c>
      <c r="M262" s="1" t="n">
        <f aca="false">$C$260*M261</f>
        <v>9.79728000414827</v>
      </c>
      <c r="N262" s="1" t="n">
        <f aca="false">$C$260*N261</f>
        <v>10.3122101374942</v>
      </c>
      <c r="O262" s="1" t="n">
        <f aca="false">$C$260*O261</f>
        <v>10.6098830603209</v>
      </c>
      <c r="P262" s="1" t="n">
        <f aca="false">$C$260*P261</f>
        <v>10.8718765001845</v>
      </c>
      <c r="Q262" s="1" t="n">
        <f aca="false">$C$260*Q261</f>
        <v>11.1213761742237</v>
      </c>
      <c r="R262" s="1" t="n">
        <f aca="false">$C$260*R261</f>
        <v>11.3768653484664</v>
      </c>
      <c r="S262" s="1" t="n">
        <f aca="false">$C$260*S261</f>
        <v>11.6381834230205</v>
      </c>
      <c r="T262" s="1" t="n">
        <f aca="false">$C$260*T261</f>
        <v>11.9054844444961</v>
      </c>
      <c r="U262" s="1" t="n">
        <f aca="false">$C$260*U261</f>
        <v>12.1789090746495</v>
      </c>
      <c r="V262" s="1" t="n">
        <f aca="false">$C$260*V261</f>
        <v>12.4585997228639</v>
      </c>
      <c r="W262" s="1" t="n">
        <f aca="false">$C$260*W261</f>
        <v>12.7446396804938</v>
      </c>
      <c r="X262" s="1" t="n">
        <f aca="false">$C$260*X261</f>
        <v>13.0334172705668</v>
      </c>
      <c r="Y262" s="1" t="n">
        <f aca="false">$C$260*Y261</f>
        <v>13.2525740266728</v>
      </c>
      <c r="Z262" s="1" t="n">
        <f aca="false">$C$260*Z261</f>
        <v>13.4645251373057</v>
      </c>
      <c r="AA262" s="1" t="n">
        <f aca="false">$C$260*AA261</f>
        <v>13.6711495816056</v>
      </c>
      <c r="AB262" s="1" t="n">
        <f aca="false">$C$260*AB261</f>
        <v>13.8748429797472</v>
      </c>
      <c r="AC262" s="1" t="n">
        <f aca="false">$C$260*AC261</f>
        <v>14.0770745143986</v>
      </c>
      <c r="AD262" s="1" t="n">
        <f aca="false">$C$260*AD261</f>
        <v>14.2781690858566</v>
      </c>
      <c r="AE262" s="1" t="n">
        <f aca="false">$C$260*AE261</f>
        <v>14.4782102816465</v>
      </c>
      <c r="AF262" s="1" t="n">
        <f aca="false">$C$260*AF261</f>
        <v>14.6772407862863</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24.087125368031</v>
      </c>
      <c r="G263" s="1" t="n">
        <f aca="false">MAX(0,(G70+F121-F227)*0.25/0.55)</f>
        <v>27.2752715234446</v>
      </c>
      <c r="H263" s="1" t="n">
        <f aca="false">MAX(0,(H70+G121-G227)*0.25/0.55)</f>
        <v>30.4634176788583</v>
      </c>
      <c r="I263" s="1" t="n">
        <f aca="false">MAX(0,(I70+H121-H227)*0.25/0.55)</f>
        <v>33.6515638342719</v>
      </c>
      <c r="J263" s="1" t="n">
        <f aca="false">MAX(0,(J70+I121-I227)*0.25/0.55)</f>
        <v>36.8397099896855</v>
      </c>
      <c r="K263" s="1" t="n">
        <f aca="false">MAX(0,(K70+J121-J227)*0.25/0.55)</f>
        <v>40.0278561450992</v>
      </c>
      <c r="L263" s="1" t="n">
        <f aca="false">MAX(0,(L70+K121-K227)*0.25/0.55)</f>
        <v>43.2160023005128</v>
      </c>
      <c r="M263" s="1" t="n">
        <f aca="false">MAX(0,(M70+L121-L227)*0.25/0.55)</f>
        <v>44.6057223595562</v>
      </c>
      <c r="N263" s="1" t="n">
        <f aca="false">MAX(0,(N70+M121-M227)*0.25/0.55)</f>
        <v>46.448742111407</v>
      </c>
      <c r="O263" s="1" t="n">
        <f aca="false">MAX(0,(O70+N121-N227)*0.25/0.55)</f>
        <v>48.362218387321</v>
      </c>
      <c r="P263" s="1" t="n">
        <f aca="false">MAX(0,(P70+O121-O227)*0.25/0.55)</f>
        <v>50.243585634055</v>
      </c>
      <c r="Q263" s="1" t="n">
        <f aca="false">MAX(0,(Q70+P121-P227)*0.25/0.55)</f>
        <v>52.0610876053109</v>
      </c>
      <c r="R263" s="1" t="n">
        <f aca="false">MAX(0,(R70+Q121-Q227)*0.25/0.55)</f>
        <v>53.8081486241969</v>
      </c>
      <c r="S263" s="1" t="n">
        <f aca="false">MAX(0,(S70+R121-R227)*0.25/0.55)</f>
        <v>55.4868929556728</v>
      </c>
      <c r="T263" s="1" t="n">
        <f aca="false">MAX(0,(T70+S121-S227)*0.25/0.55)</f>
        <v>57.1050988374187</v>
      </c>
      <c r="U263" s="1" t="n">
        <f aca="false">MAX(0,(U70+T121-T227)*0.25/0.55)</f>
        <v>58.6703846137977</v>
      </c>
      <c r="V263" s="1" t="n">
        <f aca="false">MAX(0,(V70+U121-U227)*0.25/0.55)</f>
        <v>60.1903226594115</v>
      </c>
      <c r="W263" s="1" t="n">
        <f aca="false">MAX(0,(W70+V121-V227)*0.25/0.55)</f>
        <v>61.672452476987</v>
      </c>
      <c r="X263" s="1" t="n">
        <f aca="false">MAX(0,(X70+W121-W227)*0.25/0.55)</f>
        <v>63.1244409278251</v>
      </c>
      <c r="Y263" s="1" t="n">
        <f aca="false">MAX(0,(Y70+X121-X227)*0.25/0.55)</f>
        <v>64.5524063071732</v>
      </c>
      <c r="Z263" s="1" t="n">
        <f aca="false">MAX(0,(Z70+Y121-Y227)*0.25/0.55)</f>
        <v>65.9330943554038</v>
      </c>
      <c r="AA263" s="1" t="n">
        <f aca="false">MAX(0,(AA70+Z121-Z227)*0.25/0.55)</f>
        <v>67.2773497024041</v>
      </c>
      <c r="AB263" s="1" t="n">
        <f aca="false">MAX(0,(AB70+AA121-AA227)*0.25/0.55)</f>
        <v>68.5881300291961</v>
      </c>
      <c r="AC263" s="1" t="n">
        <f aca="false">MAX(0,(AC70+AB121-AB227)*0.25/0.55)</f>
        <v>69.8970187132717</v>
      </c>
      <c r="AD263" s="1" t="n">
        <f aca="false">MAX(0,(AD70+AC121-AC227)*0.25/0.55)</f>
        <v>71.2090708662952</v>
      </c>
      <c r="AE263" s="1" t="n">
        <f aca="false">MAX(0,(AE70+AD121-AD227)*0.25/0.55)</f>
        <v>72.5243981587204</v>
      </c>
      <c r="AF263" s="1" t="n">
        <f aca="false">MAX(0,(AF70+AE121-AE227)*0.25/0.55)</f>
        <v>73.8431162029682</v>
      </c>
    </row>
    <row r="264" customFormat="false" ht="14.25" hidden="false" customHeight="true" outlineLevel="0" collapsed="false">
      <c r="B264" s="1" t="s">
        <v>1259</v>
      </c>
      <c r="C264" s="1" t="n">
        <f aca="false">MAX(0,C262-C263)</f>
        <v>0.973170861764256</v>
      </c>
      <c r="D264" s="1" t="n">
        <f aca="false">MAX(0,D262-D263)</f>
        <v>1.97549127792403</v>
      </c>
      <c r="E264" s="1" t="n">
        <f aca="false">MAX(0,E262-E263)</f>
        <v>3.02126372703036</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0.0493872819481008</v>
      </c>
      <c r="E265" s="1" t="n">
        <f aca="false">E264*MAX(0,$C$10-01_Supuestos!$I$134)</f>
        <v>0.075531593175759</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27.6918931572303</v>
      </c>
      <c r="E266" s="1" t="n">
        <f aca="false">IF(E263&gt;0,E262/E263,0)</f>
        <v>27.7398925209001</v>
      </c>
      <c r="F266" s="1" t="n">
        <f aca="false">IF(F263&gt;0,F262/F263,0)</f>
        <v>0.179912458884152</v>
      </c>
      <c r="G266" s="1" t="n">
        <f aca="false">IF(G263&gt;0,G262/G263,0)</f>
        <v>0.199635210707866</v>
      </c>
      <c r="H266" s="1" t="n">
        <f aca="false">IF(H263&gt;0,H262/H263,0)</f>
        <v>0.202761386023865</v>
      </c>
      <c r="I266" s="1" t="n">
        <f aca="false">IF(I263&gt;0,I262/I263,0)</f>
        <v>0.206524120337591</v>
      </c>
      <c r="J266" s="1" t="n">
        <f aca="false">IF(J263&gt;0,J262/J263,0)</f>
        <v>0.210116753642647</v>
      </c>
      <c r="K266" s="1" t="n">
        <f aca="false">IF(K263&gt;0,K262/K263,0)</f>
        <v>0.213590112678464</v>
      </c>
      <c r="L266" s="1" t="n">
        <f aca="false">IF(L263&gt;0,L262/L263,0)</f>
        <v>0.212874593223073</v>
      </c>
      <c r="M266" s="1" t="n">
        <f aca="false">IF(M263&gt;0,M262/M263,0)</f>
        <v>0.219641774326054</v>
      </c>
      <c r="N266" s="1" t="n">
        <f aca="false">IF(N263&gt;0,N262/N263,0)</f>
        <v>0.222012689014494</v>
      </c>
      <c r="O266" s="1" t="n">
        <f aca="false">IF(O263&gt;0,O262/O263,0)</f>
        <v>0.219383713446496</v>
      </c>
      <c r="P266" s="1" t="n">
        <f aca="false">IF(P263&gt;0,P262/P263,0)</f>
        <v>0.216383372384466</v>
      </c>
      <c r="Q266" s="1" t="n">
        <f aca="false">IF(Q263&gt;0,Q262/Q263,0)</f>
        <v>0.213621664198371</v>
      </c>
      <c r="R266" s="1" t="n">
        <f aca="false">IF(R263&gt;0,R262/R263,0)</f>
        <v>0.211433874596278</v>
      </c>
      <c r="S266" s="1" t="n">
        <f aca="false">IF(S263&gt;0,S262/S263,0)</f>
        <v>0.209746532975237</v>
      </c>
      <c r="T266" s="1" t="n">
        <f aca="false">IF(T263&gt;0,T262/T263,0)</f>
        <v>0.208483737649973</v>
      </c>
      <c r="U266" s="1" t="n">
        <f aca="false">IF(U263&gt;0,U262/U263,0)</f>
        <v>0.207581885730222</v>
      </c>
      <c r="V266" s="1" t="n">
        <f aca="false">IF(V263&gt;0,V262/V263,0)</f>
        <v>0.206986757545082</v>
      </c>
      <c r="W266" s="1" t="n">
        <f aca="false">IF(W263&gt;0,W262/W263,0)</f>
        <v>0.206650443895505</v>
      </c>
      <c r="X266" s="1" t="n">
        <f aca="false">IF(X263&gt;0,X262/X263,0)</f>
        <v>0.206471805199334</v>
      </c>
      <c r="Y266" s="1" t="n">
        <f aca="false">IF(Y263&gt;0,Y262/Y263,0)</f>
        <v>0.20529945798783</v>
      </c>
      <c r="Z266" s="1" t="n">
        <f aca="false">IF(Z263&gt;0,Z262/Z263,0)</f>
        <v>0.20421497381462</v>
      </c>
      <c r="AA266" s="1" t="n">
        <f aca="false">IF(AA263&gt;0,AA262/AA263,0)</f>
        <v>0.203205828441204</v>
      </c>
      <c r="AB266" s="1" t="n">
        <f aca="false">IF(AB263&gt;0,AB262/AB263,0)</f>
        <v>0.202292189243839</v>
      </c>
      <c r="AC266" s="1" t="n">
        <f aca="false">IF(AC263&gt;0,AC262/AC263,0)</f>
        <v>0.201397352469995</v>
      </c>
      <c r="AD266" s="1" t="n">
        <f aca="false">IF(AD263&gt;0,AD262/AD263,0)</f>
        <v>0.200510537662622</v>
      </c>
      <c r="AE266" s="1" t="n">
        <f aca="false">IF(AE263&gt;0,AE262/AE263,0)</f>
        <v>0.199632270645815</v>
      </c>
      <c r="AF266" s="1" t="n">
        <f aca="false">IF(AF263&gt;0,AF262/AF263,0)</f>
        <v>0.198762478359444</v>
      </c>
    </row>
    <row r="267" customFormat="false" ht="14.25" hidden="false" customHeight="true" outlineLevel="0" collapsed="false">
      <c r="B267" s="1" t="s">
        <v>1262</v>
      </c>
      <c r="C267" s="1" t="n">
        <f aca="false">C120-C264</f>
        <v>17.8847006637421</v>
      </c>
      <c r="D267" s="1" t="n">
        <f aca="false">D120-D264</f>
        <v>32.9215006157733</v>
      </c>
      <c r="E267" s="1" t="n">
        <f aca="false">E120-E264</f>
        <v>49.6002636248483</v>
      </c>
      <c r="F267" s="1" t="n">
        <f aca="false">F120-F264</f>
        <v>60.918684751518</v>
      </c>
      <c r="G267" s="1" t="n">
        <f aca="false">G120-G264</f>
        <v>71.4098772932602</v>
      </c>
      <c r="H267" s="1" t="n">
        <f aca="false">H120-H264</f>
        <v>83.4205392896249</v>
      </c>
      <c r="I267" s="1" t="n">
        <f aca="false">I120-I264</f>
        <v>97.0596692152014</v>
      </c>
      <c r="J267" s="1" t="n">
        <f aca="false">J120-J264</f>
        <v>111.896228739425</v>
      </c>
      <c r="K267" s="1" t="n">
        <f aca="false">K120-K264</f>
        <v>127.966244151939</v>
      </c>
      <c r="L267" s="1" t="n">
        <f aca="false">L120-L264</f>
        <v>145.325577931944</v>
      </c>
      <c r="M267" s="1" t="n">
        <f aca="false">M120-M264</f>
        <v>145.031911741383</v>
      </c>
      <c r="N267" s="1" t="n">
        <f aca="false">N120-N264</f>
        <v>145.813988411548</v>
      </c>
      <c r="O267" s="1" t="n">
        <f aca="false">O120-O264</f>
        <v>148.068214293744</v>
      </c>
      <c r="P267" s="1" t="n">
        <f aca="false">P120-P264</f>
        <v>149.600346075042</v>
      </c>
      <c r="Q267" s="1" t="n">
        <f aca="false">Q120-Q264</f>
        <v>150.804514802042</v>
      </c>
      <c r="R267" s="1" t="n">
        <f aca="false">R120-R264</f>
        <v>152.051633759077</v>
      </c>
      <c r="S267" s="1" t="n">
        <f aca="false">S120-S264</f>
        <v>153.336720005098</v>
      </c>
      <c r="T267" s="1" t="n">
        <f aca="false">T120-T264</f>
        <v>154.660733866034</v>
      </c>
      <c r="U267" s="1" t="n">
        <f aca="false">U120-U264</f>
        <v>156.024337265203</v>
      </c>
      <c r="V267" s="1" t="n">
        <f aca="false">V120-V264</f>
        <v>157.428189283134</v>
      </c>
      <c r="W267" s="1" t="n">
        <f aca="false">W120-W264</f>
        <v>158.875312876379</v>
      </c>
      <c r="X267" s="1" t="n">
        <f aca="false">X120-X264</f>
        <v>160.376363907942</v>
      </c>
      <c r="Y267" s="1" t="n">
        <f aca="false">Y120-Y264</f>
        <v>162.107310349478</v>
      </c>
      <c r="Z267" s="1" t="n">
        <f aca="false">Z120-Z264</f>
        <v>163.821462175136</v>
      </c>
      <c r="AA267" s="1" t="n">
        <f aca="false">AA120-AA264</f>
        <v>165.545791457918</v>
      </c>
      <c r="AB267" s="1" t="n">
        <f aca="false">AB120-AB264</f>
        <v>167.26355696702</v>
      </c>
      <c r="AC267" s="1" t="n">
        <f aca="false">AC120-AC264</f>
        <v>168.96976235143</v>
      </c>
      <c r="AD267" s="1" t="n">
        <f aca="false">AD120-AD264</f>
        <v>170.674928678844</v>
      </c>
      <c r="AE267" s="1" t="n">
        <f aca="false">AE120-AE264</f>
        <v>172.389984669042</v>
      </c>
      <c r="AF267" s="1" t="n">
        <f aca="false">AF120-AF264</f>
        <v>174.125166427436</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2.04950218701494</v>
      </c>
      <c r="E270" s="1" t="n">
        <f aca="false">01_Supuestos!$C$173*E261</f>
        <v>3.13425085757581</v>
      </c>
      <c r="F270" s="1" t="n">
        <f aca="false">01_Supuestos!$C$173*F261</f>
        <v>4.33357395241329</v>
      </c>
      <c r="G270" s="1" t="n">
        <f aca="false">01_Supuestos!$C$173*G261</f>
        <v>5.44510457769712</v>
      </c>
      <c r="H270" s="1" t="n">
        <f aca="false">01_Supuestos!$C$173*H261</f>
        <v>6.1768047915892</v>
      </c>
      <c r="I270" s="1" t="n">
        <f aca="false">01_Supuestos!$C$173*I261</f>
        <v>6.94985961885729</v>
      </c>
      <c r="J270" s="1" t="n">
        <f aca="false">01_Supuestos!$C$173*J261</f>
        <v>7.74064026816931</v>
      </c>
      <c r="K270" s="1" t="n">
        <f aca="false">01_Supuestos!$C$173*K261</f>
        <v>8.54955430430909</v>
      </c>
      <c r="L270" s="1" t="n">
        <f aca="false">01_Supuestos!$C$173*L261</f>
        <v>9.19958891044904</v>
      </c>
      <c r="M270" s="1" t="n">
        <f aca="false">01_Supuestos!$C$173*M261</f>
        <v>9.79728000414827</v>
      </c>
      <c r="N270" s="1" t="n">
        <f aca="false">01_Supuestos!$C$173*N261</f>
        <v>10.3122101374942</v>
      </c>
      <c r="O270" s="1" t="n">
        <f aca="false">01_Supuestos!$C$173*O261</f>
        <v>10.6098830603209</v>
      </c>
      <c r="P270" s="1" t="n">
        <f aca="false">01_Supuestos!$C$173*P261</f>
        <v>10.8718765001845</v>
      </c>
      <c r="Q270" s="1" t="n">
        <f aca="false">01_Supuestos!$C$173*Q261</f>
        <v>11.1213761742237</v>
      </c>
      <c r="R270" s="1" t="n">
        <f aca="false">01_Supuestos!$C$173*R261</f>
        <v>11.3768653484664</v>
      </c>
      <c r="S270" s="1" t="n">
        <f aca="false">01_Supuestos!$C$173*S261</f>
        <v>11.6381834230205</v>
      </c>
      <c r="T270" s="1" t="n">
        <f aca="false">01_Supuestos!$C$173*T261</f>
        <v>11.9054844444961</v>
      </c>
      <c r="U270" s="1" t="n">
        <f aca="false">01_Supuestos!$C$173*U261</f>
        <v>12.1789090746495</v>
      </c>
      <c r="V270" s="1" t="n">
        <f aca="false">01_Supuestos!$C$173*V261</f>
        <v>12.4585997228639</v>
      </c>
      <c r="W270" s="1" t="n">
        <f aca="false">01_Supuestos!$C$173*W261</f>
        <v>12.7446396804938</v>
      </c>
      <c r="X270" s="1" t="n">
        <f aca="false">01_Supuestos!$C$173*X261</f>
        <v>13.0334172705668</v>
      </c>
      <c r="Y270" s="1" t="n">
        <f aca="false">01_Supuestos!$C$173*Y261</f>
        <v>13.2525740266728</v>
      </c>
      <c r="Z270" s="1" t="n">
        <f aca="false">01_Supuestos!$C$173*Z261</f>
        <v>13.4645251373057</v>
      </c>
      <c r="AA270" s="1" t="n">
        <f aca="false">01_Supuestos!$C$173*AA261</f>
        <v>13.6711495816056</v>
      </c>
      <c r="AB270" s="1" t="n">
        <f aca="false">01_Supuestos!$C$173*AB261</f>
        <v>13.8748429797472</v>
      </c>
      <c r="AC270" s="1" t="n">
        <f aca="false">01_Supuestos!$C$173*AC261</f>
        <v>14.0770745143986</v>
      </c>
      <c r="AD270" s="1" t="n">
        <f aca="false">01_Supuestos!$C$173*AD261</f>
        <v>14.2781690858566</v>
      </c>
      <c r="AE270" s="1" t="n">
        <f aca="false">01_Supuestos!$C$173*AE261</f>
        <v>14.4782102816465</v>
      </c>
      <c r="AF270" s="1" t="n">
        <f aca="false">01_Supuestos!$C$173*AF261</f>
        <v>14.6772407862863</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4.33357395241329</v>
      </c>
      <c r="G271" s="1" t="n">
        <f aca="false">MIN(G270,G263)</f>
        <v>5.44510457769712</v>
      </c>
      <c r="H271" s="1" t="n">
        <f aca="false">MIN(H270,H263)</f>
        <v>6.1768047915892</v>
      </c>
      <c r="I271" s="1" t="n">
        <f aca="false">MIN(I270,I263)</f>
        <v>6.94985961885729</v>
      </c>
      <c r="J271" s="1" t="n">
        <f aca="false">MIN(J270,J263)</f>
        <v>7.74064026816931</v>
      </c>
      <c r="K271" s="1" t="n">
        <f aca="false">MIN(K270,K263)</f>
        <v>8.54955430430909</v>
      </c>
      <c r="L271" s="1" t="n">
        <f aca="false">MIN(L270,L263)</f>
        <v>9.19958891044904</v>
      </c>
      <c r="M271" s="1" t="n">
        <f aca="false">MIN(M270,M263)</f>
        <v>9.79728000414827</v>
      </c>
      <c r="N271" s="1" t="n">
        <f aca="false">MIN(N270,N263)</f>
        <v>10.3122101374942</v>
      </c>
      <c r="O271" s="1" t="n">
        <f aca="false">MIN(O270,O263)</f>
        <v>10.6098830603209</v>
      </c>
      <c r="P271" s="1" t="n">
        <f aca="false">MIN(P270,P263)</f>
        <v>10.8718765001845</v>
      </c>
      <c r="Q271" s="1" t="n">
        <f aca="false">MIN(Q270,Q263)</f>
        <v>11.1213761742237</v>
      </c>
      <c r="R271" s="1" t="n">
        <f aca="false">MIN(R270,R263)</f>
        <v>11.3768653484664</v>
      </c>
      <c r="S271" s="1" t="n">
        <f aca="false">MIN(S270,S263)</f>
        <v>11.6381834230205</v>
      </c>
      <c r="T271" s="1" t="n">
        <f aca="false">MIN(T270,T263)</f>
        <v>11.9054844444961</v>
      </c>
      <c r="U271" s="1" t="n">
        <f aca="false">MIN(U270,U263)</f>
        <v>12.1789090746495</v>
      </c>
      <c r="V271" s="1" t="n">
        <f aca="false">MIN(V270,V263)</f>
        <v>12.4585997228639</v>
      </c>
      <c r="W271" s="1" t="n">
        <f aca="false">MIN(W270,W263)</f>
        <v>12.7446396804938</v>
      </c>
      <c r="X271" s="1" t="n">
        <f aca="false">MIN(X270,X263)</f>
        <v>13.0334172705668</v>
      </c>
      <c r="Y271" s="1" t="n">
        <f aca="false">MIN(Y270,Y263)</f>
        <v>13.2525740266728</v>
      </c>
      <c r="Z271" s="1" t="n">
        <f aca="false">MIN(Z270,Z263)</f>
        <v>13.4645251373057</v>
      </c>
      <c r="AA271" s="1" t="n">
        <f aca="false">MIN(AA270,AA263)</f>
        <v>13.6711495816056</v>
      </c>
      <c r="AB271" s="1" t="n">
        <f aca="false">MIN(AB270,AB263)</f>
        <v>13.8748429797472</v>
      </c>
      <c r="AC271" s="1" t="n">
        <f aca="false">MIN(AC270,AC263)</f>
        <v>14.0770745143986</v>
      </c>
      <c r="AD271" s="1" t="n">
        <f aca="false">MIN(AD270,AD263)</f>
        <v>14.2781690858566</v>
      </c>
      <c r="AE271" s="1" t="n">
        <f aca="false">MIN(AE270,AE263)</f>
        <v>14.4782102816465</v>
      </c>
      <c r="AF271" s="1" t="n">
        <f aca="false">MIN(AF270,AF263)</f>
        <v>14.6772407862863</v>
      </c>
    </row>
    <row r="272" customFormat="false" ht="14.25" hidden="false" customHeight="true" outlineLevel="0" collapsed="false">
      <c r="B272" s="1" t="s">
        <v>1267</v>
      </c>
      <c r="C272" s="1" t="n">
        <f aca="false">MIN(C270-C271,MAX(0,C120))</f>
        <v>0.973170861764256</v>
      </c>
      <c r="D272" s="1" t="n">
        <f aca="false">MIN(D270-D271,MAX(0,D120))</f>
        <v>1.97549127792403</v>
      </c>
      <c r="E272" s="1" t="n">
        <f aca="false">MIN(E270-E271,MAX(0,E120))</f>
        <v>3.02126372703036</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0.0204950218701494</v>
      </c>
      <c r="E274" s="1" t="n">
        <f aca="false">IF(01_Supuestos!$C$174="Sí",01_Supuestos!$C$172*E271,01_Supuestos!$I$134*(E271+MIN(MIN(E270-E271,MAX(0,D120)),E264))+$C$10*MAX(0,MIN(E270-E271,MAX(0,D120))-E264))</f>
        <v>0.0313425085757581</v>
      </c>
      <c r="F274" s="1" t="n">
        <f aca="false">IF(01_Supuestos!$C$174="Sí",01_Supuestos!$C$172*F271,01_Supuestos!$I$134*(F271+MIN(MIN(F270-F271,MAX(0,E120)),F264))+$C$10*MAX(0,MIN(F270-F271,MAX(0,E120))-F264))</f>
        <v>0.0433357395241329</v>
      </c>
      <c r="G274" s="1" t="n">
        <f aca="false">IF(01_Supuestos!$C$174="Sí",01_Supuestos!$C$172*G271,01_Supuestos!$I$134*(G271+MIN(MIN(G270-G271,MAX(0,F120)),G264))+$C$10*MAX(0,MIN(G270-G271,MAX(0,F120))-G264))</f>
        <v>0.0544510457769712</v>
      </c>
      <c r="H274" s="1" t="n">
        <f aca="false">IF(01_Supuestos!$C$174="Sí",01_Supuestos!$C$172*H271,01_Supuestos!$I$134*(H271+MIN(MIN(H270-H271,MAX(0,G120)),H264))+$C$10*MAX(0,MIN(H270-H271,MAX(0,G120))-H264))</f>
        <v>0.061768047915892</v>
      </c>
      <c r="I274" s="1" t="n">
        <f aca="false">IF(01_Supuestos!$C$174="Sí",01_Supuestos!$C$172*I271,01_Supuestos!$I$134*(I271+MIN(MIN(I270-I271,MAX(0,H120)),I264))+$C$10*MAX(0,MIN(I270-I271,MAX(0,H120))-I264))</f>
        <v>0.0694985961885729</v>
      </c>
      <c r="J274" s="1" t="n">
        <f aca="false">IF(01_Supuestos!$C$174="Sí",01_Supuestos!$C$172*J271,01_Supuestos!$I$134*(J271+MIN(MIN(J270-J271,MAX(0,I120)),J264))+$C$10*MAX(0,MIN(J270-J271,MAX(0,I120))-J264))</f>
        <v>0.0774064026816931</v>
      </c>
      <c r="K274" s="1" t="n">
        <f aca="false">IF(01_Supuestos!$C$174="Sí",01_Supuestos!$C$172*K271,01_Supuestos!$I$134*(K271+MIN(MIN(K270-K271,MAX(0,J120)),K264))+$C$10*MAX(0,MIN(K270-K271,MAX(0,J120))-K264))</f>
        <v>0.0854955430430909</v>
      </c>
      <c r="L274" s="1" t="n">
        <f aca="false">IF(01_Supuestos!$C$174="Sí",01_Supuestos!$C$172*L271,01_Supuestos!$I$134*(L271+MIN(MIN(L270-L271,MAX(0,K120)),L264))+$C$10*MAX(0,MIN(L270-L271,MAX(0,K120))-L264))</f>
        <v>0.0919958891044904</v>
      </c>
      <c r="M274" s="1" t="n">
        <f aca="false">IF(01_Supuestos!$C$174="Sí",01_Supuestos!$C$172*M271,01_Supuestos!$I$134*(M271+MIN(MIN(M270-M271,MAX(0,L120)),M264))+$C$10*MAX(0,MIN(M270-M271,MAX(0,L120))-M264))</f>
        <v>0.0979728000414827</v>
      </c>
      <c r="N274" s="1" t="n">
        <f aca="false">IF(01_Supuestos!$C$174="Sí",01_Supuestos!$C$172*N271,01_Supuestos!$I$134*(N271+MIN(MIN(N270-N271,MAX(0,M120)),N264))+$C$10*MAX(0,MIN(N270-N271,MAX(0,M120))-N264))</f>
        <v>0.103122101374942</v>
      </c>
      <c r="O274" s="1" t="n">
        <f aca="false">IF(01_Supuestos!$C$174="Sí",01_Supuestos!$C$172*O271,01_Supuestos!$I$134*(O271+MIN(MIN(O270-O271,MAX(0,N120)),O264))+$C$10*MAX(0,MIN(O270-O271,MAX(0,N120))-O264))</f>
        <v>0.106098830603209</v>
      </c>
      <c r="P274" s="1" t="n">
        <f aca="false">IF(01_Supuestos!$C$174="Sí",01_Supuestos!$C$172*P271,01_Supuestos!$I$134*(P271+MIN(MIN(P270-P271,MAX(0,O120)),P264))+$C$10*MAX(0,MIN(P270-P271,MAX(0,O120))-P264))</f>
        <v>0.108718765001845</v>
      </c>
      <c r="Q274" s="1" t="n">
        <f aca="false">IF(01_Supuestos!$C$174="Sí",01_Supuestos!$C$172*Q271,01_Supuestos!$I$134*(Q271+MIN(MIN(Q270-Q271,MAX(0,P120)),Q264))+$C$10*MAX(0,MIN(Q270-Q271,MAX(0,P120))-Q264))</f>
        <v>0.111213761742237</v>
      </c>
      <c r="R274" s="1" t="n">
        <f aca="false">IF(01_Supuestos!$C$174="Sí",01_Supuestos!$C$172*R271,01_Supuestos!$I$134*(R271+MIN(MIN(R270-R271,MAX(0,Q120)),R264))+$C$10*MAX(0,MIN(R270-R271,MAX(0,Q120))-R264))</f>
        <v>0.113768653484664</v>
      </c>
      <c r="S274" s="1" t="n">
        <f aca="false">IF(01_Supuestos!$C$174="Sí",01_Supuestos!$C$172*S271,01_Supuestos!$I$134*(S271+MIN(MIN(S270-S271,MAX(0,R120)),S264))+$C$10*MAX(0,MIN(S270-S271,MAX(0,R120))-S264))</f>
        <v>0.116381834230205</v>
      </c>
      <c r="T274" s="1" t="n">
        <f aca="false">IF(01_Supuestos!$C$174="Sí",01_Supuestos!$C$172*T271,01_Supuestos!$I$134*(T271+MIN(MIN(T270-T271,MAX(0,S120)),T264))+$C$10*MAX(0,MIN(T270-T271,MAX(0,S120))-T264))</f>
        <v>0.119054844444961</v>
      </c>
      <c r="U274" s="1" t="n">
        <f aca="false">IF(01_Supuestos!$C$174="Sí",01_Supuestos!$C$172*U271,01_Supuestos!$I$134*(U271+MIN(MIN(U270-U271,MAX(0,T120)),U264))+$C$10*MAX(0,MIN(U270-U271,MAX(0,T120))-U264))</f>
        <v>0.121789090746495</v>
      </c>
      <c r="V274" s="1" t="n">
        <f aca="false">IF(01_Supuestos!$C$174="Sí",01_Supuestos!$C$172*V271,01_Supuestos!$I$134*(V271+MIN(MIN(V270-V271,MAX(0,U120)),V264))+$C$10*MAX(0,MIN(V270-V271,MAX(0,U120))-V264))</f>
        <v>0.124585997228639</v>
      </c>
      <c r="W274" s="1" t="n">
        <f aca="false">IF(01_Supuestos!$C$174="Sí",01_Supuestos!$C$172*W271,01_Supuestos!$I$134*(W271+MIN(MIN(W270-W271,MAX(0,V120)),W264))+$C$10*MAX(0,MIN(W270-W271,MAX(0,V120))-W264))</f>
        <v>0.127446396804938</v>
      </c>
      <c r="X274" s="1" t="n">
        <f aca="false">IF(01_Supuestos!$C$174="Sí",01_Supuestos!$C$172*X271,01_Supuestos!$I$134*(X271+MIN(MIN(X270-X271,MAX(0,W120)),X264))+$C$10*MAX(0,MIN(X270-X271,MAX(0,W120))-X264))</f>
        <v>0.130334172705668</v>
      </c>
      <c r="Y274" s="1" t="n">
        <f aca="false">IF(01_Supuestos!$C$174="Sí",01_Supuestos!$C$172*Y271,01_Supuestos!$I$134*(Y271+MIN(MIN(Y270-Y271,MAX(0,X120)),Y264))+$C$10*MAX(0,MIN(Y270-Y271,MAX(0,X120))-Y264))</f>
        <v>0.132525740266728</v>
      </c>
      <c r="Z274" s="1" t="n">
        <f aca="false">IF(01_Supuestos!$C$174="Sí",01_Supuestos!$C$172*Z271,01_Supuestos!$I$134*(Z271+MIN(MIN(Z270-Z271,MAX(0,Y120)),Z264))+$C$10*MAX(0,MIN(Z270-Z271,MAX(0,Y120))-Z264))</f>
        <v>0.134645251373057</v>
      </c>
      <c r="AA274" s="1" t="n">
        <f aca="false">IF(01_Supuestos!$C$174="Sí",01_Supuestos!$C$172*AA271,01_Supuestos!$I$134*(AA271+MIN(MIN(AA270-AA271,MAX(0,Z120)),AA264))+$C$10*MAX(0,MIN(AA270-AA271,MAX(0,Z120))-AA264))</f>
        <v>0.136711495816056</v>
      </c>
      <c r="AB274" s="1" t="n">
        <f aca="false">IF(01_Supuestos!$C$174="Sí",01_Supuestos!$C$172*AB271,01_Supuestos!$I$134*(AB271+MIN(MIN(AB270-AB271,MAX(0,AA120)),AB264))+$C$10*MAX(0,MIN(AB270-AB271,MAX(0,AA120))-AB264))</f>
        <v>0.138748429797472</v>
      </c>
      <c r="AC274" s="1" t="n">
        <f aca="false">IF(01_Supuestos!$C$174="Sí",01_Supuestos!$C$172*AC271,01_Supuestos!$I$134*(AC271+MIN(MIN(AC270-AC271,MAX(0,AB120)),AC264))+$C$10*MAX(0,MIN(AC270-AC271,MAX(0,AB120))-AC264))</f>
        <v>0.140770745143986</v>
      </c>
      <c r="AD274" s="1" t="n">
        <f aca="false">IF(01_Supuestos!$C$174="Sí",01_Supuestos!$C$172*AD271,01_Supuestos!$I$134*(AD271+MIN(MIN(AD270-AD271,MAX(0,AC120)),AD264))+$C$10*MAX(0,MIN(AD270-AD271,MAX(0,AC120))-AD264))</f>
        <v>0.142781690858566</v>
      </c>
      <c r="AE274" s="1" t="n">
        <f aca="false">IF(01_Supuestos!$C$174="Sí",01_Supuestos!$C$172*AE271,01_Supuestos!$I$134*(AE271+MIN(MIN(AE270-AE271,MAX(0,AD120)),AE264))+$C$10*MAX(0,MIN(AE270-AE271,MAX(0,AD120))-AE264))</f>
        <v>0.144782102816465</v>
      </c>
      <c r="AF274" s="1" t="n">
        <f aca="false">IF(01_Supuestos!$C$174="Sí",01_Supuestos!$C$172*AF271,01_Supuestos!$I$134*(AF271+MIN(MIN(AF270-AF271,MAX(0,AE120)),AF264))+$C$10*MAX(0,MIN(AF270-AF271,MAX(0,AE120))-AF264))</f>
        <v>0.146772407862863</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17.8847006637421</v>
      </c>
      <c r="D276" s="1" t="n">
        <f aca="false">D120-MAX(D264,D272)</f>
        <v>32.9215006157733</v>
      </c>
      <c r="E276" s="1" t="n">
        <f aca="false">E120-MAX(E264,E272)</f>
        <v>49.6002636248483</v>
      </c>
      <c r="F276" s="1" t="n">
        <f aca="false">F120-MAX(F264,F272)</f>
        <v>60.918684751518</v>
      </c>
      <c r="G276" s="1" t="n">
        <f aca="false">G120-MAX(G264,G272)</f>
        <v>71.4098772932602</v>
      </c>
      <c r="H276" s="1" t="n">
        <f aca="false">H120-MAX(H264,H272)</f>
        <v>83.4205392896249</v>
      </c>
      <c r="I276" s="1" t="n">
        <f aca="false">I120-MAX(I264,I272)</f>
        <v>97.0596692152014</v>
      </c>
      <c r="J276" s="1" t="n">
        <f aca="false">J120-MAX(J264,J272)</f>
        <v>111.896228739425</v>
      </c>
      <c r="K276" s="1" t="n">
        <f aca="false">K120-MAX(K264,K272)</f>
        <v>127.966244151939</v>
      </c>
      <c r="L276" s="1" t="n">
        <f aca="false">L120-MAX(L264,L272)</f>
        <v>145.325577931944</v>
      </c>
      <c r="M276" s="1" t="n">
        <f aca="false">M120-MAX(M264,M272)</f>
        <v>145.031911741383</v>
      </c>
      <c r="N276" s="1" t="n">
        <f aca="false">N120-MAX(N264,N272)</f>
        <v>145.813988411548</v>
      </c>
      <c r="O276" s="1" t="n">
        <f aca="false">O120-MAX(O264,O272)</f>
        <v>148.068214293744</v>
      </c>
      <c r="P276" s="1" t="n">
        <f aca="false">P120-MAX(P264,P272)</f>
        <v>149.600346075042</v>
      </c>
      <c r="Q276" s="1" t="n">
        <f aca="false">Q120-MAX(Q264,Q272)</f>
        <v>150.804514802042</v>
      </c>
      <c r="R276" s="1" t="n">
        <f aca="false">R120-MAX(R264,R272)</f>
        <v>152.051633759077</v>
      </c>
      <c r="S276" s="1" t="n">
        <f aca="false">S120-MAX(S264,S272)</f>
        <v>153.336720005098</v>
      </c>
      <c r="T276" s="1" t="n">
        <f aca="false">T120-MAX(T264,T272)</f>
        <v>154.660733866034</v>
      </c>
      <c r="U276" s="1" t="n">
        <f aca="false">U120-MAX(U264,U272)</f>
        <v>156.024337265203</v>
      </c>
      <c r="V276" s="1" t="n">
        <f aca="false">V120-MAX(V264,V272)</f>
        <v>157.428189283134</v>
      </c>
      <c r="W276" s="1" t="n">
        <f aca="false">W120-MAX(W264,W272)</f>
        <v>158.875312876379</v>
      </c>
      <c r="X276" s="1" t="n">
        <f aca="false">X120-MAX(X264,X272)</f>
        <v>160.376363907942</v>
      </c>
      <c r="Y276" s="1" t="n">
        <f aca="false">Y120-MAX(Y264,Y272)</f>
        <v>162.107310349478</v>
      </c>
      <c r="Z276" s="1" t="n">
        <f aca="false">Z120-MAX(Z264,Z272)</f>
        <v>163.821462175136</v>
      </c>
      <c r="AA276" s="1" t="n">
        <f aca="false">AA120-MAX(AA264,AA272)</f>
        <v>165.545791457918</v>
      </c>
      <c r="AB276" s="1" t="n">
        <f aca="false">AB120-MAX(AB264,AB272)</f>
        <v>167.26355696702</v>
      </c>
      <c r="AC276" s="1" t="n">
        <f aca="false">AC120-MAX(AC264,AC272)</f>
        <v>168.96976235143</v>
      </c>
      <c r="AD276" s="1" t="n">
        <f aca="false">AD120-MAX(AD264,AD272)</f>
        <v>170.674928678844</v>
      </c>
      <c r="AE276" s="1" t="n">
        <f aca="false">AE120-MAX(AE264,AE272)</f>
        <v>172.389984669042</v>
      </c>
      <c r="AF276" s="1" t="n">
        <f aca="false">AF120-MAX(AF264,AF272)</f>
        <v>174.125166427436</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7.72892218640384</v>
      </c>
      <c r="G284" s="1" t="n">
        <f aca="false">$C$279*G87</f>
        <v>12.7771961905949</v>
      </c>
      <c r="H284" s="1" t="n">
        <f aca="false">$C$279*H87</f>
        <v>17.9555018203702</v>
      </c>
      <c r="I284" s="1" t="n">
        <f aca="false">$C$279*I87</f>
        <v>23.2668757615325</v>
      </c>
      <c r="J284" s="1" t="n">
        <f aca="false">$C$279*J87</f>
        <v>28.7144222457369</v>
      </c>
      <c r="K284" s="1" t="n">
        <f aca="false">$C$279*K87</f>
        <v>34.3013147189422</v>
      </c>
      <c r="L284" s="1" t="n">
        <f aca="false">$C$279*L87</f>
        <v>38.4395528793984</v>
      </c>
      <c r="M284" s="1" t="n">
        <f aca="false">$C$279*M87</f>
        <v>46.8332116016971</v>
      </c>
      <c r="N284" s="1" t="n">
        <f aca="false">$C$279*N87</f>
        <v>53.0055305888506</v>
      </c>
      <c r="O284" s="1" t="n">
        <f aca="false">$C$279*O87</f>
        <v>54.1673886465035</v>
      </c>
      <c r="P284" s="1" t="n">
        <f aca="false">$C$279*P87</f>
        <v>55.4488312447976</v>
      </c>
      <c r="Q284" s="1" t="n">
        <f aca="false">$C$279*Q87</f>
        <v>56.7650896747545</v>
      </c>
      <c r="R284" s="1" t="n">
        <f aca="false">$C$279*R87</f>
        <v>58.1207071920706</v>
      </c>
      <c r="S284" s="1" t="n">
        <f aca="false">$C$279*S87</f>
        <v>59.5164892353993</v>
      </c>
      <c r="T284" s="1" t="n">
        <f aca="false">$C$279*T87</f>
        <v>60.9528681337387</v>
      </c>
      <c r="U284" s="1" t="n">
        <f aca="false">$C$279*U87</f>
        <v>62.4303064851145</v>
      </c>
      <c r="V284" s="1" t="n">
        <f aca="false">$C$279*V87</f>
        <v>63.9492897484384</v>
      </c>
      <c r="W284" s="1" t="n">
        <f aca="false">$C$279*W87</f>
        <v>65.514843682307</v>
      </c>
      <c r="X284" s="1" t="n">
        <f aca="false">$C$279*X87</f>
        <v>67.0935008179561</v>
      </c>
      <c r="Y284" s="1" t="n">
        <f aca="false">$C$279*Y87</f>
        <v>68.0373799461849</v>
      </c>
      <c r="Z284" s="1" t="n">
        <f aca="false">$C$279*Z87</f>
        <v>68.9454182940852</v>
      </c>
      <c r="AA284" s="1" t="n">
        <f aca="false">$C$279*AA87</f>
        <v>69.8211757986941</v>
      </c>
      <c r="AB284" s="1" t="n">
        <f aca="false">$C$279*AB87</f>
        <v>70.6655366593178</v>
      </c>
      <c r="AC284" s="1" t="n">
        <f aca="false">$C$279*AC87</f>
        <v>71.4887089333464</v>
      </c>
      <c r="AD284" s="1" t="n">
        <f aca="false">$C$279*AD87</f>
        <v>72.292260196816</v>
      </c>
      <c r="AE284" s="1" t="n">
        <f aca="false">$C$279*AE87</f>
        <v>73.0761477976738</v>
      </c>
      <c r="AF284" s="1" t="n">
        <f aca="false">$C$279*AF87</f>
        <v>73.8403301301185</v>
      </c>
    </row>
    <row r="285" customFormat="false" ht="14.25" hidden="false" customHeight="true" outlineLevel="0" collapsed="false">
      <c r="B285" s="84" t="s">
        <v>1280</v>
      </c>
      <c r="C285" s="1" t="n">
        <f aca="false">MAX(0/$C$280,0-C284)</f>
        <v>0</v>
      </c>
      <c r="D285" s="1" t="n">
        <f aca="false">MAX(C284*(1-$C$340)/$C$280,C284-D341-D284)</f>
        <v>0.109203066193296</v>
      </c>
      <c r="E285" s="1" t="n">
        <f aca="false">MAX(D284*(1-$C$340)/$C$280,D284-E341-E284)</f>
        <v>0.276827115825439</v>
      </c>
      <c r="F285" s="1" t="n">
        <f aca="false">MAX(E284*(1-$C$340)/$C$280,E284-F341-F284)</f>
        <v>1.49160200390844</v>
      </c>
      <c r="G285" s="1" t="n">
        <f aca="false">MAX(F284*(1-$C$340)/$C$280,F284-G341-G284)</f>
        <v>0.38258164822699</v>
      </c>
      <c r="H285" s="1" t="n">
        <f aca="false">MAX(G284*(1-$C$340)/$C$280,G284-H341-H284)</f>
        <v>0.632471211434445</v>
      </c>
      <c r="I285" s="1" t="n">
        <f aca="false">MAX(H284*(1-$C$340)/$C$280,H284-I341-I284)</f>
        <v>0.888797340108327</v>
      </c>
      <c r="J285" s="1" t="n">
        <f aca="false">MAX(I284*(1-$C$340)/$C$280,I284-J341-J284)</f>
        <v>1.15171035019586</v>
      </c>
      <c r="K285" s="1" t="n">
        <f aca="false">MAX(J284*(1-$C$340)/$C$280,J284-K341-K284)</f>
        <v>1.42136390116398</v>
      </c>
      <c r="L285" s="1" t="n">
        <f aca="false">MAX(K284*(1-$C$340)/$C$280,K284-L341-L284)</f>
        <v>1.69791507858764</v>
      </c>
      <c r="M285" s="1" t="n">
        <f aca="false">MAX(L284*(1-$C$340)/$C$280,L284-M341-M284)</f>
        <v>1.90275786753022</v>
      </c>
      <c r="N285" s="1" t="n">
        <f aca="false">MAX(M284*(1-$C$340)/$C$280,M284-N341-N284)</f>
        <v>2.31824397428401</v>
      </c>
      <c r="O285" s="1" t="n">
        <f aca="false">MAX(N284*(1-$C$340)/$C$280,N284-O341-O284)</f>
        <v>2.62377376414811</v>
      </c>
      <c r="P285" s="1" t="n">
        <f aca="false">MAX(O284*(1-$C$340)/$C$280,O284-P341-P284)</f>
        <v>2.68128573800193</v>
      </c>
      <c r="Q285" s="1" t="n">
        <f aca="false">MAX(P284*(1-$C$340)/$C$280,P284-Q341-Q284)</f>
        <v>2.74471714661748</v>
      </c>
      <c r="R285" s="1" t="n">
        <f aca="false">MAX(Q284*(1-$C$340)/$C$280,Q284-R341-R284)</f>
        <v>2.80987193890035</v>
      </c>
      <c r="S285" s="1" t="n">
        <f aca="false">MAX(R284*(1-$C$340)/$C$280,R284-S341-S284)</f>
        <v>2.8769750060075</v>
      </c>
      <c r="T285" s="1" t="n">
        <f aca="false">MAX(S284*(1-$C$340)/$C$280,S284-T341-T284)</f>
        <v>2.94606621715227</v>
      </c>
      <c r="U285" s="1" t="n">
        <f aca="false">MAX(T284*(1-$C$340)/$C$280,T284-U341-U284)</f>
        <v>3.01716697262007</v>
      </c>
      <c r="V285" s="1" t="n">
        <f aca="false">MAX(U284*(1-$C$340)/$C$280,U284-V341-V284)</f>
        <v>3.09030017101317</v>
      </c>
      <c r="W285" s="1" t="n">
        <f aca="false">MAX(V284*(1-$C$340)/$C$280,V284-W341-W284)</f>
        <v>3.1654898425477</v>
      </c>
      <c r="X285" s="1" t="n">
        <f aca="false">MAX(W284*(1-$C$340)/$C$280,W284-X341-X284)</f>
        <v>3.2429847622742</v>
      </c>
      <c r="Y285" s="1" t="n">
        <f aca="false">MAX(X284*(1-$C$340)/$C$280,X284-Y341-Y284)</f>
        <v>3.32112829048883</v>
      </c>
      <c r="Z285" s="1" t="n">
        <f aca="false">MAX(Y284*(1-$C$340)/$C$280,Y284-Z341-Z284)</f>
        <v>3.36785030733615</v>
      </c>
      <c r="AA285" s="1" t="n">
        <f aca="false">MAX(Z284*(1-$C$340)/$C$280,Z284-AA341-AA284)</f>
        <v>3.41279820555722</v>
      </c>
      <c r="AB285" s="1" t="n">
        <f aca="false">MAX(AA284*(1-$C$340)/$C$280,AA284-AB341-AB284)</f>
        <v>3.45614820203536</v>
      </c>
      <c r="AC285" s="1" t="n">
        <f aca="false">MAX(AB284*(1-$C$340)/$C$280,AB284-AC341-AC284)</f>
        <v>3.49794406463623</v>
      </c>
      <c r="AD285" s="1" t="n">
        <f aca="false">MAX(AC284*(1-$C$340)/$C$280,AC284-AD341-AD284)</f>
        <v>3.53869109220064</v>
      </c>
      <c r="AE285" s="1" t="n">
        <f aca="false">MAX(AD284*(1-$C$340)/$C$280,AD284-AE341-AE284)</f>
        <v>3.57846687974239</v>
      </c>
      <c r="AF285" s="1" t="n">
        <f aca="false">MAX(AE284*(1-$C$340)/$C$280,AE284-AF341-AF284)</f>
        <v>3.61726931598485</v>
      </c>
    </row>
    <row r="286" customFormat="false" ht="14.25" hidden="false" customHeight="true" outlineLevel="0" collapsed="false">
      <c r="B286" s="84" t="s">
        <v>1281</v>
      </c>
      <c r="C286" s="1" t="n">
        <f aca="false">C284-0+C285</f>
        <v>2.20612254935952</v>
      </c>
      <c r="D286" s="1" t="n">
        <f aca="false">D284-C284+D285+D341</f>
        <v>3.51760872869988</v>
      </c>
      <c r="E286" s="1" t="n">
        <f aca="false">E284-D284+E285+E341</f>
        <v>4.0539455976119</v>
      </c>
      <c r="F286" s="1" t="n">
        <f aca="false">F284-E284+F285+F341</f>
        <v>0</v>
      </c>
      <c r="G286" s="1" t="n">
        <f aca="false">G284-F284+G285+G341</f>
        <v>5.50814487428204</v>
      </c>
      <c r="H286" s="1" t="n">
        <f aca="false">H284-G284+H285+H341</f>
        <v>5.93854880311578</v>
      </c>
      <c r="I286" s="1" t="n">
        <f aca="false">I284-H284+I285+I341</f>
        <v>6.37972629947431</v>
      </c>
      <c r="J286" s="1" t="n">
        <f aca="false">J284-I284+J285+J341</f>
        <v>6.83192559201561</v>
      </c>
      <c r="K286" s="1" t="n">
        <f aca="false">K284-J284+K285+K341</f>
        <v>7.29540059682659</v>
      </c>
      <c r="L286" s="1" t="n">
        <f aca="false">L284-K284+L285+L341</f>
        <v>6.17916638623322</v>
      </c>
      <c r="M286" s="1" t="n">
        <f aca="false">M284-L284+M285+M341</f>
        <v>10.680812118623</v>
      </c>
      <c r="N286" s="1" t="n">
        <f aca="false">N284-M284+N285+N341</f>
        <v>8.95889507745449</v>
      </c>
      <c r="O286" s="1" t="n">
        <f aca="false">O284-N284+O285+O341</f>
        <v>4.31568712768953</v>
      </c>
      <c r="P286" s="1" t="n">
        <f aca="false">P284-O284+P285+P341</f>
        <v>4.50440222276099</v>
      </c>
      <c r="Q286" s="1" t="n">
        <f aca="false">Q284-P284+Q285+Q341</f>
        <v>4.61546388902239</v>
      </c>
      <c r="R286" s="1" t="n">
        <f aca="false">R284-Q284+R285+R341</f>
        <v>4.73314035296403</v>
      </c>
      <c r="S286" s="1" t="n">
        <f aca="false">S284-R284+S285+S341</f>
        <v>4.85396412125686</v>
      </c>
      <c r="T286" s="1" t="n">
        <f aca="false">T284-S284+T285+T341</f>
        <v>4.97761000784566</v>
      </c>
      <c r="U286" s="1" t="n">
        <f aca="false">U284-T284+U285+U341</f>
        <v>5.10413400533328</v>
      </c>
      <c r="V286" s="1" t="n">
        <f aca="false">V284-U284+V285+V341</f>
        <v>5.23358649918814</v>
      </c>
      <c r="W286" s="1" t="n">
        <f aca="false">W284-V284+W285+W341</f>
        <v>5.37053667390072</v>
      </c>
      <c r="X286" s="1" t="n">
        <f aca="false">X284-W284+X285+X341</f>
        <v>5.47679033474635</v>
      </c>
      <c r="Y286" s="1" t="n">
        <f aca="false">Y284-X284+Y285+Y341</f>
        <v>4.93594242689717</v>
      </c>
      <c r="Z286" s="1" t="n">
        <f aca="false">Z284-Y284+Z285+Z341</f>
        <v>4.95626245469837</v>
      </c>
      <c r="AA286" s="1" t="n">
        <f aca="false">AA284-Z284+AA285+AA341</f>
        <v>4.97800989310693</v>
      </c>
      <c r="AB286" s="1" t="n">
        <f aca="false">AB284-AA284+AB285+AB341</f>
        <v>4.99872082064605</v>
      </c>
      <c r="AC286" s="1" t="n">
        <f aca="false">AC284-AB284+AC285+AC341</f>
        <v>5.02777170525792</v>
      </c>
      <c r="AD286" s="1" t="n">
        <f aca="false">AD284-AC284+AD285+AD341</f>
        <v>5.05712944500375</v>
      </c>
      <c r="AE286" s="1" t="n">
        <f aca="false">AE284-AD284+AE285+AE341</f>
        <v>5.08527708256838</v>
      </c>
      <c r="AF286" s="1" t="n">
        <f aca="false">AF284-AE284+AF285+AF341</f>
        <v>5.11221312640623</v>
      </c>
    </row>
    <row r="287" customFormat="false" ht="14.25" hidden="false" customHeight="true" outlineLevel="0" collapsed="false">
      <c r="B287" s="84" t="s">
        <v>1282</v>
      </c>
      <c r="C287" s="1" t="n">
        <f aca="false">C284*(1-$C$340)*$C$175</f>
        <v>0.0939146369262347</v>
      </c>
      <c r="D287" s="1" t="n">
        <f aca="false">D284*(1-$C$340)*$C$175</f>
        <v>0.238071319609878</v>
      </c>
      <c r="E287" s="1" t="n">
        <f aca="false">E284*(1-$C$340)*$C$175</f>
        <v>0.396482540183428</v>
      </c>
      <c r="F287" s="1" t="n">
        <f aca="false">F284*(1-$C$340)*$C$175</f>
        <v>0.329020217475212</v>
      </c>
      <c r="G287" s="1" t="n">
        <f aca="false">G284*(1-$C$340)*$C$175</f>
        <v>0.543925241833623</v>
      </c>
      <c r="H287" s="1" t="n">
        <f aca="false">H284*(1-$C$340)*$C$175</f>
        <v>0.764365712493161</v>
      </c>
      <c r="I287" s="1" t="n">
        <f aca="false">I284*(1-$C$340)*$C$175</f>
        <v>0.990470901168439</v>
      </c>
      <c r="J287" s="1" t="n">
        <f aca="false">J284*(1-$C$340)*$C$175</f>
        <v>1.22237295500102</v>
      </c>
      <c r="K287" s="1" t="n">
        <f aca="false">K284*(1-$C$340)*$C$175</f>
        <v>1.46020696758537</v>
      </c>
      <c r="L287" s="1" t="n">
        <f aca="false">L284*(1-$C$340)*$C$175</f>
        <v>1.63637176607599</v>
      </c>
      <c r="M287" s="1" t="n">
        <f aca="false">M284*(1-$C$340)*$C$175</f>
        <v>1.99368981788425</v>
      </c>
      <c r="N287" s="1" t="n">
        <f aca="false">N284*(1-$C$340)*$C$175</f>
        <v>2.25644543716737</v>
      </c>
      <c r="O287" s="1" t="n">
        <f aca="false">O284*(1-$C$340)*$C$175</f>
        <v>2.30590573468166</v>
      </c>
      <c r="P287" s="1" t="n">
        <f aca="false">P284*(1-$C$340)*$C$175</f>
        <v>2.36045674609103</v>
      </c>
      <c r="Q287" s="1" t="n">
        <f aca="false">Q284*(1-$C$340)*$C$175</f>
        <v>2.4164898674543</v>
      </c>
      <c r="R287" s="1" t="n">
        <f aca="false">R284*(1-$C$340)*$C$175</f>
        <v>2.47419850516645</v>
      </c>
      <c r="S287" s="1" t="n">
        <f aca="false">S284*(1-$C$340)*$C$175</f>
        <v>2.53361694675095</v>
      </c>
      <c r="T287" s="1" t="n">
        <f aca="false">T284*(1-$C$340)*$C$175</f>
        <v>2.59476359645326</v>
      </c>
      <c r="U287" s="1" t="n">
        <f aca="false">U284*(1-$C$340)*$C$175</f>
        <v>2.65765814707133</v>
      </c>
      <c r="V287" s="1" t="n">
        <f aca="false">V284*(1-$C$340)*$C$175</f>
        <v>2.72232126459102</v>
      </c>
      <c r="W287" s="1" t="n">
        <f aca="false">W284*(1-$C$340)*$C$175</f>
        <v>2.78896689555581</v>
      </c>
      <c r="X287" s="1" t="n">
        <f aca="false">X284*(1-$C$340)*$C$175</f>
        <v>2.85617032982039</v>
      </c>
      <c r="Y287" s="1" t="n">
        <f aca="false">Y284*(1-$C$340)*$C$175</f>
        <v>2.89635126430909</v>
      </c>
      <c r="Z287" s="1" t="n">
        <f aca="false">Z284*(1-$C$340)*$C$175</f>
        <v>2.93500645677921</v>
      </c>
      <c r="AA287" s="1" t="n">
        <f aca="false">AA284*(1-$C$340)*$C$175</f>
        <v>2.97228745375041</v>
      </c>
      <c r="AB287" s="1" t="n">
        <f aca="false">AB284*(1-$C$340)*$C$175</f>
        <v>3.00823189558716</v>
      </c>
      <c r="AC287" s="1" t="n">
        <f aca="false">AC284*(1-$C$340)*$C$175</f>
        <v>3.04327433929255</v>
      </c>
      <c r="AD287" s="1" t="n">
        <f aca="false">AD284*(1-$C$340)*$C$175</f>
        <v>3.07748151657846</v>
      </c>
      <c r="AE287" s="1" t="n">
        <f aca="false">AE284*(1-$C$340)*$C$175</f>
        <v>3.11085161174697</v>
      </c>
      <c r="AF287" s="1" t="n">
        <f aca="false">AF284*(1-$C$340)*$C$175</f>
        <v>3.14338285363914</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10.6732734955101</v>
      </c>
      <c r="G289" s="1" t="n">
        <f aca="false">(1-$C$279)*G87</f>
        <v>17.6446995012977</v>
      </c>
      <c r="H289" s="1" t="n">
        <f aca="false">(1-$C$279)*H87</f>
        <v>24.7956929900351</v>
      </c>
      <c r="I289" s="1" t="n">
        <f aca="false">(1-$C$279)*I87</f>
        <v>32.1304474802116</v>
      </c>
      <c r="J289" s="1" t="n">
        <f aca="false">(1-$C$279)*J87</f>
        <v>39.6532497679225</v>
      </c>
      <c r="K289" s="1" t="n">
        <f aca="false">(1-$C$279)*K87</f>
        <v>47.3684822309202</v>
      </c>
      <c r="L289" s="1" t="n">
        <f aca="false">(1-$C$279)*L87</f>
        <v>53.0831920715501</v>
      </c>
      <c r="M289" s="1" t="n">
        <f aca="false">(1-$C$279)*M87</f>
        <v>64.6744350690103</v>
      </c>
      <c r="N289" s="1" t="n">
        <f aca="false">(1-$C$279)*N87</f>
        <v>73.1981136703175</v>
      </c>
      <c r="O289" s="1" t="n">
        <f aca="false">(1-$C$279)*O87</f>
        <v>74.8025843213621</v>
      </c>
      <c r="P289" s="1" t="n">
        <f aca="false">(1-$C$279)*P87</f>
        <v>76.57219552853</v>
      </c>
      <c r="Q289" s="1" t="n">
        <f aca="false">(1-$C$279)*Q87</f>
        <v>78.3898857413277</v>
      </c>
      <c r="R289" s="1" t="n">
        <f aca="false">(1-$C$279)*R87</f>
        <v>80.2619289795261</v>
      </c>
      <c r="S289" s="1" t="n">
        <f aca="false">(1-$C$279)*S87</f>
        <v>82.1894375155514</v>
      </c>
      <c r="T289" s="1" t="n">
        <f aca="false">(1-$C$279)*T87</f>
        <v>84.173008375163</v>
      </c>
      <c r="U289" s="1" t="n">
        <f aca="false">(1-$C$279)*U87</f>
        <v>86.2132803842058</v>
      </c>
      <c r="V289" s="1" t="n">
        <f aca="false">(1-$C$279)*V87</f>
        <v>88.3109239383197</v>
      </c>
      <c r="W289" s="1" t="n">
        <f aca="false">(1-$C$279)*W87</f>
        <v>90.4728793708049</v>
      </c>
      <c r="X289" s="1" t="n">
        <f aca="false">(1-$C$279)*X87</f>
        <v>92.652929700987</v>
      </c>
      <c r="Y289" s="1" t="n">
        <f aca="false">(1-$C$279)*Y87</f>
        <v>93.9563818304458</v>
      </c>
      <c r="Z289" s="1" t="n">
        <f aca="false">(1-$C$279)*Z87</f>
        <v>95.2103395489749</v>
      </c>
      <c r="AA289" s="1" t="n">
        <f aca="false">(1-$C$279)*AA87</f>
        <v>96.4197189601014</v>
      </c>
      <c r="AB289" s="1" t="n">
        <f aca="false">(1-$C$279)*AB87</f>
        <v>97.5857411009628</v>
      </c>
      <c r="AC289" s="1" t="n">
        <f aca="false">(1-$C$279)*AC87</f>
        <v>98.7225028127164</v>
      </c>
      <c r="AD289" s="1" t="n">
        <f aca="false">(1-$C$279)*AD87</f>
        <v>99.8321688432221</v>
      </c>
      <c r="AE289" s="1" t="n">
        <f aca="false">(1-$C$279)*AE87</f>
        <v>100.914680292026</v>
      </c>
      <c r="AF289" s="1" t="n">
        <f aca="false">(1-$C$279)*AF87</f>
        <v>101.969979703497</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0.603216937067731</v>
      </c>
      <c r="E290" s="1" t="n">
        <f aca="false">MAX(D289*(1-$C$340)/$C$281+IF(AND(01_Supuestos!$C$189&gt;0,E$39=01_Supuestos!$C$189),01_Supuestos!$C$190*D289*(1-$C$340)*(1-1/$C$281),0),D289-E342-E289)</f>
        <v>1.52914025884528</v>
      </c>
      <c r="F290" s="1" t="n">
        <f aca="false">MAX(E289*(1-$C$340)/$C$281+IF(AND(01_Supuestos!$C$189&gt;0,F$39=01_Supuestos!$C$189),01_Supuestos!$C$190*E289*(1-$C$340)*(1-1/$C$281),0),E289-F342-F289)</f>
        <v>2.54662096684816</v>
      </c>
      <c r="G290" s="1" t="n">
        <f aca="false">MAX(F289*(1-$C$340)/$C$281+IF(AND(01_Supuestos!$C$189&gt;0,G$39=01_Supuestos!$C$189),01_Supuestos!$C$190*F289*(1-$C$340)*(1-1/$C$281),0),F289-G342-G289)</f>
        <v>2.11330815211099</v>
      </c>
      <c r="H290" s="1" t="n">
        <f aca="false">MAX(G289*(1-$C$340)/$C$281+IF(AND(01_Supuestos!$C$189&gt;0,H$39=01_Supuestos!$C$189),01_Supuestos!$C$190*G289*(1-$C$340)*(1-1/$C$281),0),G289-H342-H289)</f>
        <v>3.49365050125694</v>
      </c>
      <c r="I290" s="1" t="n">
        <f aca="false">MAX(H289*(1-$C$340)/$C$281+IF(AND(01_Supuestos!$C$189&gt;0,I$39=01_Supuestos!$C$189),01_Supuestos!$C$190*H289*(1-$C$340)*(1-1/$C$281),0),H289-I342-I289)</f>
        <v>4.90954721202695</v>
      </c>
      <c r="J290" s="1" t="n">
        <f aca="false">MAX(I289*(1-$C$340)/$C$281+IF(AND(01_Supuestos!$C$189&gt;0,J$39=01_Supuestos!$C$189),01_Supuestos!$C$190*I289*(1-$C$340)*(1-1/$C$281),0),I289-J342-J289)</f>
        <v>6.36182860108189</v>
      </c>
      <c r="K290" s="1" t="n">
        <f aca="false">MAX(J289*(1-$C$340)/$C$281+IF(AND(01_Supuestos!$C$189&gt;0,K$39=01_Supuestos!$C$189),01_Supuestos!$C$190*J289*(1-$C$340)*(1-1/$C$281),0),J289-K342-K289)</f>
        <v>7.85134345404865</v>
      </c>
      <c r="L290" s="1" t="n">
        <f aca="false">MAX(K289*(1-$C$340)/$C$281+IF(AND(01_Supuestos!$C$189&gt;0,L$39=01_Supuestos!$C$189),01_Supuestos!$C$190*K289*(1-$C$340)*(1-1/$C$281),0),K289-L342-L289)</f>
        <v>9.3789594817222</v>
      </c>
      <c r="M290" s="1" t="n">
        <f aca="false">MAX(L289*(1-$C$340)/$C$281+IF(AND(01_Supuestos!$C$189&gt;0,M$39=01_Supuestos!$C$189),01_Supuestos!$C$190*L289*(1-$C$340)*(1-1/$C$281),0),L289-M342-M289)</f>
        <v>10.5104720301669</v>
      </c>
      <c r="N290" s="1" t="n">
        <f aca="false">MAX(M289*(1-$C$340)/$C$281+IF(AND(01_Supuestos!$C$189&gt;0,N$39=01_Supuestos!$C$189),01_Supuestos!$C$190*M289*(1-$C$340)*(1-1/$C$281),0),M289-N342-N289)</f>
        <v>12.805538143664</v>
      </c>
      <c r="O290" s="1" t="n">
        <f aca="false">MAX(N289*(1-$C$340)/$C$281+IF(AND(01_Supuestos!$C$189&gt;0,O$39=01_Supuestos!$C$189),01_Supuestos!$C$190*N289*(1-$C$340)*(1-1/$C$281),0),N289-O342-O289)</f>
        <v>14.4932265067229</v>
      </c>
      <c r="P290" s="1" t="n">
        <f aca="false">MAX(O289*(1-$C$340)/$C$281+IF(AND(01_Supuestos!$C$189&gt;0,P$39=01_Supuestos!$C$189),01_Supuestos!$C$190*O289*(1-$C$340)*(1-1/$C$281),0),O289-P342-P289)</f>
        <v>14.8109116956297</v>
      </c>
      <c r="Q290" s="1" t="n">
        <f aca="false">MAX(P289*(1-$C$340)/$C$281+IF(AND(01_Supuestos!$C$189&gt;0,Q$39=01_Supuestos!$C$189),01_Supuestos!$C$190*P289*(1-$C$340)*(1-1/$C$281),0),P289-Q342-Q289)</f>
        <v>15.1612947146489</v>
      </c>
      <c r="R290" s="1" t="n">
        <f aca="false">MAX(Q289*(1-$C$340)/$C$281+IF(AND(01_Supuestos!$C$189&gt;0,R$39=01_Supuestos!$C$189),01_Supuestos!$C$190*Q289*(1-$C$340)*(1-1/$C$281),0),Q289-R342-R289)</f>
        <v>15.5211973767829</v>
      </c>
      <c r="S290" s="1" t="n">
        <f aca="false">MAX(R289*(1-$C$340)/$C$281+IF(AND(01_Supuestos!$C$189&gt;0,S$39=01_Supuestos!$C$189),01_Supuestos!$C$190*R289*(1-$C$340)*(1-1/$C$281),0),R289-S342-S289)</f>
        <v>15.8918619379462</v>
      </c>
      <c r="T290" s="1" t="n">
        <f aca="false">MAX(S289*(1-$C$340)/$C$281+IF(AND(01_Supuestos!$C$189&gt;0,T$39=01_Supuestos!$C$189),01_Supuestos!$C$190*S289*(1-$C$340)*(1-1/$C$281),0),S289-T342-T289)</f>
        <v>16.2735086280792</v>
      </c>
      <c r="U290" s="1" t="n">
        <f aca="false">MAX(T289*(1-$C$340)/$C$281+IF(AND(01_Supuestos!$C$189&gt;0,U$39=01_Supuestos!$C$189),01_Supuestos!$C$190*T289*(1-$C$340)*(1-1/$C$281),0),T289-U342-U289)</f>
        <v>16.6662556582823</v>
      </c>
      <c r="V290" s="1" t="n">
        <f aca="false">MAX(U289*(1-$C$340)/$C$281+IF(AND(01_Supuestos!$C$189&gt;0,V$39=01_Supuestos!$C$189),01_Supuestos!$C$190*U289*(1-$C$340)*(1-1/$C$281),0),U289-V342-V289)</f>
        <v>17.0702295160727</v>
      </c>
      <c r="W290" s="1" t="n">
        <f aca="false">MAX(V289*(1-$C$340)/$C$281+IF(AND(01_Supuestos!$C$189&gt;0,W$39=01_Supuestos!$C$189),01_Supuestos!$C$190*V289*(1-$C$340)*(1-1/$C$281),0),V289-W342-W289)</f>
        <v>17.4855629397873</v>
      </c>
      <c r="X290" s="1" t="n">
        <f aca="false">MAX(W289*(1-$C$340)/$C$281+IF(AND(01_Supuestos!$C$189&gt;0,X$39=01_Supuestos!$C$189),01_Supuestos!$C$190*W289*(1-$C$340)*(1-1/$C$281),0),W289-X342-X289)</f>
        <v>17.9136301154194</v>
      </c>
      <c r="Y290" s="1" t="n">
        <f aca="false">MAX(X289*(1-$C$340)/$C$281+IF(AND(01_Supuestos!$C$189&gt;0,Y$39=01_Supuestos!$C$189),01_Supuestos!$C$190*X289*(1-$C$340)*(1-1/$C$281),0),X289-Y342-Y289)</f>
        <v>18.3452800807954</v>
      </c>
      <c r="Z290" s="1" t="n">
        <f aca="false">MAX(Y289*(1-$C$340)/$C$281+IF(AND(01_Supuestos!$C$189&gt;0,Z$39=01_Supuestos!$C$189),01_Supuestos!$C$190*Y289*(1-$C$340)*(1-1/$C$281),0),Y289-Z342-Z289)</f>
        <v>18.6033636024283</v>
      </c>
      <c r="AA290" s="1" t="n">
        <f aca="false">MAX(Z289*(1-$C$340)/$C$281+IF(AND(01_Supuestos!$C$189&gt;0,AA$39=01_Supuestos!$C$189),01_Supuestos!$C$190*Z289*(1-$C$340)*(1-1/$C$281),0),Z289-AA342-AA289)</f>
        <v>18.851647230697</v>
      </c>
      <c r="AB290" s="1" t="n">
        <f aca="false">MAX(AA289*(1-$C$340)/$C$281+IF(AND(01_Supuestos!$C$189&gt;0,AB$39=01_Supuestos!$C$189),01_Supuestos!$C$190*AA289*(1-$C$340)*(1-1/$C$281),0),AA289-AB342-AB289)</f>
        <v>19.0911043541001</v>
      </c>
      <c r="AC290" s="1" t="n">
        <f aca="false">MAX(AB289*(1-$C$340)/$C$281+IF(AND(01_Supuestos!$C$189&gt;0,AC$39=01_Supuestos!$C$189),01_Supuestos!$C$190*AB289*(1-$C$340)*(1-1/$C$281),0),AB289-AC342-AC289)</f>
        <v>19.3219767379906</v>
      </c>
      <c r="AD290" s="1" t="n">
        <f aca="false">MAX(AC289*(1-$C$340)/$C$281+IF(AND(01_Supuestos!$C$189&gt;0,AD$39=01_Supuestos!$C$189),01_Supuestos!$C$190*AC289*(1-$C$340)*(1-1/$C$281),0),AC289-AD342-AD289)</f>
        <v>19.5470555569178</v>
      </c>
      <c r="AE290" s="1" t="n">
        <f aca="false">MAX(AD289*(1-$C$340)/$C$281+IF(AND(01_Supuestos!$C$189&gt;0,AE$39=01_Supuestos!$C$189),01_Supuestos!$C$190*AD289*(1-$C$340)*(1-1/$C$281),0),AD289-AE342-AE289)</f>
        <v>19.766769430958</v>
      </c>
      <c r="AF290" s="1" t="n">
        <f aca="false">MAX(AE289*(1-$C$340)/$C$281+IF(AND(01_Supuestos!$C$189&gt;0,AF$39=01_Supuestos!$C$189),01_Supuestos!$C$190*AE289*(1-$C$340)*(1-1/$C$281),0),AE289-AF342-AF289)</f>
        <v>19.9811066978211</v>
      </c>
    </row>
    <row r="291" customFormat="false" ht="14.25" hidden="false" customHeight="true" outlineLevel="0" collapsed="false">
      <c r="B291" s="84" t="s">
        <v>1281</v>
      </c>
      <c r="C291" s="1" t="n">
        <f aca="false">C289-0+C290</f>
        <v>3.04655018721076</v>
      </c>
      <c r="D291" s="1" t="n">
        <f aca="false">D289-C289+D290+D342</f>
        <v>5.31006285195778</v>
      </c>
      <c r="E291" s="1" t="n">
        <f aca="false">E289-D289+E290+E342</f>
        <v>6.74516101940753</v>
      </c>
      <c r="F291" s="1" t="n">
        <f aca="false">F289-E289+F290+F342</f>
        <v>0.486789628117453</v>
      </c>
      <c r="G291" s="1" t="n">
        <f aca="false">G289-F289+G290+G342</f>
        <v>9.19146689285368</v>
      </c>
      <c r="H291" s="1" t="n">
        <f aca="false">H289-G289+H290+H342</f>
        <v>10.8210909850074</v>
      </c>
      <c r="I291" s="1" t="n">
        <f aca="false">I289-H289+I290+I342</f>
        <v>12.4922586321038</v>
      </c>
      <c r="J291" s="1" t="n">
        <f aca="false">J289-I289+J290+J342</f>
        <v>14.2059353635949</v>
      </c>
      <c r="K291" s="1" t="n">
        <f aca="false">K289-J289+K290+K342</f>
        <v>15.9631084147256</v>
      </c>
      <c r="L291" s="1" t="n">
        <f aca="false">L289-K289+L290+L342</f>
        <v>15.5673541446613</v>
      </c>
      <c r="M291" s="1" t="n">
        <f aca="false">M289-L289+M290+M342</f>
        <v>22.6325469483426</v>
      </c>
      <c r="N291" s="1" t="n">
        <f aca="false">N289-M289+N290+N342</f>
        <v>21.9759610956614</v>
      </c>
      <c r="O291" s="1" t="n">
        <f aca="false">O289-N289+O290+O342</f>
        <v>16.8296782944706</v>
      </c>
      <c r="P291" s="1" t="n">
        <f aca="false">P289-O289+P290+P342</f>
        <v>17.3285487460112</v>
      </c>
      <c r="Q291" s="1" t="n">
        <f aca="false">Q289-P289+Q290+Q342</f>
        <v>17.7447068827319</v>
      </c>
      <c r="R291" s="1" t="n">
        <f aca="false">R289-Q289+R290+R342</f>
        <v>18.1771394723946</v>
      </c>
      <c r="S291" s="1" t="n">
        <f aca="false">S289-R289+S290+S342</f>
        <v>18.6219897637667</v>
      </c>
      <c r="T291" s="1" t="n">
        <f aca="false">T289-S289+T290+T342</f>
        <v>19.0789738628463</v>
      </c>
      <c r="U291" s="1" t="n">
        <f aca="false">U289-T289+U290+U342</f>
        <v>19.5482577510767</v>
      </c>
      <c r="V291" s="1" t="n">
        <f aca="false">V289-U289+V290+V342</f>
        <v>20.0300058740287</v>
      </c>
      <c r="W291" s="1" t="n">
        <f aca="false">W289-V289+W290+W342</f>
        <v>20.5306276116557</v>
      </c>
      <c r="X291" s="1" t="n">
        <f aca="false">X289-W289+X290+X342</f>
        <v>20.9984092393095</v>
      </c>
      <c r="Y291" s="1" t="n">
        <f aca="false">Y289-X289+Y290+Y342</f>
        <v>20.5752615072641</v>
      </c>
      <c r="Z291" s="1" t="n">
        <f aca="false">Z289-Y289+Z290+Z342</f>
        <v>20.7968851392618</v>
      </c>
      <c r="AA291" s="1" t="n">
        <f aca="false">AA289-Z289+AA290+AA342</f>
        <v>21.0131300373133</v>
      </c>
      <c r="AB291" s="1" t="n">
        <f aca="false">AB289-AA289+AB290+AB342</f>
        <v>21.2213236845625</v>
      </c>
      <c r="AC291" s="1" t="n">
        <f aca="false">AC289-AB289+AC290+AC342</f>
        <v>21.4345958607539</v>
      </c>
      <c r="AD291" s="1" t="n">
        <f aca="false">AD289-AC289+AD290+AD342</f>
        <v>21.6439466155507</v>
      </c>
      <c r="AE291" s="1" t="n">
        <f aca="false">AE289-AD289+AE290+AE342</f>
        <v>21.8476025681939</v>
      </c>
      <c r="AF291" s="1" t="n">
        <f aca="false">AF289-AE289+AF290+AF342</f>
        <v>22.0455529122125</v>
      </c>
    </row>
    <row r="292" customFormat="false" ht="14.25" hidden="false" customHeight="true" outlineLevel="0" collapsed="false">
      <c r="B292" s="84" t="s">
        <v>1282</v>
      </c>
      <c r="C292" s="1" t="n">
        <f aca="false">C289*(1-$C$340)*$C$175</f>
        <v>0.129691641469562</v>
      </c>
      <c r="D292" s="1" t="n">
        <f aca="false">D289*(1-$C$340)*$C$175</f>
        <v>0.328765155651736</v>
      </c>
      <c r="E292" s="1" t="n">
        <f aca="false">E289*(1-$C$340)*$C$175</f>
        <v>0.547523507872353</v>
      </c>
      <c r="F292" s="1" t="n">
        <f aca="false">F289*(1-$C$340)*$C$175</f>
        <v>0.454361252703864</v>
      </c>
      <c r="G292" s="1" t="n">
        <f aca="false">G289*(1-$C$340)*$C$175</f>
        <v>0.751134857770241</v>
      </c>
      <c r="H292" s="1" t="n">
        <f aca="false">H289*(1-$C$340)*$C$175</f>
        <v>1.05555265058579</v>
      </c>
      <c r="I292" s="1" t="n">
        <f aca="false">I289*(1-$C$340)*$C$175</f>
        <v>1.36779314923261</v>
      </c>
      <c r="J292" s="1" t="n">
        <f aca="false">J289*(1-$C$340)*$C$175</f>
        <v>1.68803884262046</v>
      </c>
      <c r="K292" s="1" t="n">
        <f aca="false">K289*(1-$C$340)*$C$175</f>
        <v>2.01647628857027</v>
      </c>
      <c r="L292" s="1" t="n">
        <f aca="false">L289*(1-$C$340)*$C$175</f>
        <v>2.25975148648589</v>
      </c>
      <c r="M292" s="1" t="n">
        <f aca="false">M289*(1-$C$340)*$C$175</f>
        <v>2.75319070088777</v>
      </c>
      <c r="N292" s="1" t="n">
        <f aca="false">N289*(1-$C$340)*$C$175</f>
        <v>3.11604369894542</v>
      </c>
      <c r="O292" s="1" t="n">
        <f aca="false">O289*(1-$C$340)*$C$175</f>
        <v>3.18434601456038</v>
      </c>
      <c r="P292" s="1" t="n">
        <f aca="false">P289*(1-$C$340)*$C$175</f>
        <v>3.25967836364952</v>
      </c>
      <c r="Q292" s="1" t="n">
        <f aca="false">Q289*(1-$C$340)*$C$175</f>
        <v>3.33705743600832</v>
      </c>
      <c r="R292" s="1" t="n">
        <f aca="false">R289*(1-$C$340)*$C$175</f>
        <v>3.41675031665843</v>
      </c>
      <c r="S292" s="1" t="n">
        <f aca="false">S289*(1-$C$340)*$C$175</f>
        <v>3.49880435503702</v>
      </c>
      <c r="T292" s="1" t="n">
        <f aca="false">T289*(1-$C$340)*$C$175</f>
        <v>3.58324496653069</v>
      </c>
      <c r="U292" s="1" t="n">
        <f aca="false">U289*(1-$C$340)*$C$175</f>
        <v>3.67009934595564</v>
      </c>
      <c r="V292" s="1" t="n">
        <f aca="false">V289*(1-$C$340)*$C$175</f>
        <v>3.75939603205427</v>
      </c>
      <c r="W292" s="1" t="n">
        <f aca="false">W289*(1-$C$340)*$C$175</f>
        <v>3.85143047481516</v>
      </c>
      <c r="X292" s="1" t="n">
        <f aca="false">X289*(1-$C$340)*$C$175</f>
        <v>3.94423521737102</v>
      </c>
      <c r="Y292" s="1" t="n">
        <f aca="false">Y289*(1-$C$340)*$C$175</f>
        <v>3.99972317452208</v>
      </c>
      <c r="Z292" s="1" t="n">
        <f aca="false">Z289*(1-$C$340)*$C$175</f>
        <v>4.05310415459986</v>
      </c>
      <c r="AA292" s="1" t="n">
        <f aca="false">AA289*(1-$C$340)*$C$175</f>
        <v>4.10458743613152</v>
      </c>
      <c r="AB292" s="1" t="n">
        <f aca="false">AB289*(1-$C$340)*$C$175</f>
        <v>4.15422499866798</v>
      </c>
      <c r="AC292" s="1" t="n">
        <f aca="false">AC289*(1-$C$340)*$C$175</f>
        <v>4.20261694473734</v>
      </c>
      <c r="AD292" s="1" t="n">
        <f aca="false">AD289*(1-$C$340)*$C$175</f>
        <v>4.24985542765596</v>
      </c>
      <c r="AE292" s="1" t="n">
        <f aca="false">AE289*(1-$C$340)*$C$175</f>
        <v>4.29593794003154</v>
      </c>
      <c r="AF292" s="1" t="n">
        <f aca="false">AF289*(1-$C$340)*$C$175</f>
        <v>4.34086203597786</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32.7283871805361</v>
      </c>
      <c r="G294" s="116" t="n">
        <f aca="false">G85</f>
        <v>34.2346905763938</v>
      </c>
      <c r="H294" s="116" t="n">
        <f aca="false">H85</f>
        <v>35.7424929420516</v>
      </c>
      <c r="I294" s="116" t="n">
        <f aca="false">I85</f>
        <v>37.2517193290193</v>
      </c>
      <c r="J294" s="116" t="n">
        <f aca="false">J85</f>
        <v>38.7622985362316</v>
      </c>
      <c r="K294" s="116" t="n">
        <f aca="false">K85</f>
        <v>40.2741629226761</v>
      </c>
      <c r="L294" s="116" t="n">
        <f aca="false">L85</f>
        <v>41.7872482293912</v>
      </c>
      <c r="M294" s="116" t="n">
        <f aca="false">M85</f>
        <v>33.429798583513</v>
      </c>
      <c r="N294" s="116" t="n">
        <f aca="false">N85</f>
        <v>27.7762758454604</v>
      </c>
      <c r="O294" s="116" t="n">
        <f aca="false">O85</f>
        <v>28.5514852991694</v>
      </c>
      <c r="P294" s="116" t="n">
        <f aca="false">P85</f>
        <v>29.1234250338493</v>
      </c>
      <c r="Q294" s="116" t="n">
        <f aca="false">Q85</f>
        <v>29.6957987826597</v>
      </c>
      <c r="R294" s="116" t="n">
        <f aca="false">R85</f>
        <v>30.2597058337161</v>
      </c>
      <c r="S294" s="116" t="n">
        <f aca="false">S85</f>
        <v>30.8151891204844</v>
      </c>
      <c r="T294" s="116" t="n">
        <f aca="false">T85</f>
        <v>31.3632250275764</v>
      </c>
      <c r="U294" s="116" t="n">
        <f aca="false">U85</f>
        <v>31.9047640024967</v>
      </c>
      <c r="V294" s="116" t="n">
        <f aca="false">V85</f>
        <v>32.4407492551108</v>
      </c>
      <c r="W294" s="116" t="n">
        <f aca="false">W85</f>
        <v>32.9613620364199</v>
      </c>
      <c r="X294" s="116" t="n">
        <f aca="false">X85</f>
        <v>33.4675717437627</v>
      </c>
      <c r="Y294" s="116" t="n">
        <f aca="false">Y85</f>
        <v>33.9600926868494</v>
      </c>
      <c r="Z294" s="116" t="n">
        <f aca="false">Z85</f>
        <v>34.4347930520772</v>
      </c>
      <c r="AA294" s="116" t="n">
        <f aca="false">AA85</f>
        <v>34.8931676152172</v>
      </c>
      <c r="AB294" s="116" t="n">
        <f aca="false">AB85</f>
        <v>35.3356652593841</v>
      </c>
      <c r="AC294" s="116" t="n">
        <f aca="false">AC85</f>
        <v>35.7674582339595</v>
      </c>
      <c r="AD294" s="116" t="n">
        <f aca="false">AD85</f>
        <v>36.1893416798835</v>
      </c>
      <c r="AE294" s="116" t="n">
        <f aca="false">AE85</f>
        <v>36.6012950560529</v>
      </c>
      <c r="AF294" s="116" t="n">
        <f aca="false">AF85</f>
        <v>37.0032983890038</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3.27283871805361</v>
      </c>
      <c r="H295" s="1" t="n">
        <f aca="false">MAX(G294/$C$282,G294-H294)</f>
        <v>3.42346905763938</v>
      </c>
      <c r="I295" s="1" t="n">
        <f aca="false">MAX(H294/$C$282,H294-I294)</f>
        <v>3.57424929420516</v>
      </c>
      <c r="J295" s="1" t="n">
        <f aca="false">MAX(I294/$C$282,I294-J294)</f>
        <v>3.72517193290193</v>
      </c>
      <c r="K295" s="1" t="n">
        <f aca="false">MAX(J294/$C$282,J294-K294)</f>
        <v>3.87622985362315</v>
      </c>
      <c r="L295" s="1" t="n">
        <f aca="false">MAX(K294/$C$282,K294-L294)</f>
        <v>4.02741629226761</v>
      </c>
      <c r="M295" s="1" t="n">
        <f aca="false">MAX(L294/$C$282,L294-M294)</f>
        <v>8.35744964587825</v>
      </c>
      <c r="N295" s="1" t="n">
        <f aca="false">MAX(M294/$C$282,M294-N294)</f>
        <v>5.65352273805261</v>
      </c>
      <c r="O295" s="1" t="n">
        <f aca="false">MAX(N294/$C$282,N294-O294)</f>
        <v>2.77762758454604</v>
      </c>
      <c r="P295" s="1" t="n">
        <f aca="false">MAX(O294/$C$282,O294-P294)</f>
        <v>2.85514852991694</v>
      </c>
      <c r="Q295" s="1" t="n">
        <f aca="false">MAX(P294/$C$282,P294-Q294)</f>
        <v>2.91234250338493</v>
      </c>
      <c r="R295" s="1" t="n">
        <f aca="false">MAX(Q294/$C$282,Q294-R294)</f>
        <v>2.96957987826597</v>
      </c>
      <c r="S295" s="1" t="n">
        <f aca="false">MAX(R294/$C$282,R294-S294)</f>
        <v>3.02597058337161</v>
      </c>
      <c r="T295" s="1" t="n">
        <f aca="false">MAX(S294/$C$282,S294-T294)</f>
        <v>3.08151891204844</v>
      </c>
      <c r="U295" s="1" t="n">
        <f aca="false">MAX(T294/$C$282,T294-U294)</f>
        <v>3.13632250275764</v>
      </c>
      <c r="V295" s="1" t="n">
        <f aca="false">MAX(U294/$C$282,U294-V294)</f>
        <v>3.19047640024967</v>
      </c>
      <c r="W295" s="1" t="n">
        <f aca="false">MAX(V294/$C$282,V294-W294)</f>
        <v>3.24407492551108</v>
      </c>
      <c r="X295" s="1" t="n">
        <f aca="false">MAX(W294/$C$282,W294-X294)</f>
        <v>3.29613620364199</v>
      </c>
      <c r="Y295" s="1" t="n">
        <f aca="false">MAX(X294/$C$282,X294-Y294)</f>
        <v>3.34675717437627</v>
      </c>
      <c r="Z295" s="1" t="n">
        <f aca="false">MAX(Y294/$C$282,Y294-Z294)</f>
        <v>3.39600926868494</v>
      </c>
      <c r="AA295" s="1" t="n">
        <f aca="false">MAX(Z294/$C$282,Z294-AA294)</f>
        <v>3.44347930520772</v>
      </c>
      <c r="AB295" s="1" t="n">
        <f aca="false">MAX(AA294/$C$282,AA294-AB294)</f>
        <v>3.48931676152172</v>
      </c>
      <c r="AC295" s="1" t="n">
        <f aca="false">MAX(AB294/$C$282,AB294-AC294)</f>
        <v>3.53356652593841</v>
      </c>
      <c r="AD295" s="1" t="n">
        <f aca="false">MAX(AC294/$C$282,AC294-AD294)</f>
        <v>3.57674582339595</v>
      </c>
      <c r="AE295" s="1" t="n">
        <f aca="false">MAX(AD294/$C$282,AD294-AE294)</f>
        <v>3.61893416798835</v>
      </c>
      <c r="AF295" s="1" t="n">
        <f aca="false">MAX(AE294/$C$282,AE294-AF294)</f>
        <v>3.66012950560529</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18.5684169133116</v>
      </c>
      <c r="G296" s="1" t="n">
        <f aca="false">G294-F294+G295</f>
        <v>4.77914211391135</v>
      </c>
      <c r="H296" s="1" t="n">
        <f aca="false">H294-G294+H295</f>
        <v>4.93127142329713</v>
      </c>
      <c r="I296" s="1" t="n">
        <f aca="false">I294-H294+I295</f>
        <v>5.0834756811729</v>
      </c>
      <c r="J296" s="1" t="n">
        <f aca="false">J294-I294+J295</f>
        <v>5.23575114011417</v>
      </c>
      <c r="K296" s="1" t="n">
        <f aca="false">K294-J294+K295</f>
        <v>5.38809424006767</v>
      </c>
      <c r="L296" s="1" t="n">
        <f aca="false">L294-K294+L295</f>
        <v>5.54050159898278</v>
      </c>
      <c r="M296" s="1" t="n">
        <f aca="false">M294-L294+M295</f>
        <v>0</v>
      </c>
      <c r="N296" s="1" t="n">
        <f aca="false">N294-M294+N295</f>
        <v>0</v>
      </c>
      <c r="O296" s="1" t="n">
        <f aca="false">O294-N294+O295</f>
        <v>3.55283703825505</v>
      </c>
      <c r="P296" s="1" t="n">
        <f aca="false">P294-O294+P295</f>
        <v>3.42708826459681</v>
      </c>
      <c r="Q296" s="1" t="n">
        <f aca="false">Q294-P294+Q295</f>
        <v>3.48471625219534</v>
      </c>
      <c r="R296" s="1" t="n">
        <f aca="false">R294-Q294+R295</f>
        <v>3.53348692932236</v>
      </c>
      <c r="S296" s="1" t="n">
        <f aca="false">S294-R294+S295</f>
        <v>3.58145387013989</v>
      </c>
      <c r="T296" s="1" t="n">
        <f aca="false">T294-S294+T295</f>
        <v>3.62955481914043</v>
      </c>
      <c r="U296" s="1" t="n">
        <f aca="false">U294-T294+U295</f>
        <v>3.67786147767801</v>
      </c>
      <c r="V296" s="1" t="n">
        <f aca="false">V294-U294+V295</f>
        <v>3.72646165286377</v>
      </c>
      <c r="W296" s="1" t="n">
        <f aca="false">W294-V294+W295</f>
        <v>3.76468770682014</v>
      </c>
      <c r="X296" s="1" t="n">
        <f aca="false">X294-W294+X295</f>
        <v>3.80234591098479</v>
      </c>
      <c r="Y296" s="1" t="n">
        <f aca="false">Y294-X294+Y295</f>
        <v>3.83927811746295</v>
      </c>
      <c r="Z296" s="1" t="n">
        <f aca="false">Z294-Y294+Z295</f>
        <v>3.87070963391273</v>
      </c>
      <c r="AA296" s="1" t="n">
        <f aca="false">AA294-Z294+AA295</f>
        <v>3.90185386834773</v>
      </c>
      <c r="AB296" s="1" t="n">
        <f aca="false">AB294-AA294+AB295</f>
        <v>3.93181440568862</v>
      </c>
      <c r="AC296" s="1" t="n">
        <f aca="false">AC294-AB294+AC295</f>
        <v>3.9653595005138</v>
      </c>
      <c r="AD296" s="1" t="n">
        <f aca="false">AD294-AC294+AD295</f>
        <v>3.99862926931993</v>
      </c>
      <c r="AE296" s="1" t="n">
        <f aca="false">AE294-AD294+AE295</f>
        <v>4.03088754415775</v>
      </c>
      <c r="AF296" s="1" t="n">
        <f aca="false">AF294-AE294+AF295</f>
        <v>4.0621328385562</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1.30913548722144</v>
      </c>
      <c r="G297" s="1" t="n">
        <f aca="false">G294*01_Supuestos!$I$126</f>
        <v>1.36938762305575</v>
      </c>
      <c r="H297" s="1" t="n">
        <f aca="false">H294*01_Supuestos!$I$126</f>
        <v>1.42969971768206</v>
      </c>
      <c r="I297" s="1" t="n">
        <f aca="false">I294*01_Supuestos!$I$126</f>
        <v>1.49006877316077</v>
      </c>
      <c r="J297" s="1" t="n">
        <f aca="false">J294*01_Supuestos!$I$126</f>
        <v>1.55049194144926</v>
      </c>
      <c r="K297" s="1" t="n">
        <f aca="false">K294*01_Supuestos!$I$126</f>
        <v>1.61096651690704</v>
      </c>
      <c r="L297" s="1" t="n">
        <f aca="false">L294*01_Supuestos!$I$126</f>
        <v>1.67148992917565</v>
      </c>
      <c r="M297" s="1" t="n">
        <f aca="false">M294*01_Supuestos!$I$126</f>
        <v>1.33719194334052</v>
      </c>
      <c r="N297" s="1" t="n">
        <f aca="false">N294*01_Supuestos!$I$126</f>
        <v>1.11105103381842</v>
      </c>
      <c r="O297" s="1" t="n">
        <f aca="false">O294*01_Supuestos!$I$126</f>
        <v>1.14205941196678</v>
      </c>
      <c r="P297" s="1" t="n">
        <f aca="false">P294*01_Supuestos!$I$126</f>
        <v>1.16493700135397</v>
      </c>
      <c r="Q297" s="1" t="n">
        <f aca="false">Q294*01_Supuestos!$I$126</f>
        <v>1.18783195130639</v>
      </c>
      <c r="R297" s="1" t="n">
        <f aca="false">R294*01_Supuestos!$I$126</f>
        <v>1.21038823334864</v>
      </c>
      <c r="S297" s="1" t="n">
        <f aca="false">S294*01_Supuestos!$I$126</f>
        <v>1.23260756481937</v>
      </c>
      <c r="T297" s="1" t="n">
        <f aca="false">T294*01_Supuestos!$I$126</f>
        <v>1.25452900110305</v>
      </c>
      <c r="U297" s="1" t="n">
        <f aca="false">U294*01_Supuestos!$I$126</f>
        <v>1.27619056009987</v>
      </c>
      <c r="V297" s="1" t="n">
        <f aca="false">V294*01_Supuestos!$I$126</f>
        <v>1.29762997020443</v>
      </c>
      <c r="W297" s="1" t="n">
        <f aca="false">W294*01_Supuestos!$I$126</f>
        <v>1.3184544814568</v>
      </c>
      <c r="X297" s="1" t="n">
        <f aca="false">X294*01_Supuestos!$I$126</f>
        <v>1.33870286975051</v>
      </c>
      <c r="Y297" s="1" t="n">
        <f aca="false">Y294*01_Supuestos!$I$126</f>
        <v>1.35840370747397</v>
      </c>
      <c r="Z297" s="1" t="n">
        <f aca="false">Z294*01_Supuestos!$I$126</f>
        <v>1.37739172208309</v>
      </c>
      <c r="AA297" s="1" t="n">
        <f aca="false">AA294*01_Supuestos!$I$126</f>
        <v>1.39572670460869</v>
      </c>
      <c r="AB297" s="1" t="n">
        <f aca="false">AB294*01_Supuestos!$I$126</f>
        <v>1.41342661037536</v>
      </c>
      <c r="AC297" s="1" t="n">
        <f aca="false">AC294*01_Supuestos!$I$126</f>
        <v>1.43069832935838</v>
      </c>
      <c r="AD297" s="1" t="n">
        <f aca="false">AD294*01_Supuestos!$I$126</f>
        <v>1.44757366719534</v>
      </c>
      <c r="AE297" s="1" t="n">
        <f aca="false">AE294*01_Supuestos!$I$126</f>
        <v>1.46405180224211</v>
      </c>
      <c r="AF297" s="1" t="n">
        <f aca="false">AF294*01_Supuestos!$I$126</f>
        <v>1.48013193556015</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7.0163154305442</v>
      </c>
      <c r="M298" s="116" t="n">
        <f aca="false">M86</f>
        <v>7.62828659232739</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10.1691580138266</v>
      </c>
      <c r="Y298" s="116" t="n">
        <f aca="false">Y86</f>
        <v>10.3133607612358</v>
      </c>
      <c r="Z298" s="116" t="n">
        <f aca="false">Z86</f>
        <v>10.4521342576388</v>
      </c>
      <c r="AA298" s="116" t="n">
        <f aca="false">AA86</f>
        <v>10.5860032828428</v>
      </c>
      <c r="AB298" s="116" t="n">
        <f aca="false">AB86</f>
        <v>10.7151022641929</v>
      </c>
      <c r="AC298" s="116" t="n">
        <f aca="false">AC86</f>
        <v>10.8409826305275</v>
      </c>
      <c r="AD298" s="116" t="n">
        <f aca="false">AD86</f>
        <v>10.9638826694696</v>
      </c>
      <c r="AE298" s="116" t="n">
        <f aca="false">AE86</f>
        <v>11.0837959550396</v>
      </c>
      <c r="AF298" s="116" t="n">
        <f aca="false">AF86</f>
        <v>11.2007162222431</v>
      </c>
    </row>
    <row r="299" customFormat="false" ht="14.25" hidden="false" customHeight="true" outlineLevel="0" collapsed="false">
      <c r="B299" s="144" t="s">
        <v>1291</v>
      </c>
      <c r="C299" s="1" t="n">
        <f aca="false">C286+C291+C296</f>
        <v>12.35</v>
      </c>
      <c r="D299" s="1" t="n">
        <f aca="false">D286+D291+D296</f>
        <v>14.1087294569697</v>
      </c>
      <c r="E299" s="1" t="n">
        <f aca="false">E286+E291+E296</f>
        <v>16.0306197418766</v>
      </c>
      <c r="F299" s="1" t="n">
        <f aca="false">F286+F291+F296</f>
        <v>19.055206541429</v>
      </c>
      <c r="G299" s="1" t="n">
        <f aca="false">G286+G291+G296</f>
        <v>19.4787538810471</v>
      </c>
      <c r="H299" s="1" t="n">
        <f aca="false">H286+H291+H296</f>
        <v>21.6909112114203</v>
      </c>
      <c r="I299" s="1" t="n">
        <f aca="false">I286+I291+I296</f>
        <v>23.955460612751</v>
      </c>
      <c r="J299" s="1" t="n">
        <f aca="false">J286+J291+J296</f>
        <v>26.2736120957247</v>
      </c>
      <c r="K299" s="1" t="n">
        <f aca="false">K286+K291+K296</f>
        <v>28.6466032516199</v>
      </c>
      <c r="L299" s="1" t="n">
        <f aca="false">L286+L291+L296</f>
        <v>27.2870221298773</v>
      </c>
      <c r="M299" s="1" t="n">
        <f aca="false">M286+M291+M296</f>
        <v>33.3133590669656</v>
      </c>
      <c r="N299" s="1" t="n">
        <f aca="false">N286+N291+N296</f>
        <v>30.9348561731159</v>
      </c>
      <c r="O299" s="1" t="n">
        <f aca="false">O286+O291+O296</f>
        <v>24.6982024604151</v>
      </c>
      <c r="P299" s="1" t="n">
        <f aca="false">P286+P291+P296</f>
        <v>25.2600392333691</v>
      </c>
      <c r="Q299" s="1" t="n">
        <f aca="false">Q286+Q291+Q296</f>
        <v>25.8448870239496</v>
      </c>
      <c r="R299" s="1" t="n">
        <f aca="false">R286+R291+R296</f>
        <v>26.443766754681</v>
      </c>
      <c r="S299" s="1" t="n">
        <f aca="false">S286+S291+S296</f>
        <v>27.0574077551635</v>
      </c>
      <c r="T299" s="1" t="n">
        <f aca="false">T286+T291+T296</f>
        <v>27.6861386898324</v>
      </c>
      <c r="U299" s="1" t="n">
        <f aca="false">U286+U291+U296</f>
        <v>28.330253234088</v>
      </c>
      <c r="V299" s="1" t="n">
        <f aca="false">V286+V291+V296</f>
        <v>28.9900540260806</v>
      </c>
      <c r="W299" s="1" t="n">
        <f aca="false">W286+W291+W296</f>
        <v>29.6658519923766</v>
      </c>
      <c r="X299" s="1" t="n">
        <f aca="false">X286+X291+X296</f>
        <v>30.2775454850406</v>
      </c>
      <c r="Y299" s="1" t="n">
        <f aca="false">Y286+Y291+Y296</f>
        <v>29.3504820516242</v>
      </c>
      <c r="Z299" s="1" t="n">
        <f aca="false">Z286+Z291+Z296</f>
        <v>29.6238572278729</v>
      </c>
      <c r="AA299" s="1" t="n">
        <f aca="false">AA286+AA291+AA296</f>
        <v>29.892993798768</v>
      </c>
      <c r="AB299" s="1" t="n">
        <f aca="false">AB286+AB291+AB296</f>
        <v>30.1518589108971</v>
      </c>
      <c r="AC299" s="1" t="n">
        <f aca="false">AC286+AC291+AC296</f>
        <v>30.4277270665256</v>
      </c>
      <c r="AD299" s="1" t="n">
        <f aca="false">AD286+AD291+AD296</f>
        <v>30.6997053298744</v>
      </c>
      <c r="AE299" s="1" t="n">
        <f aca="false">AE286+AE291+AE296</f>
        <v>30.96376719492</v>
      </c>
      <c r="AF299" s="1" t="n">
        <f aca="false">AF286+AF291+AF296</f>
        <v>31.2198988771749</v>
      </c>
    </row>
    <row r="300" customFormat="false" ht="14.25" hidden="false" customHeight="true" outlineLevel="0" collapsed="false">
      <c r="B300" s="144" t="s">
        <v>1292</v>
      </c>
      <c r="C300" s="1" t="n">
        <f aca="false">C285+C290+C295</f>
        <v>0</v>
      </c>
      <c r="D300" s="1" t="n">
        <f aca="false">D285+D290+D295</f>
        <v>1.422152729604</v>
      </c>
      <c r="E300" s="1" t="n">
        <f aca="false">E285+E290+E295</f>
        <v>2.9728326160106</v>
      </c>
      <c r="F300" s="1" t="n">
        <f aca="false">F285+F290+F295</f>
        <v>5.61155300044821</v>
      </c>
      <c r="G300" s="1" t="n">
        <f aca="false">G285+G290+G295</f>
        <v>5.76872851839159</v>
      </c>
      <c r="H300" s="1" t="n">
        <f aca="false">H285+H290+H295</f>
        <v>7.54959077033076</v>
      </c>
      <c r="I300" s="1" t="n">
        <f aca="false">I285+I290+I295</f>
        <v>9.37259384634043</v>
      </c>
      <c r="J300" s="1" t="n">
        <f aca="false">J285+J290+J295</f>
        <v>11.2387108841797</v>
      </c>
      <c r="K300" s="1" t="n">
        <f aca="false">K285+K290+K295</f>
        <v>13.1489372088358</v>
      </c>
      <c r="L300" s="1" t="n">
        <f aca="false">L285+L290+L295</f>
        <v>15.1042908525774</v>
      </c>
      <c r="M300" s="1" t="n">
        <f aca="false">M285+M290+M295</f>
        <v>20.7706795435754</v>
      </c>
      <c r="N300" s="1" t="n">
        <f aca="false">N285+N290+N295</f>
        <v>20.7773048560007</v>
      </c>
      <c r="O300" s="1" t="n">
        <f aca="false">O285+O290+O295</f>
        <v>19.894627855417</v>
      </c>
      <c r="P300" s="1" t="n">
        <f aca="false">P285+P290+P295</f>
        <v>20.3473459635486</v>
      </c>
      <c r="Q300" s="1" t="n">
        <f aca="false">Q285+Q290+Q295</f>
        <v>20.8183543646513</v>
      </c>
      <c r="R300" s="1" t="n">
        <f aca="false">R285+R290+R295</f>
        <v>21.3006491939492</v>
      </c>
      <c r="S300" s="1" t="n">
        <f aca="false">S285+S290+S295</f>
        <v>21.7948075273253</v>
      </c>
      <c r="T300" s="1" t="n">
        <f aca="false">T285+T290+T295</f>
        <v>22.3010937572799</v>
      </c>
      <c r="U300" s="1" t="n">
        <f aca="false">U285+U290+U295</f>
        <v>22.81974513366</v>
      </c>
      <c r="V300" s="1" t="n">
        <f aca="false">V285+V290+V295</f>
        <v>23.3510060873356</v>
      </c>
      <c r="W300" s="1" t="n">
        <f aca="false">W285+W290+W295</f>
        <v>23.8951277078461</v>
      </c>
      <c r="X300" s="1" t="n">
        <f aca="false">X285+X290+X295</f>
        <v>24.4527510813356</v>
      </c>
      <c r="Y300" s="1" t="n">
        <f aca="false">Y285+Y290+Y295</f>
        <v>25.0131655456605</v>
      </c>
      <c r="Z300" s="1" t="n">
        <f aca="false">Z285+Z290+Z295</f>
        <v>25.3672231784493</v>
      </c>
      <c r="AA300" s="1" t="n">
        <f aca="false">AA285+AA290+AA295</f>
        <v>25.707924741462</v>
      </c>
      <c r="AB300" s="1" t="n">
        <f aca="false">AB285+AB290+AB295</f>
        <v>26.0365693176572</v>
      </c>
      <c r="AC300" s="1" t="n">
        <f aca="false">AC285+AC290+AC295</f>
        <v>26.3534873285653</v>
      </c>
      <c r="AD300" s="1" t="n">
        <f aca="false">AD285+AD290+AD295</f>
        <v>26.6624924725144</v>
      </c>
      <c r="AE300" s="1" t="n">
        <f aca="false">AE285+AE290+AE295</f>
        <v>26.9641704786887</v>
      </c>
      <c r="AF300" s="1" t="n">
        <f aca="false">AF285+AF290+AF295</f>
        <v>27.2585055194112</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133.30999318034</v>
      </c>
      <c r="M301" s="1" t="n">
        <f aca="false">M284+M289+M294</f>
        <v>144.93744525422</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193.214002262706</v>
      </c>
      <c r="Y301" s="1" t="n">
        <f aca="false">Y284+Y289+Y294</f>
        <v>195.95385446348</v>
      </c>
      <c r="Z301" s="1" t="n">
        <f aca="false">Z284+Z289+Z294</f>
        <v>198.590550895137</v>
      </c>
      <c r="AA301" s="1" t="n">
        <f aca="false">AA284+AA289+AA294</f>
        <v>201.134062374013</v>
      </c>
      <c r="AB301" s="1" t="n">
        <f aca="false">AB284+AB289+AB294</f>
        <v>203.586943019665</v>
      </c>
      <c r="AC301" s="1" t="n">
        <f aca="false">AC284+AC289+AC294</f>
        <v>205.978669980022</v>
      </c>
      <c r="AD301" s="1" t="n">
        <f aca="false">AD284+AD289+AD294</f>
        <v>208.313770719922</v>
      </c>
      <c r="AE301" s="1" t="n">
        <f aca="false">AE284+AE289+AE294</f>
        <v>210.592123145752</v>
      </c>
      <c r="AF301" s="1" t="n">
        <f aca="false">AF284+AF289+AF294</f>
        <v>212.813608222619</v>
      </c>
    </row>
    <row r="302" customFormat="false" ht="14.25" hidden="false" customHeight="true" outlineLevel="0" collapsed="false">
      <c r="B302" s="144" t="s">
        <v>1294</v>
      </c>
      <c r="C302" s="1" t="n">
        <f aca="false">C287+C292+C297</f>
        <v>0.507499368932986</v>
      </c>
      <c r="D302" s="1" t="n">
        <f aca="false">D287+D292+D297</f>
        <v>1.03358257179757</v>
      </c>
      <c r="E302" s="1" t="n">
        <f aca="false">E287+E292+E297</f>
        <v>1.57333805993243</v>
      </c>
      <c r="F302" s="1" t="n">
        <f aca="false">F287+F292+F297</f>
        <v>2.09251695740052</v>
      </c>
      <c r="G302" s="1" t="n">
        <f aca="false">G287+G292+G297</f>
        <v>2.66444772265962</v>
      </c>
      <c r="H302" s="1" t="n">
        <f aca="false">H287+H292+H297</f>
        <v>3.24961808076102</v>
      </c>
      <c r="I302" s="1" t="n">
        <f aca="false">I287+I292+I297</f>
        <v>3.84833282356182</v>
      </c>
      <c r="J302" s="1" t="n">
        <f aca="false">J287+J292+J297</f>
        <v>4.46090373907074</v>
      </c>
      <c r="K302" s="1" t="n">
        <f aca="false">K287+K292+K297</f>
        <v>5.08764977306268</v>
      </c>
      <c r="L302" s="1" t="n">
        <f aca="false">L287+L292+L297</f>
        <v>5.56761318173753</v>
      </c>
      <c r="M302" s="1" t="n">
        <f aca="false">M287+M292+M297</f>
        <v>6.08407246211253</v>
      </c>
      <c r="N302" s="1" t="n">
        <f aca="false">N287+N292+N297</f>
        <v>6.4835401699312</v>
      </c>
      <c r="O302" s="1" t="n">
        <f aca="false">O287+O292+O297</f>
        <v>6.63231116120881</v>
      </c>
      <c r="P302" s="1" t="n">
        <f aca="false">P287+P292+P297</f>
        <v>6.78507211109452</v>
      </c>
      <c r="Q302" s="1" t="n">
        <f aca="false">Q287+Q292+Q297</f>
        <v>6.941379254769</v>
      </c>
      <c r="R302" s="1" t="n">
        <f aca="false">R287+R292+R297</f>
        <v>7.10133705517352</v>
      </c>
      <c r="S302" s="1" t="n">
        <f aca="false">S287+S292+S297</f>
        <v>7.26502886660735</v>
      </c>
      <c r="T302" s="1" t="n">
        <f aca="false">T287+T292+T297</f>
        <v>7.432537564087</v>
      </c>
      <c r="U302" s="1" t="n">
        <f aca="false">U287+U292+U297</f>
        <v>7.60394805312683</v>
      </c>
      <c r="V302" s="1" t="n">
        <f aca="false">V287+V292+V297</f>
        <v>7.77934726684972</v>
      </c>
      <c r="W302" s="1" t="n">
        <f aca="false">W287+W292+W297</f>
        <v>7.95885185182777</v>
      </c>
      <c r="X302" s="1" t="n">
        <f aca="false">X287+X292+X297</f>
        <v>8.13910841694191</v>
      </c>
      <c r="Y302" s="1" t="n">
        <f aca="false">Y287+Y292+Y297</f>
        <v>8.25447814630514</v>
      </c>
      <c r="Z302" s="1" t="n">
        <f aca="false">Z287+Z292+Z297</f>
        <v>8.36550233346215</v>
      </c>
      <c r="AA302" s="1" t="n">
        <f aca="false">AA287+AA292+AA297</f>
        <v>8.47260159449061</v>
      </c>
      <c r="AB302" s="1" t="n">
        <f aca="false">AB287+AB292+AB297</f>
        <v>8.57588350463051</v>
      </c>
      <c r="AC302" s="1" t="n">
        <f aca="false">AC287+AC292+AC297</f>
        <v>8.67658961338827</v>
      </c>
      <c r="AD302" s="1" t="n">
        <f aca="false">AD287+AD292+AD297</f>
        <v>8.77491061142976</v>
      </c>
      <c r="AE302" s="1" t="n">
        <f aca="false">AE287+AE292+AE297</f>
        <v>8.87084135402063</v>
      </c>
      <c r="AF302" s="1" t="n">
        <f aca="false">AF287+AF292+AF297</f>
        <v>8.96437682517716</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272.736559837801</v>
      </c>
      <c r="G307" s="116" t="n">
        <f aca="false">G81</f>
        <v>285.289088136615</v>
      </c>
      <c r="H307" s="116" t="n">
        <f aca="false">H81</f>
        <v>297.85410785043</v>
      </c>
      <c r="I307" s="116" t="n">
        <f aca="false">I81</f>
        <v>310.430994408494</v>
      </c>
      <c r="J307" s="116" t="n">
        <f aca="false">J81</f>
        <v>323.019154468596</v>
      </c>
      <c r="K307" s="116" t="n">
        <f aca="false">K81</f>
        <v>335.618024355634</v>
      </c>
      <c r="L307" s="116" t="n">
        <f aca="false">L81</f>
        <v>348.22706857826</v>
      </c>
      <c r="M307" s="116" t="n">
        <f aca="false">M81</f>
        <v>359.308856464403</v>
      </c>
      <c r="N307" s="116" t="n">
        <f aca="false">N81</f>
        <v>370.350344606138</v>
      </c>
      <c r="O307" s="116" t="n">
        <f aca="false">O81</f>
        <v>380.686470655592</v>
      </c>
      <c r="P307" s="116" t="n">
        <f aca="false">P81</f>
        <v>388.312333784657</v>
      </c>
      <c r="Q307" s="116" t="n">
        <f aca="false">Q81</f>
        <v>395.943983768796</v>
      </c>
      <c r="R307" s="116" t="n">
        <f aca="false">R81</f>
        <v>403.462744449548</v>
      </c>
      <c r="S307" s="116" t="n">
        <f aca="false">S81</f>
        <v>410.869188273125</v>
      </c>
      <c r="T307" s="116" t="n">
        <f aca="false">T81</f>
        <v>418.176333701018</v>
      </c>
      <c r="U307" s="116" t="n">
        <f aca="false">U81</f>
        <v>425.396853366623</v>
      </c>
      <c r="V307" s="116" t="n">
        <f aca="false">V81</f>
        <v>432.543323401478</v>
      </c>
      <c r="W307" s="116" t="n">
        <f aca="false">W81</f>
        <v>439.484827152265</v>
      </c>
      <c r="X307" s="116" t="n">
        <f aca="false">X81</f>
        <v>446.234289916836</v>
      </c>
      <c r="Y307" s="116" t="n">
        <f aca="false">Y81</f>
        <v>452.801235824658</v>
      </c>
      <c r="Z307" s="116" t="n">
        <f aca="false">Z81</f>
        <v>459.130574027695</v>
      </c>
      <c r="AA307" s="116" t="n">
        <f aca="false">AA81</f>
        <v>465.242234869562</v>
      </c>
      <c r="AB307" s="116" t="n">
        <f aca="false">AB81</f>
        <v>471.142203458454</v>
      </c>
      <c r="AC307" s="116" t="n">
        <f aca="false">AC81</f>
        <v>476.89944311946</v>
      </c>
      <c r="AD307" s="116" t="n">
        <f aca="false">AD81</f>
        <v>482.524555731779</v>
      </c>
      <c r="AE307" s="116" t="n">
        <f aca="false">AE81</f>
        <v>488.017267414038</v>
      </c>
      <c r="AF307" s="116" t="n">
        <f aca="false">AF81</f>
        <v>493.377311853384</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133.30999318034</v>
      </c>
      <c r="M308" s="1" t="n">
        <f aca="false">M301</f>
        <v>144.93744525422</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193.214002262706</v>
      </c>
      <c r="Y308" s="1" t="n">
        <f aca="false">Y301</f>
        <v>195.95385446348</v>
      </c>
      <c r="Z308" s="1" t="n">
        <f aca="false">Z301</f>
        <v>198.590550895137</v>
      </c>
      <c r="AA308" s="1" t="n">
        <f aca="false">AA301</f>
        <v>201.134062374013</v>
      </c>
      <c r="AB308" s="1" t="n">
        <f aca="false">AB301</f>
        <v>203.586943019665</v>
      </c>
      <c r="AC308" s="1" t="n">
        <f aca="false">AC301</f>
        <v>205.978669980022</v>
      </c>
      <c r="AD308" s="1" t="n">
        <f aca="false">AD301</f>
        <v>208.313770719922</v>
      </c>
      <c r="AE308" s="1" t="n">
        <f aca="false">AE301</f>
        <v>210.592123145752</v>
      </c>
      <c r="AF308" s="1" t="n">
        <f aca="false">AF301</f>
        <v>212.813608222619</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221.605976975351</v>
      </c>
      <c r="G309" s="1" t="n">
        <f aca="false">G307-G308</f>
        <v>220.632501868329</v>
      </c>
      <c r="H309" s="1" t="n">
        <f aca="false">H307-H308</f>
        <v>219.360420097973</v>
      </c>
      <c r="I309" s="1" t="n">
        <f aca="false">I307-I308</f>
        <v>217.781951837731</v>
      </c>
      <c r="J309" s="1" t="n">
        <f aca="false">J307-J308</f>
        <v>215.889183918705</v>
      </c>
      <c r="K309" s="1" t="n">
        <f aca="false">K307-K308</f>
        <v>213.674064483095</v>
      </c>
      <c r="L309" s="1" t="n">
        <f aca="false">L307-L308</f>
        <v>214.917075397921</v>
      </c>
      <c r="M309" s="1" t="n">
        <f aca="false">M307-M308</f>
        <v>214.371411210183</v>
      </c>
      <c r="N309" s="1" t="n">
        <f aca="false">N307-N308</f>
        <v>216.37042450151</v>
      </c>
      <c r="O309" s="1" t="n">
        <f aca="false">O307-O308</f>
        <v>223.165012388557</v>
      </c>
      <c r="P309" s="1" t="n">
        <f aca="false">P307-P308</f>
        <v>227.16788197748</v>
      </c>
      <c r="Q309" s="1" t="n">
        <f aca="false">Q307-Q308</f>
        <v>231.093209570054</v>
      </c>
      <c r="R309" s="1" t="n">
        <f aca="false">R307-R308</f>
        <v>234.820402444235</v>
      </c>
      <c r="S309" s="1" t="n">
        <f aca="false">S307-S308</f>
        <v>238.34807240169</v>
      </c>
      <c r="T309" s="1" t="n">
        <f aca="false">T307-T308</f>
        <v>241.68723216454</v>
      </c>
      <c r="U309" s="1" t="n">
        <f aca="false">U307-U308</f>
        <v>244.848502494806</v>
      </c>
      <c r="V309" s="1" t="n">
        <f aca="false">V307-V308</f>
        <v>247.842360459609</v>
      </c>
      <c r="W309" s="1" t="n">
        <f aca="false">W307-W308</f>
        <v>250.535742062733</v>
      </c>
      <c r="X309" s="1" t="n">
        <f aca="false">X307-X308</f>
        <v>253.02028765413</v>
      </c>
      <c r="Y309" s="1" t="n">
        <f aca="false">Y307-Y308</f>
        <v>256.847381361178</v>
      </c>
      <c r="Z309" s="1" t="n">
        <f aca="false">Z307-Z308</f>
        <v>260.540023132558</v>
      </c>
      <c r="AA309" s="1" t="n">
        <f aca="false">AA307-AA308</f>
        <v>264.10817249555</v>
      </c>
      <c r="AB309" s="1" t="n">
        <f aca="false">AB307-AB308</f>
        <v>267.55526043879</v>
      </c>
      <c r="AC309" s="1" t="n">
        <f aca="false">AC307-AC308</f>
        <v>270.920773139437</v>
      </c>
      <c r="AD309" s="1" t="n">
        <f aca="false">AD307-AD308</f>
        <v>274.210785011858</v>
      </c>
      <c r="AE309" s="1" t="n">
        <f aca="false">AE307-AE308</f>
        <v>277.425144268286</v>
      </c>
      <c r="AF309" s="1" t="n">
        <f aca="false">AF307-AF308</f>
        <v>280.563703630765</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18.7472419879674</v>
      </c>
      <c r="G310" s="1" t="n">
        <f aca="false">IF(G307&gt;0,100*G308/G307,0)</f>
        <v>22.6635328713745</v>
      </c>
      <c r="H310" s="1" t="n">
        <f aca="false">IF(H307&gt;0,100*H308/H307,0)</f>
        <v>26.3530653711425</v>
      </c>
      <c r="I310" s="1" t="n">
        <f aca="false">IF(I307&gt;0,100*I308/I307,0)</f>
        <v>29.8452938783706</v>
      </c>
      <c r="J310" s="1" t="n">
        <f aca="false">IF(J307&gt;0,100*J308/J307,0)</f>
        <v>33.1652067897126</v>
      </c>
      <c r="K310" s="1" t="n">
        <f aca="false">IF(K307&gt;0,100*K308/K307,0)</f>
        <v>36.3341510357387</v>
      </c>
      <c r="L310" s="1" t="n">
        <f aca="false">IF(L307&gt;0,100*L308/L307,0)</f>
        <v>38.2824901362829</v>
      </c>
      <c r="M310" s="1" t="n">
        <f aca="false">IF(M307&gt;0,100*M308/M307,0)</f>
        <v>40.3378437927759</v>
      </c>
      <c r="N310" s="1" t="n">
        <f aca="false">IF(N307&gt;0,100*N308/N307,0)</f>
        <v>41.5768264691055</v>
      </c>
      <c r="O310" s="1" t="n">
        <f aca="false">IF(O307&gt;0,100*O308/O307,0)</f>
        <v>41.3782654255515</v>
      </c>
      <c r="P310" s="1" t="n">
        <f aca="false">IF(P307&gt;0,100*P308/P307,0)</f>
        <v>41.498669443897</v>
      </c>
      <c r="Q310" s="1" t="n">
        <f aca="false">IF(Q307&gt;0,100*Q308/Q307,0)</f>
        <v>41.6348728498432</v>
      </c>
      <c r="R310" s="1" t="n">
        <f aca="false">IF(R307&gt;0,100*R308/R307,0)</f>
        <v>41.7987396173084</v>
      </c>
      <c r="S310" s="1" t="n">
        <f aca="false">IF(S307&gt;0,100*S308/S307,0)</f>
        <v>41.9893048190199</v>
      </c>
      <c r="T310" s="1" t="n">
        <f aca="false">IF(T307&gt;0,100*T308/T307,0)</f>
        <v>42.2044690990719</v>
      </c>
      <c r="U310" s="1" t="n">
        <f aca="false">IF(U307&gt;0,100*U308/U307,0)</f>
        <v>42.4423334218257</v>
      </c>
      <c r="V310" s="1" t="n">
        <f aca="false">IF(V307&gt;0,100*V308/V307,0)</f>
        <v>42.7011475958983</v>
      </c>
      <c r="W310" s="1" t="n">
        <f aca="false">IF(W307&gt;0,100*W308/W307,0)</f>
        <v>42.9933124913247</v>
      </c>
      <c r="X310" s="1" t="n">
        <f aca="false">IF(X307&gt;0,100*X308/X307,0)</f>
        <v>43.2987797281815</v>
      </c>
      <c r="Y310" s="1" t="n">
        <f aca="false">IF(Y307&gt;0,100*Y308/Y307,0)</f>
        <v>43.2759098165008</v>
      </c>
      <c r="Z310" s="1" t="n">
        <f aca="false">IF(Z307&gt;0,100*Z308/Z307,0)</f>
        <v>43.2536106565532</v>
      </c>
      <c r="AA310" s="1" t="n">
        <f aca="false">IF(AA307&gt;0,100*AA308/AA307,0)</f>
        <v>43.232115938572</v>
      </c>
      <c r="AB310" s="1" t="n">
        <f aca="false">IF(AB307&gt;0,100*AB308/AB307,0)</f>
        <v>43.2113577440568</v>
      </c>
      <c r="AC310" s="1" t="n">
        <f aca="false">IF(AC307&gt;0,100*AC308/AC307,0)</f>
        <v>43.191216293458</v>
      </c>
      <c r="AD310" s="1" t="n">
        <f aca="false">IF(AD307&gt;0,100*AD308/AD307,0)</f>
        <v>43.1716413694222</v>
      </c>
      <c r="AE310" s="1" t="n">
        <f aca="false">IF(AE307&gt;0,100*AE308/AE307,0)</f>
        <v>43.1525966820113</v>
      </c>
      <c r="AF310" s="1" t="n">
        <f aca="false">IF(AF307&gt;0,100*AF308/AF307,0)</f>
        <v>43.134048345916</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12.0384856508805</v>
      </c>
      <c r="G313" s="116" t="n">
        <f aca="false">G111</f>
        <v>11.9686104803045</v>
      </c>
      <c r="H313" s="116" t="n">
        <f aca="false">H111</f>
        <v>11.9220198581063</v>
      </c>
      <c r="I313" s="116" t="n">
        <f aca="false">I111</f>
        <v>11.8972211454721</v>
      </c>
      <c r="J313" s="116" t="n">
        <f aca="false">J111</f>
        <v>11.8928175157698</v>
      </c>
      <c r="K313" s="116" t="n">
        <f aca="false">K111</f>
        <v>11.9075017979621</v>
      </c>
      <c r="L313" s="116" t="n">
        <f aca="false">L111</f>
        <v>11.9400507159457</v>
      </c>
      <c r="M313" s="116" t="n">
        <f aca="false">M111</f>
        <v>12.0815481177673</v>
      </c>
      <c r="N313" s="116" t="n">
        <f aca="false">N111</f>
        <v>12.2891228407001</v>
      </c>
      <c r="O313" s="116" t="n">
        <f aca="false">O111</f>
        <v>12.550086887955</v>
      </c>
      <c r="P313" s="116" t="n">
        <f aca="false">P111</f>
        <v>13.0189356222772</v>
      </c>
      <c r="Q313" s="116" t="n">
        <f aca="false">Q111</f>
        <v>13.47639191512</v>
      </c>
      <c r="R313" s="116" t="n">
        <f aca="false">R111</f>
        <v>13.9181912001576</v>
      </c>
      <c r="S313" s="116" t="n">
        <f aca="false">S111</f>
        <v>14.3450258769335</v>
      </c>
      <c r="T313" s="116" t="n">
        <f aca="false">T111</f>
        <v>14.7575434190715</v>
      </c>
      <c r="U313" s="116" t="n">
        <f aca="false">U111</f>
        <v>15.1563492852328</v>
      </c>
      <c r="V313" s="116" t="n">
        <f aca="false">V111</f>
        <v>15.5420096416593</v>
      </c>
      <c r="W313" s="116" t="n">
        <f aca="false">W111</f>
        <v>15.9150539084887</v>
      </c>
      <c r="X313" s="116" t="n">
        <f aca="false">X111</f>
        <v>16.2759771412383</v>
      </c>
      <c r="Y313" s="116" t="n">
        <f aca="false">Y111</f>
        <v>16.6252422581189</v>
      </c>
      <c r="Z313" s="116" t="n">
        <f aca="false">Z111</f>
        <v>16.9632821231507</v>
      </c>
      <c r="AA313" s="116" t="n">
        <f aca="false">AA111</f>
        <v>17.2905014944087</v>
      </c>
      <c r="AB313" s="116" t="n">
        <f aca="false">AB111</f>
        <v>17.6072788461221</v>
      </c>
      <c r="AC313" s="116" t="n">
        <f aca="false">AC111</f>
        <v>17.913968072787</v>
      </c>
      <c r="AD313" s="116" t="n">
        <f aca="false">AD111</f>
        <v>18.2109000829274</v>
      </c>
      <c r="AE313" s="116" t="n">
        <f aca="false">AE111</f>
        <v>18.4983842896424</v>
      </c>
      <c r="AF313" s="116" t="n">
        <f aca="false">AF111</f>
        <v>18.7767100046175</v>
      </c>
    </row>
    <row r="314" customFormat="false" ht="14.25" hidden="false" customHeight="true" outlineLevel="0" collapsed="false">
      <c r="B314" s="84" t="s">
        <v>1306</v>
      </c>
      <c r="C314" s="1" t="n">
        <f aca="false">C302</f>
        <v>0.507499368932986</v>
      </c>
      <c r="D314" s="1" t="n">
        <f aca="false">D302</f>
        <v>1.03358257179757</v>
      </c>
      <c r="E314" s="1" t="n">
        <f aca="false">E302</f>
        <v>1.57333805993243</v>
      </c>
      <c r="F314" s="1" t="n">
        <f aca="false">F302</f>
        <v>2.09251695740052</v>
      </c>
      <c r="G314" s="1" t="n">
        <f aca="false">G302</f>
        <v>2.66444772265962</v>
      </c>
      <c r="H314" s="1" t="n">
        <f aca="false">H302</f>
        <v>3.24961808076102</v>
      </c>
      <c r="I314" s="1" t="n">
        <f aca="false">I302</f>
        <v>3.84833282356182</v>
      </c>
      <c r="J314" s="1" t="n">
        <f aca="false">J302</f>
        <v>4.46090373907074</v>
      </c>
      <c r="K314" s="1" t="n">
        <f aca="false">K302</f>
        <v>5.08764977306268</v>
      </c>
      <c r="L314" s="1" t="n">
        <f aca="false">L302</f>
        <v>5.56761318173753</v>
      </c>
      <c r="M314" s="1" t="n">
        <f aca="false">M302</f>
        <v>6.08407246211253</v>
      </c>
      <c r="N314" s="1" t="n">
        <f aca="false">N302</f>
        <v>6.4835401699312</v>
      </c>
      <c r="O314" s="1" t="n">
        <f aca="false">O302</f>
        <v>6.63231116120881</v>
      </c>
      <c r="P314" s="1" t="n">
        <f aca="false">P302</f>
        <v>6.78507211109452</v>
      </c>
      <c r="Q314" s="1" t="n">
        <f aca="false">Q302</f>
        <v>6.941379254769</v>
      </c>
      <c r="R314" s="1" t="n">
        <f aca="false">R302</f>
        <v>7.10133705517352</v>
      </c>
      <c r="S314" s="1" t="n">
        <f aca="false">S302</f>
        <v>7.26502886660735</v>
      </c>
      <c r="T314" s="1" t="n">
        <f aca="false">T302</f>
        <v>7.432537564087</v>
      </c>
      <c r="U314" s="1" t="n">
        <f aca="false">U302</f>
        <v>7.60394805312683</v>
      </c>
      <c r="V314" s="1" t="n">
        <f aca="false">V302</f>
        <v>7.77934726684972</v>
      </c>
      <c r="W314" s="1" t="n">
        <f aca="false">W302</f>
        <v>7.95885185182777</v>
      </c>
      <c r="X314" s="1" t="n">
        <f aca="false">X302</f>
        <v>8.13910841694191</v>
      </c>
      <c r="Y314" s="1" t="n">
        <f aca="false">Y302</f>
        <v>8.25447814630514</v>
      </c>
      <c r="Z314" s="1" t="n">
        <f aca="false">Z302</f>
        <v>8.36550233346215</v>
      </c>
      <c r="AA314" s="1" t="n">
        <f aca="false">AA302</f>
        <v>8.47260159449061</v>
      </c>
      <c r="AB314" s="1" t="n">
        <f aca="false">AB302</f>
        <v>8.57588350463051</v>
      </c>
      <c r="AC314" s="1" t="n">
        <f aca="false">AC302</f>
        <v>8.67658961338827</v>
      </c>
      <c r="AD314" s="1" t="n">
        <f aca="false">AD302</f>
        <v>8.77491061142976</v>
      </c>
      <c r="AE314" s="1" t="n">
        <f aca="false">AE302</f>
        <v>8.87084135402063</v>
      </c>
      <c r="AF314" s="1" t="n">
        <f aca="false">AF302</f>
        <v>8.96437682517716</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56.9929876143216</v>
      </c>
      <c r="D316" s="1" t="n">
        <f aca="false">IF(D313&gt;0,100*(D314+D315)/D313,0)</f>
        <v>48.7096247314647</v>
      </c>
      <c r="E316" s="1" t="n">
        <f aca="false">IF(E313&gt;0,100*(E314+E315)/E313,0)</f>
        <v>47.500322308549</v>
      </c>
      <c r="F316" s="1" t="n">
        <f aca="false">IF(F313&gt;0,100*(F314+F315)/F313,0)</f>
        <v>26.9534725566848</v>
      </c>
      <c r="G316" s="1" t="n">
        <f aca="false">IF(G313&gt;0,100*(G314+G315)/G313,0)</f>
        <v>32.1301083526492</v>
      </c>
      <c r="H316" s="1" t="n">
        <f aca="false">IF(H313&gt;0,100*(H314+H315)/H313,0)</f>
        <v>37.4116544145938</v>
      </c>
      <c r="I316" s="1" t="n">
        <f aca="false">IF(I313&gt;0,100*(I314+I315)/I313,0)</f>
        <v>42.7764157597968</v>
      </c>
      <c r="J316" s="1" t="n">
        <f aca="false">IF(J313&gt;0,100*(J314+J315)/J313,0)</f>
        <v>48.2038632804556</v>
      </c>
      <c r="K316" s="1" t="n">
        <f aca="false">IF(K313&gt;0,100*(K314+K315)/K313,0)</f>
        <v>53.6749100007874</v>
      </c>
      <c r="L316" s="1" t="n">
        <f aca="false">IF(L313&gt;0,100*(L314+L315)/L313,0)</f>
        <v>57.8213336260078</v>
      </c>
      <c r="M316" s="1" t="n">
        <f aca="false">IF(M313&gt;0,100*(M314+M315)/M313,0)</f>
        <v>61.6954288618115</v>
      </c>
      <c r="N316" s="1" t="n">
        <f aca="false">IF(N313&gt;0,100*(N314+N315)/N313,0)</f>
        <v>64.1825539220439</v>
      </c>
      <c r="O316" s="1" t="n">
        <f aca="false">IF(O313&gt;0,100*(O314+O315)/O313,0)</f>
        <v>64.3130384292308</v>
      </c>
      <c r="P316" s="1" t="n">
        <f aca="false">IF(P313&gt;0,100*(P314+P315)/P313,0)</f>
        <v>63.4466531576707</v>
      </c>
      <c r="Q316" s="1" t="n">
        <f aca="false">IF(Q313&gt;0,100*(Q314+Q315)/Q313,0)</f>
        <v>62.726442629846</v>
      </c>
      <c r="R316" s="1" t="n">
        <f aca="false">IF(R313&gt;0,100*(R314+R315)/R313,0)</f>
        <v>62.1561808493374</v>
      </c>
      <c r="S316" s="1" t="n">
        <f aca="false">IF(S313&gt;0,100*(S314+S315)/S313,0)</f>
        <v>61.7179080516705</v>
      </c>
      <c r="T316" s="1" t="n">
        <f aca="false">IF(T313&gt;0,100*(T314+T315)/T313,0)</f>
        <v>61.3968656316955</v>
      </c>
      <c r="U316" s="1" t="n">
        <f aca="false">IF(U313&gt;0,100*(U314+U315)/U313,0)</f>
        <v>61.1808470929573</v>
      </c>
      <c r="V316" s="1" t="n">
        <f aca="false">IF(V313&gt;0,100*(V314+V315)/V313,0)</f>
        <v>61.0596903765734</v>
      </c>
      <c r="W316" s="1" t="n">
        <f aca="false">IF(W313&gt;0,100*(W314+W315)/W313,0)</f>
        <v>61.025061547283</v>
      </c>
      <c r="X316" s="1" t="n">
        <f aca="false">IF(X313&gt;0,100*(X314+X315)/X313,0)</f>
        <v>61.0486295944406</v>
      </c>
      <c r="Y316" s="1" t="n">
        <f aca="false">IF(Y313&gt;0,100*(Y314+Y315)/Y313,0)</f>
        <v>60.7303002564382</v>
      </c>
      <c r="Z316" s="1" t="n">
        <f aca="false">IF(Z313&gt;0,100*(Z314+Z315)/Z313,0)</f>
        <v>60.4460604340504</v>
      </c>
      <c r="AA316" s="1" t="n">
        <f aca="false">IF(AA313&gt;0,100*(AA314+AA315)/AA313,0)</f>
        <v>60.1945430206846</v>
      </c>
      <c r="AB316" s="1" t="n">
        <f aca="false">IF(AB313&gt;0,100*(AB314+AB315)/AB313,0)</f>
        <v>59.9729451786408</v>
      </c>
      <c r="AC316" s="1" t="n">
        <f aca="false">IF(AC313&gt;0,100*(AC314+AC315)/AC313,0)</f>
        <v>59.7852064919802</v>
      </c>
      <c r="AD316" s="1" t="n">
        <f aca="false">IF(AD313&gt;0,100*(AD314+AD315)/AD313,0)</f>
        <v>59.6294339190336</v>
      </c>
      <c r="AE316" s="1" t="n">
        <f aca="false">IF(AE313&gt;0,100*(AE314+AE315)/AE313,0)</f>
        <v>59.5029860540517</v>
      </c>
      <c r="AF316" s="1" t="n">
        <f aca="false">IF(AF313&gt;0,100*(AF314+AF315)/AF313,0)</f>
        <v>59.403552242412</v>
      </c>
    </row>
    <row r="317" customFormat="false" ht="14.25" hidden="false" customHeight="true" outlineLevel="0" collapsed="false">
      <c r="B317" s="1" t="s">
        <v>1309</v>
      </c>
      <c r="C317" s="1" t="n">
        <f aca="false">$C$329*C291</f>
        <v>2.03103345814051</v>
      </c>
      <c r="D317" s="1" t="n">
        <f aca="false">$C$329*D291</f>
        <v>3.54004190130518</v>
      </c>
      <c r="E317" s="1" t="n">
        <f aca="false">$C$329*E291</f>
        <v>4.49677401293835</v>
      </c>
      <c r="F317" s="1" t="n">
        <f aca="false">$C$329*F291</f>
        <v>0.324526418744969</v>
      </c>
      <c r="G317" s="1" t="n">
        <f aca="false">$C$329*G291</f>
        <v>6.12764459523579</v>
      </c>
      <c r="H317" s="1" t="n">
        <f aca="false">$C$329*H291</f>
        <v>7.21406065667157</v>
      </c>
      <c r="I317" s="1" t="n">
        <f aca="false">$C$329*I291</f>
        <v>8.32817242140252</v>
      </c>
      <c r="J317" s="1" t="n">
        <f aca="false">$C$329*J291</f>
        <v>9.47062357572992</v>
      </c>
      <c r="K317" s="1" t="n">
        <f aca="false">$C$329*K291</f>
        <v>10.6420722764837</v>
      </c>
      <c r="L317" s="1" t="n">
        <f aca="false">$C$329*L291</f>
        <v>10.3782360964409</v>
      </c>
      <c r="M317" s="1" t="n">
        <f aca="false">$C$329*M291</f>
        <v>15.0883646322284</v>
      </c>
      <c r="N317" s="1" t="n">
        <f aca="false">$C$329*N291</f>
        <v>14.6506407304409</v>
      </c>
      <c r="O317" s="1" t="n">
        <f aca="false">$C$329*O291</f>
        <v>11.219785529647</v>
      </c>
      <c r="P317" s="1" t="n">
        <f aca="false">$C$329*P291</f>
        <v>11.5523658306742</v>
      </c>
      <c r="Q317" s="1" t="n">
        <f aca="false">$C$329*Q291</f>
        <v>11.8298045884879</v>
      </c>
      <c r="R317" s="1" t="n">
        <f aca="false">$C$329*R291</f>
        <v>12.1180929815964</v>
      </c>
      <c r="S317" s="1" t="n">
        <f aca="false">$C$329*S291</f>
        <v>12.4146598425111</v>
      </c>
      <c r="T317" s="1" t="n">
        <f aca="false">$C$329*T291</f>
        <v>12.7193159085642</v>
      </c>
      <c r="U317" s="1" t="n">
        <f aca="false">$C$329*U291</f>
        <v>13.0321718340511</v>
      </c>
      <c r="V317" s="1" t="n">
        <f aca="false">$C$329*V291</f>
        <v>13.3533372493524</v>
      </c>
      <c r="W317" s="1" t="n">
        <f aca="false">$C$329*W291</f>
        <v>13.6870850744372</v>
      </c>
      <c r="X317" s="1" t="n">
        <f aca="false">$C$329*X291</f>
        <v>13.998939492873</v>
      </c>
      <c r="Y317" s="1" t="n">
        <f aca="false">$C$329*Y291</f>
        <v>13.7168410048427</v>
      </c>
      <c r="Z317" s="1" t="n">
        <f aca="false">$C$329*Z291</f>
        <v>13.8645900928412</v>
      </c>
      <c r="AA317" s="1" t="n">
        <f aca="false">$C$329*AA291</f>
        <v>14.0087533582089</v>
      </c>
      <c r="AB317" s="1" t="n">
        <f aca="false">$C$329*AB291</f>
        <v>14.1475491230416</v>
      </c>
      <c r="AC317" s="1" t="n">
        <f aca="false">$C$329*AC291</f>
        <v>14.2897305738359</v>
      </c>
      <c r="AD317" s="1" t="n">
        <f aca="false">$C$329*AD291</f>
        <v>14.4292977437005</v>
      </c>
      <c r="AE317" s="1" t="n">
        <f aca="false">$C$329*AE291</f>
        <v>14.5650683787959</v>
      </c>
      <c r="AF317" s="1" t="n">
        <f aca="false">$C$329*AF291</f>
        <v>14.6970352748083</v>
      </c>
    </row>
    <row r="318" customFormat="false" ht="14.25" hidden="false" customHeight="true" outlineLevel="0" collapsed="false">
      <c r="B318" s="146" t="s">
        <v>1310</v>
      </c>
      <c r="C318" s="1" t="n">
        <f aca="false">$C$329*(C290+(1-$C$279)*C332)</f>
        <v>0</v>
      </c>
      <c r="D318" s="1" t="n">
        <f aca="false">$C$329*(D290+(1-$C$279)*D332)</f>
        <v>0.409253241815313</v>
      </c>
      <c r="E318" s="1" t="n">
        <f aca="false">$C$329*(E290+(1-$C$279)*E332)</f>
        <v>1.03744701063072</v>
      </c>
      <c r="F318" s="1" t="n">
        <f aca="false">$C$329*(F290+(1-$C$279)*F332)</f>
        <v>1.72775799602661</v>
      </c>
      <c r="G318" s="1" t="n">
        <f aca="false">$C$329*(G290+(1-$C$279)*G332)</f>
        <v>1.43377640623019</v>
      </c>
      <c r="H318" s="1" t="n">
        <f aca="false">$C$329*(H290+(1-$C$279)*H332)</f>
        <v>2.37027129967432</v>
      </c>
      <c r="I318" s="1" t="n">
        <f aca="false">$C$329*(I290+(1-$C$279)*I332)</f>
        <v>3.33088809166138</v>
      </c>
      <c r="J318" s="1" t="n">
        <f aca="false">$C$329*(J290+(1-$C$279)*J332)</f>
        <v>4.31619011150842</v>
      </c>
      <c r="K318" s="1" t="n">
        <f aca="false">$C$329*(K290+(1-$C$279)*K332)</f>
        <v>5.32675321882425</v>
      </c>
      <c r="L318" s="1" t="n">
        <f aca="false">$C$329*(L290+(1-$C$279)*L332)</f>
        <v>6.36316611302028</v>
      </c>
      <c r="M318" s="1" t="n">
        <f aca="false">$C$329*(M290+(1-$C$279)*M332)</f>
        <v>7.1308421349449</v>
      </c>
      <c r="N318" s="1" t="n">
        <f aca="false">$C$329*(N290+(1-$C$279)*N332)</f>
        <v>8.68793244427039</v>
      </c>
      <c r="O318" s="1" t="n">
        <f aca="false">$C$329*(O290+(1-$C$279)*O332)</f>
        <v>9.83294660304599</v>
      </c>
      <c r="P318" s="1" t="n">
        <f aca="false">$C$329*(P290+(1-$C$279)*P332)</f>
        <v>10.0484804938363</v>
      </c>
      <c r="Q318" s="1" t="n">
        <f aca="false">$C$329*(Q290+(1-$C$279)*Q332)</f>
        <v>10.2861982659992</v>
      </c>
      <c r="R318" s="1" t="n">
        <f aca="false">$C$329*(R290+(1-$C$279)*R332)</f>
        <v>10.5303746512517</v>
      </c>
      <c r="S318" s="1" t="n">
        <f aca="false">$C$329*(S290+(1-$C$279)*S332)</f>
        <v>10.781852459583</v>
      </c>
      <c r="T318" s="1" t="n">
        <f aca="false">$C$329*(T290+(1-$C$279)*T332)</f>
        <v>11.0407811062557</v>
      </c>
      <c r="U318" s="1" t="n">
        <f aca="false">$C$329*(U290+(1-$C$279)*U332)</f>
        <v>11.3072407917302</v>
      </c>
      <c r="V318" s="1" t="n">
        <f aca="false">$C$329*(V290+(1-$C$279)*V332)</f>
        <v>11.5813173316116</v>
      </c>
      <c r="W318" s="1" t="n">
        <f aca="false">$C$329*(W290+(1-$C$279)*W332)</f>
        <v>11.8631007823809</v>
      </c>
      <c r="X318" s="1" t="n">
        <f aca="false">$C$329*(X290+(1-$C$279)*X332)</f>
        <v>12.1535234621448</v>
      </c>
      <c r="Y318" s="1" t="n">
        <f aca="false">$C$329*(Y290+(1-$C$279)*Y332)</f>
        <v>12.4463768898326</v>
      </c>
      <c r="Z318" s="1" t="n">
        <f aca="false">$C$329*(Z290+(1-$C$279)*Z332)</f>
        <v>12.6214739592232</v>
      </c>
      <c r="AA318" s="1" t="n">
        <f aca="false">$C$329*(AA290+(1-$C$279)*AA332)</f>
        <v>12.7899222794123</v>
      </c>
      <c r="AB318" s="1" t="n">
        <f aca="false">$C$329*(AB290+(1-$C$279)*AB332)</f>
        <v>12.9523822469736</v>
      </c>
      <c r="AC318" s="1" t="n">
        <f aca="false">$C$329*(AC290+(1-$C$279)*AC332)</f>
        <v>13.109017887896</v>
      </c>
      <c r="AD318" s="1" t="n">
        <f aca="false">$C$329*(AD290+(1-$C$279)*AD332)</f>
        <v>13.2617228778416</v>
      </c>
      <c r="AE318" s="1" t="n">
        <f aca="false">$C$329*(AE290+(1-$C$279)*AE332)</f>
        <v>13.4107880146062</v>
      </c>
      <c r="AF318" s="1" t="n">
        <f aca="false">$C$329*(AF290+(1-$C$279)*AF332)</f>
        <v>13.5562053858955</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1.26775625970119</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1.70763844848372</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0.552881133134146</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1.8711679047896</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2.78494859449886</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3.22923607094159</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3.68483093900705</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4.15199585116656</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4.19151275054007</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5.57782470623799</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5.92364355637701</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4.85004556488778</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4.60227402335549</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4.71919603519368</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4.83378709929275</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4.95196077178906</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5.07339981461563</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5.19811825175289</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5.32616018159511</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5.45881858569055</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5.58618356590238</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5.53314487208085</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5.54889302164293</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5.60710898386747</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5.66335145209905</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5.7200658983149</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5.77633903023972</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5.83120837507563</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5.88455200921453</v>
      </c>
    </row>
    <row r="320" customFormat="false" ht="14.25" hidden="false" customHeight="true" outlineLevel="0" collapsed="false">
      <c r="B320" s="147" t="s">
        <v>1312</v>
      </c>
      <c r="C320" s="1" t="n">
        <f aca="false">01_Supuestos!$C$185*C317</f>
        <v>0.609310037442153</v>
      </c>
      <c r="D320" s="1" t="n">
        <f aca="false">01_Supuestos!$C$185*D317</f>
        <v>1.06201257039156</v>
      </c>
      <c r="E320" s="1" t="n">
        <f aca="false">01_Supuestos!$C$185*E317</f>
        <v>1.34903220388151</v>
      </c>
      <c r="F320" s="1" t="n">
        <f aca="false">01_Supuestos!$C$185*F317</f>
        <v>0.0973579256234906</v>
      </c>
      <c r="G320" s="1" t="n">
        <f aca="false">01_Supuestos!$C$185*G317</f>
        <v>1.83829337857074</v>
      </c>
      <c r="H320" s="1" t="n">
        <f aca="false">01_Supuestos!$C$185*H317</f>
        <v>2.16421819700147</v>
      </c>
      <c r="I320" s="1" t="n">
        <f aca="false">01_Supuestos!$C$185*I317</f>
        <v>2.49845172642076</v>
      </c>
      <c r="J320" s="1" t="n">
        <f aca="false">01_Supuestos!$C$185*J317</f>
        <v>2.84118707271898</v>
      </c>
      <c r="K320" s="1" t="n">
        <f aca="false">01_Supuestos!$C$185*K317</f>
        <v>3.19262168294512</v>
      </c>
      <c r="L320" s="1" t="n">
        <f aca="false">01_Supuestos!$C$185*L317</f>
        <v>3.11347082893227</v>
      </c>
      <c r="M320" s="1" t="n">
        <f aca="false">01_Supuestos!$C$185*M317</f>
        <v>4.52650938966853</v>
      </c>
      <c r="N320" s="1" t="n">
        <f aca="false">01_Supuestos!$C$185*N317</f>
        <v>4.39519221913228</v>
      </c>
      <c r="O320" s="1" t="n">
        <f aca="false">01_Supuestos!$C$185*O317</f>
        <v>3.36593565889411</v>
      </c>
      <c r="P320" s="1" t="n">
        <f aca="false">01_Supuestos!$C$185*P317</f>
        <v>3.46570974920225</v>
      </c>
      <c r="Q320" s="1" t="n">
        <f aca="false">01_Supuestos!$C$185*Q317</f>
        <v>3.54894137654638</v>
      </c>
      <c r="R320" s="1" t="n">
        <f aca="false">01_Supuestos!$C$185*R317</f>
        <v>3.63542789447893</v>
      </c>
      <c r="S320" s="1" t="n">
        <f aca="false">01_Supuestos!$C$185*S317</f>
        <v>3.72439795275334</v>
      </c>
      <c r="T320" s="1" t="n">
        <f aca="false">01_Supuestos!$C$185*T317</f>
        <v>3.81579477256925</v>
      </c>
      <c r="U320" s="1" t="n">
        <f aca="false">01_Supuestos!$C$185*U317</f>
        <v>3.90965155021534</v>
      </c>
      <c r="V320" s="1" t="n">
        <f aca="false">01_Supuestos!$C$185*V317</f>
        <v>4.00600117480573</v>
      </c>
      <c r="W320" s="1" t="n">
        <f aca="false">01_Supuestos!$C$185*W317</f>
        <v>4.10612552233115</v>
      </c>
      <c r="X320" s="1" t="n">
        <f aca="false">01_Supuestos!$C$185*X317</f>
        <v>4.1996818478619</v>
      </c>
      <c r="Y320" s="1" t="n">
        <f aca="false">01_Supuestos!$C$185*Y317</f>
        <v>4.11505230145282</v>
      </c>
      <c r="Z320" s="1" t="n">
        <f aca="false">01_Supuestos!$C$185*Z317</f>
        <v>4.15937702785236</v>
      </c>
      <c r="AA320" s="1" t="n">
        <f aca="false">01_Supuestos!$C$185*AA317</f>
        <v>4.20262600746266</v>
      </c>
      <c r="AB320" s="1" t="n">
        <f aca="false">01_Supuestos!$C$185*AB317</f>
        <v>4.24426473691249</v>
      </c>
      <c r="AC320" s="1" t="n">
        <f aca="false">01_Supuestos!$C$185*AC317</f>
        <v>4.28691917215078</v>
      </c>
      <c r="AD320" s="1" t="n">
        <f aca="false">01_Supuestos!$C$185*AD317</f>
        <v>4.32878932311014</v>
      </c>
      <c r="AE320" s="1" t="n">
        <f aca="false">01_Supuestos!$C$185*AE317</f>
        <v>4.36952051363877</v>
      </c>
      <c r="AF320" s="1" t="n">
        <f aca="false">01_Supuestos!$C$185*AF317</f>
        <v>4.4091105824425</v>
      </c>
    </row>
    <row r="321" customFormat="false" ht="14.25" hidden="false" customHeight="true" outlineLevel="0" collapsed="false">
      <c r="B321" s="148" t="s">
        <v>1313</v>
      </c>
      <c r="C321" s="1" t="n">
        <f aca="false">C320-C323</f>
        <v>0.609310037442153</v>
      </c>
      <c r="D321" s="1" t="n">
        <f aca="false">C321+D320-D323</f>
        <v>1.26775625970119</v>
      </c>
      <c r="E321" s="1" t="n">
        <f aca="false">D321+E320-E323</f>
        <v>1.70763844848372</v>
      </c>
      <c r="F321" s="1" t="n">
        <f aca="false">E321+F320-F323</f>
        <v>0.552881133134146</v>
      </c>
      <c r="G321" s="1" t="n">
        <f aca="false">F321+G320-G323</f>
        <v>1.8711679047896</v>
      </c>
      <c r="H321" s="1" t="n">
        <f aca="false">G321+H320-H323</f>
        <v>2.78494859449886</v>
      </c>
      <c r="I321" s="1" t="n">
        <f aca="false">H321+I320-I323</f>
        <v>3.22923607094159</v>
      </c>
      <c r="J321" s="1" t="n">
        <f aca="false">I321+J320-J323</f>
        <v>3.68483093900705</v>
      </c>
      <c r="K321" s="1" t="n">
        <f aca="false">J321+K320-K323</f>
        <v>4.15199585116656</v>
      </c>
      <c r="L321" s="1" t="n">
        <f aca="false">K321+L320-L323</f>
        <v>4.19151275054007</v>
      </c>
      <c r="M321" s="1" t="n">
        <f aca="false">L321+M320-M323</f>
        <v>5.57782470623799</v>
      </c>
      <c r="N321" s="1" t="n">
        <f aca="false">M321+N320-N323</f>
        <v>5.92364355637701</v>
      </c>
      <c r="O321" s="1" t="n">
        <f aca="false">N321+O320-O323</f>
        <v>4.85004556488778</v>
      </c>
      <c r="P321" s="1" t="n">
        <f aca="false">O321+P320-P323</f>
        <v>4.60227402335549</v>
      </c>
      <c r="Q321" s="1" t="n">
        <f aca="false">P321+Q320-Q323</f>
        <v>4.71919603519368</v>
      </c>
      <c r="R321" s="1" t="n">
        <f aca="false">Q321+R320-R323</f>
        <v>4.83378709929275</v>
      </c>
      <c r="S321" s="1" t="n">
        <f aca="false">R321+S320-S323</f>
        <v>4.95196077178906</v>
      </c>
      <c r="T321" s="1" t="n">
        <f aca="false">S321+T320-T323</f>
        <v>5.07339981461563</v>
      </c>
      <c r="U321" s="1" t="n">
        <f aca="false">T321+U320-U323</f>
        <v>5.19811825175289</v>
      </c>
      <c r="V321" s="1" t="n">
        <f aca="false">U321+V320-V323</f>
        <v>5.32616018159511</v>
      </c>
      <c r="W321" s="1" t="n">
        <f aca="false">V321+W320-W323</f>
        <v>5.45881858569055</v>
      </c>
      <c r="X321" s="1" t="n">
        <f aca="false">W321+X320-X323</f>
        <v>5.58618356590238</v>
      </c>
      <c r="Y321" s="1" t="n">
        <f aca="false">X321+Y320-Y323</f>
        <v>5.53314487208085</v>
      </c>
      <c r="Z321" s="1" t="n">
        <f aca="false">Y321+Z320-Z323</f>
        <v>5.54889302164293</v>
      </c>
      <c r="AA321" s="1" t="n">
        <f aca="false">Z321+AA320-AA323</f>
        <v>5.60710898386747</v>
      </c>
      <c r="AB321" s="1" t="n">
        <f aca="false">AA321+AB320-AB323</f>
        <v>5.66335145209905</v>
      </c>
      <c r="AC321" s="1" t="n">
        <f aca="false">AB321+AC320-AC323</f>
        <v>5.7200658983149</v>
      </c>
      <c r="AD321" s="1" t="n">
        <f aca="false">AC321+AD320-AD323</f>
        <v>5.77633903023972</v>
      </c>
      <c r="AE321" s="1" t="n">
        <f aca="false">AD321+AE320-AE323</f>
        <v>5.83120837507563</v>
      </c>
      <c r="AF321" s="1" t="n">
        <f aca="false">AE321+AF320-AF323</f>
        <v>5.88455200921453</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28.0652617221768</v>
      </c>
      <c r="M322" s="1" t="n">
        <f aca="false">$C$172*M83</f>
        <v>30.5131463693096</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40.6766320553065</v>
      </c>
      <c r="Y322" s="1" t="n">
        <f aca="false">$C$172*Y83</f>
        <v>41.2534430449432</v>
      </c>
      <c r="Z322" s="1" t="n">
        <f aca="false">$C$172*Z83</f>
        <v>41.8085370305552</v>
      </c>
      <c r="AA322" s="1" t="n">
        <f aca="false">$C$172*AA83</f>
        <v>42.3440131313711</v>
      </c>
      <c r="AB322" s="1" t="n">
        <f aca="false">$C$172*AB83</f>
        <v>42.8604090567715</v>
      </c>
      <c r="AC322" s="1" t="n">
        <f aca="false">$C$172*AC83</f>
        <v>43.3639305221099</v>
      </c>
      <c r="AD322" s="1" t="n">
        <f aca="false">$C$172*AD83</f>
        <v>43.8555306778782</v>
      </c>
      <c r="AE322" s="1" t="n">
        <f aca="false">$C$172*AE83</f>
        <v>44.3351838201584</v>
      </c>
      <c r="AF322" s="1" t="n">
        <f aca="false">$C$172*AF83</f>
        <v>44.8028648889725</v>
      </c>
    </row>
    <row r="323" customFormat="false" ht="14.25" hidden="false" customHeight="true" outlineLevel="0" collapsed="false">
      <c r="B323" s="148" t="s">
        <v>1315</v>
      </c>
      <c r="C323" s="1" t="n">
        <f aca="false">MAX(0,MIN(C318,C320,C320-C319))</f>
        <v>0</v>
      </c>
      <c r="D323" s="1" t="n">
        <f aca="false">MAX(0,MIN(D318,C321+D320,C321+D320-D319))</f>
        <v>0.403566348132519</v>
      </c>
      <c r="E323" s="1" t="n">
        <f aca="false">MAX(0,MIN(E318,D321+E320,D321+E320-E319))</f>
        <v>0.909150015098974</v>
      </c>
      <c r="F323" s="1" t="n">
        <f aca="false">MAX(0,MIN(F318,E321+F320,E321+F320-F319))</f>
        <v>1.25211524097307</v>
      </c>
      <c r="G323" s="1" t="n">
        <f aca="false">MAX(0,MIN(G318,F321+G320,F321+G320-G319))</f>
        <v>0.52000660691528</v>
      </c>
      <c r="H323" s="1" t="n">
        <f aca="false">MAX(0,MIN(H318,G321+H320,G321+H320-H319))</f>
        <v>1.25043750729222</v>
      </c>
      <c r="I323" s="1" t="n">
        <f aca="false">MAX(0,MIN(I318,H321+I320,H321+I320-I319))</f>
        <v>2.05416424997803</v>
      </c>
      <c r="J323" s="1" t="n">
        <f aca="false">MAX(0,MIN(J318,I321+J320,I321+J320-J319))</f>
        <v>2.38559220465351</v>
      </c>
      <c r="K323" s="1" t="n">
        <f aca="false">MAX(0,MIN(K318,J321+K320,J321+K320-K319))</f>
        <v>2.72545677078561</v>
      </c>
      <c r="L323" s="1" t="n">
        <f aca="false">MAX(0,MIN(L318,K321+L320,K321+L320-L319))</f>
        <v>3.07395392955876</v>
      </c>
      <c r="M323" s="1" t="n">
        <f aca="false">MAX(0,MIN(M318,L321+M320,L321+M320-M319))</f>
        <v>3.14019743397061</v>
      </c>
      <c r="N323" s="1" t="n">
        <f aca="false">MAX(0,MIN(N318,M321+N320,M321+N320-N319))</f>
        <v>4.04937336899325</v>
      </c>
      <c r="O323" s="1" t="n">
        <f aca="false">MAX(0,MIN(O318,N321+O320,N321+O320-O319))</f>
        <v>4.43953365038335</v>
      </c>
      <c r="P323" s="1" t="n">
        <f aca="false">MAX(0,MIN(P318,O321+P320,O321+P320-P319))</f>
        <v>3.71348129073453</v>
      </c>
      <c r="Q323" s="1" t="n">
        <f aca="false">MAX(0,MIN(Q318,P321+Q320,P321+Q320-Q319))</f>
        <v>3.4320193647082</v>
      </c>
      <c r="R323" s="1" t="n">
        <f aca="false">MAX(0,MIN(R318,Q321+R320,Q321+R320-R319))</f>
        <v>3.52083683037985</v>
      </c>
      <c r="S323" s="1" t="n">
        <f aca="false">MAX(0,MIN(S318,R321+S320,R321+S320-S319))</f>
        <v>3.60622428025704</v>
      </c>
      <c r="T323" s="1" t="n">
        <f aca="false">MAX(0,MIN(T318,S321+T320,S321+T320-T319))</f>
        <v>3.69435572974268</v>
      </c>
      <c r="U323" s="1" t="n">
        <f aca="false">MAX(0,MIN(U318,T321+U320,T321+U320-U319))</f>
        <v>3.78493311307808</v>
      </c>
      <c r="V323" s="1" t="n">
        <f aca="false">MAX(0,MIN(V318,U321+V320,U321+V320-V319))</f>
        <v>3.87795924496351</v>
      </c>
      <c r="W323" s="1" t="n">
        <f aca="false">MAX(0,MIN(W318,V321+W320,V321+W320-W319))</f>
        <v>3.97346711823571</v>
      </c>
      <c r="X323" s="1" t="n">
        <f aca="false">MAX(0,MIN(X318,W321+X320,W321+X320-X319))</f>
        <v>4.07231686765007</v>
      </c>
      <c r="Y323" s="1" t="n">
        <f aca="false">MAX(0,MIN(Y318,X321+Y320,X321+Y320-Y319))</f>
        <v>4.16809099527435</v>
      </c>
      <c r="Z323" s="1" t="n">
        <f aca="false">MAX(0,MIN(Z318,Y321+Z320,Y321+Z320-Z319))</f>
        <v>4.14362887829029</v>
      </c>
      <c r="AA323" s="1" t="n">
        <f aca="false">MAX(0,MIN(AA318,Z321+AA320,Z321+AA320-AA319))</f>
        <v>4.14441004523812</v>
      </c>
      <c r="AB323" s="1" t="n">
        <f aca="false">MAX(0,MIN(AB318,AA321+AB320,AA321+AB320-AB319))</f>
        <v>4.18802226868092</v>
      </c>
      <c r="AC323" s="1" t="n">
        <f aca="false">MAX(0,MIN(AC318,AB321+AC320,AB321+AC320-AC319))</f>
        <v>4.23020472593493</v>
      </c>
      <c r="AD323" s="1" t="n">
        <f aca="false">MAX(0,MIN(AD318,AC321+AD320,AC321+AD320-AD319))</f>
        <v>4.27251619118532</v>
      </c>
      <c r="AE323" s="1" t="n">
        <f aca="false">MAX(0,MIN(AE318,AD321+AE320,AD321+AE320-AE319))</f>
        <v>4.31465116880286</v>
      </c>
      <c r="AF323" s="1" t="n">
        <f aca="false">MAX(0,MIN(AF318,AE321+AF320,AE321+AF320-AF319))</f>
        <v>4.35576694830361</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1.26775625970119</v>
      </c>
      <c r="E326" s="1" t="n">
        <f aca="false">IF(01_Supuestos!$C$184="Sí",E321,$C$172*E83)</f>
        <v>1.70763844848372</v>
      </c>
      <c r="F326" s="1" t="n">
        <f aca="false">IF(01_Supuestos!$C$184="Sí",F321,$C$172*F83)</f>
        <v>0.552881133134146</v>
      </c>
      <c r="G326" s="1" t="n">
        <f aca="false">IF(01_Supuestos!$C$184="Sí",G321,$C$172*G83)</f>
        <v>1.8711679047896</v>
      </c>
      <c r="H326" s="1" t="n">
        <f aca="false">IF(01_Supuestos!$C$184="Sí",H321,$C$172*H83)</f>
        <v>2.78494859449886</v>
      </c>
      <c r="I326" s="1" t="n">
        <f aca="false">IF(01_Supuestos!$C$184="Sí",I321,$C$172*I83)</f>
        <v>3.22923607094159</v>
      </c>
      <c r="J326" s="1" t="n">
        <f aca="false">IF(01_Supuestos!$C$184="Sí",J321,$C$172*J83)</f>
        <v>3.68483093900705</v>
      </c>
      <c r="K326" s="1" t="n">
        <f aca="false">IF(01_Supuestos!$C$184="Sí",K321,$C$172*K83)</f>
        <v>4.15199585116656</v>
      </c>
      <c r="L326" s="1" t="n">
        <f aca="false">IF(01_Supuestos!$C$184="Sí",L321,$C$172*L83)</f>
        <v>4.19151275054007</v>
      </c>
      <c r="M326" s="1" t="n">
        <f aca="false">IF(01_Supuestos!$C$184="Sí",M321,$C$172*M83)</f>
        <v>5.57782470623799</v>
      </c>
      <c r="N326" s="1" t="n">
        <f aca="false">IF(01_Supuestos!$C$184="Sí",N321,$C$172*N83)</f>
        <v>5.92364355637701</v>
      </c>
      <c r="O326" s="1" t="n">
        <f aca="false">IF(01_Supuestos!$C$184="Sí",O321,$C$172*O83)</f>
        <v>4.85004556488778</v>
      </c>
      <c r="P326" s="1" t="n">
        <f aca="false">IF(01_Supuestos!$C$184="Sí",P321,$C$172*P83)</f>
        <v>4.60227402335549</v>
      </c>
      <c r="Q326" s="1" t="n">
        <f aca="false">IF(01_Supuestos!$C$184="Sí",Q321,$C$172*Q83)</f>
        <v>4.71919603519368</v>
      </c>
      <c r="R326" s="1" t="n">
        <f aca="false">IF(01_Supuestos!$C$184="Sí",R321,$C$172*R83)</f>
        <v>4.83378709929275</v>
      </c>
      <c r="S326" s="1" t="n">
        <f aca="false">IF(01_Supuestos!$C$184="Sí",S321,$C$172*S83)</f>
        <v>4.95196077178906</v>
      </c>
      <c r="T326" s="1" t="n">
        <f aca="false">IF(01_Supuestos!$C$184="Sí",T321,$C$172*T83)</f>
        <v>5.07339981461563</v>
      </c>
      <c r="U326" s="1" t="n">
        <f aca="false">IF(01_Supuestos!$C$184="Sí",U321,$C$172*U83)</f>
        <v>5.19811825175289</v>
      </c>
      <c r="V326" s="1" t="n">
        <f aca="false">IF(01_Supuestos!$C$184="Sí",V321,$C$172*V83)</f>
        <v>5.32616018159511</v>
      </c>
      <c r="W326" s="1" t="n">
        <f aca="false">IF(01_Supuestos!$C$184="Sí",W321,$C$172*W83)</f>
        <v>5.45881858569055</v>
      </c>
      <c r="X326" s="1" t="n">
        <f aca="false">IF(01_Supuestos!$C$184="Sí",X321,$C$172*X83)</f>
        <v>5.58618356590238</v>
      </c>
      <c r="Y326" s="1" t="n">
        <f aca="false">IF(01_Supuestos!$C$184="Sí",Y321,$C$172*Y83)</f>
        <v>5.53314487208085</v>
      </c>
      <c r="Z326" s="1" t="n">
        <f aca="false">IF(01_Supuestos!$C$184="Sí",Z321,$C$172*Z83)</f>
        <v>5.54889302164293</v>
      </c>
      <c r="AA326" s="1" t="n">
        <f aca="false">IF(01_Supuestos!$C$184="Sí",AA321,$C$172*AA83)</f>
        <v>5.60710898386747</v>
      </c>
      <c r="AB326" s="1" t="n">
        <f aca="false">IF(01_Supuestos!$C$184="Sí",AB321,$C$172*AB83)</f>
        <v>5.66335145209905</v>
      </c>
      <c r="AC326" s="1" t="n">
        <f aca="false">IF(01_Supuestos!$C$184="Sí",AC321,$C$172*AC83)</f>
        <v>5.7200658983149</v>
      </c>
      <c r="AD326" s="1" t="n">
        <f aca="false">IF(01_Supuestos!$C$184="Sí",AD321,$C$172*AD83)</f>
        <v>5.77633903023972</v>
      </c>
      <c r="AE326" s="1" t="n">
        <f aca="false">IF(01_Supuestos!$C$184="Sí",AE321,$C$172*AE83)</f>
        <v>5.83120837507563</v>
      </c>
      <c r="AF326" s="1" t="n">
        <f aca="false">IF(01_Supuestos!$C$184="Sí",AF321,$C$172*AF83)</f>
        <v>5.88455200921453</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0.0752734378833043</v>
      </c>
      <c r="F327" s="1" t="n">
        <f aca="false">IF(01_Supuestos!$C$184="Sí",MAX(0.001,IF(E299&gt;0,E320/E299,$C$328*(1-$C$279))),$C$172)</f>
        <v>0.0841534654057974</v>
      </c>
      <c r="G327" s="1" t="n">
        <f aca="false">IF(01_Supuestos!$C$184="Sí",MAX(0.001,IF(F299&gt;0,F320/F299,$C$328*(1-$C$279))),$C$172)</f>
        <v>0.00510925585675595</v>
      </c>
      <c r="H327" s="1" t="n">
        <f aca="false">IF(01_Supuestos!$C$184="Sí",MAX(0.001,IF(G299&gt;0,G320/G299,$C$328*(1-$C$279))),$C$172)</f>
        <v>0.0943742802951787</v>
      </c>
      <c r="I327" s="1" t="n">
        <f aca="false">IF(01_Supuestos!$C$184="Sí",MAX(0.001,IF(H299&gt;0,H320/H299,$C$328*(1-$C$279))),$C$172)</f>
        <v>0.0997753471906708</v>
      </c>
      <c r="J327" s="1" t="n">
        <f aca="false">IF(01_Supuestos!$C$184="Sí",MAX(0.001,IF(I299&gt;0,I320/I299,$C$328*(1-$C$279))),$C$172)</f>
        <v>0.104295708056262</v>
      </c>
      <c r="K327" s="1" t="n">
        <f aca="false">IF(01_Supuestos!$C$184="Sí",MAX(0.001,IF(J299&gt;0,J320/J299,$C$328*(1-$C$279))),$C$172)</f>
        <v>0.108138426584341</v>
      </c>
      <c r="L327" s="1" t="n">
        <f aca="false">IF(01_Supuestos!$C$184="Sí",MAX(0.001,IF(K299&gt;0,K320/K299,$C$328*(1-$C$279))),$C$172)</f>
        <v>0.111448525149822</v>
      </c>
      <c r="M327" s="1" t="n">
        <f aca="false">IF(01_Supuestos!$C$184="Sí",MAX(0.001,IF(L299&gt;0,L320/L299,$C$328*(1-$C$279))),$C$172)</f>
        <v>0.114100791728506</v>
      </c>
      <c r="N327" s="1" t="n">
        <f aca="false">IF(01_Supuestos!$C$184="Sí",MAX(0.001,IF(M299&gt;0,M320/M299,$C$328*(1-$C$279))),$C$172)</f>
        <v>0.135876702813711</v>
      </c>
      <c r="O327" s="1" t="n">
        <f aca="false">IF(01_Supuestos!$C$184="Sí",MAX(0.001,IF(N299&gt;0,N320/N299,$C$328*(1-$C$279))),$C$172)</f>
        <v>0.14207896085038</v>
      </c>
      <c r="P327" s="1" t="n">
        <f aca="false">IF(01_Supuestos!$C$184="Sí",MAX(0.001,IF(O299&gt;0,O320/O299,$C$328*(1-$C$279))),$C$172)</f>
        <v>0.136282616691998</v>
      </c>
      <c r="Q327" s="1" t="n">
        <f aca="false">IF(01_Supuestos!$C$184="Sí",MAX(0.001,IF(P299&gt;0,P320/P299,$C$328*(1-$C$279))),$C$172)</f>
        <v>0.137201281327543</v>
      </c>
      <c r="R327" s="1" t="n">
        <f aca="false">IF(01_Supuestos!$C$184="Sí",MAX(0.001,IF(Q299&gt;0,Q320/Q299,$C$328*(1-$C$279))),$C$172)</f>
        <v>0.137316962277981</v>
      </c>
      <c r="S327" s="1" t="n">
        <f aca="false">IF(01_Supuestos!$C$184="Sí",MAX(0.001,IF(R299&gt;0,R320/R299,$C$328*(1-$C$279))),$C$172)</f>
        <v>0.137477687207152</v>
      </c>
      <c r="T327" s="1" t="n">
        <f aca="false">IF(01_Supuestos!$C$184="Sí",MAX(0.001,IF(S299&gt;0,S320/S299,$C$328*(1-$C$279))),$C$172)</f>
        <v>0.137647995937179</v>
      </c>
      <c r="U327" s="1" t="n">
        <f aca="false">IF(01_Supuestos!$C$184="Sí",MAX(0.001,IF(T299&gt;0,T320/T299,$C$328*(1-$C$279))),$C$172)</f>
        <v>0.13782329183992</v>
      </c>
      <c r="V327" s="1" t="n">
        <f aca="false">IF(01_Supuestos!$C$184="Sí",MAX(0.001,IF(U299&gt;0,U320/U299,$C$328*(1-$C$279))),$C$172)</f>
        <v>0.1380027039614</v>
      </c>
      <c r="W327" s="1" t="n">
        <f aca="false">IF(01_Supuestos!$C$184="Sí",MAX(0.001,IF(V299&gt;0,V320/V299,$C$328*(1-$C$279))),$C$172)</f>
        <v>0.138185364235671</v>
      </c>
      <c r="X327" s="1" t="n">
        <f aca="false">IF(01_Supuestos!$C$184="Sí",MAX(0.001,IF(W299&gt;0,W320/W299,$C$328*(1-$C$279))),$C$172)</f>
        <v>0.138412526408691</v>
      </c>
      <c r="Y327" s="1" t="n">
        <f aca="false">IF(01_Supuestos!$C$184="Sí",MAX(0.001,IF(X299&gt;0,X320/X299,$C$328*(1-$C$279))),$C$172)</f>
        <v>0.13870615271429</v>
      </c>
      <c r="Z327" s="1" t="n">
        <f aca="false">IF(01_Supuestos!$C$184="Sí",MAX(0.001,IF(Y299&gt;0,Y320/Y299,$C$328*(1-$C$279))),$C$172)</f>
        <v>0.140203908549608</v>
      </c>
      <c r="AA327" s="1" t="n">
        <f aca="false">IF(01_Supuestos!$C$184="Sí",MAX(0.001,IF(Z299&gt;0,Z320/Z299,$C$328*(1-$C$279))),$C$172)</f>
        <v>0.140406328448641</v>
      </c>
      <c r="AB327" s="1" t="n">
        <f aca="false">IF(01_Supuestos!$C$184="Sí",MAX(0.001,IF(AA299&gt;0,AA320/AA299,$C$328*(1-$C$279))),$C$172)</f>
        <v>0.140588996731263</v>
      </c>
      <c r="AC327" s="1" t="n">
        <f aca="false">IF(01_Supuestos!$C$184="Sí",MAX(0.001,IF(AB299&gt;0,AB320/AB299,$C$328*(1-$C$279))),$C$172)</f>
        <v>0.140762954266099</v>
      </c>
      <c r="AD327" s="1" t="n">
        <f aca="false">IF(01_Supuestos!$C$184="Sí",MAX(0.001,IF(AC299&gt;0,AC320/AC299,$C$328*(1-$C$279))),$C$172)</f>
        <v>0.140888577144723</v>
      </c>
      <c r="AE327" s="1" t="n">
        <f aca="false">IF(01_Supuestos!$C$184="Sí",MAX(0.001,IF(AD299&gt;0,AD320/AD299,$C$328*(1-$C$279))),$C$172)</f>
        <v>0.141004262959414</v>
      </c>
      <c r="AF327" s="1" t="n">
        <f aca="false">IF(01_Supuestos!$C$184="Sí",MAX(0.001,IF(AE299&gt;0,AE320/AE299,$C$328*(1-$C$279))),$C$172)</f>
        <v>0.141117212454551</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0.0525267273657028</v>
      </c>
      <c r="E330" s="1" t="n">
        <f aca="false">E343</f>
        <v>0.133153975866012</v>
      </c>
      <c r="F330" s="1" t="n">
        <f aca="false">F343</f>
        <v>0.221753828530839</v>
      </c>
      <c r="G330" s="1" t="n">
        <f aca="false">G343</f>
        <v>0.184021956819139</v>
      </c>
      <c r="H330" s="1" t="n">
        <f aca="false">H343</f>
        <v>0.304218956918925</v>
      </c>
      <c r="I330" s="1" t="n">
        <f aca="false">I343</f>
        <v>0.427511948104053</v>
      </c>
      <c r="J330" s="1" t="n">
        <f aca="false">J343</f>
        <v>0.553973232417441</v>
      </c>
      <c r="K330" s="1" t="n">
        <f aca="false">K343</f>
        <v>0.683676720136594</v>
      </c>
      <c r="L330" s="1" t="n">
        <f aca="false">L343</f>
        <v>0.816697969498624</v>
      </c>
      <c r="M330" s="1" t="n">
        <f aca="false">M343</f>
        <v>0.915227449509485</v>
      </c>
      <c r="N330" s="1" t="n">
        <f aca="false">N343</f>
        <v>1.11507646670707</v>
      </c>
      <c r="O330" s="1" t="n">
        <f aca="false">O343</f>
        <v>1.26203644259168</v>
      </c>
      <c r="P330" s="1" t="n">
        <f aca="false">P343</f>
        <v>1.28969972967866</v>
      </c>
      <c r="Q330" s="1" t="n">
        <f aca="false">Q343</f>
        <v>1.32021026773328</v>
      </c>
      <c r="R330" s="1" t="n">
        <f aca="false">R343</f>
        <v>1.35154975416082</v>
      </c>
      <c r="S330" s="1" t="n">
        <f aca="false">S343</f>
        <v>1.38382636171597</v>
      </c>
      <c r="T330" s="1" t="n">
        <f aca="false">T343</f>
        <v>1.41705926750951</v>
      </c>
      <c r="U330" s="1" t="n">
        <f aca="false">U343</f>
        <v>1.45125876508902</v>
      </c>
      <c r="V330" s="1" t="n">
        <f aca="false">V343</f>
        <v>1.4864358686932</v>
      </c>
      <c r="W330" s="1" t="n">
        <f aca="false">W343</f>
        <v>1.52260213686758</v>
      </c>
      <c r="X330" s="1" t="n">
        <f aca="false">X343</f>
        <v>1.55987723053112</v>
      </c>
      <c r="Y330" s="1" t="n">
        <f aca="false">Y343</f>
        <v>1.59746430518943</v>
      </c>
      <c r="Z330" s="1" t="n">
        <f aca="false">Z343</f>
        <v>1.61993761776631</v>
      </c>
      <c r="AA330" s="1" t="n">
        <f aca="false">AA343</f>
        <v>1.6415575784306</v>
      </c>
      <c r="AB330" s="1" t="n">
        <f aca="false">AB343</f>
        <v>1.66240894758795</v>
      </c>
      <c r="AC330" s="1" t="n">
        <f aca="false">AC343</f>
        <v>1.68251277760281</v>
      </c>
      <c r="AD330" s="1" t="n">
        <f aca="false">AD343</f>
        <v>1.70211211746063</v>
      </c>
      <c r="AE330" s="1" t="n">
        <f aca="false">AE343</f>
        <v>1.72124429040038</v>
      </c>
      <c r="AF330" s="1" t="n">
        <f aca="false">AF343</f>
        <v>1.739908280897</v>
      </c>
    </row>
    <row r="331" customFormat="false" ht="14.25" hidden="false" customHeight="true" outlineLevel="0" collapsed="false">
      <c r="B331" s="1" t="s">
        <v>1324</v>
      </c>
      <c r="C331" s="1" t="n">
        <f aca="false">C330*$C$338</f>
        <v>0</v>
      </c>
      <c r="D331" s="1" t="n">
        <f aca="false">D330*$C$338</f>
        <v>0.018384354577996</v>
      </c>
      <c r="E331" s="1" t="n">
        <f aca="false">E330*$C$338</f>
        <v>0.0466038915531042</v>
      </c>
      <c r="F331" s="1" t="n">
        <f aca="false">F330*$C$338</f>
        <v>0.0776138399857936</v>
      </c>
      <c r="G331" s="1" t="n">
        <f aca="false">G330*$C$338</f>
        <v>0.0644076848866987</v>
      </c>
      <c r="H331" s="1" t="n">
        <f aca="false">H330*$C$338</f>
        <v>0.106476634921624</v>
      </c>
      <c r="I331" s="1" t="n">
        <f aca="false">I330*$C$338</f>
        <v>0.149629181836419</v>
      </c>
      <c r="J331" s="1" t="n">
        <f aca="false">J330*$C$338</f>
        <v>0.193890631346104</v>
      </c>
      <c r="K331" s="1" t="n">
        <f aca="false">K330*$C$338</f>
        <v>0.239286852047808</v>
      </c>
      <c r="L331" s="1" t="n">
        <f aca="false">L330*$C$338</f>
        <v>0.285844289324518</v>
      </c>
      <c r="M331" s="1" t="n">
        <f aca="false">M330*$C$338</f>
        <v>0.32032960732832</v>
      </c>
      <c r="N331" s="1" t="n">
        <f aca="false">N330*$C$338</f>
        <v>0.390276763347476</v>
      </c>
      <c r="O331" s="1" t="n">
        <f aca="false">O330*$C$338</f>
        <v>0.441712754907089</v>
      </c>
      <c r="P331" s="1" t="n">
        <f aca="false">P330*$C$338</f>
        <v>0.45139490538753</v>
      </c>
      <c r="Q331" s="1" t="n">
        <f aca="false">Q330*$C$338</f>
        <v>0.462073593706646</v>
      </c>
      <c r="R331" s="1" t="n">
        <f aca="false">R330*$C$338</f>
        <v>0.473042413956288</v>
      </c>
      <c r="S331" s="1" t="n">
        <f aca="false">S330*$C$338</f>
        <v>0.484339226600589</v>
      </c>
      <c r="T331" s="1" t="n">
        <f aca="false">T330*$C$338</f>
        <v>0.495970743628327</v>
      </c>
      <c r="U331" s="1" t="n">
        <f aca="false">U330*$C$338</f>
        <v>0.507940567781156</v>
      </c>
      <c r="V331" s="1" t="n">
        <f aca="false">V330*$C$338</f>
        <v>0.520252554042621</v>
      </c>
      <c r="W331" s="1" t="n">
        <f aca="false">W330*$C$338</f>
        <v>0.532910747903653</v>
      </c>
      <c r="X331" s="1" t="n">
        <f aca="false">X330*$C$338</f>
        <v>0.545957030685892</v>
      </c>
      <c r="Y331" s="1" t="n">
        <f aca="false">Y330*$C$338</f>
        <v>0.559112506816301</v>
      </c>
      <c r="Z331" s="1" t="n">
        <f aca="false">Z330*$C$338</f>
        <v>0.566978166218207</v>
      </c>
      <c r="AA331" s="1" t="n">
        <f aca="false">AA330*$C$338</f>
        <v>0.57454515245071</v>
      </c>
      <c r="AB331" s="1" t="n">
        <f aca="false">AB330*$C$338</f>
        <v>0.581843131655784</v>
      </c>
      <c r="AC331" s="1" t="n">
        <f aca="false">AC330*$C$338</f>
        <v>0.588879472160982</v>
      </c>
      <c r="AD331" s="1" t="n">
        <f aca="false">AD330*$C$338</f>
        <v>0.59573924111122</v>
      </c>
      <c r="AE331" s="1" t="n">
        <f aca="false">AE330*$C$338</f>
        <v>0.602435501640133</v>
      </c>
      <c r="AF331" s="1" t="n">
        <f aca="false">AF330*$C$338</f>
        <v>0.608967898313949</v>
      </c>
    </row>
    <row r="332" customFormat="false" ht="14.25" hidden="false" customHeight="true" outlineLevel="0" collapsed="false">
      <c r="B332" s="1" t="s">
        <v>1325</v>
      </c>
      <c r="C332" s="1" t="n">
        <f aca="false">IF($C$339&lt;=0,C331,IF($C$339=1,0,0))</f>
        <v>0</v>
      </c>
      <c r="D332" s="1" t="n">
        <f aca="false">IF($C$339&lt;=0,D331,IF($C$339=1,C331,0))</f>
        <v>0.018384354577996</v>
      </c>
      <c r="E332" s="1" t="n">
        <f aca="false">IF($C$339&lt;=0,E331,IF($C$339=1,D331,C331))</f>
        <v>0.0466038915531042</v>
      </c>
      <c r="F332" s="1" t="n">
        <f aca="false">IF($C$339&lt;=0,F331,IF($C$339=1,E331,D331))</f>
        <v>0.0776138399857936</v>
      </c>
      <c r="G332" s="1" t="n">
        <f aca="false">IF($C$339&lt;=0,G331,IF($C$339=1,F331,E331))</f>
        <v>0.0644076848866987</v>
      </c>
      <c r="H332" s="1" t="n">
        <f aca="false">IF($C$339&lt;=0,H331,IF($C$339=1,G331,F331))</f>
        <v>0.106476634921624</v>
      </c>
      <c r="I332" s="1" t="n">
        <f aca="false">IF($C$339&lt;=0,I331,IF($C$339=1,H331,G331))</f>
        <v>0.149629181836419</v>
      </c>
      <c r="J332" s="1" t="n">
        <f aca="false">IF($C$339&lt;=0,J331,IF($C$339=1,I331,H331))</f>
        <v>0.193890631346104</v>
      </c>
      <c r="K332" s="1" t="n">
        <f aca="false">IF($C$339&lt;=0,K331,IF($C$339=1,J331,I331))</f>
        <v>0.239286852047808</v>
      </c>
      <c r="L332" s="1" t="n">
        <f aca="false">IF($C$339&lt;=0,L331,IF($C$339=1,K331,J331))</f>
        <v>0.285844289324518</v>
      </c>
      <c r="M332" s="1" t="n">
        <f aca="false">IF($C$339&lt;=0,M331,IF($C$339=1,L331,K331))</f>
        <v>0.32032960732832</v>
      </c>
      <c r="N332" s="1" t="n">
        <f aca="false">IF($C$339&lt;=0,N331,IF($C$339=1,M331,L331))</f>
        <v>0.390276763347476</v>
      </c>
      <c r="O332" s="1" t="n">
        <f aca="false">IF($C$339&lt;=0,O331,IF($C$339=1,N331,M331))</f>
        <v>0.441712754907089</v>
      </c>
      <c r="P332" s="1" t="n">
        <f aca="false">IF($C$339&lt;=0,P331,IF($C$339=1,O331,N331))</f>
        <v>0.45139490538753</v>
      </c>
      <c r="Q332" s="1" t="n">
        <f aca="false">IF($C$339&lt;=0,Q331,IF($C$339=1,P331,O331))</f>
        <v>0.462073593706646</v>
      </c>
      <c r="R332" s="1" t="n">
        <f aca="false">IF($C$339&lt;=0,R331,IF($C$339=1,Q331,P331))</f>
        <v>0.473042413956288</v>
      </c>
      <c r="S332" s="1" t="n">
        <f aca="false">IF($C$339&lt;=0,S331,IF($C$339=1,R331,Q331))</f>
        <v>0.484339226600589</v>
      </c>
      <c r="T332" s="1" t="n">
        <f aca="false">IF($C$339&lt;=0,T331,IF($C$339=1,S331,R331))</f>
        <v>0.495970743628327</v>
      </c>
      <c r="U332" s="1" t="n">
        <f aca="false">IF($C$339&lt;=0,U331,IF($C$339=1,T331,S331))</f>
        <v>0.507940567781156</v>
      </c>
      <c r="V332" s="1" t="n">
        <f aca="false">IF($C$339&lt;=0,V331,IF($C$339=1,U331,T331))</f>
        <v>0.520252554042621</v>
      </c>
      <c r="W332" s="1" t="n">
        <f aca="false">IF($C$339&lt;=0,W331,IF($C$339=1,V331,U331))</f>
        <v>0.532910747903653</v>
      </c>
      <c r="X332" s="1" t="n">
        <f aca="false">IF($C$339&lt;=0,X331,IF($C$339=1,W331,V331))</f>
        <v>0.545957030685892</v>
      </c>
      <c r="Y332" s="1" t="n">
        <f aca="false">IF($C$339&lt;=0,Y331,IF($C$339=1,X331,W331))</f>
        <v>0.559112506816301</v>
      </c>
      <c r="Z332" s="1" t="n">
        <f aca="false">IF($C$339&lt;=0,Z331,IF($C$339=1,Y331,X331))</f>
        <v>0.566978166218207</v>
      </c>
      <c r="AA332" s="1" t="n">
        <f aca="false">IF($C$339&lt;=0,AA331,IF($C$339=1,Z331,Y331))</f>
        <v>0.57454515245071</v>
      </c>
      <c r="AB332" s="1" t="n">
        <f aca="false">IF($C$339&lt;=0,AB331,IF($C$339=1,AA331,Z331))</f>
        <v>0.581843131655784</v>
      </c>
      <c r="AC332" s="1" t="n">
        <f aca="false">IF($C$339&lt;=0,AC331,IF($C$339=1,AB331,AA331))</f>
        <v>0.588879472160982</v>
      </c>
      <c r="AD332" s="1" t="n">
        <f aca="false">IF($C$339&lt;=0,AD331,IF($C$339=1,AC331,AB331))</f>
        <v>0.59573924111122</v>
      </c>
      <c r="AE332" s="1" t="n">
        <f aca="false">IF($C$339&lt;=0,AE331,IF($C$339=1,AD331,AC331))</f>
        <v>0.602435501640133</v>
      </c>
      <c r="AF332" s="1" t="n">
        <f aca="false">IF($C$339&lt;=0,AF331,IF($C$339=1,AE331,AD331))</f>
        <v>0.608967898313949</v>
      </c>
    </row>
    <row r="333" customFormat="false" ht="14.25" hidden="false" customHeight="true" outlineLevel="0" collapsed="false">
      <c r="B333" s="1" t="s">
        <v>1326</v>
      </c>
      <c r="C333" s="1" t="n">
        <f aca="false">C330-C331</f>
        <v>0</v>
      </c>
      <c r="D333" s="1" t="n">
        <f aca="false">D330-D331</f>
        <v>0.0341423727877068</v>
      </c>
      <c r="E333" s="1" t="n">
        <f aca="false">E330-E331</f>
        <v>0.0865500843129078</v>
      </c>
      <c r="F333" s="1" t="n">
        <f aca="false">F330-F331</f>
        <v>0.144139988545045</v>
      </c>
      <c r="G333" s="1" t="n">
        <f aca="false">G330-G331</f>
        <v>0.11961427193244</v>
      </c>
      <c r="H333" s="1" t="n">
        <f aca="false">H330-H331</f>
        <v>0.197742321997301</v>
      </c>
      <c r="I333" s="1" t="n">
        <f aca="false">I330-I331</f>
        <v>0.277882766267635</v>
      </c>
      <c r="J333" s="1" t="n">
        <f aca="false">J330-J331</f>
        <v>0.360082601071337</v>
      </c>
      <c r="K333" s="1" t="n">
        <f aca="false">K330-K331</f>
        <v>0.444389868088786</v>
      </c>
      <c r="L333" s="1" t="n">
        <f aca="false">L330-L331</f>
        <v>0.530853680174106</v>
      </c>
      <c r="M333" s="1" t="n">
        <f aca="false">M330-M331</f>
        <v>0.594897842181165</v>
      </c>
      <c r="N333" s="1" t="n">
        <f aca="false">N330-N331</f>
        <v>0.724799703359598</v>
      </c>
      <c r="O333" s="1" t="n">
        <f aca="false">O330-O331</f>
        <v>0.820323687684593</v>
      </c>
      <c r="P333" s="1" t="n">
        <f aca="false">P330-P331</f>
        <v>0.838304824291126</v>
      </c>
      <c r="Q333" s="1" t="n">
        <f aca="false">Q330-Q331</f>
        <v>0.858136674026629</v>
      </c>
      <c r="R333" s="1" t="n">
        <f aca="false">R330-R331</f>
        <v>0.878507340204534</v>
      </c>
      <c r="S333" s="1" t="n">
        <f aca="false">S330-S331</f>
        <v>0.899487135115379</v>
      </c>
      <c r="T333" s="1" t="n">
        <f aca="false">T330-T331</f>
        <v>0.92108852388118</v>
      </c>
      <c r="U333" s="1" t="n">
        <f aca="false">U330-U331</f>
        <v>0.943318197307861</v>
      </c>
      <c r="V333" s="1" t="n">
        <f aca="false">V330-V331</f>
        <v>0.966183314650582</v>
      </c>
      <c r="W333" s="1" t="n">
        <f aca="false">W330-W331</f>
        <v>0.989691388963927</v>
      </c>
      <c r="X333" s="1" t="n">
        <f aca="false">X330-X331</f>
        <v>1.01392019984523</v>
      </c>
      <c r="Y333" s="1" t="n">
        <f aca="false">Y330-Y331</f>
        <v>1.03835179837313</v>
      </c>
      <c r="Z333" s="1" t="n">
        <f aca="false">Z330-Z331</f>
        <v>1.0529594515481</v>
      </c>
      <c r="AA333" s="1" t="n">
        <f aca="false">AA330-AA331</f>
        <v>1.06701242597989</v>
      </c>
      <c r="AB333" s="1" t="n">
        <f aca="false">AB330-AB331</f>
        <v>1.08056581593217</v>
      </c>
      <c r="AC333" s="1" t="n">
        <f aca="false">AC330-AC331</f>
        <v>1.09363330544182</v>
      </c>
      <c r="AD333" s="1" t="n">
        <f aca="false">AD330-AD331</f>
        <v>1.10637287634941</v>
      </c>
      <c r="AE333" s="1" t="n">
        <f aca="false">AE330-AE331</f>
        <v>1.11880878876025</v>
      </c>
      <c r="AF333" s="1" t="n">
        <f aca="false">AF330-AF331</f>
        <v>1.13094038258305</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01_Supuestos!$C$191</f>
        <v>0.35</v>
      </c>
      <c r="D338" s="1" t="s">
        <v>1347</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0.0220612254935952</v>
      </c>
      <c r="E341" s="1" t="n">
        <f aca="false">D284*$C$340</f>
        <v>0.0559246698637251</v>
      </c>
      <c r="F341" s="1" t="n">
        <f aca="false">E284*$C$340</f>
        <v>0.0931366079829524</v>
      </c>
      <c r="G341" s="1" t="n">
        <f aca="false">F284*$C$340</f>
        <v>0.0772892218640384</v>
      </c>
      <c r="H341" s="1" t="n">
        <f aca="false">G284*$C$340</f>
        <v>0.127771961905949</v>
      </c>
      <c r="I341" s="1" t="n">
        <f aca="false">H284*$C$340</f>
        <v>0.179555018203702</v>
      </c>
      <c r="J341" s="1" t="n">
        <f aca="false">I284*$C$340</f>
        <v>0.232668757615325</v>
      </c>
      <c r="K341" s="1" t="n">
        <f aca="false">J284*$C$340</f>
        <v>0.28714422245737</v>
      </c>
      <c r="L341" s="1" t="n">
        <f aca="false">K284*$C$340</f>
        <v>0.343013147189422</v>
      </c>
      <c r="M341" s="1" t="n">
        <f aca="false">L284*$C$340</f>
        <v>0.384395528793984</v>
      </c>
      <c r="N341" s="1" t="n">
        <f aca="false">M284*$C$340</f>
        <v>0.468332116016971</v>
      </c>
      <c r="O341" s="1" t="n">
        <f aca="false">N284*$C$340</f>
        <v>0.530055305888506</v>
      </c>
      <c r="P341" s="1" t="n">
        <f aca="false">O284*$C$340</f>
        <v>0.541673886465035</v>
      </c>
      <c r="Q341" s="1" t="n">
        <f aca="false">P284*$C$340</f>
        <v>0.554488312447976</v>
      </c>
      <c r="R341" s="1" t="n">
        <f aca="false">Q284*$C$340</f>
        <v>0.567650896747545</v>
      </c>
      <c r="S341" s="1" t="n">
        <f aca="false">R284*$C$340</f>
        <v>0.581207071920706</v>
      </c>
      <c r="T341" s="1" t="n">
        <f aca="false">S284*$C$340</f>
        <v>0.595164892353993</v>
      </c>
      <c r="U341" s="1" t="n">
        <f aca="false">T284*$C$340</f>
        <v>0.609528681337387</v>
      </c>
      <c r="V341" s="1" t="n">
        <f aca="false">U284*$C$340</f>
        <v>0.624303064851145</v>
      </c>
      <c r="W341" s="1" t="n">
        <f aca="false">V284*$C$340</f>
        <v>0.639492897484384</v>
      </c>
      <c r="X341" s="1" t="n">
        <f aca="false">W284*$C$340</f>
        <v>0.65514843682307</v>
      </c>
      <c r="Y341" s="1" t="n">
        <f aca="false">X284*$C$340</f>
        <v>0.670935008179561</v>
      </c>
      <c r="Z341" s="1" t="n">
        <f aca="false">Y284*$C$340</f>
        <v>0.680373799461849</v>
      </c>
      <c r="AA341" s="1" t="n">
        <f aca="false">Z284*$C$340</f>
        <v>0.689454182940852</v>
      </c>
      <c r="AB341" s="1" t="n">
        <f aca="false">AA284*$C$340</f>
        <v>0.698211757986941</v>
      </c>
      <c r="AC341" s="1" t="n">
        <f aca="false">AB284*$C$340</f>
        <v>0.706655366593178</v>
      </c>
      <c r="AD341" s="1" t="n">
        <f aca="false">AC284*$C$340</f>
        <v>0.714887089333464</v>
      </c>
      <c r="AE341" s="1" t="n">
        <f aca="false">AD284*$C$340</f>
        <v>0.72292260196816</v>
      </c>
      <c r="AF341" s="1" t="n">
        <f aca="false">AE284*$C$340</f>
        <v>0.730761477976738</v>
      </c>
    </row>
    <row r="342" customFormat="false" ht="14.25" hidden="false" customHeight="true" outlineLevel="0" collapsed="false">
      <c r="B342" s="1" t="s">
        <v>1336</v>
      </c>
      <c r="C342" s="1" t="n">
        <f aca="false">0*$C$340</f>
        <v>0</v>
      </c>
      <c r="D342" s="1" t="n">
        <f aca="false">C289*$C$340</f>
        <v>0.0304655018721076</v>
      </c>
      <c r="E342" s="1" t="n">
        <f aca="false">D289*$C$340</f>
        <v>0.077229306002287</v>
      </c>
      <c r="F342" s="1" t="n">
        <f aca="false">E289*$C$340</f>
        <v>0.128617220547887</v>
      </c>
      <c r="G342" s="1" t="n">
        <f aca="false">F289*$C$340</f>
        <v>0.106732734955101</v>
      </c>
      <c r="H342" s="1" t="n">
        <f aca="false">G289*$C$340</f>
        <v>0.176446995012977</v>
      </c>
      <c r="I342" s="1" t="n">
        <f aca="false">H289*$C$340</f>
        <v>0.247956929900351</v>
      </c>
      <c r="J342" s="1" t="n">
        <f aca="false">I289*$C$340</f>
        <v>0.321304474802116</v>
      </c>
      <c r="K342" s="1" t="n">
        <f aca="false">J289*$C$340</f>
        <v>0.396532497679225</v>
      </c>
      <c r="L342" s="1" t="n">
        <f aca="false">K289*$C$340</f>
        <v>0.473684822309202</v>
      </c>
      <c r="M342" s="1" t="n">
        <f aca="false">L289*$C$340</f>
        <v>0.530831920715501</v>
      </c>
      <c r="N342" s="1" t="n">
        <f aca="false">M289*$C$340</f>
        <v>0.646744350690103</v>
      </c>
      <c r="O342" s="1" t="n">
        <f aca="false">N289*$C$340</f>
        <v>0.731981136703175</v>
      </c>
      <c r="P342" s="1" t="n">
        <f aca="false">O289*$C$340</f>
        <v>0.748025843213621</v>
      </c>
      <c r="Q342" s="1" t="n">
        <f aca="false">P289*$C$340</f>
        <v>0.7657219552853</v>
      </c>
      <c r="R342" s="1" t="n">
        <f aca="false">Q289*$C$340</f>
        <v>0.783898857413277</v>
      </c>
      <c r="S342" s="1" t="n">
        <f aca="false">R289*$C$340</f>
        <v>0.802619289795261</v>
      </c>
      <c r="T342" s="1" t="n">
        <f aca="false">S289*$C$340</f>
        <v>0.821894375155514</v>
      </c>
      <c r="U342" s="1" t="n">
        <f aca="false">T289*$C$340</f>
        <v>0.84173008375163</v>
      </c>
      <c r="V342" s="1" t="n">
        <f aca="false">U289*$C$340</f>
        <v>0.862132803842058</v>
      </c>
      <c r="W342" s="1" t="n">
        <f aca="false">V289*$C$340</f>
        <v>0.883109239383197</v>
      </c>
      <c r="X342" s="1" t="n">
        <f aca="false">W289*$C$340</f>
        <v>0.904728793708049</v>
      </c>
      <c r="Y342" s="1" t="n">
        <f aca="false">X289*$C$340</f>
        <v>0.92652929700987</v>
      </c>
      <c r="Z342" s="1" t="n">
        <f aca="false">Y289*$C$340</f>
        <v>0.939563818304458</v>
      </c>
      <c r="AA342" s="1" t="n">
        <f aca="false">Z289*$C$340</f>
        <v>0.952103395489749</v>
      </c>
      <c r="AB342" s="1" t="n">
        <f aca="false">AA289*$C$340</f>
        <v>0.964197189601014</v>
      </c>
      <c r="AC342" s="1" t="n">
        <f aca="false">AB289*$C$340</f>
        <v>0.975857411009628</v>
      </c>
      <c r="AD342" s="1" t="n">
        <f aca="false">AC289*$C$340</f>
        <v>0.987225028127164</v>
      </c>
      <c r="AE342" s="1" t="n">
        <f aca="false">AD289*$C$340</f>
        <v>0.998321688432221</v>
      </c>
      <c r="AF342" s="1" t="n">
        <f aca="false">AE289*$C$340</f>
        <v>1.00914680292026</v>
      </c>
    </row>
    <row r="343" customFormat="false" ht="14.25" hidden="false" customHeight="true" outlineLevel="0" collapsed="false">
      <c r="B343" s="1" t="s">
        <v>1337</v>
      </c>
      <c r="C343" s="1" t="n">
        <f aca="false">C341+C342</f>
        <v>0</v>
      </c>
      <c r="D343" s="1" t="n">
        <f aca="false">D341+D342</f>
        <v>0.0525267273657028</v>
      </c>
      <c r="E343" s="1" t="n">
        <f aca="false">E341+E342</f>
        <v>0.133153975866012</v>
      </c>
      <c r="F343" s="1" t="n">
        <f aca="false">F341+F342</f>
        <v>0.221753828530839</v>
      </c>
      <c r="G343" s="1" t="n">
        <f aca="false">G341+G342</f>
        <v>0.184021956819139</v>
      </c>
      <c r="H343" s="1" t="n">
        <f aca="false">H341+H342</f>
        <v>0.304218956918925</v>
      </c>
      <c r="I343" s="1" t="n">
        <f aca="false">I341+I342</f>
        <v>0.427511948104053</v>
      </c>
      <c r="J343" s="1" t="n">
        <f aca="false">J341+J342</f>
        <v>0.553973232417441</v>
      </c>
      <c r="K343" s="1" t="n">
        <f aca="false">K341+K342</f>
        <v>0.683676720136594</v>
      </c>
      <c r="L343" s="1" t="n">
        <f aca="false">L341+L342</f>
        <v>0.816697969498624</v>
      </c>
      <c r="M343" s="1" t="n">
        <f aca="false">M341+M342</f>
        <v>0.915227449509485</v>
      </c>
      <c r="N343" s="1" t="n">
        <f aca="false">N341+N342</f>
        <v>1.11507646670707</v>
      </c>
      <c r="O343" s="1" t="n">
        <f aca="false">O341+O342</f>
        <v>1.26203644259168</v>
      </c>
      <c r="P343" s="1" t="n">
        <f aca="false">P341+P342</f>
        <v>1.28969972967866</v>
      </c>
      <c r="Q343" s="1" t="n">
        <f aca="false">Q341+Q342</f>
        <v>1.32021026773328</v>
      </c>
      <c r="R343" s="1" t="n">
        <f aca="false">R341+R342</f>
        <v>1.35154975416082</v>
      </c>
      <c r="S343" s="1" t="n">
        <f aca="false">S341+S342</f>
        <v>1.38382636171597</v>
      </c>
      <c r="T343" s="1" t="n">
        <f aca="false">T341+T342</f>
        <v>1.41705926750951</v>
      </c>
      <c r="U343" s="1" t="n">
        <f aca="false">U341+U342</f>
        <v>1.45125876508902</v>
      </c>
      <c r="V343" s="1" t="n">
        <f aca="false">V341+V342</f>
        <v>1.4864358686932</v>
      </c>
      <c r="W343" s="1" t="n">
        <f aca="false">W341+W342</f>
        <v>1.52260213686758</v>
      </c>
      <c r="X343" s="1" t="n">
        <f aca="false">X341+X342</f>
        <v>1.55987723053112</v>
      </c>
      <c r="Y343" s="1" t="n">
        <f aca="false">Y341+Y342</f>
        <v>1.59746430518943</v>
      </c>
      <c r="Z343" s="1" t="n">
        <f aca="false">Z341+Z342</f>
        <v>1.61993761776631</v>
      </c>
      <c r="AA343" s="1" t="n">
        <f aca="false">AA341+AA342</f>
        <v>1.6415575784306</v>
      </c>
      <c r="AB343" s="1" t="n">
        <f aca="false">AB341+AB342</f>
        <v>1.66240894758795</v>
      </c>
      <c r="AC343" s="1" t="n">
        <f aca="false">AC341+AC342</f>
        <v>1.68251277760281</v>
      </c>
      <c r="AD343" s="1" t="n">
        <f aca="false">AD341+AD342</f>
        <v>1.70211211746063</v>
      </c>
      <c r="AE343" s="1" t="n">
        <f aca="false">AE341+AE342</f>
        <v>1.72124429040038</v>
      </c>
      <c r="AF343" s="1" t="n">
        <f aca="false">AF341+AF342</f>
        <v>1.739908280897</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1390</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161.643402065657</v>
      </c>
      <c r="L72" s="116" t="n">
        <f aca="false">IF($C$173="Sí",(L83-L326)+L181,$C$15*K83)</f>
        <v>165.881316273354</v>
      </c>
      <c r="M72" s="116" t="n">
        <f aca="false">IF($C$173="Sí",(M83-M326)+M181,$C$15*L83)</f>
        <v>168.627522750894</v>
      </c>
      <c r="N72" s="116" t="n">
        <f aca="false">IF($C$173="Sí",(N83-N326)+N181,$C$15*M83)</f>
        <v>172.251687098407</v>
      </c>
      <c r="O72" s="116" t="n">
        <f aca="false">IF($C$173="Sí",(O83-O326)+O181,$C$15*N83)</f>
        <v>176.865304612913</v>
      </c>
      <c r="P72" s="116" t="n">
        <f aca="false">IF($C$173="Sí",(P83-P326)+P181,$C$15*O83)</f>
        <v>181.115015043248</v>
      </c>
      <c r="Q72" s="116" t="n">
        <f aca="false">IF($C$173="Sí",(Q83-Q326)+Q181,$C$15*P83)</f>
        <v>185.270448320947</v>
      </c>
      <c r="R72" s="116" t="n">
        <f aca="false">IF($C$173="Sí",(R83-R326)+R181,$C$15*Q83)</f>
        <v>189.526407699227</v>
      </c>
      <c r="S72" s="116" t="n">
        <f aca="false">IF($C$173="Sí",(S83-S326)+S181,$C$15*R83)</f>
        <v>193.879460899486</v>
      </c>
      <c r="T72" s="116" t="n">
        <f aca="false">IF($C$173="Sí",(T83-T326)+T181,$C$15*S83)</f>
        <v>198.332157283487</v>
      </c>
      <c r="U72" s="116" t="n">
        <f aca="false">IF($C$173="Sí",(U83-U326)+U181,$C$15*T83)</f>
        <v>202.886832619854</v>
      </c>
      <c r="V72" s="116" t="n">
        <f aca="false">IF($C$173="Sí",(V83-V326)+V181,$C$15*U83)</f>
        <v>207.5458607189</v>
      </c>
      <c r="W72" s="116" t="n">
        <f aca="false">IF($C$173="Sí",(W83-W326)+W181,$C$15*V83)</f>
        <v>212.310461735042</v>
      </c>
      <c r="X72" s="116" t="n">
        <f aca="false">IF($C$173="Sí",(X83-X326)+X181,$C$15*W83)</f>
        <v>217.183688557351</v>
      </c>
      <c r="Y72" s="116" t="n">
        <f aca="false">IF($C$173="Sí",(Y83-Y326)+Y181,$C$15*X83)</f>
        <v>222.168703005438</v>
      </c>
      <c r="Z72" s="116" t="n">
        <f aca="false">IF($C$173="Sí",(Z83-Z326)+Z181,$C$15*Y83)</f>
        <v>227.268326563586</v>
      </c>
      <c r="AA72" s="116" t="n">
        <f aca="false">IF($C$173="Sí",(AA83-AA326)+AA181,$C$15*Z83)</f>
        <v>232.484854362617</v>
      </c>
      <c r="AB72" s="116" t="n">
        <f aca="false">IF($C$173="Sí",(AB83-AB326)+AB181,$C$15*AA83)</f>
        <v>237.820874983189</v>
      </c>
      <c r="AC72" s="116" t="n">
        <f aca="false">IF($C$173="Sí",(AC83-AC326)+AC181,$C$15*AB83)</f>
        <v>243.279153823326</v>
      </c>
      <c r="AD72" s="116" t="n">
        <f aca="false">IF($C$173="Sí",(AD83-AD326)+AD181,$C$15*AC83)</f>
        <v>248.862512578294</v>
      </c>
      <c r="AE72" s="116" t="n">
        <f aca="false">IF($C$173="Sí",(AE83-AE326)+AE181,$C$15*AD83)</f>
        <v>254.573837850532</v>
      </c>
      <c r="AF72" s="116" t="n">
        <f aca="false">IF($C$173="Sí",(AF83-AF326)+AF181,$C$15*AE83)</f>
        <v>260.416082640363</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6.75496469753023</v>
      </c>
      <c r="L73" s="116" t="n">
        <f aca="false">L72-K72</f>
        <v>4.23791420769706</v>
      </c>
      <c r="M73" s="116" t="n">
        <f aca="false">M72-L72</f>
        <v>2.74620647753969</v>
      </c>
      <c r="N73" s="116" t="n">
        <f aca="false">N72-M72</f>
        <v>3.6241643475131</v>
      </c>
      <c r="O73" s="116" t="n">
        <f aca="false">O72-N72</f>
        <v>4.61361751450562</v>
      </c>
      <c r="P73" s="116" t="n">
        <f aca="false">P72-O72</f>
        <v>4.24971043033497</v>
      </c>
      <c r="Q73" s="116" t="n">
        <f aca="false">Q72-P72</f>
        <v>4.15543327769893</v>
      </c>
      <c r="R73" s="116" t="n">
        <f aca="false">R72-Q72</f>
        <v>4.2559593782799</v>
      </c>
      <c r="S73" s="116" t="n">
        <f aca="false">S72-R72</f>
        <v>4.3530532002593</v>
      </c>
      <c r="T73" s="116" t="n">
        <f aca="false">T72-S72</f>
        <v>4.45269638400146</v>
      </c>
      <c r="U73" s="116" t="n">
        <f aca="false">U72-T72</f>
        <v>4.5546753363665</v>
      </c>
      <c r="V73" s="116" t="n">
        <f aca="false">V72-U72</f>
        <v>4.65902809904651</v>
      </c>
      <c r="W73" s="116" t="n">
        <f aca="false">W72-V72</f>
        <v>4.76460101614165</v>
      </c>
      <c r="X73" s="116" t="n">
        <f aca="false">X72-W72</f>
        <v>4.87322682230888</v>
      </c>
      <c r="Y73" s="116" t="n">
        <f aca="false">Y72-X72</f>
        <v>4.98501444808727</v>
      </c>
      <c r="Z73" s="116" t="n">
        <f aca="false">Z72-Y72</f>
        <v>5.0996235581475</v>
      </c>
      <c r="AA73" s="116" t="n">
        <f aca="false">AA72-Z72</f>
        <v>5.2165277990317</v>
      </c>
      <c r="AB73" s="116" t="n">
        <f aca="false">AB72-AA72</f>
        <v>5.33602062057145</v>
      </c>
      <c r="AC73" s="116" t="n">
        <f aca="false">AC72-AB72</f>
        <v>5.45827884013704</v>
      </c>
      <c r="AD73" s="116" t="n">
        <f aca="false">AD72-AC72</f>
        <v>5.58335875496775</v>
      </c>
      <c r="AE73" s="116" t="n">
        <f aca="false">AE72-AD72</f>
        <v>5.71132527223827</v>
      </c>
      <c r="AF73" s="116" t="n">
        <f aca="false">AF72-AE72</f>
        <v>5.84224478983157</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17.4857925665935</v>
      </c>
      <c r="N75" s="116" t="n">
        <f aca="false">$C$19*M81</f>
        <v>18.0696947920153</v>
      </c>
      <c r="O75" s="116" t="n">
        <f aca="false">$C$19*N81</f>
        <v>18.639001177397</v>
      </c>
      <c r="P75" s="116" t="n">
        <f aca="false">$C$19*O81</f>
        <v>19.168317451483</v>
      </c>
      <c r="Q75" s="116" t="n">
        <f aca="false">$C$19*P81</f>
        <v>19.5667165885166</v>
      </c>
      <c r="R75" s="116" t="n">
        <f aca="false">$C$19*Q81</f>
        <v>19.9650796241461</v>
      </c>
      <c r="S75" s="116" t="n">
        <f aca="false">$C$19*R81</f>
        <v>20.3586546189406</v>
      </c>
      <c r="T75" s="116" t="n">
        <f aca="false">$C$19*S81</f>
        <v>20.7477732560556</v>
      </c>
      <c r="U75" s="116" t="n">
        <f aca="false">$C$19*T81</f>
        <v>21.1330904310129</v>
      </c>
      <c r="V75" s="116" t="n">
        <f aca="false">$C$19*U81</f>
        <v>21.5152419835939</v>
      </c>
      <c r="W75" s="116" t="n">
        <f aca="false">$C$19*V81</f>
        <v>21.8948564341738</v>
      </c>
      <c r="X75" s="116" t="n">
        <f aca="false">$C$19*W81</f>
        <v>22.2656134612781</v>
      </c>
      <c r="Y75" s="116" t="n">
        <f aca="false">$C$19*X81</f>
        <v>22.6281692349062</v>
      </c>
      <c r="Z75" s="116" t="n">
        <f aca="false">$C$19*Y81</f>
        <v>22.9848803258534</v>
      </c>
      <c r="AA75" s="116" t="n">
        <f aca="false">$C$19*Z81</f>
        <v>23.3384660066368</v>
      </c>
      <c r="AB75" s="116" t="n">
        <f aca="false">$C$19*AA81</f>
        <v>23.6889028047803</v>
      </c>
      <c r="AC75" s="116" t="n">
        <f aca="false">$C$19*AB81</f>
        <v>24.0363251161315</v>
      </c>
      <c r="AD75" s="116" t="n">
        <f aca="false">$C$19*AC81</f>
        <v>24.3808709190196</v>
      </c>
      <c r="AE75" s="116" t="n">
        <f aca="false">$C$19*AD81</f>
        <v>24.7226818003692</v>
      </c>
      <c r="AF75" s="116" t="n">
        <f aca="false">$C$19*AE81</f>
        <v>25.0619029842338</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649.988715964279</v>
      </c>
      <c r="F76" s="116" t="n">
        <f aca="false">(IF($C$173="Sí",(MAX(0,F74-E96)+MAX(0,E276+F53-F75))/F327,F73+MAX(0,F74-E96)+MAX(0,E276+F53-F75)))+IF($C$173="Sí",MAX(0,$C$226*(F70+E121)*0.3/0.55-E227)/F327,0)</f>
        <v>763.012780646039</v>
      </c>
      <c r="G76" s="116" t="n">
        <f aca="false">(IF($C$173="Sí",(MAX(0,G74-F96)+MAX(0,F276+G53-G75))/G327,G73+MAX(0,G74-F96)+MAX(0,F276+G53-G75)))+IF($C$173="Sí",MAX(0,$C$226*(G70+F121)*0.3/0.55-F227)/G327,0)</f>
        <v>16911.3142551436</v>
      </c>
      <c r="H76" s="116" t="n">
        <f aca="false">(IF($C$173="Sí",(MAX(0,H74-G96)+MAX(0,G276+H53-H75))/H327,H73+MAX(0,H74-G96)+MAX(0,G276+H53-H75)))+IF($C$173="Sí",MAX(0,$C$226*(H70+G121)*0.3/0.55-G227)/H327,0)</f>
        <v>840.812729426237</v>
      </c>
      <c r="I76" s="116" t="n">
        <f aca="false">(IF($C$173="Sí",(MAX(0,I74-H96)+MAX(0,H276+I53-I75))/I327,I73+MAX(0,I74-H96)+MAX(0,H276+I53-I75)))+IF($C$173="Sí",MAX(0,$C$226*(I70+H121)*0.3/0.55-H227)/I327,0)</f>
        <v>915.917464721825</v>
      </c>
      <c r="J76" s="116" t="n">
        <f aca="false">(IF($C$173="Sí",(MAX(0,J74-I96)+MAX(0,I276+J53-J75))/J327,J73+MAX(0,J74-I96)+MAX(0,I276+J53-J75)))+IF($C$173="Sí",MAX(0,$C$226*(J70+I121)*0.3/0.55-I227)/J327,0)</f>
        <v>1008.16606044506</v>
      </c>
      <c r="K76" s="116" t="n">
        <f aca="false">(IF($C$173="Sí",(MAX(0,K74-J96)+MAX(0,J276+K53-K75))/K327,K73+MAX(0,K74-J96)+MAX(0,J276+K53-K75)))+IF($C$173="Sí",MAX(0,$C$226*(K70+J121)*0.3/0.55-J227)/K327,0)</f>
        <v>1111.68683636638</v>
      </c>
      <c r="L76" s="116" t="n">
        <f aca="false">(IF($C$173="Sí",(MAX(0,L74-K96)+MAX(0,K276+L53-L75))/L327,L73+MAX(0,L74-K96)+MAX(0,K276+L53-L75)))+IF($C$173="Sí",MAX(0,$C$226*(L70+K121)*0.3/0.55-K227)/L327,0)</f>
        <v>1262.35605723475</v>
      </c>
      <c r="M76" s="116" t="n">
        <f aca="false">(IF($C$173="Sí",(MAX(0,M74-L96)+MAX(0,L276+M53-M75))/M327,M73+MAX(0,M74-L96)+MAX(0,L276+M53-M75)))+IF($C$173="Sí",MAX(0,$C$226*(M70+L121)*0.3/0.55-L227)/M327,0)</f>
        <v>1236.80525457416</v>
      </c>
      <c r="N76" s="116" t="n">
        <f aca="false">(IF($C$173="Sí",(MAX(0,N74-M96)+MAX(0,M276+N53-N75))/N327,N73+MAX(0,N74-M96)+MAX(0,M276+N53-N75)))+IF($C$173="Sí",MAX(0,$C$226*(N70+M121)*0.3/0.55-M227)/N327,0)</f>
        <v>944.191610659818</v>
      </c>
      <c r="O76" s="116" t="n">
        <f aca="false">(IF($C$173="Sí",(MAX(0,O74-N96)+MAX(0,N276+O53-O75))/O327,O73+MAX(0,O74-N96)+MAX(0,N276+O53-O75)))+IF($C$173="Sí",MAX(0,$C$226*(O70+N121)*0.3/0.55-N227)/O327,0)</f>
        <v>909.723182249153</v>
      </c>
      <c r="P76" s="116" t="n">
        <f aca="false">(IF($C$173="Sí",(MAX(0,P74-O96)+MAX(0,O276+P53-P75))/P327,P73+MAX(0,P74-O96)+MAX(0,O276+P53-P75)))+IF($C$173="Sí",MAX(0,$C$226*(P70+O121)*0.3/0.55-O227)/P327,0)</f>
        <v>1036.763120912</v>
      </c>
      <c r="Q76" s="116" t="n">
        <f aca="false">(IF($C$173="Sí",(MAX(0,Q74-P96)+MAX(0,P276+Q53-Q75))/Q327,Q73+MAX(0,Q74-P96)+MAX(0,P276+Q53-Q75)))+IF($C$173="Sí",MAX(0,$C$226*(Q70+P121)*0.3/0.55-P227)/Q327,0)</f>
        <v>1034.8609570305</v>
      </c>
      <c r="R76" s="116" t="n">
        <f aca="false">(IF($C$173="Sí",(MAX(0,R74-Q96)+MAX(0,Q276+R53-R75))/R327,R73+MAX(0,R74-Q96)+MAX(0,Q276+R53-R75)))+IF($C$173="Sí",MAX(0,$C$226*(R70+Q121)*0.3/0.55-Q227)/R327,0)</f>
        <v>1040.03677273042</v>
      </c>
      <c r="S76" s="116" t="n">
        <f aca="false">(IF($C$173="Sí",(MAX(0,S74-R96)+MAX(0,R276+S53-S75))/S327,S73+MAX(0,S74-R96)+MAX(0,R276+S53-S75)))+IF($C$173="Sí",MAX(0,$C$226*(S70+R121)*0.3/0.55-R227)/S327,0)</f>
        <v>1045.15211932896</v>
      </c>
      <c r="T76" s="116" t="n">
        <f aca="false">(IF($C$173="Sí",(MAX(0,T74-S96)+MAX(0,S276+T53-T75))/T327,T73+MAX(0,T74-S96)+MAX(0,S276+T53-T75)))+IF($C$173="Sí",MAX(0,$C$226*(T70+S121)*0.3/0.55-S227)/T327,0)</f>
        <v>1050.49023682342</v>
      </c>
      <c r="U76" s="116" t="n">
        <f aca="false">(IF($C$173="Sí",(MAX(0,U74-T96)+MAX(0,T276+U53-U75))/U327,U73+MAX(0,U74-T96)+MAX(0,T276+U53-U75)))+IF($C$173="Sí",MAX(0,$C$226*(U70+T121)*0.3/0.55-T227)/U327,0)</f>
        <v>1056.08183801004</v>
      </c>
      <c r="V76" s="116" t="n">
        <f aca="false">(IF($C$173="Sí",(MAX(0,V74-U96)+MAX(0,U276+V53-V75))/V327,V73+MAX(0,V74-U96)+MAX(0,U276+V53-V75)))+IF($C$173="Sí",MAX(0,$C$226*(V70+U121)*0.3/0.55-U227)/V327,0)</f>
        <v>1061.93431649307</v>
      </c>
      <c r="W76" s="116" t="n">
        <f aca="false">(IF($C$173="Sí",(MAX(0,W74-V96)+MAX(0,V276+W53-W75))/W327,W73+MAX(0,W74-V96)+MAX(0,V276+W53-W75)))+IF($C$173="Sí",MAX(0,$C$226*(W70+V121)*0.3/0.55-V227)/W327,0)</f>
        <v>1068.05520903928</v>
      </c>
      <c r="X76" s="116" t="n">
        <f aca="false">(IF($C$173="Sí",(MAX(0,X74-W96)+MAX(0,W276+X53-X75))/X327,X73+MAX(0,X74-W96)+MAX(0,W276+X53-X75)))+IF($C$173="Sí",MAX(0,$C$226*(X70+W121)*0.3/0.55-W227)/X327,0)</f>
        <v>1074.07354902102</v>
      </c>
      <c r="Y76" s="116" t="n">
        <f aca="false">(IF($C$173="Sí",(MAX(0,Y74-X96)+MAX(0,X276+Y53-Y75))/Y327,Y73+MAX(0,Y74-X96)+MAX(0,X276+Y53-Y75)))+IF($C$173="Sí",MAX(0,$C$226*(Y70+X121)*0.3/0.55-X227)/Y327,0)</f>
        <v>1080.1419205728</v>
      </c>
      <c r="Z76" s="116" t="n">
        <f aca="false">(IF($C$173="Sí",(MAX(0,Z74-Y96)+MAX(0,Y276+Z53-Z75))/Z327,Z73+MAX(0,Z74-Y96)+MAX(0,Y276+Z53-Z75)))+IF($C$173="Sí",MAX(0,$C$226*(Z70+Y121)*0.3/0.55-Y227)/Z327,0)</f>
        <v>1086.04984238619</v>
      </c>
      <c r="AA76" s="116" t="n">
        <f aca="false">(IF($C$173="Sí",(MAX(0,AA74-Z96)+MAX(0,Z276+AA53-AA75))/AA327,AA73+MAX(0,AA74-Z96)+MAX(0,Z276+AA53-AA75)))+IF($C$173="Sí",MAX(0,$C$226*(AA70+Z121)*0.3/0.55-Z227)/AA327,0)</f>
        <v>1091.9158452523</v>
      </c>
      <c r="AB76" s="116" t="n">
        <f aca="false">(IF($C$173="Sí",(MAX(0,AB74-AA96)+MAX(0,AA276+AB53-AB75))/AB327,AB73+MAX(0,AB74-AA96)+MAX(0,AA276+AB53-AB75)))+IF($C$173="Sí",MAX(0,$C$226*(AB70+AA121)*0.3/0.55-AA227)/AB327,0)</f>
        <v>1097.6996578658</v>
      </c>
      <c r="AC76" s="116" t="n">
        <f aca="false">(IF($C$173="Sí",(MAX(0,AC74-AB96)+MAX(0,AB276+AC53-AC75))/AC327,AC73+MAX(0,AC74-AB96)+MAX(0,AB276+AC53-AC75)))+IF($C$173="Sí",MAX(0,$C$226*(AC70+AB121)*0.3/0.55-AB227)/AC327,0)</f>
        <v>1103.51615700052</v>
      </c>
      <c r="AD76" s="116" t="n">
        <f aca="false">(IF($C$173="Sí",(MAX(0,AD74-AC96)+MAX(0,AC276+AD53-AD75))/AD327,AD73+MAX(0,AD74-AC96)+MAX(0,AC276+AD53-AD75)))+IF($C$173="Sí",MAX(0,$C$226*(AD70+AC121)*0.3/0.55-AC227)/AD327,0)</f>
        <v>1109.47305719185</v>
      </c>
      <c r="AE76" s="116" t="n">
        <f aca="false">(IF($C$173="Sí",(MAX(0,AE74-AD96)+MAX(0,AD276+AE53-AE75))/AE327,AE73+MAX(0,AE74-AD96)+MAX(0,AD276+AE53-AE75)))+IF($C$173="Sí",MAX(0,$C$226*(AE70+AD121)*0.3/0.55-AD227)/AE327,0)</f>
        <v>1115.67826983014</v>
      </c>
      <c r="AF76" s="116" t="n">
        <f aca="false">(IF($C$173="Sí",(MAX(0,AF74-AE96)+MAX(0,AE276+AF53-AF75))/AF327,AF73+MAX(0,AF74-AE96)+MAX(0,AE276+AF53-AF75)))+IF($C$173="Sí",MAX(0,$C$226*(AF70+AE121)*0.3/0.55-AE227)/AF327,0)</f>
        <v>1122.24014715777</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1391</v>
      </c>
      <c r="C78" s="116" t="n">
        <f aca="false">MIN(MIN(0+C207*C41,0+C76),C209)</f>
        <v>13</v>
      </c>
      <c r="D78" s="116" t="n">
        <f aca="false">MIN(MIN(C83+D207*D41,C83+D76),D209)</f>
        <v>26.299</v>
      </c>
      <c r="E78" s="116" t="n">
        <f aca="false">MIN(MIN(D83+E207*E41,D83+E76),E209)</f>
        <v>39.903877</v>
      </c>
      <c r="F78" s="116" t="n">
        <f aca="false">MIN(MIN(E83+F207*F41,E83+F76),F209)</f>
        <v>53.821666171</v>
      </c>
      <c r="G78" s="116" t="n">
        <f aca="false">MIN(MIN(F83+G207*G41,F83+G76),G209)</f>
        <v>68.059564492933</v>
      </c>
      <c r="H78" s="116" t="n">
        <f aca="false">MIN(MIN(G83+H207*H41,G83+H76),H209)</f>
        <v>82.6249344762704</v>
      </c>
      <c r="I78" s="116" t="n">
        <f aca="false">MIN(MIN(H83+I207*I41,H83+I76),I209)</f>
        <v>97.5253079692246</v>
      </c>
      <c r="J78" s="116" t="n">
        <f aca="false">MIN(MIN(I83+J207*J41,I83+J76),J209)</f>
        <v>112.768390052517</v>
      </c>
      <c r="K78" s="116" t="n">
        <f aca="false">MIN(MIN(J83+K207*K41,J83+K76),K209)</f>
        <v>117.752222821044</v>
      </c>
      <c r="L78" s="116" t="n">
        <f aca="false">MIN(MIN(K83+L207*L41,K83+L76),L209)</f>
        <v>120.460523945928</v>
      </c>
      <c r="M78" s="116" t="n">
        <f aca="false">MIN(MIN(L83+M207*M41,L83+M76),M209)</f>
        <v>123.231115996684</v>
      </c>
      <c r="N78" s="116" t="n">
        <f aca="false">MIN(MIN(M83+N207*N41,M83+N76),N209)</f>
        <v>126.065431664608</v>
      </c>
      <c r="O78" s="116" t="n">
        <f aca="false">MIN(MIN(N83+O207*O41,N83+O76),O209)</f>
        <v>128.964936592894</v>
      </c>
      <c r="P78" s="116" t="n">
        <f aca="false">MIN(MIN(O83+P207*P41,O83+P76),P209)</f>
        <v>131.931130134531</v>
      </c>
      <c r="Q78" s="116" t="n">
        <f aca="false">MIN(MIN(P83+Q207*Q41,P83+Q76),Q209)</f>
        <v>134.965546127625</v>
      </c>
      <c r="R78" s="116" t="n">
        <f aca="false">MIN(MIN(Q83+R207*R41,Q83+R76),R209)</f>
        <v>138.06975368856</v>
      </c>
      <c r="S78" s="116" t="n">
        <f aca="false">MIN(MIN(R83+S207*S41,R83+S76),S209)</f>
        <v>141.245358023397</v>
      </c>
      <c r="T78" s="116" t="n">
        <f aca="false">MIN(MIN(S83+T207*T41,S83+T76),T209)</f>
        <v>144.494001257935</v>
      </c>
      <c r="U78" s="116" t="n">
        <f aca="false">MIN(MIN(T83+U207*U41,T83+U76),U209)</f>
        <v>147.817363286868</v>
      </c>
      <c r="V78" s="116" t="n">
        <f aca="false">MIN(MIN(U83+V207*V41,U83+V76),V209)</f>
        <v>151.217162642466</v>
      </c>
      <c r="W78" s="116" t="n">
        <f aca="false">MIN(MIN(V83+W207*W41,V83+W76),W209)</f>
        <v>154.695157383242</v>
      </c>
      <c r="X78" s="116" t="n">
        <f aca="false">MIN(MIN(W83+X207*X41,W83+X76),X209)</f>
        <v>158.253146003057</v>
      </c>
      <c r="Y78" s="116" t="n">
        <f aca="false">MIN(MIN(X83+Y207*Y41,X83+Y76),Y209)</f>
        <v>161.892968361127</v>
      </c>
      <c r="Z78" s="116" t="n">
        <f aca="false">MIN(MIN(Y83+Z207*Z41,Y83+Z76),Z209)</f>
        <v>165.616506633433</v>
      </c>
      <c r="AA78" s="116" t="n">
        <f aca="false">MIN(MIN(Z83+AA207*AA41,Z83+AA76),AA209)</f>
        <v>169.425686286002</v>
      </c>
      <c r="AB78" s="116" t="n">
        <f aca="false">MIN(MIN(AA83+AB207*AB41,AA83+AB76),AB209)</f>
        <v>173.32247707058</v>
      </c>
      <c r="AC78" s="116" t="n">
        <f aca="false">MIN(MIN(AB83+AC207*AC41,AB83+AC76),AC209)</f>
        <v>177.308894043203</v>
      </c>
      <c r="AD78" s="116" t="n">
        <f aca="false">MIN(MIN(AC83+AD207*AD41,AC83+AD76),AD209)</f>
        <v>181.386998606197</v>
      </c>
      <c r="AE78" s="116" t="n">
        <f aca="false">MIN(MIN(AD83+AE207*AE41,AD83+AE76),AE209)</f>
        <v>185.55889957414</v>
      </c>
      <c r="AF78" s="116" t="n">
        <f aca="false">MIN(MIN(AE83+AF207*AF41,AE83+AF76),AF209)</f>
        <v>189.826754264345</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117.752222821044</v>
      </c>
      <c r="L79" s="116" t="n">
        <f aca="false">MAX(0,MIN(L67,$C$9*(L69+L68+K121),L78))</f>
        <v>120.460523945928</v>
      </c>
      <c r="M79" s="116" t="n">
        <f aca="false">MAX(0,MIN(M67,$C$9*(M69+M68+L121),M78))</f>
        <v>123.231115996684</v>
      </c>
      <c r="N79" s="116" t="n">
        <f aca="false">MAX(0,MIN(N67,$C$9*(N69+N68+M121),N78))</f>
        <v>126.065431664608</v>
      </c>
      <c r="O79" s="116" t="n">
        <f aca="false">MAX(0,MIN(O67,$C$9*(O69+O68+N121),O78))</f>
        <v>128.964936592894</v>
      </c>
      <c r="P79" s="116" t="n">
        <f aca="false">MAX(0,MIN(P67,$C$9*(P69+P68+O121),P78))</f>
        <v>131.931130134531</v>
      </c>
      <c r="Q79" s="116" t="n">
        <f aca="false">MAX(0,MIN(Q67,$C$9*(Q69+Q68+P121),Q78))</f>
        <v>134.965546127625</v>
      </c>
      <c r="R79" s="116" t="n">
        <f aca="false">MAX(0,MIN(R67,$C$9*(R69+R68+Q121),R78))</f>
        <v>138.06975368856</v>
      </c>
      <c r="S79" s="116" t="n">
        <f aca="false">MAX(0,MIN(S67,$C$9*(S69+S68+R121),S78))</f>
        <v>141.245358023397</v>
      </c>
      <c r="T79" s="116" t="n">
        <f aca="false">MAX(0,MIN(T67,$C$9*(T69+T68+S121),T78))</f>
        <v>144.494001257935</v>
      </c>
      <c r="U79" s="116" t="n">
        <f aca="false">MAX(0,MIN(U67,$C$9*(U69+U68+T121),U78))</f>
        <v>147.817363286868</v>
      </c>
      <c r="V79" s="116" t="n">
        <f aca="false">MAX(0,MIN(V67,$C$9*(V69+V68+U121),V78))</f>
        <v>151.217162642466</v>
      </c>
      <c r="W79" s="116" t="n">
        <f aca="false">MAX(0,MIN(W67,$C$9*(W69+W68+V121),W78))</f>
        <v>154.695157383242</v>
      </c>
      <c r="X79" s="116" t="n">
        <f aca="false">MAX(0,MIN(X67,$C$9*(X69+X68+W121),X78))</f>
        <v>158.253146003057</v>
      </c>
      <c r="Y79" s="116" t="n">
        <f aca="false">MAX(0,MIN(Y67,$C$9*(Y69+Y68+X121),Y78))</f>
        <v>161.892968361127</v>
      </c>
      <c r="Z79" s="116" t="n">
        <f aca="false">MAX(0,MIN(Z67,$C$9*(Z69+Z68+Y121),Z78))</f>
        <v>165.616506633433</v>
      </c>
      <c r="AA79" s="116" t="n">
        <f aca="false">MAX(0,MIN(AA67,$C$9*(AA69+AA68+Z121),AA78))</f>
        <v>169.425686286002</v>
      </c>
      <c r="AB79" s="116" t="n">
        <f aca="false">MAX(0,MIN(AB67,$C$9*(AB69+AB68+AA121),AB78))</f>
        <v>173.32247707058</v>
      </c>
      <c r="AC79" s="116" t="n">
        <f aca="false">MAX(0,MIN(AC67,$C$9*(AC69+AC68+AB121),AC78))</f>
        <v>177.308894043203</v>
      </c>
      <c r="AD79" s="116" t="n">
        <f aca="false">MAX(0,MIN(AD67,$C$9*(AD69+AD68+AC121),AD78))</f>
        <v>181.386998606197</v>
      </c>
      <c r="AE79" s="116" t="n">
        <f aca="false">MAX(0,MIN(AE67,$C$9*(AE69+AE68+AD121),AE78))</f>
        <v>185.55889957414</v>
      </c>
      <c r="AF79" s="116" t="n">
        <f aca="false">MAX(0,MIN(AF67,$C$9*(AF69+AF68+AE121),AF78))</f>
        <v>189.826754264345</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349.71585133187</v>
      </c>
      <c r="M81" s="116" t="n">
        <f aca="false">M69+M80+L121</f>
        <v>361.393895840307</v>
      </c>
      <c r="N81" s="116" t="n">
        <f aca="false">N69+N80+M121</f>
        <v>372.78002354794</v>
      </c>
      <c r="O81" s="116" t="n">
        <f aca="false">O69+O80+N121</f>
        <v>383.366349029661</v>
      </c>
      <c r="P81" s="116" t="n">
        <f aca="false">P69+P80+O121</f>
        <v>391.334331770332</v>
      </c>
      <c r="Q81" s="116" t="n">
        <f aca="false">Q69+Q80+P121</f>
        <v>399.301592482923</v>
      </c>
      <c r="R81" s="116" t="n">
        <f aca="false">R69+R80+Q121</f>
        <v>407.173092378812</v>
      </c>
      <c r="S81" s="116" t="n">
        <f aca="false">S69+S80+R121</f>
        <v>414.955465121112</v>
      </c>
      <c r="T81" s="116" t="n">
        <f aca="false">T69+T80+S121</f>
        <v>422.661808620259</v>
      </c>
      <c r="U81" s="116" t="n">
        <f aca="false">U69+U80+T121</f>
        <v>430.304839671877</v>
      </c>
      <c r="V81" s="116" t="n">
        <f aca="false">V69+V80+U121</f>
        <v>437.897128683477</v>
      </c>
      <c r="W81" s="116" t="n">
        <f aca="false">W69+W80+V121</f>
        <v>445.312269225562</v>
      </c>
      <c r="X81" s="116" t="n">
        <f aca="false">X69+X80+W121</f>
        <v>452.563384698125</v>
      </c>
      <c r="Y81" s="116" t="n">
        <f aca="false">Y69+Y80+X121</f>
        <v>459.697606517069</v>
      </c>
      <c r="Z81" s="116" t="n">
        <f aca="false">Z69+Z80+Y121</f>
        <v>466.769320132736</v>
      </c>
      <c r="AA81" s="116" t="n">
        <f aca="false">AA69+AA80+Z121</f>
        <v>473.778056095607</v>
      </c>
      <c r="AB81" s="116" t="n">
        <f aca="false">AB69+AB80+AA121</f>
        <v>480.726502322631</v>
      </c>
      <c r="AC81" s="116" t="n">
        <f aca="false">AC69+AC80+AB121</f>
        <v>487.617418380392</v>
      </c>
      <c r="AD81" s="116" t="n">
        <f aca="false">AD69+AD80+AC121</f>
        <v>494.453636007383</v>
      </c>
      <c r="AE81" s="116" t="n">
        <f aca="false">AE69+AE80+AD121</f>
        <v>501.238059684676</v>
      </c>
      <c r="AF81" s="116" t="n">
        <f aca="false">AF69+AF80+AE121</f>
        <v>507.973667253791</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117.752222821044</v>
      </c>
      <c r="L83" s="136" t="n">
        <f aca="false">L79+L82</f>
        <v>120.460523945928</v>
      </c>
      <c r="M83" s="136" t="n">
        <f aca="false">M79+M82</f>
        <v>123.231115996684</v>
      </c>
      <c r="N83" s="136" t="n">
        <f aca="false">N79+N82</f>
        <v>126.065431664608</v>
      </c>
      <c r="O83" s="136" t="n">
        <f aca="false">O79+O82</f>
        <v>128.964936592894</v>
      </c>
      <c r="P83" s="136" t="n">
        <f aca="false">P79+P82</f>
        <v>131.931130134531</v>
      </c>
      <c r="Q83" s="136" t="n">
        <f aca="false">Q79+Q82</f>
        <v>134.965546127625</v>
      </c>
      <c r="R83" s="136" t="n">
        <f aca="false">R79+R82</f>
        <v>138.06975368856</v>
      </c>
      <c r="S83" s="136" t="n">
        <f aca="false">S79+S82</f>
        <v>141.245358023397</v>
      </c>
      <c r="T83" s="136" t="n">
        <f aca="false">T79+T82</f>
        <v>144.494001257935</v>
      </c>
      <c r="U83" s="136" t="n">
        <f aca="false">U79+U82</f>
        <v>147.817363286868</v>
      </c>
      <c r="V83" s="136" t="n">
        <f aca="false">V79+V82</f>
        <v>151.217162642466</v>
      </c>
      <c r="W83" s="136" t="n">
        <f aca="false">W79+W82</f>
        <v>154.695157383242</v>
      </c>
      <c r="X83" s="136" t="n">
        <f aca="false">X79+X82</f>
        <v>158.253146003057</v>
      </c>
      <c r="Y83" s="136" t="n">
        <f aca="false">Y79+Y82</f>
        <v>161.892968361127</v>
      </c>
      <c r="Z83" s="136" t="n">
        <f aca="false">Z79+Z82</f>
        <v>165.616506633433</v>
      </c>
      <c r="AA83" s="136" t="n">
        <f aca="false">AA79+AA82</f>
        <v>169.425686286002</v>
      </c>
      <c r="AB83" s="136" t="n">
        <f aca="false">AB79+AB82</f>
        <v>173.32247707058</v>
      </c>
      <c r="AC83" s="136" t="n">
        <f aca="false">AC79+AC82</f>
        <v>177.308894043203</v>
      </c>
      <c r="AD83" s="136" t="n">
        <f aca="false">AD79+AD82</f>
        <v>181.386998606197</v>
      </c>
      <c r="AE83" s="136" t="n">
        <f aca="false">AE79+AE82</f>
        <v>185.55889957414</v>
      </c>
      <c r="AF83" s="136" t="n">
        <f aca="false">AF79+AF82</f>
        <v>189.826754264345</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129.804518015372</v>
      </c>
      <c r="L84" s="116" t="n">
        <f aca="false">L67-L79+L80-L82</f>
        <v>132.691339571204</v>
      </c>
      <c r="M84" s="116" t="n">
        <f aca="false">M67-M79+M80-M82</f>
        <v>137.806264999591</v>
      </c>
      <c r="N84" s="116" t="n">
        <f aca="false">N67-N79+N80-N82</f>
        <v>141.801550329694</v>
      </c>
      <c r="O84" s="116" t="n">
        <f aca="false">O67-O79+O80-O82</f>
        <v>144.852262222294</v>
      </c>
      <c r="P84" s="116" t="n">
        <f aca="false">P67-P79+P80-P82</f>
        <v>145.176974489253</v>
      </c>
      <c r="Q84" s="116" t="n">
        <f aca="false">Q67-Q79+Q80-Q82</f>
        <v>145.559386532238</v>
      </c>
      <c r="R84" s="116" t="n">
        <f aca="false">R67-R79+R80-R82</f>
        <v>145.904225824339</v>
      </c>
      <c r="S84" s="116" t="n">
        <f aca="false">S67-S79+S80-S82</f>
        <v>146.207038231638</v>
      </c>
      <c r="T84" s="116" t="n">
        <f aca="false">T67-T79+T80-T82</f>
        <v>146.463417225756</v>
      </c>
      <c r="U84" s="116" t="n">
        <f aca="false">U67-U79+U80-U82</f>
        <v>146.669003424438</v>
      </c>
      <c r="V84" s="116" t="n">
        <f aca="false">V67-V79+V80-V82</f>
        <v>146.819484179568</v>
      </c>
      <c r="W84" s="116" t="n">
        <f aca="false">W67-W79+W80-W82</f>
        <v>146.771736247716</v>
      </c>
      <c r="X84" s="116" t="n">
        <f aca="false">X67-X79+X80-X82</f>
        <v>146.522128683959</v>
      </c>
      <c r="Y84" s="116" t="n">
        <f aca="false">Y67-Y79+Y80-Y82</f>
        <v>146.067087897051</v>
      </c>
      <c r="Z84" s="116" t="n">
        <f aca="false">Z67-Z79+Z80-Z82</f>
        <v>145.403097672993</v>
      </c>
      <c r="AA84" s="116" t="n">
        <f aca="false">AA67-AA79+AA80-AA82</f>
        <v>144.526699241274</v>
      </c>
      <c r="AB84" s="116" t="n">
        <f aca="false">AB67-AB79+AB80-AB82</f>
        <v>143.437526613281</v>
      </c>
      <c r="AC84" s="116" t="n">
        <f aca="false">AC67-AC79+AC80-AC82</f>
        <v>142.135219389179</v>
      </c>
      <c r="AD84" s="116" t="n">
        <f aca="false">AD67-AD79+AD80-AD82</f>
        <v>140.619421768187</v>
      </c>
      <c r="AE84" s="116" t="n">
        <f aca="false">AE67-AE79+AE80-AE82</f>
        <v>138.889781570638</v>
      </c>
      <c r="AF84" s="116" t="n">
        <f aca="false">AF67-AF79+AF80-AF82</f>
        <v>136.945949269687</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41.9659021598244</v>
      </c>
      <c r="M85" s="116" t="n">
        <f aca="false">IF(AND($C$31&gt;0,M$39&gt;10),MIN(M83,MAX(01_Supuestos!$I$137*M81,L85*(1-1/MAX(1,$C$31)))),MIN(IF(M$39&lt;=10,01_Supuestos!$I$136,01_Supuestos!$I$137)*M81,M83))</f>
        <v>33.5727217278596</v>
      </c>
      <c r="N85" s="116" t="n">
        <f aca="false">IF(AND($C$31&gt;0,N$39&gt;10),MIN(N83,MAX(01_Supuestos!$I$137*N81,M85*(1-1/MAX(1,$C$31)))),MIN(IF(N$39&lt;=10,01_Supuestos!$I$136,01_Supuestos!$I$137)*N81,N83))</f>
        <v>27.9585017660955</v>
      </c>
      <c r="O85" s="116" t="n">
        <f aca="false">IF(AND($C$31&gt;0,O$39&gt;10),MIN(O83,MAX(01_Supuestos!$I$137*O81,N85*(1-1/MAX(1,$C$31)))),MIN(IF(O$39&lt;=10,01_Supuestos!$I$136,01_Supuestos!$I$137)*O81,O83))</f>
        <v>28.7524761772246</v>
      </c>
      <c r="P85" s="116" t="n">
        <f aca="false">IF(AND($C$31&gt;0,P$39&gt;10),MIN(P83,MAX(01_Supuestos!$I$137*P81,O85*(1-1/MAX(1,$C$31)))),MIN(IF(P$39&lt;=10,01_Supuestos!$I$136,01_Supuestos!$I$137)*P81,P83))</f>
        <v>29.3500748827749</v>
      </c>
      <c r="Q85" s="116" t="n">
        <f aca="false">IF(AND($C$31&gt;0,Q$39&gt;10),MIN(Q83,MAX(01_Supuestos!$I$137*Q81,P85*(1-1/MAX(1,$C$31)))),MIN(IF(Q$39&lt;=10,01_Supuestos!$I$136,01_Supuestos!$I$137)*Q81,Q83))</f>
        <v>29.9476194362192</v>
      </c>
      <c r="R85" s="116" t="n">
        <f aca="false">IF(AND($C$31&gt;0,R$39&gt;10),MIN(R83,MAX(01_Supuestos!$I$137*R81,Q85*(1-1/MAX(1,$C$31)))),MIN(IF(R$39&lt;=10,01_Supuestos!$I$136,01_Supuestos!$I$137)*R81,R83))</f>
        <v>30.5379819284109</v>
      </c>
      <c r="S85" s="116" t="n">
        <f aca="false">IF(AND($C$31&gt;0,S$39&gt;10),MIN(S83,MAX(01_Supuestos!$I$137*S81,R85*(1-1/MAX(1,$C$31)))),MIN(IF(S$39&lt;=10,01_Supuestos!$I$136,01_Supuestos!$I$137)*S81,S83))</f>
        <v>31.1216598840834</v>
      </c>
      <c r="T85" s="116" t="n">
        <f aca="false">IF(AND($C$31&gt;0,T$39&gt;10),MIN(T83,MAX(01_Supuestos!$I$137*T81,S85*(1-1/MAX(1,$C$31)))),MIN(IF(T$39&lt;=10,01_Supuestos!$I$136,01_Supuestos!$I$137)*T81,T83))</f>
        <v>31.6996356465194</v>
      </c>
      <c r="U85" s="116" t="n">
        <f aca="false">IF(AND($C$31&gt;0,U$39&gt;10),MIN(U83,MAX(01_Supuestos!$I$137*U81,T85*(1-1/MAX(1,$C$31)))),MIN(IF(U$39&lt;=10,01_Supuestos!$I$136,01_Supuestos!$I$137)*U81,U83))</f>
        <v>32.2728629753908</v>
      </c>
      <c r="V85" s="116" t="n">
        <f aca="false">IF(AND($C$31&gt;0,V$39&gt;10),MIN(V83,MAX(01_Supuestos!$I$137*V81,U85*(1-1/MAX(1,$C$31)))),MIN(IF(V$39&lt;=10,01_Supuestos!$I$136,01_Supuestos!$I$137)*V81,V83))</f>
        <v>32.8422846512607</v>
      </c>
      <c r="W85" s="116" t="n">
        <f aca="false">IF(AND($C$31&gt;0,W$39&gt;10),MIN(W83,MAX(01_Supuestos!$I$137*W81,V85*(1-1/MAX(1,$C$31)))),MIN(IF(W$39&lt;=10,01_Supuestos!$I$136,01_Supuestos!$I$137)*W81,W83))</f>
        <v>33.3984201919172</v>
      </c>
      <c r="X85" s="116" t="n">
        <f aca="false">IF(AND($C$31&gt;0,X$39&gt;10),MIN(X83,MAX(01_Supuestos!$I$137*X81,W85*(1-1/MAX(1,$C$31)))),MIN(IF(X$39&lt;=10,01_Supuestos!$I$136,01_Supuestos!$I$137)*X81,X83))</f>
        <v>33.9422538523594</v>
      </c>
      <c r="Y85" s="116" t="n">
        <f aca="false">IF(AND($C$31&gt;0,Y$39&gt;10),MIN(Y83,MAX(01_Supuestos!$I$137*Y81,X85*(1-1/MAX(1,$C$31)))),MIN(IF(Y$39&lt;=10,01_Supuestos!$I$136,01_Supuestos!$I$137)*Y81,Y83))</f>
        <v>34.4773204887802</v>
      </c>
      <c r="Z85" s="116" t="n">
        <f aca="false">IF(AND($C$31&gt;0,Z$39&gt;10),MIN(Z83,MAX(01_Supuestos!$I$137*Z81,Y85*(1-1/MAX(1,$C$31)))),MIN(IF(Z$39&lt;=10,01_Supuestos!$I$136,01_Supuestos!$I$137)*Z81,Z83))</f>
        <v>35.0076990099552</v>
      </c>
      <c r="AA85" s="116" t="n">
        <f aca="false">IF(AND($C$31&gt;0,AA$39&gt;10),MIN(AA83,MAX(01_Supuestos!$I$137*AA81,Z85*(1-1/MAX(1,$C$31)))),MIN(IF(AA$39&lt;=10,01_Supuestos!$I$136,01_Supuestos!$I$137)*AA81,AA83))</f>
        <v>35.5333542071705</v>
      </c>
      <c r="AB85" s="116" t="n">
        <f aca="false">IF(AND($C$31&gt;0,AB$39&gt;10),MIN(AB83,MAX(01_Supuestos!$I$137*AB81,AA85*(1-1/MAX(1,$C$31)))),MIN(IF(AB$39&lt;=10,01_Supuestos!$I$136,01_Supuestos!$I$137)*AB81,AB83))</f>
        <v>36.0544876741973</v>
      </c>
      <c r="AC85" s="116" t="n">
        <f aca="false">IF(AND($C$31&gt;0,AC$39&gt;10),MIN(AC83,MAX(01_Supuestos!$I$137*AC81,AB85*(1-1/MAX(1,$C$31)))),MIN(IF(AC$39&lt;=10,01_Supuestos!$I$136,01_Supuestos!$I$137)*AC81,AC83))</f>
        <v>36.5713063785294</v>
      </c>
      <c r="AD85" s="116" t="n">
        <f aca="false">IF(AND($C$31&gt;0,AD$39&gt;10),MIN(AD83,MAX(01_Supuestos!$I$137*AD81,AC85*(1-1/MAX(1,$C$31)))),MIN(IF(AD$39&lt;=10,01_Supuestos!$I$136,01_Supuestos!$I$137)*AD81,AD83))</f>
        <v>37.0840227005538</v>
      </c>
      <c r="AE85" s="116" t="n">
        <f aca="false">IF(AND($C$31&gt;0,AE$39&gt;10),MIN(AE83,MAX(01_Supuestos!$I$137*AE81,AD85*(1-1/MAX(1,$C$31)))),MIN(IF(AE$39&lt;=10,01_Supuestos!$I$136,01_Supuestos!$I$137)*AE81,AE83))</f>
        <v>37.5928544763507</v>
      </c>
      <c r="AF85" s="116" t="n">
        <f aca="false">IF(AND($C$31&gt;0,AF$39&gt;10),MIN(AF83,MAX(01_Supuestos!$I$137*AF81,AE85*(1-1/MAX(1,$C$31)))),MIN(IF(AF$39&lt;=10,01_Supuestos!$I$136,01_Supuestos!$I$137)*AF81,AF83))</f>
        <v>38.0980250440344</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5.8876111410522</v>
      </c>
      <c r="L86" s="116" t="n">
        <f aca="false">01_Supuestos!$I$127*L83</f>
        <v>6.02302619729641</v>
      </c>
      <c r="M86" s="116" t="n">
        <f aca="false">01_Supuestos!$I$127*M83</f>
        <v>6.16155579983422</v>
      </c>
      <c r="N86" s="116" t="n">
        <f aca="false">01_Supuestos!$I$127*N83</f>
        <v>6.30327158323041</v>
      </c>
      <c r="O86" s="116" t="n">
        <f aca="false">01_Supuestos!$I$127*O83</f>
        <v>6.44824682964471</v>
      </c>
      <c r="P86" s="116" t="n">
        <f aca="false">01_Supuestos!$I$127*P83</f>
        <v>6.59655650672654</v>
      </c>
      <c r="Q86" s="116" t="n">
        <f aca="false">01_Supuestos!$I$127*Q83</f>
        <v>6.74827730638124</v>
      </c>
      <c r="R86" s="116" t="n">
        <f aca="false">01_Supuestos!$I$127*R83</f>
        <v>6.90348768442801</v>
      </c>
      <c r="S86" s="116" t="n">
        <f aca="false">01_Supuestos!$I$127*S83</f>
        <v>7.06226790116986</v>
      </c>
      <c r="T86" s="116" t="n">
        <f aca="false">01_Supuestos!$I$127*T83</f>
        <v>7.22470006289676</v>
      </c>
      <c r="U86" s="116" t="n">
        <f aca="false">01_Supuestos!$I$127*U83</f>
        <v>7.39086816434339</v>
      </c>
      <c r="V86" s="116" t="n">
        <f aca="false">01_Supuestos!$I$127*V83</f>
        <v>7.56085813212328</v>
      </c>
      <c r="W86" s="116" t="n">
        <f aca="false">01_Supuestos!$I$127*W83</f>
        <v>7.73475786916212</v>
      </c>
      <c r="X86" s="116" t="n">
        <f aca="false">01_Supuestos!$I$127*X83</f>
        <v>7.91265730015285</v>
      </c>
      <c r="Y86" s="116" t="n">
        <f aca="false">01_Supuestos!$I$127*Y83</f>
        <v>8.09464841805636</v>
      </c>
      <c r="Z86" s="116" t="n">
        <f aca="false">01_Supuestos!$I$127*Z83</f>
        <v>8.28082533167166</v>
      </c>
      <c r="AA86" s="116" t="n">
        <f aca="false">01_Supuestos!$I$127*AA83</f>
        <v>8.47128431430011</v>
      </c>
      <c r="AB86" s="116" t="n">
        <f aca="false">01_Supuestos!$I$127*AB83</f>
        <v>8.66612385352901</v>
      </c>
      <c r="AC86" s="116" t="n">
        <f aca="false">01_Supuestos!$I$127*AC83</f>
        <v>8.86544470216017</v>
      </c>
      <c r="AD86" s="116" t="n">
        <f aca="false">01_Supuestos!$I$127*AD83</f>
        <v>9.06934993030985</v>
      </c>
      <c r="AE86" s="116" t="n">
        <f aca="false">01_Supuestos!$I$127*AE83</f>
        <v>9.27794497870698</v>
      </c>
      <c r="AF86" s="116" t="n">
        <f aca="false">01_Supuestos!$I$127*AF83</f>
        <v>9.49133771321724</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71.448929430079</v>
      </c>
      <c r="L87" s="116" t="n">
        <f aca="false">L83-L85-L86</f>
        <v>72.4715955888072</v>
      </c>
      <c r="M87" s="116" t="n">
        <f aca="false">M83-M85-M86</f>
        <v>83.4968384689907</v>
      </c>
      <c r="N87" s="116" t="n">
        <f aca="false">N83-N85-N86</f>
        <v>91.8036583152823</v>
      </c>
      <c r="O87" s="116" t="n">
        <f aca="false">O83-O85-O86</f>
        <v>93.7642135860248</v>
      </c>
      <c r="P87" s="116" t="n">
        <f aca="false">P83-P85-P86</f>
        <v>95.9844987450292</v>
      </c>
      <c r="Q87" s="116" t="n">
        <f aca="false">Q83-Q85-Q86</f>
        <v>98.2696493850244</v>
      </c>
      <c r="R87" s="116" t="n">
        <f aca="false">R83-R85-R86</f>
        <v>100.628284075721</v>
      </c>
      <c r="S87" s="116" t="n">
        <f aca="false">S83-S85-S86</f>
        <v>103.061430238144</v>
      </c>
      <c r="T87" s="116" t="n">
        <f aca="false">T83-T85-T86</f>
        <v>105.569665548519</v>
      </c>
      <c r="U87" s="116" t="n">
        <f aca="false">U83-U85-U86</f>
        <v>108.153632147134</v>
      </c>
      <c r="V87" s="116" t="n">
        <f aca="false">V83-V85-V86</f>
        <v>110.814019859082</v>
      </c>
      <c r="W87" s="116" t="n">
        <f aca="false">W83-W85-W86</f>
        <v>113.561979322163</v>
      </c>
      <c r="X87" s="116" t="n">
        <f aca="false">X83-X85-X86</f>
        <v>116.398234850545</v>
      </c>
      <c r="Y87" s="116" t="n">
        <f aca="false">Y83-Y85-Y86</f>
        <v>119.320999454291</v>
      </c>
      <c r="Z87" s="116" t="n">
        <f aca="false">Z83-Z85-Z86</f>
        <v>122.327982291806</v>
      </c>
      <c r="AA87" s="116" t="n">
        <f aca="false">AA83-AA85-AA86</f>
        <v>125.421047764532</v>
      </c>
      <c r="AB87" s="116" t="n">
        <f aca="false">AB83-AB85-AB86</f>
        <v>128.601865542854</v>
      </c>
      <c r="AC87" s="116" t="n">
        <f aca="false">AC83-AC85-AC86</f>
        <v>131.872142962514</v>
      </c>
      <c r="AD87" s="116" t="n">
        <f aca="false">AD83-AD85-AD86</f>
        <v>135.233625975333</v>
      </c>
      <c r="AE87" s="116" t="n">
        <f aca="false">AE83-AE85-AE86</f>
        <v>138.688100119082</v>
      </c>
      <c r="AF87" s="116" t="n">
        <f aca="false">AF83-AF85-AF86</f>
        <v>142.237391507093</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0.331178126684186</v>
      </c>
      <c r="L88" s="116" t="n">
        <f aca="false">L86/01_Supuestos!$I$131*01_Supuestos!$I$129*01_Supuestos!$I$130*01_Supuestos!$I$128</f>
        <v>0.338795223597923</v>
      </c>
      <c r="M88" s="116" t="n">
        <f aca="false">M86/01_Supuestos!$I$131*01_Supuestos!$I$129*01_Supuestos!$I$130*01_Supuestos!$I$128</f>
        <v>0.346587513740675</v>
      </c>
      <c r="N88" s="116" t="n">
        <f aca="false">N86/01_Supuestos!$I$131*01_Supuestos!$I$129*01_Supuestos!$I$130*01_Supuestos!$I$128</f>
        <v>0.354559026556711</v>
      </c>
      <c r="O88" s="116" t="n">
        <f aca="false">O86/01_Supuestos!$I$131*01_Supuestos!$I$129*01_Supuestos!$I$130*01_Supuestos!$I$128</f>
        <v>0.362713884167515</v>
      </c>
      <c r="P88" s="116" t="n">
        <f aca="false">P86/01_Supuestos!$I$131*01_Supuestos!$I$129*01_Supuestos!$I$130*01_Supuestos!$I$128</f>
        <v>0.371056303503368</v>
      </c>
      <c r="Q88" s="116" t="n">
        <f aca="false">Q86/01_Supuestos!$I$131*01_Supuestos!$I$129*01_Supuestos!$I$130*01_Supuestos!$I$128</f>
        <v>0.379590598483945</v>
      </c>
      <c r="R88" s="116" t="n">
        <f aca="false">R86/01_Supuestos!$I$131*01_Supuestos!$I$129*01_Supuestos!$I$130*01_Supuestos!$I$128</f>
        <v>0.388321182249076</v>
      </c>
      <c r="S88" s="116" t="n">
        <f aca="false">S86/01_Supuestos!$I$131*01_Supuestos!$I$129*01_Supuestos!$I$130*01_Supuestos!$I$128</f>
        <v>0.397252569440804</v>
      </c>
      <c r="T88" s="116" t="n">
        <f aca="false">T86/01_Supuestos!$I$131*01_Supuestos!$I$129*01_Supuestos!$I$130*01_Supuestos!$I$128</f>
        <v>0.406389378537943</v>
      </c>
      <c r="U88" s="116" t="n">
        <f aca="false">U86/01_Supuestos!$I$131*01_Supuestos!$I$129*01_Supuestos!$I$130*01_Supuestos!$I$128</f>
        <v>0.415736334244315</v>
      </c>
      <c r="V88" s="116" t="n">
        <f aca="false">V86/01_Supuestos!$I$131*01_Supuestos!$I$129*01_Supuestos!$I$130*01_Supuestos!$I$128</f>
        <v>0.425298269931935</v>
      </c>
      <c r="W88" s="116" t="n">
        <f aca="false">W86/01_Supuestos!$I$131*01_Supuestos!$I$129*01_Supuestos!$I$130*01_Supuestos!$I$128</f>
        <v>0.435080130140369</v>
      </c>
      <c r="X88" s="116" t="n">
        <f aca="false">X86/01_Supuestos!$I$131*01_Supuestos!$I$129*01_Supuestos!$I$130*01_Supuestos!$I$128</f>
        <v>0.445086973133598</v>
      </c>
      <c r="Y88" s="116" t="n">
        <f aca="false">Y86/01_Supuestos!$I$131*01_Supuestos!$I$129*01_Supuestos!$I$130*01_Supuestos!$I$128</f>
        <v>0.45532397351567</v>
      </c>
      <c r="Z88" s="116" t="n">
        <f aca="false">Z86/01_Supuestos!$I$131*01_Supuestos!$I$129*01_Supuestos!$I$130*01_Supuestos!$I$128</f>
        <v>0.465796424906531</v>
      </c>
      <c r="AA88" s="116" t="n">
        <f aca="false">AA86/01_Supuestos!$I$131*01_Supuestos!$I$129*01_Supuestos!$I$130*01_Supuestos!$I$128</f>
        <v>0.476509742679381</v>
      </c>
      <c r="AB88" s="116" t="n">
        <f aca="false">AB86/01_Supuestos!$I$131*01_Supuestos!$I$129*01_Supuestos!$I$130*01_Supuestos!$I$128</f>
        <v>0.487469466761007</v>
      </c>
      <c r="AC88" s="116" t="n">
        <f aca="false">AC86/01_Supuestos!$I$131*01_Supuestos!$I$129*01_Supuestos!$I$130*01_Supuestos!$I$128</f>
        <v>0.49868126449651</v>
      </c>
      <c r="AD88" s="116" t="n">
        <f aca="false">AD86/01_Supuestos!$I$131*01_Supuestos!$I$129*01_Supuestos!$I$130*01_Supuestos!$I$128</f>
        <v>0.510150933579929</v>
      </c>
      <c r="AE88" s="116" t="n">
        <f aca="false">AE86/01_Supuestos!$I$131*01_Supuestos!$I$129*01_Supuestos!$I$130*01_Supuestos!$I$128</f>
        <v>0.521884405052268</v>
      </c>
      <c r="AF88" s="116" t="n">
        <f aca="false">AF86/01_Supuestos!$I$131*01_Supuestos!$I$129*01_Supuestos!$I$130*01_Supuestos!$I$128</f>
        <v>0.53388774636847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-0.719359265255811</v>
      </c>
      <c r="L90" s="116" t="n">
        <f aca="false">L83-K83-L73+L185-L228</f>
        <v>-0.453649647799686</v>
      </c>
      <c r="M90" s="116" t="n">
        <f aca="false">M83-L83-M73+M185-M228</f>
        <v>1.12509616723531</v>
      </c>
      <c r="N90" s="116" t="n">
        <f aca="false">N83-M83-N73+N185-N228</f>
        <v>0.336178258091685</v>
      </c>
      <c r="O90" s="116" t="n">
        <f aca="false">O83-N83-O73+O185-O228</f>
        <v>-0.562187028971934</v>
      </c>
      <c r="P90" s="116" t="n">
        <f aca="false">P83-O83-P73+P185-P228</f>
        <v>-0.10509704363394</v>
      </c>
      <c r="Q90" s="116" t="n">
        <f aca="false">Q83-P83-Q73+Q185-Q228</f>
        <v>0.0845062168961519</v>
      </c>
      <c r="R90" s="116" t="n">
        <f aca="false">R83-Q83-R73+R185-R228</f>
        <v>0.0814987246908885</v>
      </c>
      <c r="S90" s="116" t="n">
        <f aca="false">S83-R83-S73+S185-S228</f>
        <v>0.0841664390798513</v>
      </c>
      <c r="T90" s="116" t="n">
        <f aca="false">T83-S83-T73+T185-T228</f>
        <v>0.0865793070424701</v>
      </c>
      <c r="U90" s="116" t="n">
        <f aca="false">U83-T83-U73+U185-U228</f>
        <v>0.089003695571428</v>
      </c>
      <c r="V90" s="116" t="n">
        <f aca="false">V83-U83-V73+V185-V228</f>
        <v>0.0914555506260228</v>
      </c>
      <c r="W90" s="116" t="n">
        <f aca="false">W83-V83-W73+W185-W228</f>
        <v>0.0951437574733163</v>
      </c>
      <c r="X90" s="116" t="n">
        <f aca="false">X83-W83-X73+X185-X228</f>
        <v>0.0982920810992596</v>
      </c>
      <c r="Y90" s="116" t="n">
        <f aca="false">Y83-X83-Y73+Y185-Y228</f>
        <v>0.100849390099242</v>
      </c>
      <c r="Z90" s="116" t="n">
        <f aca="false">Z83-Y83-Z73+Z185-Z228</f>
        <v>0.103215148317332</v>
      </c>
      <c r="AA90" s="116" t="n">
        <f aca="false">AA83-Z83-AA73+AA185-AA228</f>
        <v>0.10597619768177</v>
      </c>
      <c r="AB90" s="116" t="n">
        <f aca="false">AB83-AA83-AB73+AB185-AB228</f>
        <v>0.108900968066379</v>
      </c>
      <c r="AC90" s="116" t="n">
        <f aca="false">AC83-AB83-AC73+AC185-AC228</f>
        <v>0.111875945039543</v>
      </c>
      <c r="AD90" s="116" t="n">
        <f aca="false">AD83-AC83-AD73+AD185-AD228</f>
        <v>0.114909590267857</v>
      </c>
      <c r="AE90" s="116" t="n">
        <f aca="false">AE83-AD83-AE73+AE185-AE228</f>
        <v>0.11800324493781</v>
      </c>
      <c r="AF90" s="116" t="n">
        <f aca="false">AF83-AE83-AF73+AF185-AF228</f>
        <v>0.121158283239552</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v>
      </c>
      <c r="L92" s="116" t="n">
        <f aca="false">IF(L90&gt;0,IF($C$20="BC",MIN(L90-L91,MAX(0,K276+L53-L75)),MIN(L90,MAX(0,K276+L53-L75))),0)</f>
        <v>0</v>
      </c>
      <c r="M92" s="116" t="n">
        <f aca="false">IF(M90&gt;0,IF($C$20="BC",MIN(M90-M91,MAX(0,L276+M53-M75)),MIN(M90,MAX(0,L276+M53-M75))),0)</f>
        <v>1.12509616723531</v>
      </c>
      <c r="N92" s="116" t="n">
        <f aca="false">IF(N90&gt;0,IF($C$20="BC",MIN(N90-N91,MAX(0,M276+N53-N75)),MIN(N90,MAX(0,M276+N53-N75))),0)</f>
        <v>0.336178258091685</v>
      </c>
      <c r="O92" s="116" t="n">
        <f aca="false">IF(O90&gt;0,IF($C$20="BC",MIN(O90-O91,MAX(0,N276+O53-O75)),MIN(O90,MAX(0,N276+O53-O75))),0)</f>
        <v>0</v>
      </c>
      <c r="P92" s="116" t="n">
        <f aca="false">IF(P90&gt;0,IF($C$20="BC",MIN(P90-P91,MAX(0,O276+P53-P75)),MIN(P90,MAX(0,O276+P53-P75))),0)</f>
        <v>0</v>
      </c>
      <c r="Q92" s="116" t="n">
        <f aca="false">IF(Q90&gt;0,IF($C$20="BC",MIN(Q90-Q91,MAX(0,P276+Q53-Q75)),MIN(Q90,MAX(0,P276+Q53-Q75))),0)</f>
        <v>0.0845062168961519</v>
      </c>
      <c r="R92" s="116" t="n">
        <f aca="false">IF(R90&gt;0,IF($C$20="BC",MIN(R90-R91,MAX(0,Q276+R53-R75)),MIN(R90,MAX(0,Q276+R53-R75))),0)</f>
        <v>0.0814987246908885</v>
      </c>
      <c r="S92" s="116" t="n">
        <f aca="false">IF(S90&gt;0,IF($C$20="BC",MIN(S90-S91,MAX(0,R276+S53-S75)),MIN(S90,MAX(0,R276+S53-S75))),0)</f>
        <v>0.0841664390798513</v>
      </c>
      <c r="T92" s="116" t="n">
        <f aca="false">IF(T90&gt;0,IF($C$20="BC",MIN(T90-T91,MAX(0,S276+T53-T75)),MIN(T90,MAX(0,S276+T53-T75))),0)</f>
        <v>0.0865793070424701</v>
      </c>
      <c r="U92" s="116" t="n">
        <f aca="false">IF(U90&gt;0,IF($C$20="BC",MIN(U90-U91,MAX(0,T276+U53-U75)),MIN(U90,MAX(0,T276+U53-U75))),0)</f>
        <v>0.089003695571428</v>
      </c>
      <c r="V92" s="116" t="n">
        <f aca="false">IF(V90&gt;0,IF($C$20="BC",MIN(V90-V91,MAX(0,U276+V53-V75)),MIN(V90,MAX(0,U276+V53-V75))),0)</f>
        <v>0.0914555506260228</v>
      </c>
      <c r="W92" s="116" t="n">
        <f aca="false">IF(W90&gt;0,IF($C$20="BC",MIN(W90-W91,MAX(0,V276+W53-W75)),MIN(W90,MAX(0,V276+W53-W75))),0)</f>
        <v>0.0951437574733163</v>
      </c>
      <c r="X92" s="116" t="n">
        <f aca="false">IF(X90&gt;0,IF($C$20="BC",MIN(X90-X91,MAX(0,W276+X53-X75)),MIN(X90,MAX(0,W276+X53-X75))),0)</f>
        <v>0.0982920810992596</v>
      </c>
      <c r="Y92" s="116" t="n">
        <f aca="false">IF(Y90&gt;0,IF($C$20="BC",MIN(Y90-Y91,MAX(0,X276+Y53-Y75)),MIN(Y90,MAX(0,X276+Y53-Y75))),0)</f>
        <v>0.100849390099242</v>
      </c>
      <c r="Z92" s="116" t="n">
        <f aca="false">IF(Z90&gt;0,IF($C$20="BC",MIN(Z90-Z91,MAX(0,Y276+Z53-Z75)),MIN(Z90,MAX(0,Y276+Z53-Z75))),0)</f>
        <v>0.103215148317332</v>
      </c>
      <c r="AA92" s="116" t="n">
        <f aca="false">IF(AA90&gt;0,IF($C$20="BC",MIN(AA90-AA91,MAX(0,Z276+AA53-AA75)),MIN(AA90,MAX(0,Z276+AA53-AA75))),0)</f>
        <v>0.10597619768177</v>
      </c>
      <c r="AB92" s="116" t="n">
        <f aca="false">IF(AB90&gt;0,IF($C$20="BC",MIN(AB90-AB91,MAX(0,AA276+AB53-AB75)),MIN(AB90,MAX(0,AA276+AB53-AB75))),0)</f>
        <v>0.108900968066379</v>
      </c>
      <c r="AC92" s="116" t="n">
        <f aca="false">IF(AC90&gt;0,IF($C$20="BC",MIN(AC90-AC91,MAX(0,AB276+AC53-AC75)),MIN(AC90,MAX(0,AB276+AC53-AC75))),0)</f>
        <v>0.111875945039543</v>
      </c>
      <c r="AD92" s="116" t="n">
        <f aca="false">IF(AD90&gt;0,IF($C$20="BC",MIN(AD90-AD91,MAX(0,AC276+AD53-AD75)),MIN(AD90,MAX(0,AC276+AD53-AD75))),0)</f>
        <v>0.114909590267857</v>
      </c>
      <c r="AE92" s="116" t="n">
        <f aca="false">IF(AE90&gt;0,IF($C$20="BC",MIN(AE90-AE91,MAX(0,AD276+AE53-AE75)),MIN(AE90,MAX(0,AD276+AE53-AE75))),0)</f>
        <v>0.11800324493781</v>
      </c>
      <c r="AF92" s="116" t="n">
        <f aca="false">IF(AF90&gt;0,IF($C$20="BC",MIN(AF90-AF91,MAX(0,AE276+AF53-AF75)),MIN(AF90,MAX(0,AE276+AF53-AF75))),0)</f>
        <v>0.121158283239552</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0.719359265255811</v>
      </c>
      <c r="L94" s="116" t="n">
        <f aca="false">IF(L90&lt;0,-L90-L93,0)</f>
        <v>0.453649647799686</v>
      </c>
      <c r="M94" s="116" t="n">
        <f aca="false">IF(M90&lt;0,-M90-M93,0)</f>
        <v>0</v>
      </c>
      <c r="N94" s="116" t="n">
        <f aca="false">IF(N90&lt;0,-N90-N93,0)</f>
        <v>0</v>
      </c>
      <c r="O94" s="116" t="n">
        <f aca="false">IF(O90&lt;0,-O90-O93,0)</f>
        <v>0.562187028971934</v>
      </c>
      <c r="P94" s="116" t="n">
        <f aca="false">IF(P90&lt;0,-P90-P93,0)</f>
        <v>0.10509704363394</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8.74289628329676</v>
      </c>
      <c r="M100" s="116" t="n">
        <f aca="false">$C$21*$C$22*M81</f>
        <v>9.03484739600766</v>
      </c>
      <c r="N100" s="116" t="n">
        <f aca="false">$C$21*$C$22*N81</f>
        <v>9.3195005886985</v>
      </c>
      <c r="O100" s="116" t="n">
        <f aca="false">$C$21*$C$22*O81</f>
        <v>9.58415872574152</v>
      </c>
      <c r="P100" s="116" t="n">
        <f aca="false">$C$21*$C$22*P81</f>
        <v>9.78335829425831</v>
      </c>
      <c r="Q100" s="116" t="n">
        <f aca="false">$C$21*$C$22*Q81</f>
        <v>9.98253981207307</v>
      </c>
      <c r="R100" s="116" t="n">
        <f aca="false">$C$21*$C$22*R81</f>
        <v>10.1793273094703</v>
      </c>
      <c r="S100" s="116" t="n">
        <f aca="false">$C$21*$C$22*S81</f>
        <v>10.3738866280278</v>
      </c>
      <c r="T100" s="116" t="n">
        <f aca="false">$C$21*$C$22*T81</f>
        <v>10.5665452155065</v>
      </c>
      <c r="U100" s="116" t="n">
        <f aca="false">$C$21*$C$22*U81</f>
        <v>10.7576209917969</v>
      </c>
      <c r="V100" s="116" t="n">
        <f aca="false">$C$21*$C$22*V81</f>
        <v>10.9474282170869</v>
      </c>
      <c r="W100" s="116" t="n">
        <f aca="false">$C$21*$C$22*W81</f>
        <v>11.1328067306391</v>
      </c>
      <c r="X100" s="116" t="n">
        <f aca="false">$C$21*$C$22*X81</f>
        <v>11.3140846174531</v>
      </c>
      <c r="Y100" s="116" t="n">
        <f aca="false">$C$21*$C$22*Y81</f>
        <v>11.4924401629267</v>
      </c>
      <c r="Z100" s="116" t="n">
        <f aca="false">$C$21*$C$22*Z81</f>
        <v>11.6692330033184</v>
      </c>
      <c r="AA100" s="116" t="n">
        <f aca="false">$C$21*$C$22*AA81</f>
        <v>11.8444514023902</v>
      </c>
      <c r="AB100" s="116" t="n">
        <f aca="false">$C$21*$C$22*AB81</f>
        <v>12.0181625580658</v>
      </c>
      <c r="AC100" s="116" t="n">
        <f aca="false">$C$21*$C$22*AC81</f>
        <v>12.1904354595098</v>
      </c>
      <c r="AD100" s="116" t="n">
        <f aca="false">$C$21*$C$22*AD81</f>
        <v>12.3613409001846</v>
      </c>
      <c r="AE100" s="116" t="n">
        <f aca="false">$C$21*$C$22*AE81</f>
        <v>12.5309514921169</v>
      </c>
      <c r="AF100" s="116" t="n">
        <f aca="false">$C$21*$C$22*AF81</f>
        <v>12.6993416813448</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0.00874289628329676</v>
      </c>
      <c r="N102" s="116" t="n">
        <f aca="false">M104*$C$24</f>
        <v>0.00903484739600766</v>
      </c>
      <c r="O102" s="116" t="n">
        <f aca="false">N104*$C$24</f>
        <v>0.0093195005886985</v>
      </c>
      <c r="P102" s="116" t="n">
        <f aca="false">O104*$C$24</f>
        <v>0.00958415872574152</v>
      </c>
      <c r="Q102" s="116" t="n">
        <f aca="false">P104*$C$24</f>
        <v>0.00978335829425831</v>
      </c>
      <c r="R102" s="116" t="n">
        <f aca="false">Q104*$C$24</f>
        <v>0.00998253981207307</v>
      </c>
      <c r="S102" s="116" t="n">
        <f aca="false">R104*$C$24</f>
        <v>0.0101793273094703</v>
      </c>
      <c r="T102" s="116" t="n">
        <f aca="false">S104*$C$24</f>
        <v>0.0103738866280278</v>
      </c>
      <c r="U102" s="116" t="n">
        <f aca="false">T104*$C$24</f>
        <v>0.0105665452155065</v>
      </c>
      <c r="V102" s="116" t="n">
        <f aca="false">U104*$C$24</f>
        <v>0.0107576209917969</v>
      </c>
      <c r="W102" s="116" t="n">
        <f aca="false">V104*$C$24</f>
        <v>0.0109474282170869</v>
      </c>
      <c r="X102" s="116" t="n">
        <f aca="false">W104*$C$24</f>
        <v>0.0111328067306391</v>
      </c>
      <c r="Y102" s="116" t="n">
        <f aca="false">X104*$C$24</f>
        <v>0.0113140846174531</v>
      </c>
      <c r="Z102" s="116" t="n">
        <f aca="false">Y104*$C$24</f>
        <v>0.0114924401629267</v>
      </c>
      <c r="AA102" s="116" t="n">
        <f aca="false">Z104*$C$24</f>
        <v>0.0116692330033184</v>
      </c>
      <c r="AB102" s="116" t="n">
        <f aca="false">AA104*$C$24</f>
        <v>0.0118444514023902</v>
      </c>
      <c r="AC102" s="116" t="n">
        <f aca="false">AB104*$C$24</f>
        <v>0.0120181625580658</v>
      </c>
      <c r="AD102" s="116" t="n">
        <f aca="false">AC104*$C$24</f>
        <v>0.0121904354595098</v>
      </c>
      <c r="AE102" s="116" t="n">
        <f aca="false">AD104*$C$24</f>
        <v>0.0123613409001846</v>
      </c>
      <c r="AF102" s="116" t="n">
        <f aca="false">AE104*$C$24</f>
        <v>0.0125309514921169</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0.322962481231578</v>
      </c>
      <c r="M103" s="116" t="n">
        <f aca="false">MIN(MAX(0,M100-L104-M101),MAX(0,L276))</f>
        <v>0.291951112710903</v>
      </c>
      <c r="N103" s="116" t="n">
        <f aca="false">MIN(MAX(0,N100-M104-N101),MAX(0,M276))</f>
        <v>0.284653192690836</v>
      </c>
      <c r="O103" s="116" t="n">
        <f aca="false">MIN(MAX(0,O100-N104-O101),MAX(0,N276))</f>
        <v>0.264658137043023</v>
      </c>
      <c r="P103" s="116" t="n">
        <f aca="false">MIN(MAX(0,P100-O104-P101),MAX(0,O276))</f>
        <v>0.199199568516789</v>
      </c>
      <c r="Q103" s="116" t="n">
        <f aca="false">MIN(MAX(0,Q100-P104-Q101),MAX(0,P276))</f>
        <v>0.199181517814756</v>
      </c>
      <c r="R103" s="116" t="n">
        <f aca="false">MIN(MAX(0,R100-Q104-R101),MAX(0,Q276))</f>
        <v>0.19678749739723</v>
      </c>
      <c r="S103" s="116" t="n">
        <f aca="false">MIN(MAX(0,S100-R104-S101),MAX(0,R276))</f>
        <v>0.194559318557495</v>
      </c>
      <c r="T103" s="116" t="n">
        <f aca="false">MIN(MAX(0,T100-S104-T101),MAX(0,S276))</f>
        <v>0.192658587478677</v>
      </c>
      <c r="U103" s="116" t="n">
        <f aca="false">MIN(MAX(0,U100-T104-U101),MAX(0,T276))</f>
        <v>0.191075776290468</v>
      </c>
      <c r="V103" s="116" t="n">
        <f aca="false">MIN(MAX(0,V100-U104-V101),MAX(0,U276))</f>
        <v>0.189807225289977</v>
      </c>
      <c r="W103" s="116" t="n">
        <f aca="false">MIN(MAX(0,W100-V104-W101),MAX(0,V276))</f>
        <v>0.185378513552136</v>
      </c>
      <c r="X103" s="116" t="n">
        <f aca="false">MIN(MAX(0,X100-W104-X101),MAX(0,W276))</f>
        <v>0.181277886814071</v>
      </c>
      <c r="Y103" s="116" t="n">
        <f aca="false">MIN(MAX(0,Y100-X104-Y101),MAX(0,X276))</f>
        <v>0.178355545473599</v>
      </c>
      <c r="Z103" s="116" t="n">
        <f aca="false">MIN(MAX(0,Z100-Y104-Z101),MAX(0,Y276))</f>
        <v>0.176792840391679</v>
      </c>
      <c r="AA103" s="116" t="n">
        <f aca="false">MIN(MAX(0,AA100-Z104-AA101),MAX(0,Z276))</f>
        <v>0.175218399071772</v>
      </c>
      <c r="AB103" s="116" t="n">
        <f aca="false">MIN(MAX(0,AB100-AA104-AB101),MAX(0,AA276))</f>
        <v>0.173711155675601</v>
      </c>
      <c r="AC103" s="116" t="n">
        <f aca="false">MIN(MAX(0,AC100-AB104-AC101),MAX(0,AB276))</f>
        <v>0.172272901444032</v>
      </c>
      <c r="AD103" s="116" t="n">
        <f aca="false">MIN(MAX(0,AD100-AC104-AD101),MAX(0,AC276))</f>
        <v>0.170905440674783</v>
      </c>
      <c r="AE103" s="116" t="n">
        <f aca="false">MIN(MAX(0,AE100-AD104-AE101),MAX(0,AD276))</f>
        <v>0.169610591932305</v>
      </c>
      <c r="AF103" s="116" t="n">
        <f aca="false">MIN(MAX(0,AF100-AE104-AF101),MAX(0,AE276))</f>
        <v>0.168390189227894</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8.74289628329676</v>
      </c>
      <c r="M104" s="136" t="n">
        <f aca="false">L104+M101+M103</f>
        <v>9.03484739600766</v>
      </c>
      <c r="N104" s="136" t="n">
        <f aca="false">M104+N101+N103</f>
        <v>9.3195005886985</v>
      </c>
      <c r="O104" s="136" t="n">
        <f aca="false">N104+O101+O103</f>
        <v>9.58415872574152</v>
      </c>
      <c r="P104" s="136" t="n">
        <f aca="false">O104+P101+P103</f>
        <v>9.78335829425831</v>
      </c>
      <c r="Q104" s="136" t="n">
        <f aca="false">P104+Q101+Q103</f>
        <v>9.98253981207307</v>
      </c>
      <c r="R104" s="136" t="n">
        <f aca="false">Q104+R101+R103</f>
        <v>10.1793273094703</v>
      </c>
      <c r="S104" s="136" t="n">
        <f aca="false">R104+S101+S103</f>
        <v>10.3738866280278</v>
      </c>
      <c r="T104" s="136" t="n">
        <f aca="false">S104+T101+T103</f>
        <v>10.5665452155065</v>
      </c>
      <c r="U104" s="136" t="n">
        <f aca="false">T104+U101+U103</f>
        <v>10.7576209917969</v>
      </c>
      <c r="V104" s="136" t="n">
        <f aca="false">U104+V101+V103</f>
        <v>10.9474282170869</v>
      </c>
      <c r="W104" s="136" t="n">
        <f aca="false">V104+W101+W103</f>
        <v>11.1328067306391</v>
      </c>
      <c r="X104" s="136" t="n">
        <f aca="false">W104+X101+X103</f>
        <v>11.3140846174531</v>
      </c>
      <c r="Y104" s="136" t="n">
        <f aca="false">X104+Y101+Y103</f>
        <v>11.4924401629267</v>
      </c>
      <c r="Z104" s="136" t="n">
        <f aca="false">Y104+Z101+Z103</f>
        <v>11.6692330033184</v>
      </c>
      <c r="AA104" s="136" t="n">
        <f aca="false">Z104+AA101+AA103</f>
        <v>11.8444514023902</v>
      </c>
      <c r="AB104" s="136" t="n">
        <f aca="false">AA104+AB101+AB103</f>
        <v>12.0181625580658</v>
      </c>
      <c r="AC104" s="136" t="n">
        <f aca="false">AB104+AC101+AC103</f>
        <v>12.1904354595098</v>
      </c>
      <c r="AD104" s="136" t="n">
        <f aca="false">AC104+AD101+AD103</f>
        <v>12.3613409001846</v>
      </c>
      <c r="AE104" s="136" t="n">
        <f aca="false">AD104+AE101+AE103</f>
        <v>12.5309514921169</v>
      </c>
      <c r="AF104" s="136" t="n">
        <f aca="false">AE104+AF101+AF103</f>
        <v>12.6993416813448</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68.0817406704861</v>
      </c>
      <c r="M105" s="139" t="n">
        <f aca="false">M104/($C$36*(1+$C$23)^(M$39-1))</f>
        <v>70.3551909437117</v>
      </c>
      <c r="N105" s="139" t="n">
        <f aca="false">N104/($C$36*(1+$C$23)^(N$39-1))</f>
        <v>72.5718116398565</v>
      </c>
      <c r="O105" s="139" t="n">
        <f aca="false">O104/($C$36*(1+$C$23)^(O$39-1))</f>
        <v>74.6327289913435</v>
      </c>
      <c r="P105" s="139" t="n">
        <f aca="false">P104/($C$36*(1+$C$23)^(P$39-1))</f>
        <v>76.1839144253217</v>
      </c>
      <c r="Q105" s="139" t="n">
        <f aca="false">Q104/($C$36*(1+$C$23)^(Q$39-1))</f>
        <v>77.7349592968165</v>
      </c>
      <c r="R105" s="139" t="n">
        <f aca="false">R104/($C$36*(1+$C$23)^(R$39-1))</f>
        <v>79.2673617102579</v>
      </c>
      <c r="S105" s="139" t="n">
        <f aca="false">S104/($C$36*(1+$C$23)^(S$39-1))</f>
        <v>80.782413089326</v>
      </c>
      <c r="T105" s="139" t="n">
        <f aca="false">T104/($C$36*(1+$C$23)^(T$39-1))</f>
        <v>82.2826632999712</v>
      </c>
      <c r="U105" s="139" t="n">
        <f aca="false">U104/($C$36*(1+$C$23)^(U$39-1))</f>
        <v>83.7705880137383</v>
      </c>
      <c r="V105" s="139" t="n">
        <f aca="false">V104/($C$36*(1+$C$23)^(V$39-1))</f>
        <v>85.2486344037275</v>
      </c>
      <c r="W105" s="139" t="n">
        <f aca="false">W104/($C$36*(1+$C$23)^(W$39-1))</f>
        <v>86.6921940064702</v>
      </c>
      <c r="X105" s="139" t="n">
        <f aca="false">X104/($C$36*(1+$C$23)^(X$39-1))</f>
        <v>88.1038216501549</v>
      </c>
      <c r="Y105" s="139" t="n">
        <f aca="false">Y104/($C$36*(1+$C$23)^(Y$39-1))</f>
        <v>89.4926927519744</v>
      </c>
      <c r="Z105" s="139" t="n">
        <f aca="false">Z104/($C$36*(1+$C$23)^(Z$39-1))</f>
        <v>90.8693949250221</v>
      </c>
      <c r="AA105" s="139" t="n">
        <f aca="false">AA104/($C$36*(1+$C$23)^(AA$39-1))</f>
        <v>92.2338367781289</v>
      </c>
      <c r="AB105" s="139" t="n">
        <f aca="false">AB104/($C$36*(1+$C$23)^(AB$39-1))</f>
        <v>93.586541587732</v>
      </c>
      <c r="AC105" s="139" t="n">
        <f aca="false">AC104/($C$36*(1+$C$23)^(AC$39-1))</f>
        <v>94.9280465788266</v>
      </c>
      <c r="AD105" s="139" t="n">
        <f aca="false">AD104/($C$36*(1+$C$23)^(AD$39-1))</f>
        <v>96.2589030266407</v>
      </c>
      <c r="AE105" s="139" t="n">
        <f aca="false">AE104/($C$36*(1+$C$23)^(AE$39-1))</f>
        <v>97.5796763677318</v>
      </c>
      <c r="AF105" s="139" t="n">
        <f aca="false">AF104/($C$36*(1+$C$23)^(AF$39-1))</f>
        <v>98.8909463202726</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4.71897676419284</v>
      </c>
      <c r="L107" s="116" t="n">
        <f aca="false">L87*(1-$C$340)*$C$175+L85*01_Supuestos!$I$126+L55*L88</f>
        <v>4.82567794046116</v>
      </c>
      <c r="M107" s="116" t="n">
        <f aca="false">M87*(1-$C$340)*$C$175+M85*01_Supuestos!$I$126+M55*M88</f>
        <v>4.96434131060088</v>
      </c>
      <c r="N107" s="116" t="n">
        <f aca="false">N87*(1-$C$340)*$C$175+N85*01_Supuestos!$I$126+N55*N88</f>
        <v>5.09740572354907</v>
      </c>
      <c r="O107" s="116" t="n">
        <f aca="false">O87*(1-$C$340)*$C$175+O85*01_Supuestos!$I$126+O55*O88</f>
        <v>5.2141997585206</v>
      </c>
      <c r="P107" s="116" t="n">
        <f aca="false">P87*(1-$C$340)*$C$175+P85*01_Supuestos!$I$126+P55*P88</f>
        <v>5.33431473825155</v>
      </c>
      <c r="Q107" s="116" t="n">
        <f aca="false">Q87*(1-$C$340)*$C$175+Q85*01_Supuestos!$I$126+Q55*Q88</f>
        <v>5.45723316592966</v>
      </c>
      <c r="R107" s="116" t="n">
        <f aca="false">R87*(1-$C$340)*$C$175+R85*01_Supuestos!$I$126+R55*R88</f>
        <v>5.5830405944021</v>
      </c>
      <c r="S107" s="116" t="n">
        <f aca="false">S87*(1-$C$340)*$C$175+S85*01_Supuestos!$I$126+S55*S88</f>
        <v>5.71180151104736</v>
      </c>
      <c r="T107" s="116" t="n">
        <f aca="false">T87*(1-$C$340)*$C$175+T85*01_Supuestos!$I$126+T55*T88</f>
        <v>5.8435804866823</v>
      </c>
      <c r="U107" s="116" t="n">
        <f aca="false">U87*(1-$C$340)*$C$175+U85*01_Supuestos!$I$126+U55*U88</f>
        <v>5.97844372858448</v>
      </c>
      <c r="V107" s="116" t="n">
        <f aca="false">V87*(1-$C$340)*$C$175+V85*01_Supuestos!$I$126+V55*V88</f>
        <v>6.11645906413019</v>
      </c>
      <c r="W107" s="116" t="n">
        <f aca="false">W87*(1-$C$340)*$C$175+W85*01_Supuestos!$I$126+W55*W88</f>
        <v>6.25772676643288</v>
      </c>
      <c r="X107" s="116" t="n">
        <f aca="false">X87*(1-$C$340)*$C$175+X85*01_Supuestos!$I$126+X55*X88</f>
        <v>6.40231782588258</v>
      </c>
      <c r="Y107" s="116" t="n">
        <f aca="false">Y87*(1-$C$340)*$C$175+Y85*01_Supuestos!$I$126+Y55*Y88</f>
        <v>6.55029739046074</v>
      </c>
      <c r="Z107" s="116" t="n">
        <f aca="false">Z87*(1-$C$340)*$C$175+Z85*01_Supuestos!$I$126+Z55*Z88</f>
        <v>6.70173073819799</v>
      </c>
      <c r="AA107" s="116" t="n">
        <f aca="false">AA87*(1-$C$340)*$C$175+AA85*01_Supuestos!$I$126+AA55*AA88</f>
        <v>6.85669709137574</v>
      </c>
      <c r="AB107" s="116" t="n">
        <f aca="false">AB87*(1-$C$340)*$C$175+AB85*01_Supuestos!$I$126+AB55*AB88</f>
        <v>7.01527679176836</v>
      </c>
      <c r="AC107" s="116" t="n">
        <f aca="false">AC87*(1-$C$340)*$C$175+AC85*01_Supuestos!$I$126+AC55*AC88</f>
        <v>7.17755202683153</v>
      </c>
      <c r="AD107" s="116" t="n">
        <f aca="false">AD87*(1-$C$340)*$C$175+AD85*01_Supuestos!$I$126+AD55*AD88</f>
        <v>7.34360687240254</v>
      </c>
      <c r="AE107" s="116" t="n">
        <f aca="false">AE87*(1-$C$340)*$C$175+AE85*01_Supuestos!$I$126+AE55*AE88</f>
        <v>7.51352733637466</v>
      </c>
      <c r="AF107" s="116" t="n">
        <f aca="false">AF87*(1-$C$340)*$C$175+AF85*01_Supuestos!$I$126+AF55*AF88</f>
        <v>7.68740140336843</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2.28242153016654</v>
      </c>
      <c r="M109" s="116" t="n">
        <f aca="false">(M70+L121)*(0.3*$C$5+0.25*01_Supuestos!$I$134)/0.55-L227*$C$5</f>
        <v>2.37206307813165</v>
      </c>
      <c r="N109" s="116" t="n">
        <f aca="false">(N70+M121)*(0.3*$C$5+0.25*01_Supuestos!$I$134)/0.55-M227*$C$5</f>
        <v>2.47976280035871</v>
      </c>
      <c r="O109" s="116" t="n">
        <f aca="false">(O70+N121)*(0.3*$C$5+0.25*01_Supuestos!$I$134)/0.55-N227*$C$5</f>
        <v>2.5893435505239</v>
      </c>
      <c r="P109" s="116" t="n">
        <f aca="false">(P70+O121)*(0.3*$C$5+0.25*01_Supuestos!$I$134)/0.55-O227*$C$5</f>
        <v>2.6998926416457</v>
      </c>
      <c r="Q109" s="116" t="n">
        <f aca="false">(Q70+P121)*(0.3*$C$5+0.25*01_Supuestos!$I$134)/0.55-P227*$C$5</f>
        <v>2.8074483230905</v>
      </c>
      <c r="R109" s="116" t="n">
        <f aca="false">(R70+Q121)*(0.3*$C$5+0.25*01_Supuestos!$I$134)/0.55-Q227*$C$5</f>
        <v>2.91197903137611</v>
      </c>
      <c r="S109" s="116" t="n">
        <f aca="false">(S70+R121)*(0.3*$C$5+0.25*01_Supuestos!$I$134)/0.55-R227*$C$5</f>
        <v>3.0137089004709</v>
      </c>
      <c r="T109" s="116" t="n">
        <f aca="false">(T70+S121)*(0.3*$C$5+0.25*01_Supuestos!$I$134)/0.55-S227*$C$5</f>
        <v>3.11301285777342</v>
      </c>
      <c r="U109" s="116" t="n">
        <f aca="false">(U70+T121)*(0.3*$C$5+0.25*01_Supuestos!$I$134)/0.55-T227*$C$5</f>
        <v>3.21025481543171</v>
      </c>
      <c r="V109" s="116" t="n">
        <f aca="false">(V70+U121)*(0.3*$C$5+0.25*01_Supuestos!$I$134)/0.55-U227*$C$5</f>
        <v>3.30579320763412</v>
      </c>
      <c r="W109" s="116" t="n">
        <f aca="false">(W70+V121)*(0.3*$C$5+0.25*01_Supuestos!$I$134)/0.55-V227*$C$5</f>
        <v>3.39998160496336</v>
      </c>
      <c r="X109" s="116" t="n">
        <f aca="false">(X70+W121)*(0.3*$C$5+0.25*01_Supuestos!$I$134)/0.55-W227*$C$5</f>
        <v>3.49317350935348</v>
      </c>
      <c r="Y109" s="116" t="n">
        <f aca="false">(Y70+X121)*(0.3*$C$5+0.25*01_Supuestos!$I$134)/0.55-X227*$C$5</f>
        <v>3.58652391521015</v>
      </c>
      <c r="Z109" s="116" t="n">
        <f aca="false">(Z70+Y121)*(0.3*$C$5+0.25*01_Supuestos!$I$134)/0.55-Y227*$C$5</f>
        <v>3.68135691953095</v>
      </c>
      <c r="AA109" s="116" t="n">
        <f aca="false">(AA70+Z121)*(0.3*$C$5+0.25*01_Supuestos!$I$134)/0.55-Z227*$C$5</f>
        <v>3.77769766797873</v>
      </c>
      <c r="AB109" s="116" t="n">
        <f aca="false">(AB70+AA121)*(0.3*$C$5+0.25*01_Supuestos!$I$134)/0.55-AA227*$C$5</f>
        <v>3.87557178600729</v>
      </c>
      <c r="AC109" s="116" t="n">
        <f aca="false">(AC70+AB121)*(0.3*$C$5+0.25*01_Supuestos!$I$134)/0.55-AB227*$C$5</f>
        <v>3.97500538968024</v>
      </c>
      <c r="AD109" s="116" t="n">
        <f aca="false">(AD70+AC121)*(0.3*$C$5+0.25*01_Supuestos!$I$134)/0.55-AC227*$C$5</f>
        <v>4.07602509677999</v>
      </c>
      <c r="AE109" s="116" t="n">
        <f aca="false">(AE70+AD121)*(0.3*$C$5+0.25*01_Supuestos!$I$134)/0.55-AD227*$C$5</f>
        <v>4.17865803821577</v>
      </c>
      <c r="AF109" s="116" t="n">
        <f aca="false">(AF70+AE121)*(0.3*$C$5+0.25*01_Supuestos!$I$134)/0.55-AE227*$C$5</f>
        <v>4.28293186973977</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1.2286350843469</v>
      </c>
      <c r="F110" s="116" t="n">
        <f aca="false">E120*$C$10</f>
        <v>1.85752021492381</v>
      </c>
      <c r="G110" s="116" t="n">
        <f aca="false">F120*$C$10</f>
        <v>2.16515359000362</v>
      </c>
      <c r="H110" s="116" t="n">
        <f aca="false">G120*$C$10</f>
        <v>2.54956750465803</v>
      </c>
      <c r="I110" s="116" t="n">
        <f aca="false">H120*$C$10</f>
        <v>2.99211665248276</v>
      </c>
      <c r="J110" s="116" t="n">
        <f aca="false">I120*$C$10</f>
        <v>3.49600720239699</v>
      </c>
      <c r="K110" s="116" t="n">
        <f aca="false">J120*$C$10</f>
        <v>4.0464219473949</v>
      </c>
      <c r="L110" s="116" t="n">
        <f aca="false">K120*$C$10</f>
        <v>4.67066552869067</v>
      </c>
      <c r="M110" s="116" t="n">
        <f aca="false">L120*$C$10</f>
        <v>5.29947354688771</v>
      </c>
      <c r="N110" s="116" t="n">
        <f aca="false">M120*$C$10</f>
        <v>5.29781605826974</v>
      </c>
      <c r="O110" s="116" t="n">
        <f aca="false">N120*$C$10</f>
        <v>5.32522460282701</v>
      </c>
      <c r="P110" s="116" t="n">
        <f aca="false">O120*$C$10</f>
        <v>5.38600420051255</v>
      </c>
      <c r="Q110" s="116" t="n">
        <f aca="false">P120*$C$10</f>
        <v>5.43433585077137</v>
      </c>
      <c r="R110" s="116" t="n">
        <f aca="false">Q120*$C$10</f>
        <v>5.47732264965196</v>
      </c>
      <c r="S110" s="116" t="n">
        <f aca="false">R120*$C$10</f>
        <v>5.52182139821423</v>
      </c>
      <c r="T110" s="116" t="n">
        <f aca="false">S120*$C$10</f>
        <v>5.56766073219066</v>
      </c>
      <c r="U110" s="116" t="n">
        <f aca="false">T120*$C$10</f>
        <v>5.6148720097635</v>
      </c>
      <c r="V110" s="116" t="n">
        <f aca="false">U120*$C$10</f>
        <v>5.66347844722644</v>
      </c>
      <c r="W110" s="116" t="n">
        <f aca="false">V120*$C$10</f>
        <v>5.71350369952195</v>
      </c>
      <c r="X110" s="116" t="n">
        <f aca="false">W120*$C$10</f>
        <v>5.76505160572493</v>
      </c>
      <c r="Y110" s="116" t="n">
        <f aca="false">X120*$C$10</f>
        <v>5.81697820609584</v>
      </c>
      <c r="Z110" s="116" t="n">
        <f aca="false">Y120*$C$10</f>
        <v>5.86784407389916</v>
      </c>
      <c r="AA110" s="116" t="n">
        <f aca="false">Z120*$C$10</f>
        <v>5.91809212918694</v>
      </c>
      <c r="AB110" s="116" t="n">
        <f aca="false">AA120*$C$10</f>
        <v>5.96819505118114</v>
      </c>
      <c r="AC110" s="116" t="n">
        <f aca="false">AB120*$C$10</f>
        <v>6.01863506507197</v>
      </c>
      <c r="AD110" s="116" t="n">
        <f aca="false">AC120*$C$10</f>
        <v>6.06990373047796</v>
      </c>
      <c r="AE110" s="116" t="n">
        <f aca="false">AD120*$C$10</f>
        <v>6.12249883504327</v>
      </c>
      <c r="AF110" s="116" t="n">
        <f aca="false">AE120*$C$10</f>
        <v>6.1769256465521</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0.34971585133187</v>
      </c>
      <c r="M112" s="116" t="n">
        <f aca="false">M81*$C$7</f>
        <v>0.361393895840307</v>
      </c>
      <c r="N112" s="116" t="n">
        <f aca="false">N81*$C$7</f>
        <v>0.37278002354794</v>
      </c>
      <c r="O112" s="116" t="n">
        <f aca="false">O81*$C$7</f>
        <v>0.383366349029661</v>
      </c>
      <c r="P112" s="116" t="n">
        <f aca="false">P81*$C$7</f>
        <v>0.391334331770332</v>
      </c>
      <c r="Q112" s="116" t="n">
        <f aca="false">Q81*$C$7</f>
        <v>0.399301592482923</v>
      </c>
      <c r="R112" s="116" t="n">
        <f aca="false">R81*$C$7</f>
        <v>0.407173092378812</v>
      </c>
      <c r="S112" s="116" t="n">
        <f aca="false">S81*$C$7</f>
        <v>0.414955465121112</v>
      </c>
      <c r="T112" s="116" t="n">
        <f aca="false">T81*$C$7</f>
        <v>0.422661808620259</v>
      </c>
      <c r="U112" s="116" t="n">
        <f aca="false">U81*$C$7</f>
        <v>0.430304839671878</v>
      </c>
      <c r="V112" s="116" t="n">
        <f aca="false">V81*$C$7</f>
        <v>0.437897128683477</v>
      </c>
      <c r="W112" s="116" t="n">
        <f aca="false">W81*$C$7</f>
        <v>0.445312269225562</v>
      </c>
      <c r="X112" s="116" t="n">
        <f aca="false">X81*$C$7</f>
        <v>0.452563384698125</v>
      </c>
      <c r="Y112" s="116" t="n">
        <f aca="false">Y81*$C$7</f>
        <v>0.459697606517069</v>
      </c>
      <c r="Z112" s="116" t="n">
        <f aca="false">Z81*$C$7</f>
        <v>0.466769320132736</v>
      </c>
      <c r="AA112" s="116" t="n">
        <f aca="false">AA81*$C$7</f>
        <v>0.473778056095607</v>
      </c>
      <c r="AB112" s="116" t="n">
        <f aca="false">AB81*$C$7</f>
        <v>0.480726502322631</v>
      </c>
      <c r="AC112" s="116" t="n">
        <f aca="false">AC81*$C$7</f>
        <v>0.487617418380392</v>
      </c>
      <c r="AD112" s="116" t="n">
        <f aca="false">AD81*$C$7</f>
        <v>0.494453636007383</v>
      </c>
      <c r="AE112" s="116" t="n">
        <f aca="false">AE81*$C$7</f>
        <v>0.501238059684676</v>
      </c>
      <c r="AF112" s="116" t="n">
        <f aca="false">AF81*$C$7</f>
        <v>0.507973667253791</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-2.47949637376709</v>
      </c>
      <c r="F113" s="136" t="n">
        <f aca="false">F107+F109+F110-F111-F112-F108-F97-F98-F102+F184-F190-F229-F265-F268-F274</f>
        <v>-6.30123517222942</v>
      </c>
      <c r="G113" s="136" t="n">
        <f aca="false">G107+G109+G110-G111-G112-G108-G97-G98-G102+G184-G190-G229-G265-G268-G274</f>
        <v>-4.97591948674164</v>
      </c>
      <c r="H113" s="136" t="n">
        <f aca="false">H107+H109+H110-H111-H112-H108-H97-H98-H102+H184-H190-H229-H265-H268-H274</f>
        <v>-3.78573367514692</v>
      </c>
      <c r="I113" s="136" t="n">
        <f aca="false">I107+I109+I110-I111-I112-I108-I97-I98-I102+I184-I190-I229-I265-I268-I274</f>
        <v>-2.54618059436743</v>
      </c>
      <c r="J113" s="136" t="n">
        <f aca="false">J107+J109+J110-J111-J112-J108-J97-J98-J102+J184-J190-J229-J265-J268-J274</f>
        <v>-1.25210463335795</v>
      </c>
      <c r="K113" s="136" t="n">
        <f aca="false">K107+K109+K110-K111-K112-K108-K97-K98-K102+K184-K190-K229-K265-K268-K274</f>
        <v>-0.347937566620946</v>
      </c>
      <c r="L113" s="136" t="n">
        <f aca="false">L107+L109+L110-L111-L112-L108-L97-L98-L102+L184-L190-L229-L265-L268-L274</f>
        <v>0.51962326113744</v>
      </c>
      <c r="M113" s="136" t="n">
        <f aca="false">M107+M109+M110-M111-M112-M108-M97-M98-M102+M184-M190-M229-M265-M268-M274</f>
        <v>1.23223192383798</v>
      </c>
      <c r="N113" s="136" t="n">
        <f aca="false">N107+N109+N110-N111-N112-N108-N97-N98-N102+N184-N190-N229-N265-N268-N274</f>
        <v>1.25957089181253</v>
      </c>
      <c r="O113" s="136" t="n">
        <f aca="false">O107+O109+O110-O111-O112-O108-O97-O98-O102+O184-O190-O229-O265-O268-O274</f>
        <v>1.24742857183186</v>
      </c>
      <c r="P113" s="136" t="n">
        <f aca="false">P107+P109+P110-P111-P112-P108-P97-P98-P102+P184-P190-P229-P265-P268-P274</f>
        <v>1.06679013905358</v>
      </c>
      <c r="Q113" s="136" t="n">
        <f aca="false">Q107+Q109+Q110-Q111-Q112-Q108-Q97-Q98-Q102+Q184-Q190-Q229-Q265-Q268-Q274</f>
        <v>0.883916419876578</v>
      </c>
      <c r="R113" s="136" t="n">
        <f aca="false">R107+R109+R110-R111-R112-R108-R97-R98-R102+R184-R190-R229-R265-R268-R274</f>
        <v>0.709608707890951</v>
      </c>
      <c r="S113" s="136" t="n">
        <f aca="false">S107+S109+S110-S111-S112-S108-S97-S98-S102+S184-S190-S229-S265-S268-S274</f>
        <v>0.550229687396746</v>
      </c>
      <c r="T113" s="136" t="n">
        <f aca="false">T107+T109+T110-T111-T112-T108-T97-T98-T102+T184-T190-T229-T265-T268-T274</f>
        <v>0.405295919152039</v>
      </c>
      <c r="U113" s="136" t="n">
        <f aca="false">U107+U109+U110-U111-U112-U108-U97-U98-U102+U184-U190-U229-U265-U268-U274</f>
        <v>0.274557852569429</v>
      </c>
      <c r="V113" s="136" t="n">
        <f aca="false">V107+V109+V110-V111-V112-V108-V97-V98-V102+V184-V190-V229-V265-V268-V274</f>
        <v>0.157791537659985</v>
      </c>
      <c r="W113" s="136" t="n">
        <f aca="false">W107+W109+W110-W111-W112-W108-W97-W98-W102+W184-W190-W229-W265-W268-W274</f>
        <v>0.0549754864319377</v>
      </c>
      <c r="X113" s="136" t="n">
        <f aca="false">X107+X109+X110-X111-X112-X108-X97-X98-X102+X184-X190-X229-X265-X268-X274</f>
        <v>-0.033965459520603</v>
      </c>
      <c r="Y113" s="136" t="n">
        <f aca="false">Y107+Y109+Y110-Y111-Y112-Y108-Y97-Y98-Y102+Y184-Y190-Y229-Y265-Y268-Y274</f>
        <v>-0.109565951171623</v>
      </c>
      <c r="Z113" s="136" t="n">
        <f aca="false">Z107+Z109+Z110-Z111-Z112-Z108-Z97-Z98-Z102+Z184-Z190-Z229-Z265-Z268-Z274</f>
        <v>-0.172466719078983</v>
      </c>
      <c r="AA113" s="136" t="n">
        <f aca="false">AA107+AA109+AA110-AA111-AA112-AA108-AA97-AA98-AA102+AA184-AA190-AA229-AA265-AA268-AA274</f>
        <v>-0.222630112322516</v>
      </c>
      <c r="AB113" s="136" t="n">
        <f aca="false">AB107+AB109+AB110-AB111-AB112-AB108-AB97-AB98-AB102+AB184-AB190-AB229-AB265-AB268-AB274</f>
        <v>-0.259964807439009</v>
      </c>
      <c r="AC113" s="136" t="n">
        <f aca="false">AC107+AC109+AC110-AC111-AC112-AC108-AC97-AC98-AC102+AC184-AC190-AC229-AC265-AC268-AC274</f>
        <v>-0.284345331751512</v>
      </c>
      <c r="AD113" s="136" t="n">
        <f aca="false">AD107+AD109+AD110-AD111-AD112-AD108-AD97-AD98-AD102+AD184-AD190-AD229-AD265-AD268-AD274</f>
        <v>-0.295613715343618</v>
      </c>
      <c r="AE113" s="136" t="n">
        <f aca="false">AE107+AE109+AE110-AE111-AE112-AE108-AE97-AE98-AE102+AE184-AE190-AE229-AE265-AE268-AE274</f>
        <v>-0.293584075804989</v>
      </c>
      <c r="AF113" s="136" t="n">
        <f aca="false">AF107+AF109+AF110-AF111-AF112-AF108-AF97-AF98-AF102+AF184-AF190-AF229-AF265-AF268-AF274</f>
        <v>-0.278042743743222</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35.1038595527686</v>
      </c>
      <c r="E114" s="116" t="n">
        <f aca="false">D120+E53+E56-E57+(E58-E65)+E113-E92+E94-E95-E103+E60-E245</f>
        <v>53.0720061406802</v>
      </c>
      <c r="F114" s="116" t="n">
        <f aca="false">E120+F53+F56-F57+(F58-F65)+F113-F92+F94-F95-F103+F60-F245</f>
        <v>61.8615311429605</v>
      </c>
      <c r="G114" s="116" t="n">
        <f aca="false">F120+G53+G56-G57+(G58-G65)+G113-G92+G94-G95-G103+G60-G245</f>
        <v>72.8447858473724</v>
      </c>
      <c r="H114" s="116" t="n">
        <f aca="false">G120+H53+H56-H57+(H58-H65)+H113-H92+H94-H95-H103+H60-H245</f>
        <v>85.489047213793</v>
      </c>
      <c r="I114" s="116" t="n">
        <f aca="false">H120+I53+I56-I57+(I58-I65)+I113-I92+I94-I95-I103+I60-I245</f>
        <v>99.8859200684854</v>
      </c>
      <c r="J114" s="116" t="n">
        <f aca="false">I120+J53+J56-J57+(J58-J65)+J113-J92+J94-J95-J103+J60-J245</f>
        <v>115.612055639854</v>
      </c>
      <c r="K114" s="116" t="n">
        <f aca="false">J120+K53+K56-K57+(K58-K65)+K113-K92+K94-K95-K103+K60-K245</f>
        <v>133.447586534019</v>
      </c>
      <c r="L114" s="116" t="n">
        <f aca="false">K120+L53+L56-L57+(L58-L65)+L113-L92+L94-L95-L103+L60-L245</f>
        <v>151.933153172215</v>
      </c>
      <c r="M114" s="116" t="n">
        <f aca="false">L120+M53+M56-M57+(M58-M65)+M113-M92+M94-M95-M103+M60-M245</f>
        <v>152.598405017259</v>
      </c>
      <c r="N114" s="116" t="n">
        <f aca="false">M120+N53+N56-N57+(N58-N65)+N113-N92+N94-N95-N103+N60-N245</f>
        <v>153.408845258299</v>
      </c>
      <c r="O114" s="116" t="n">
        <f aca="false">N120+O53+O56-O57+(O58-O65)+O113-O92+O94-O95-O103+O60-O245</f>
        <v>155.13326287219</v>
      </c>
      <c r="P114" s="116" t="n">
        <f aca="false">O120+P53+P56-P57+(P58-P65)+P113-P92+P94-P95-P103+P60-P245</f>
        <v>156.333528732521</v>
      </c>
      <c r="Q114" s="116" t="n">
        <f aca="false">P120+Q53+Q56-Q57+(Q58-Q65)+Q113-Q92+Q94-Q95-Q103+Q60-Q245</f>
        <v>157.378849267075</v>
      </c>
      <c r="R114" s="116" t="n">
        <f aca="false">Q120+R53+R56-R57+(R58-R65)+R113-R92+R94-R95-R103+R60-R245</f>
        <v>158.475934371155</v>
      </c>
      <c r="S114" s="116" t="n">
        <f aca="false">R120+S53+S56-S57+(S58-S65)+S113-S92+S94-S95-S103+S60-S245</f>
        <v>159.62625060713</v>
      </c>
      <c r="T114" s="116" t="n">
        <f aca="false">S120+T53+T56-T57+(T58-T65)+T113-T92+T94-T95-T103+T60-T245</f>
        <v>160.830210483824</v>
      </c>
      <c r="U114" s="116" t="n">
        <f aca="false">T120+U53+U56-U57+(U58-U65)+U113-U92+U94-U95-U103+U60-U245</f>
        <v>162.088227773325</v>
      </c>
      <c r="V114" s="116" t="n">
        <f aca="false">U120+V53+V56-V57+(V58-V65)+V113-V92+V94-V95-V103+V60-V245</f>
        <v>163.400754381144</v>
      </c>
      <c r="W114" s="116" t="n">
        <f aca="false">V120+W53+W56-W57+(W58-W65)+W113-W92+W94-W95-W103+W60-W245</f>
        <v>164.770735650001</v>
      </c>
      <c r="X114" s="116" t="n">
        <f aca="false">W120+X53+X56-X57+(X58-X65)+X113-X92+X94-X95-X103+X60-X245</f>
        <v>166.199377317024</v>
      </c>
      <c r="Y114" s="116" t="n">
        <f aca="false">X120+Y53+Y56-Y57+(Y58-Y65)+Y113-Y92+Y94-Y95-Y103+Y60-Y245</f>
        <v>167.65268782569</v>
      </c>
      <c r="Z114" s="116" t="n">
        <f aca="false">Y120+Z53+Z56-Z57+(Z58-Z65)+Z113-Z92+Z94-Z95-Z103+Z60-Z245</f>
        <v>169.088346548198</v>
      </c>
      <c r="AA114" s="116" t="n">
        <f aca="false">Z120+AA53+AA56-AA57+(AA58-AA65)+AA113-AA92+AA94-AA95-AA103+AA60-AA245</f>
        <v>170.519858605175</v>
      </c>
      <c r="AB114" s="116" t="n">
        <f aca="false">AA120+AB53+AB56-AB57+(AB58-AB65)+AB113-AB92+AB94-AB95-AB103+AB60-AB245</f>
        <v>171.961001859199</v>
      </c>
      <c r="AC114" s="116" t="n">
        <f aca="false">AB120+AC53+AC56-AC57+(AC58-AC65)+AC113-AC92+AC94-AC95-AC103+AC60-AC245</f>
        <v>173.425820870799</v>
      </c>
      <c r="AD114" s="116" t="n">
        <f aca="false">AC120+AD53+AD56-AD57+(AD58-AD65)+AD113-AD92+AD94-AD95-AD103+AD60-AD245</f>
        <v>174.928538144093</v>
      </c>
      <c r="AE114" s="116" t="n">
        <f aca="false">AD120+AE53+AE56-AE57+(AE58-AE65)+AE113-AE92+AE94-AE95-AE103+AE60-AE245</f>
        <v>176.483589901488</v>
      </c>
      <c r="AF114" s="116" t="n">
        <f aca="false">AE120+AF53+AF56-AF57+(AF58-AF65)+AF113-AF92+AF94-AF95-AF103+AF60-AF245</f>
        <v>178.1056545971</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0.51962326113744</v>
      </c>
      <c r="M115" s="116" t="n">
        <f aca="false">IF(M113&gt;0,MIN(M113,01_Supuestos!$I$106*M81),0)</f>
        <v>1.23223192383798</v>
      </c>
      <c r="N115" s="116" t="n">
        <f aca="false">IF(N113&gt;0,MIN(N113,01_Supuestos!$I$106*N81),0)</f>
        <v>1.25957089181253</v>
      </c>
      <c r="O115" s="116" t="n">
        <f aca="false">IF(O113&gt;0,MIN(O113,01_Supuestos!$I$106*O81),0)</f>
        <v>1.24742857183186</v>
      </c>
      <c r="P115" s="116" t="n">
        <f aca="false">IF(P113&gt;0,MIN(P113,01_Supuestos!$I$106*P81),0)</f>
        <v>1.06679013905358</v>
      </c>
      <c r="Q115" s="116" t="n">
        <f aca="false">IF(Q113&gt;0,MIN(Q113,01_Supuestos!$I$106*Q81),0)</f>
        <v>0.883916419876578</v>
      </c>
      <c r="R115" s="116" t="n">
        <f aca="false">IF(R113&gt;0,MIN(R113,01_Supuestos!$I$106*R81),0)</f>
        <v>0.709608707890951</v>
      </c>
      <c r="S115" s="116" t="n">
        <f aca="false">IF(S113&gt;0,MIN(S113,01_Supuestos!$I$106*S81),0)</f>
        <v>0.550229687396746</v>
      </c>
      <c r="T115" s="116" t="n">
        <f aca="false">IF(T113&gt;0,MIN(T113,01_Supuestos!$I$106*T81),0)</f>
        <v>0.405295919152039</v>
      </c>
      <c r="U115" s="116" t="n">
        <f aca="false">IF(U113&gt;0,MIN(U113,01_Supuestos!$I$106*U81),0)</f>
        <v>0.274557852569429</v>
      </c>
      <c r="V115" s="116" t="n">
        <f aca="false">IF(V113&gt;0,MIN(V113,01_Supuestos!$I$106*V81),0)</f>
        <v>0.157791537659985</v>
      </c>
      <c r="W115" s="116" t="n">
        <f aca="false">IF(W113&gt;0,MIN(W113,01_Supuestos!$I$106*W81),0)</f>
        <v>0.0549754864319377</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35.1038595527686</v>
      </c>
      <c r="E120" s="136" t="n">
        <f aca="false">E114-E115+E118+E119</f>
        <v>53.0720061406802</v>
      </c>
      <c r="F120" s="136" t="n">
        <f aca="false">F114-F115+F118+F119</f>
        <v>61.8615311429605</v>
      </c>
      <c r="G120" s="136" t="n">
        <f aca="false">G114-G115+G118+G119</f>
        <v>72.8447858473724</v>
      </c>
      <c r="H120" s="136" t="n">
        <f aca="false">H114-H115+H118+H119</f>
        <v>85.489047213793</v>
      </c>
      <c r="I120" s="136" t="n">
        <f aca="false">I114-I115+I118+I119</f>
        <v>99.8859200684854</v>
      </c>
      <c r="J120" s="136" t="n">
        <f aca="false">J114-J115+J118+J119</f>
        <v>115.612055639854</v>
      </c>
      <c r="K120" s="136" t="n">
        <f aca="false">K114-K115+K118+K119</f>
        <v>133.447586534019</v>
      </c>
      <c r="L120" s="136" t="n">
        <f aca="false">L114-L115+L118+L119</f>
        <v>151.413529911077</v>
      </c>
      <c r="M120" s="136" t="n">
        <f aca="false">M114-M115+M118+M119</f>
        <v>151.366173093421</v>
      </c>
      <c r="N120" s="136" t="n">
        <f aca="false">N114-N115+N118+N119</f>
        <v>152.149274366486</v>
      </c>
      <c r="O120" s="136" t="n">
        <f aca="false">O114-O115+O118+O119</f>
        <v>153.885834300358</v>
      </c>
      <c r="P120" s="136" t="n">
        <f aca="false">P114-P115+P118+P119</f>
        <v>155.266738593468</v>
      </c>
      <c r="Q120" s="136" t="n">
        <f aca="false">Q114-Q115+Q118+Q119</f>
        <v>156.494932847199</v>
      </c>
      <c r="R120" s="136" t="n">
        <f aca="false">R114-R115+R118+R119</f>
        <v>157.766325663264</v>
      </c>
      <c r="S120" s="136" t="n">
        <f aca="false">S114-S115+S118+S119</f>
        <v>159.076020919733</v>
      </c>
      <c r="T120" s="136" t="n">
        <f aca="false">T114-T115+T118+T119</f>
        <v>160.424914564671</v>
      </c>
      <c r="U120" s="136" t="n">
        <f aca="false">U114-U115+U118+U119</f>
        <v>161.813669920756</v>
      </c>
      <c r="V120" s="136" t="n">
        <f aca="false">V114-V115+V118+V119</f>
        <v>163.242962843484</v>
      </c>
      <c r="W120" s="136" t="n">
        <f aca="false">W114-W115+W118+W119</f>
        <v>164.715760163569</v>
      </c>
      <c r="X120" s="136" t="n">
        <f aca="false">X114-X115+X118+X119</f>
        <v>166.199377317024</v>
      </c>
      <c r="Y120" s="136" t="n">
        <f aca="false">Y114-Y115+Y118+Y119</f>
        <v>167.65268782569</v>
      </c>
      <c r="Z120" s="136" t="n">
        <f aca="false">Z114-Z115+Z118+Z119</f>
        <v>169.088346548198</v>
      </c>
      <c r="AA120" s="136" t="n">
        <f aca="false">AA114-AA115+AA118+AA119</f>
        <v>170.519858605175</v>
      </c>
      <c r="AB120" s="136" t="n">
        <f aca="false">AB114-AB115+AB118+AB119</f>
        <v>171.961001859199</v>
      </c>
      <c r="AC120" s="136" t="n">
        <f aca="false">AC114-AC115+AC118+AC119</f>
        <v>173.425820870799</v>
      </c>
      <c r="AD120" s="136" t="n">
        <f aca="false">AD114-AD115+AD118+AD119</f>
        <v>174.928538144093</v>
      </c>
      <c r="AE120" s="136" t="n">
        <f aca="false">AE114-AE115+AE118+AE119</f>
        <v>176.483589901488</v>
      </c>
      <c r="AF120" s="136" t="n">
        <f aca="false">AF114-AF115+AF118+AF119</f>
        <v>178.1056545971</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0.51962326113744</v>
      </c>
      <c r="M121" s="116" t="n">
        <f aca="false">L121+M115</f>
        <v>1.75185518497542</v>
      </c>
      <c r="N121" s="116" t="n">
        <f aca="false">M121+N115</f>
        <v>3.01142607678795</v>
      </c>
      <c r="O121" s="116" t="n">
        <f aca="false">N121+O115</f>
        <v>4.25885464861981</v>
      </c>
      <c r="P121" s="116" t="n">
        <f aca="false">O121+P115</f>
        <v>5.32564478767339</v>
      </c>
      <c r="Q121" s="116" t="n">
        <f aca="false">P121+Q115</f>
        <v>6.20956120754997</v>
      </c>
      <c r="R121" s="116" t="n">
        <f aca="false">Q121+R115</f>
        <v>6.91916991544092</v>
      </c>
      <c r="S121" s="116" t="n">
        <f aca="false">R121+S115</f>
        <v>7.46939960283767</v>
      </c>
      <c r="T121" s="116" t="n">
        <f aca="false">S121+T115</f>
        <v>7.87469552198971</v>
      </c>
      <c r="U121" s="116" t="n">
        <f aca="false">T121+U115</f>
        <v>8.14925337455913</v>
      </c>
      <c r="V121" s="116" t="n">
        <f aca="false">U121+V115</f>
        <v>8.30704491221912</v>
      </c>
      <c r="W121" s="116" t="n">
        <f aca="false">V121+W115</f>
        <v>8.36202039865106</v>
      </c>
      <c r="X121" s="116" t="n">
        <f aca="false">W121+X115</f>
        <v>8.36202039865106</v>
      </c>
      <c r="Y121" s="116" t="n">
        <f aca="false">X121+Y115</f>
        <v>8.36202039865106</v>
      </c>
      <c r="Z121" s="116" t="n">
        <f aca="false">Y121+Z115</f>
        <v>8.36202039865106</v>
      </c>
      <c r="AA121" s="116" t="n">
        <f aca="false">Z121+AA115</f>
        <v>8.36202039865106</v>
      </c>
      <c r="AB121" s="116" t="n">
        <f aca="false">AA121+AB115</f>
        <v>8.36202039865106</v>
      </c>
      <c r="AC121" s="116" t="n">
        <f aca="false">AB121+AC115</f>
        <v>8.36202039865106</v>
      </c>
      <c r="AD121" s="116" t="n">
        <f aca="false">AC121+AD115</f>
        <v>8.36202039865106</v>
      </c>
      <c r="AE121" s="116" t="n">
        <f aca="false">AD121+AE115</f>
        <v>8.36202039865106</v>
      </c>
      <c r="AF121" s="116" t="n">
        <f aca="false">AE121+AF115</f>
        <v>8.36202039865106</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0.340687329426486</v>
      </c>
      <c r="E122" s="87" t="n">
        <f aca="false">E276/(E81+E115)</f>
        <v>0.381737198412432</v>
      </c>
      <c r="F122" s="87" t="n">
        <f aca="false">F276/(F81+F115)</f>
        <v>0.226719564465731</v>
      </c>
      <c r="G122" s="87" t="n">
        <f aca="false">G276/(G81+G115)</f>
        <v>0.255097769127962</v>
      </c>
      <c r="H122" s="87" t="n">
        <f aca="false">H276/(H81+H115)</f>
        <v>0.286586063531629</v>
      </c>
      <c r="I122" s="87" t="n">
        <f aca="false">I276/(I81+I115)</f>
        <v>0.321083568129139</v>
      </c>
      <c r="J122" s="87" t="n">
        <f aca="false">J276/(J81+J115)</f>
        <v>0.356913160169047</v>
      </c>
      <c r="K122" s="87" t="n">
        <f aca="false">K276/(K81+K115)</f>
        <v>0.396225165396455</v>
      </c>
      <c r="L122" s="87" t="n">
        <f aca="false">L276/(L81+L115)</f>
        <v>0.432319227762487</v>
      </c>
      <c r="M122" s="87" t="n">
        <f aca="false">M276/(M81+M115)</f>
        <v>0.417416621429637</v>
      </c>
      <c r="N122" s="87" t="n">
        <f aca="false">N276/(N81+N115)</f>
        <v>0.406773177567952</v>
      </c>
      <c r="O122" s="87" t="n">
        <f aca="false">O276/(O81+O115)</f>
        <v>0.40010484091343</v>
      </c>
      <c r="P122" s="87" t="n">
        <f aca="false">P276/(P81+P115)</f>
        <v>0.395683727503007</v>
      </c>
      <c r="Q122" s="87" t="n">
        <f aca="false">Q276/(Q81+Q115)</f>
        <v>0.391055971207617</v>
      </c>
      <c r="R122" s="87" t="n">
        <f aca="false">R276/(R81+R115)</f>
        <v>0.386793372807756</v>
      </c>
      <c r="S122" s="87" t="n">
        <f aca="false">S276/(S81+S115)</f>
        <v>0.38284919534748</v>
      </c>
      <c r="T122" s="87" t="n">
        <f aca="false">T276/(T81+T115)</f>
        <v>0.379194961847305</v>
      </c>
      <c r="U122" s="87" t="n">
        <f aca="false">U276/(U81+U115)</f>
        <v>0.375804487746231</v>
      </c>
      <c r="V122" s="87" t="n">
        <f aca="false">V276/(V81+V115)</f>
        <v>0.372654101821472</v>
      </c>
      <c r="W122" s="87" t="n">
        <f aca="false">W276/(W81+W115)</f>
        <v>0.369842556046272</v>
      </c>
      <c r="X122" s="87" t="n">
        <f aca="false">X276/(X81+X115)</f>
        <v>0.3672399998243</v>
      </c>
      <c r="Y122" s="87" t="n">
        <f aca="false">Y276/(Y81+Y115)</f>
        <v>0.364702111668413</v>
      </c>
      <c r="Z122" s="87" t="n">
        <f aca="false">Z276/(Z81+Z115)</f>
        <v>0.362252485874852</v>
      </c>
      <c r="AA122" s="87" t="n">
        <f aca="false">AA276/(AA81+AA115)</f>
        <v>0.359915062361531</v>
      </c>
      <c r="AB122" s="87" t="n">
        <f aca="false">AB276/(AB81+AB115)</f>
        <v>0.357710675463843</v>
      </c>
      <c r="AC122" s="87" t="n">
        <f aca="false">AC276/(AC81+AC115)</f>
        <v>0.355659610041881</v>
      </c>
      <c r="AD122" s="87" t="n">
        <f aca="false">AD276/(AD81+AD115)</f>
        <v>0.353781477989741</v>
      </c>
      <c r="AE122" s="87" t="n">
        <f aca="false">AE276/(AE81+AE115)</f>
        <v>0.352095349687757</v>
      </c>
      <c r="AF122" s="87" t="n">
        <f aca="false">AF276/(AF81+AF115)</f>
        <v>0.350619857048841</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2.47949637376709</v>
      </c>
      <c r="F127" s="116" t="n">
        <f aca="false">MAX(0,-F113)</f>
        <v>6.30123517222942</v>
      </c>
      <c r="G127" s="116" t="n">
        <f aca="false">MAX(0,-G113)</f>
        <v>4.97591948674164</v>
      </c>
      <c r="H127" s="116" t="n">
        <f aca="false">MAX(0,-H113)</f>
        <v>3.78573367514692</v>
      </c>
      <c r="I127" s="116" t="n">
        <f aca="false">MAX(0,-I113)</f>
        <v>2.54618059436743</v>
      </c>
      <c r="J127" s="116" t="n">
        <f aca="false">MAX(0,-J113)</f>
        <v>1.25210463335795</v>
      </c>
      <c r="K127" s="116" t="n">
        <f aca="false">MAX(0,-K113)</f>
        <v>0.347937566620946</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0.033965459520603</v>
      </c>
      <c r="Y127" s="116" t="n">
        <f aca="false">MAX(0,-Y113)</f>
        <v>0.109565951171623</v>
      </c>
      <c r="Z127" s="116" t="n">
        <f aca="false">MAX(0,-Z113)</f>
        <v>0.172466719078983</v>
      </c>
      <c r="AA127" s="116" t="n">
        <f aca="false">MAX(0,-AA113)</f>
        <v>0.222630112322516</v>
      </c>
      <c r="AB127" s="116" t="n">
        <f aca="false">MAX(0,-AB113)</f>
        <v>0.259964807439009</v>
      </c>
      <c r="AC127" s="116" t="n">
        <f aca="false">MAX(0,-AC113)</f>
        <v>0.284345331751512</v>
      </c>
      <c r="AD127" s="116" t="n">
        <f aca="false">MAX(0,-AD113)</f>
        <v>0.295613715343618</v>
      </c>
      <c r="AE127" s="116" t="n">
        <f aca="false">MAX(0,-AE113)</f>
        <v>0.293584075804989</v>
      </c>
      <c r="AF127" s="116" t="n">
        <f aca="false">MAX(0,-AF113)</f>
        <v>0.278042743743222</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4.73640836108542</v>
      </c>
      <c r="D128" s="116" t="n">
        <f aca="false">IF(AVERAGE(E127:I127)&gt;0,D120/AVERAGE(E127:I127),99)</f>
        <v>8.73727392289992</v>
      </c>
      <c r="E128" s="116" t="n">
        <f aca="false">IF(AVERAGE(F127:J127)&gt;0,E120/AVERAGE(F127:J127),99)</f>
        <v>14.0691155740294</v>
      </c>
      <c r="F128" s="116" t="n">
        <f aca="false">IF(AVERAGE(G127:K127)&gt;0,F120/AVERAGE(G127:K127),99)</f>
        <v>23.9627074790254</v>
      </c>
      <c r="G128" s="116" t="n">
        <f aca="false">IF(AVERAGE(H127:L127)&gt;0,G120/AVERAGE(H127:L127),99)</f>
        <v>45.9185486755616</v>
      </c>
      <c r="H128" s="116" t="n">
        <f aca="false">IF(AVERAGE(I127:M127)&gt;0,H120/AVERAGE(I127:M127),99)</f>
        <v>103.092683936767</v>
      </c>
      <c r="I128" s="116" t="n">
        <f aca="false">IF(AVERAGE(J127:N127)&gt;0,I120/AVERAGE(J127:N127),99)</f>
        <v>312.135267650449</v>
      </c>
      <c r="J128" s="116" t="n">
        <f aca="false">IF(AVERAGE(K127:O127)&gt;0,J120/AVERAGE(K127:O127),99)</f>
        <v>1661.39081736186</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23417.3220626147</v>
      </c>
      <c r="T128" s="116" t="n">
        <f aca="false">IF(AVERAGE(U127:Y127)&gt;0,T120/AVERAGE(U127:Y127),99)</f>
        <v>5588.49501272827</v>
      </c>
      <c r="U128" s="116" t="n">
        <f aca="false">IF(AVERAGE(V127:Z127)&gt;0,U120/AVERAGE(V127:Z127),99)</f>
        <v>2560.35803183254</v>
      </c>
      <c r="V128" s="116" t="n">
        <f aca="false">IF(AVERAGE(W127:AA127)&gt;0,V120/AVERAGE(W127:AA127),99)</f>
        <v>1515.35836859329</v>
      </c>
      <c r="W128" s="116" t="n">
        <f aca="false">IF(AVERAGE(X127:AB127)&gt;0,W120/AVERAGE(X127:AB127),99)</f>
        <v>1031.28721355606</v>
      </c>
      <c r="X128" s="116" t="n">
        <f aca="false">IF(AVERAGE(Y127:AC127)&gt;0,X120/AVERAGE(Y127:AC127),99)</f>
        <v>792.200512848283</v>
      </c>
      <c r="Y128" s="116" t="n">
        <f aca="false">IF(AVERAGE(Z127:AD127)&gt;0,Y120/AVERAGE(Z127:AD127),99)</f>
        <v>678.744452359834</v>
      </c>
      <c r="Z128" s="116" t="n">
        <f aca="false">IF(AVERAGE(AA127:AE127)&gt;0,Z120/AVERAGE(AA127:AE127),99)</f>
        <v>623.418638917962</v>
      </c>
      <c r="AA128" s="116" t="n">
        <f aca="false">IF(AVERAGE(AB127:AF127)&gt;0,AA120/AVERAGE(AB127:AF127),99)</f>
        <v>604.016071601647</v>
      </c>
      <c r="AB128" s="116" t="n">
        <f aca="false">IF(AVERAGE(AC127:AF127)&gt;0,AB120/AVERAGE(AC127:AF127),99)</f>
        <v>597.301536394967</v>
      </c>
      <c r="AC128" s="116" t="n">
        <f aca="false">IF(AVERAGE(AD127:AF127)&gt;0,AC120/AVERAGE(AD127:AF127),99)</f>
        <v>599.922906829177</v>
      </c>
      <c r="AD128" s="116" t="n">
        <f aca="false">IF(AVERAGE(AE127:AF127)&gt;0,AD120/AVERAGE(AE127:AF127),99)</f>
        <v>612.037546741944</v>
      </c>
      <c r="AE128" s="116" t="n">
        <f aca="false">IF(AVERAGE(AF127:AF127)&gt;0,AE120/AVERAGE(AF127:AF127),99)</f>
        <v>634.735463783491</v>
      </c>
      <c r="AF128" s="116" t="n">
        <f aca="false">IF(AF127&gt;0,AF120/AF127,99)</f>
        <v>640.569331892307</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0.302051282051282</v>
      </c>
      <c r="L129" s="87" t="n">
        <f aca="false">L83/L41</f>
        <v>0.302051282051282</v>
      </c>
      <c r="M129" s="87" t="n">
        <f aca="false">M83/M41</f>
        <v>0.302051282051282</v>
      </c>
      <c r="N129" s="87" t="n">
        <f aca="false">N83/N41</f>
        <v>0.302051282051282</v>
      </c>
      <c r="O129" s="87" t="n">
        <f aca="false">O83/O41</f>
        <v>0.302051282051282</v>
      </c>
      <c r="P129" s="87" t="n">
        <f aca="false">P83/P41</f>
        <v>0.302051282051282</v>
      </c>
      <c r="Q129" s="87" t="n">
        <f aca="false">Q83/Q41</f>
        <v>0.302051282051282</v>
      </c>
      <c r="R129" s="87" t="n">
        <f aca="false">R83/R41</f>
        <v>0.302051282051282</v>
      </c>
      <c r="S129" s="87" t="n">
        <f aca="false">S83/S41</f>
        <v>0.302051282051282</v>
      </c>
      <c r="T129" s="87" t="n">
        <f aca="false">T83/T41</f>
        <v>0.302051282051282</v>
      </c>
      <c r="U129" s="87" t="n">
        <f aca="false">U83/U41</f>
        <v>0.302051282051282</v>
      </c>
      <c r="V129" s="87" t="n">
        <f aca="false">V83/V41</f>
        <v>0.302051282051282</v>
      </c>
      <c r="W129" s="87" t="n">
        <f aca="false">W83/W41</f>
        <v>0.302051282051282</v>
      </c>
      <c r="X129" s="87" t="n">
        <f aca="false">X83/X41</f>
        <v>0.302051282051282</v>
      </c>
      <c r="Y129" s="87" t="n">
        <f aca="false">Y83/Y41</f>
        <v>0.302051282051282</v>
      </c>
      <c r="Z129" s="87" t="n">
        <f aca="false">Z83/Z41</f>
        <v>0.302051282051282</v>
      </c>
      <c r="AA129" s="87" t="n">
        <f aca="false">AA83/AA41</f>
        <v>0.302051282051282</v>
      </c>
      <c r="AB129" s="87" t="n">
        <f aca="false">AB83/AB41</f>
        <v>0.302051282051282</v>
      </c>
      <c r="AC129" s="87" t="n">
        <f aca="false">AC83/AC41</f>
        <v>0.302051282051282</v>
      </c>
      <c r="AD129" s="87" t="n">
        <f aca="false">AD83/AD41</f>
        <v>0.302051282051282</v>
      </c>
      <c r="AE129" s="87" t="n">
        <f aca="false">AE83/AE41</f>
        <v>0.302051282051282</v>
      </c>
      <c r="AF129" s="87" t="n">
        <f aca="false">AF83/AF41</f>
        <v>0.302051282051282</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0.298060314015768</v>
      </c>
      <c r="L139" s="116" t="n">
        <f aca="false">(1-L55)*L88</f>
        <v>0.304915701238131</v>
      </c>
      <c r="M139" s="116" t="n">
        <f aca="false">(1-M55)*M88</f>
        <v>0.311928762366608</v>
      </c>
      <c r="N139" s="116" t="n">
        <f aca="false">(1-N55)*N88</f>
        <v>0.319103123901039</v>
      </c>
      <c r="O139" s="116" t="n">
        <f aca="false">(1-O55)*O88</f>
        <v>0.326442495750763</v>
      </c>
      <c r="P139" s="116" t="n">
        <f aca="false">(1-P55)*P88</f>
        <v>0.333950673153031</v>
      </c>
      <c r="Q139" s="116" t="n">
        <f aca="false">(1-Q55)*Q88</f>
        <v>0.341631538635551</v>
      </c>
      <c r="R139" s="116" t="n">
        <f aca="false">(1-R55)*R88</f>
        <v>0.349489064024168</v>
      </c>
      <c r="S139" s="116" t="n">
        <f aca="false">(1-S55)*S88</f>
        <v>0.357527312496724</v>
      </c>
      <c r="T139" s="116" t="n">
        <f aca="false">(1-T55)*T88</f>
        <v>0.365750440684149</v>
      </c>
      <c r="U139" s="116" t="n">
        <f aca="false">(1-U55)*U88</f>
        <v>0.374162700819884</v>
      </c>
      <c r="V139" s="116" t="n">
        <f aca="false">(1-V55)*V88</f>
        <v>0.382768442938741</v>
      </c>
      <c r="W139" s="116" t="n">
        <f aca="false">(1-W55)*W88</f>
        <v>0.391572117126332</v>
      </c>
      <c r="X139" s="116" t="n">
        <f aca="false">(1-X55)*X88</f>
        <v>0.400578275820238</v>
      </c>
      <c r="Y139" s="116" t="n">
        <f aca="false">(1-Y55)*Y88</f>
        <v>0.409791576164103</v>
      </c>
      <c r="Z139" s="116" t="n">
        <f aca="false">(1-Z55)*Z88</f>
        <v>0.419216782415878</v>
      </c>
      <c r="AA139" s="116" t="n">
        <f aca="false">(1-AA55)*AA88</f>
        <v>0.428858768411443</v>
      </c>
      <c r="AB139" s="116" t="n">
        <f aca="false">(1-AB55)*AB88</f>
        <v>0.438722520084906</v>
      </c>
      <c r="AC139" s="116" t="n">
        <f aca="false">(1-AC55)*AC88</f>
        <v>0.448813138046859</v>
      </c>
      <c r="AD139" s="116" t="n">
        <f aca="false">(1-AD55)*AD88</f>
        <v>0.459135840221936</v>
      </c>
      <c r="AE139" s="116" t="n">
        <f aca="false">(1-AE55)*AE88</f>
        <v>0.469695964547041</v>
      </c>
      <c r="AF139" s="116" t="n">
        <f aca="false">(1-AF55)*AF88</f>
        <v>0.480498971731623</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-17.8977098596176</v>
      </c>
      <c r="G140" s="116" t="n">
        <f aca="false">SUM(G133:G139)</f>
        <v>-17.9084533563974</v>
      </c>
      <c r="H140" s="116" t="n">
        <f aca="false">SUM(H133:H139)</f>
        <v>-17.9169020879832</v>
      </c>
      <c r="I140" s="116" t="n">
        <f aca="false">SUM(I133:I139)</f>
        <v>-17.9232027289801</v>
      </c>
      <c r="J140" s="116" t="n">
        <f aca="false">SUM(J133:J139)</f>
        <v>-17.9274924714095</v>
      </c>
      <c r="K140" s="116" t="n">
        <f aca="false">SUM(K133:K139)</f>
        <v>-17.9567557975546</v>
      </c>
      <c r="L140" s="116" t="n">
        <f aca="false">SUM(L133:L139)</f>
        <v>-17.9909243649017</v>
      </c>
      <c r="M140" s="116" t="n">
        <f aca="false">SUM(M133:M139)</f>
        <v>2.58500914353841</v>
      </c>
      <c r="N140" s="116" t="n">
        <f aca="false">SUM(N133:N139)</f>
        <v>2.56674198050841</v>
      </c>
      <c r="O140" s="116" t="n">
        <f aca="false">SUM(O133:O139)</f>
        <v>2.55298921177164</v>
      </c>
      <c r="P140" s="116" t="n">
        <f aca="false">SUM(P133:P139)</f>
        <v>2.55918372632567</v>
      </c>
      <c r="Q140" s="116" t="n">
        <f aca="false">SUM(Q133:Q139)</f>
        <v>2.5633806418391</v>
      </c>
      <c r="R140" s="116" t="n">
        <f aca="false">SUM(R133:R139)</f>
        <v>2.56518994302866</v>
      </c>
      <c r="S140" s="116" t="n">
        <f aca="false">SUM(S133:S139)</f>
        <v>2.56467028901335</v>
      </c>
      <c r="T140" s="116" t="n">
        <f aca="false">SUM(T133:T139)</f>
        <v>2.56187546603421</v>
      </c>
      <c r="U140" s="116" t="n">
        <f aca="false">SUM(U133:U139)</f>
        <v>2.55685467112618</v>
      </c>
      <c r="V140" s="116" t="n">
        <f aca="false">SUM(V133:V139)</f>
        <v>2.54965277665024</v>
      </c>
      <c r="W140" s="116" t="n">
        <f aca="false">SUM(W133:W139)</f>
        <v>2.54031057689917</v>
      </c>
      <c r="X140" s="116" t="n">
        <f aca="false">SUM(X133:X139)</f>
        <v>2.52886501791117</v>
      </c>
      <c r="Y140" s="116" t="n">
        <f aca="false">SUM(Y133:Y139)</f>
        <v>2.51534941155162</v>
      </c>
      <c r="Z140" s="116" t="n">
        <f aca="false">SUM(Z133:Z139)</f>
        <v>2.49979363485433</v>
      </c>
      <c r="AA140" s="116" t="n">
        <f aca="false">SUM(AA133:AA139)</f>
        <v>2.4822243155487</v>
      </c>
      <c r="AB140" s="116" t="n">
        <f aca="false">SUM(AB133:AB139)</f>
        <v>2.46266500463876</v>
      </c>
      <c r="AC140" s="116" t="n">
        <f aca="false">SUM(AC133:AC139)</f>
        <v>2.44113633684364</v>
      </c>
      <c r="AD140" s="116" t="n">
        <f aca="false">SUM(AD133:AD139)</f>
        <v>2.41765617965551</v>
      </c>
      <c r="AE140" s="116" t="n">
        <f aca="false">SUM(AE133:AE139)</f>
        <v>2.3922397717221</v>
      </c>
      <c r="AF140" s="116" t="n">
        <f aca="false">SUM(AF133:AF139)</f>
        <v>2.36489985121385</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-1.67863608639298</v>
      </c>
      <c r="M141" s="116" t="n">
        <f aca="false">-M85*01_Supuestos!$I$126</f>
        <v>-1.34290886911438</v>
      </c>
      <c r="N141" s="116" t="n">
        <f aca="false">-N85*01_Supuestos!$I$126</f>
        <v>-1.11834007064382</v>
      </c>
      <c r="O141" s="116" t="n">
        <f aca="false">-O85*01_Supuestos!$I$126</f>
        <v>-1.15009904708898</v>
      </c>
      <c r="P141" s="116" t="n">
        <f aca="false">-P85*01_Supuestos!$I$126</f>
        <v>-1.174002995311</v>
      </c>
      <c r="Q141" s="116" t="n">
        <f aca="false">-Q85*01_Supuestos!$I$126</f>
        <v>-1.19790477744877</v>
      </c>
      <c r="R141" s="116" t="n">
        <f aca="false">-R85*01_Supuestos!$I$126</f>
        <v>-1.22151927713644</v>
      </c>
      <c r="S141" s="116" t="n">
        <f aca="false">-S85*01_Supuestos!$I$126</f>
        <v>-1.24486639536334</v>
      </c>
      <c r="T141" s="116" t="n">
        <f aca="false">-T85*01_Supuestos!$I$126</f>
        <v>-1.26798542586078</v>
      </c>
      <c r="U141" s="116" t="n">
        <f aca="false">-U85*01_Supuestos!$I$126</f>
        <v>-1.29091451901563</v>
      </c>
      <c r="V141" s="116" t="n">
        <f aca="false">-V85*01_Supuestos!$I$126</f>
        <v>-1.31369138605043</v>
      </c>
      <c r="W141" s="116" t="n">
        <f aca="false">-W85*01_Supuestos!$I$126</f>
        <v>-1.33593680767669</v>
      </c>
      <c r="X141" s="116" t="n">
        <f aca="false">-X85*01_Supuestos!$I$126</f>
        <v>-1.35769015409437</v>
      </c>
      <c r="Y141" s="116" t="n">
        <f aca="false">-Y85*01_Supuestos!$I$126</f>
        <v>-1.37909281955121</v>
      </c>
      <c r="Z141" s="116" t="n">
        <f aca="false">-Z85*01_Supuestos!$I$126</f>
        <v>-1.40030796039821</v>
      </c>
      <c r="AA141" s="116" t="n">
        <f aca="false">-AA85*01_Supuestos!$I$126</f>
        <v>-1.42133416828682</v>
      </c>
      <c r="AB141" s="116" t="n">
        <f aca="false">-AB85*01_Supuestos!$I$126</f>
        <v>-1.44217950696789</v>
      </c>
      <c r="AC141" s="116" t="n">
        <f aca="false">-AC85*01_Supuestos!$I$126</f>
        <v>-1.46285225514118</v>
      </c>
      <c r="AD141" s="116" t="n">
        <f aca="false">-AD85*01_Supuestos!$I$126</f>
        <v>-1.48336090802215</v>
      </c>
      <c r="AE141" s="116" t="n">
        <f aca="false">-AE85*01_Supuestos!$I$126</f>
        <v>-1.50371417905403</v>
      </c>
      <c r="AF141" s="116" t="n">
        <f aca="false">-AF85*01_Supuestos!$I$126</f>
        <v>-1.52392100176137</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1.13307935831526</v>
      </c>
      <c r="M142" s="116" t="n">
        <f aca="false">M85*01_Supuestos!$I$101</f>
        <v>0.906463486652208</v>
      </c>
      <c r="N142" s="116" t="n">
        <f aca="false">N85*01_Supuestos!$I$101</f>
        <v>0.754879547684578</v>
      </c>
      <c r="O142" s="116" t="n">
        <f aca="false">O85*01_Supuestos!$I$101</f>
        <v>0.776316856785063</v>
      </c>
      <c r="P142" s="116" t="n">
        <f aca="false">P85*01_Supuestos!$I$101</f>
        <v>0.792452021834923</v>
      </c>
      <c r="Q142" s="116" t="n">
        <f aca="false">Q85*01_Supuestos!$I$101</f>
        <v>0.808585724777918</v>
      </c>
      <c r="R142" s="116" t="n">
        <f aca="false">R85*01_Supuestos!$I$101</f>
        <v>0.824525512067094</v>
      </c>
      <c r="S142" s="116" t="n">
        <f aca="false">S85*01_Supuestos!$I$101</f>
        <v>0.840284816870251</v>
      </c>
      <c r="T142" s="116" t="n">
        <f aca="false">T85*01_Supuestos!$I$101</f>
        <v>0.855890162456024</v>
      </c>
      <c r="U142" s="116" t="n">
        <f aca="false">U85*01_Supuestos!$I$101</f>
        <v>0.871367300335552</v>
      </c>
      <c r="V142" s="116" t="n">
        <f aca="false">V85*01_Supuestos!$I$101</f>
        <v>0.88674168558404</v>
      </c>
      <c r="W142" s="116" t="n">
        <f aca="false">W85*01_Supuestos!$I$101</f>
        <v>0.901757345181763</v>
      </c>
      <c r="X142" s="116" t="n">
        <f aca="false">X85*01_Supuestos!$I$101</f>
        <v>0.916440854013703</v>
      </c>
      <c r="Y142" s="116" t="n">
        <f aca="false">Y85*01_Supuestos!$I$101</f>
        <v>0.930887653197064</v>
      </c>
      <c r="Z142" s="116" t="n">
        <f aca="false">Z85*01_Supuestos!$I$101</f>
        <v>0.94520787326879</v>
      </c>
      <c r="AA142" s="116" t="n">
        <f aca="false">AA85*01_Supuestos!$I$101</f>
        <v>0.959400563593604</v>
      </c>
      <c r="AB142" s="116" t="n">
        <f aca="false">AB85*01_Supuestos!$I$101</f>
        <v>0.973471167203327</v>
      </c>
      <c r="AC142" s="116" t="n">
        <f aca="false">AC85*01_Supuestos!$I$101</f>
        <v>0.987425272220294</v>
      </c>
      <c r="AD142" s="116" t="n">
        <f aca="false">AD85*01_Supuestos!$I$101</f>
        <v>1.00126861291495</v>
      </c>
      <c r="AE142" s="116" t="n">
        <f aca="false">AE85*01_Supuestos!$I$101</f>
        <v>1.01500707086147</v>
      </c>
      <c r="AF142" s="116" t="n">
        <f aca="false">AF85*01_Supuestos!$I$101</f>
        <v>1.02864667618893</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-18.32336341453</v>
      </c>
      <c r="G148" s="136" t="n">
        <f aca="false">G140+G141+G142+G144+G145+G146+G147</f>
        <v>-18.3539212501793</v>
      </c>
      <c r="H148" s="136" t="n">
        <f aca="false">H140+H141+H142+H144+H145+H146+H147</f>
        <v>-18.3822523984975</v>
      </c>
      <c r="I148" s="136" t="n">
        <f aca="false">I140+I141+I142+I144+I145+I146+I147</f>
        <v>-18.4085032886281</v>
      </c>
      <c r="J148" s="136" t="n">
        <f aca="false">J140+J141+J142+J144+J145+J146+J147</f>
        <v>-18.4328109267804</v>
      </c>
      <c r="K148" s="136" t="n">
        <f aca="false">K140+K141+K142+K144+K145+K146+K147</f>
        <v>-18.4821596668035</v>
      </c>
      <c r="L148" s="136" t="n">
        <f aca="false">L140+L141+L142+L144+L145+L146+L147</f>
        <v>-18.5364810929794</v>
      </c>
      <c r="M148" s="136" t="n">
        <f aca="false">M140+M141+M142+M144+M145+M146+M147</f>
        <v>2.14856376107624</v>
      </c>
      <c r="N148" s="136" t="n">
        <f aca="false">N140+N141+N142+N144+N145+N146+N147</f>
        <v>2.20328145754917</v>
      </c>
      <c r="O148" s="136" t="n">
        <f aca="false">O140+O141+O142+O144+O145+O146+O147</f>
        <v>2.17920702146772</v>
      </c>
      <c r="P148" s="136" t="n">
        <f aca="false">P140+P141+P142+P144+P145+P146+P147</f>
        <v>2.17763275284959</v>
      </c>
      <c r="Q148" s="136" t="n">
        <f aca="false">Q140+Q141+Q142+Q144+Q145+Q146+Q147</f>
        <v>2.17406158916825</v>
      </c>
      <c r="R148" s="136" t="n">
        <f aca="false">R140+R141+R142+R144+R145+R146+R147</f>
        <v>2.16819617795932</v>
      </c>
      <c r="S148" s="136" t="n">
        <f aca="false">S140+S141+S142+S144+S145+S146+S147</f>
        <v>2.16008871052026</v>
      </c>
      <c r="T148" s="136" t="n">
        <f aca="false">T140+T141+T142+T144+T145+T146+T147</f>
        <v>2.14978020262945</v>
      </c>
      <c r="U148" s="136" t="n">
        <f aca="false">U140+U141+U142+U144+U145+U146+U147</f>
        <v>2.1373074524461</v>
      </c>
      <c r="V148" s="136" t="n">
        <f aca="false">V140+V141+V142+V144+V145+V146+V147</f>
        <v>2.12270307618385</v>
      </c>
      <c r="W148" s="136" t="n">
        <f aca="false">W140+W141+W142+W144+W145+W146+W147</f>
        <v>2.10613111440425</v>
      </c>
      <c r="X148" s="136" t="n">
        <f aca="false">X140+X141+X142+X144+X145+X146+X147</f>
        <v>2.0876157178305</v>
      </c>
      <c r="Y148" s="136" t="n">
        <f aca="false">Y140+Y141+Y142+Y144+Y145+Y146+Y147</f>
        <v>2.06714424519748</v>
      </c>
      <c r="Z148" s="136" t="n">
        <f aca="false">Z140+Z141+Z142+Z144+Z145+Z146+Z147</f>
        <v>2.04469354772492</v>
      </c>
      <c r="AA148" s="136" t="n">
        <f aca="false">AA140+AA141+AA142+AA144+AA145+AA146+AA147</f>
        <v>2.02029071085548</v>
      </c>
      <c r="AB148" s="136" t="n">
        <f aca="false">AB140+AB141+AB142+AB144+AB145+AB146+AB147</f>
        <v>1.9939566648742</v>
      </c>
      <c r="AC148" s="136" t="n">
        <f aca="false">AC140+AC141+AC142+AC144+AC145+AC146+AC147</f>
        <v>1.96570935392276</v>
      </c>
      <c r="AD148" s="136" t="n">
        <f aca="false">AD140+AD141+AD142+AD144+AD145+AD146+AD147</f>
        <v>1.93556388454831</v>
      </c>
      <c r="AE148" s="136" t="n">
        <f aca="false">AE140+AE141+AE142+AE144+AE145+AE146+AE147</f>
        <v>1.90353266352954</v>
      </c>
      <c r="AF148" s="136" t="n">
        <f aca="false">AF140+AF141+AF142+AF144+AF145+AF146+AF147</f>
        <v>1.86962552564141</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-74.9602655252644</v>
      </c>
      <c r="G149" s="138" t="n">
        <f aca="false">F149+G148</f>
        <v>-93.3141867754437</v>
      </c>
      <c r="H149" s="138" t="n">
        <f aca="false">G149+H148</f>
        <v>-111.696439173941</v>
      </c>
      <c r="I149" s="138" t="n">
        <f aca="false">H149+I148</f>
        <v>-130.104942462569</v>
      </c>
      <c r="J149" s="138" t="n">
        <f aca="false">I149+J148</f>
        <v>-148.53775338935</v>
      </c>
      <c r="K149" s="138" t="n">
        <f aca="false">J149+K148</f>
        <v>-167.019913056153</v>
      </c>
      <c r="L149" s="138" t="n">
        <f aca="false">K149+L148</f>
        <v>-185.556394149133</v>
      </c>
      <c r="M149" s="138" t="n">
        <f aca="false">L149+M148</f>
        <v>-183.407830388056</v>
      </c>
      <c r="N149" s="138" t="n">
        <f aca="false">M149+N148</f>
        <v>-181.204548930507</v>
      </c>
      <c r="O149" s="138" t="n">
        <f aca="false">N149+O148</f>
        <v>-179.025341909039</v>
      </c>
      <c r="P149" s="138" t="n">
        <f aca="false">O149+P148</f>
        <v>-176.84770915619</v>
      </c>
      <c r="Q149" s="138" t="n">
        <f aca="false">P149+Q148</f>
        <v>-174.673647567022</v>
      </c>
      <c r="R149" s="138" t="n">
        <f aca="false">Q149+R148</f>
        <v>-172.505451389062</v>
      </c>
      <c r="S149" s="138" t="n">
        <f aca="false">R149+S148</f>
        <v>-170.345362678542</v>
      </c>
      <c r="T149" s="138" t="n">
        <f aca="false">S149+T148</f>
        <v>-168.195582475913</v>
      </c>
      <c r="U149" s="138" t="n">
        <f aca="false">T149+U148</f>
        <v>-166.058275023466</v>
      </c>
      <c r="V149" s="138" t="n">
        <f aca="false">U149+V148</f>
        <v>-163.935571947283</v>
      </c>
      <c r="W149" s="138" t="n">
        <f aca="false">V149+W148</f>
        <v>-161.829440832878</v>
      </c>
      <c r="X149" s="138" t="n">
        <f aca="false">W149+X148</f>
        <v>-159.741825115048</v>
      </c>
      <c r="Y149" s="138" t="n">
        <f aca="false">X149+Y148</f>
        <v>-157.67468086985</v>
      </c>
      <c r="Z149" s="138" t="n">
        <f aca="false">Y149+Z148</f>
        <v>-155.629987322125</v>
      </c>
      <c r="AA149" s="138" t="n">
        <f aca="false">Z149+AA148</f>
        <v>-153.60969661127</v>
      </c>
      <c r="AB149" s="138" t="n">
        <f aca="false">AA149+AB148</f>
        <v>-151.615739946396</v>
      </c>
      <c r="AC149" s="138" t="n">
        <f aca="false">AB149+AC148</f>
        <v>-149.650030592473</v>
      </c>
      <c r="AD149" s="138" t="n">
        <f aca="false">AC149+AD148</f>
        <v>-147.714466707925</v>
      </c>
      <c r="AE149" s="138" t="n">
        <f aca="false">AD149+AE148</f>
        <v>-145.810934044395</v>
      </c>
      <c r="AF149" s="138" t="n">
        <f aca="false">AE149+AF148</f>
        <v>-143.941308518754</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117.752222821044</v>
      </c>
      <c r="L152" s="116" t="n">
        <f aca="false">L83</f>
        <v>120.460523945928</v>
      </c>
      <c r="M152" s="116" t="n">
        <f aca="false">M83</f>
        <v>123.231115996684</v>
      </c>
      <c r="N152" s="116" t="n">
        <f aca="false">N83</f>
        <v>126.065431664608</v>
      </c>
      <c r="O152" s="116" t="n">
        <f aca="false">O83</f>
        <v>128.964936592894</v>
      </c>
      <c r="P152" s="116" t="n">
        <f aca="false">P83</f>
        <v>131.931130134531</v>
      </c>
      <c r="Q152" s="116" t="n">
        <f aca="false">Q83</f>
        <v>134.965546127625</v>
      </c>
      <c r="R152" s="116" t="n">
        <f aca="false">R83</f>
        <v>138.06975368856</v>
      </c>
      <c r="S152" s="116" t="n">
        <f aca="false">S83</f>
        <v>141.245358023397</v>
      </c>
      <c r="T152" s="116" t="n">
        <f aca="false">T83</f>
        <v>144.494001257935</v>
      </c>
      <c r="U152" s="116" t="n">
        <f aca="false">U83</f>
        <v>147.817363286868</v>
      </c>
      <c r="V152" s="116" t="n">
        <f aca="false">V83</f>
        <v>151.217162642466</v>
      </c>
      <c r="W152" s="116" t="n">
        <f aca="false">W83</f>
        <v>154.695157383242</v>
      </c>
      <c r="X152" s="116" t="n">
        <f aca="false">X83</f>
        <v>158.253146003057</v>
      </c>
      <c r="Y152" s="116" t="n">
        <f aca="false">Y83</f>
        <v>161.892968361127</v>
      </c>
      <c r="Z152" s="116" t="n">
        <f aca="false">Z83</f>
        <v>165.616506633433</v>
      </c>
      <c r="AA152" s="116" t="n">
        <f aca="false">AA83</f>
        <v>169.425686286002</v>
      </c>
      <c r="AB152" s="116" t="n">
        <f aca="false">AB83</f>
        <v>173.32247707058</v>
      </c>
      <c r="AC152" s="116" t="n">
        <f aca="false">AC83</f>
        <v>177.308894043203</v>
      </c>
      <c r="AD152" s="116" t="n">
        <f aca="false">AD83</f>
        <v>181.386998606197</v>
      </c>
      <c r="AE152" s="116" t="n">
        <f aca="false">AE83</f>
        <v>185.55889957414</v>
      </c>
      <c r="AF152" s="116" t="n">
        <f aca="false">AF83</f>
        <v>189.826754264345</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35.1038595527686</v>
      </c>
      <c r="E153" s="116" t="n">
        <f aca="false">E120</f>
        <v>53.0720061406802</v>
      </c>
      <c r="F153" s="116" t="n">
        <f aca="false">F120</f>
        <v>61.8615311429605</v>
      </c>
      <c r="G153" s="116" t="n">
        <f aca="false">G120</f>
        <v>72.8447858473724</v>
      </c>
      <c r="H153" s="116" t="n">
        <f aca="false">H120</f>
        <v>85.489047213793</v>
      </c>
      <c r="I153" s="116" t="n">
        <f aca="false">I120</f>
        <v>99.8859200684854</v>
      </c>
      <c r="J153" s="116" t="n">
        <f aca="false">J120</f>
        <v>115.612055639854</v>
      </c>
      <c r="K153" s="116" t="n">
        <f aca="false">K120</f>
        <v>133.447586534019</v>
      </c>
      <c r="L153" s="116" t="n">
        <f aca="false">L120</f>
        <v>151.413529911077</v>
      </c>
      <c r="M153" s="116" t="n">
        <f aca="false">M120</f>
        <v>151.366173093421</v>
      </c>
      <c r="N153" s="116" t="n">
        <f aca="false">N120</f>
        <v>152.149274366486</v>
      </c>
      <c r="O153" s="116" t="n">
        <f aca="false">O120</f>
        <v>153.885834300358</v>
      </c>
      <c r="P153" s="116" t="n">
        <f aca="false">P120</f>
        <v>155.266738593468</v>
      </c>
      <c r="Q153" s="116" t="n">
        <f aca="false">Q120</f>
        <v>156.494932847199</v>
      </c>
      <c r="R153" s="116" t="n">
        <f aca="false">R120</f>
        <v>157.766325663264</v>
      </c>
      <c r="S153" s="116" t="n">
        <f aca="false">S120</f>
        <v>159.076020919733</v>
      </c>
      <c r="T153" s="116" t="n">
        <f aca="false">T120</f>
        <v>160.424914564671</v>
      </c>
      <c r="U153" s="116" t="n">
        <f aca="false">U120</f>
        <v>161.813669920756</v>
      </c>
      <c r="V153" s="116" t="n">
        <f aca="false">V120</f>
        <v>163.242962843484</v>
      </c>
      <c r="W153" s="116" t="n">
        <f aca="false">W120</f>
        <v>164.715760163569</v>
      </c>
      <c r="X153" s="116" t="n">
        <f aca="false">X120</f>
        <v>166.199377317024</v>
      </c>
      <c r="Y153" s="116" t="n">
        <f aca="false">Y120</f>
        <v>167.65268782569</v>
      </c>
      <c r="Z153" s="116" t="n">
        <f aca="false">Z120</f>
        <v>169.088346548198</v>
      </c>
      <c r="AA153" s="116" t="n">
        <f aca="false">AA120</f>
        <v>170.519858605175</v>
      </c>
      <c r="AB153" s="116" t="n">
        <f aca="false">AB120</f>
        <v>171.961001859199</v>
      </c>
      <c r="AC153" s="116" t="n">
        <f aca="false">AC120</f>
        <v>173.425820870799</v>
      </c>
      <c r="AD153" s="116" t="n">
        <f aca="false">AD120</f>
        <v>174.928538144093</v>
      </c>
      <c r="AE153" s="116" t="n">
        <f aca="false">AE120</f>
        <v>176.483589901488</v>
      </c>
      <c r="AF153" s="116" t="n">
        <f aca="false">AF120</f>
        <v>178.1056545971</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8.74289628329676</v>
      </c>
      <c r="M154" s="116" t="n">
        <f aca="false">M104</f>
        <v>9.03484739600766</v>
      </c>
      <c r="N154" s="116" t="n">
        <f aca="false">N104</f>
        <v>9.3195005886985</v>
      </c>
      <c r="O154" s="116" t="n">
        <f aca="false">O104</f>
        <v>9.58415872574152</v>
      </c>
      <c r="P154" s="116" t="n">
        <f aca="false">P104</f>
        <v>9.78335829425831</v>
      </c>
      <c r="Q154" s="116" t="n">
        <f aca="false">Q104</f>
        <v>9.98253981207307</v>
      </c>
      <c r="R154" s="116" t="n">
        <f aca="false">R104</f>
        <v>10.1793273094703</v>
      </c>
      <c r="S154" s="116" t="n">
        <f aca="false">S104</f>
        <v>10.3738866280278</v>
      </c>
      <c r="T154" s="116" t="n">
        <f aca="false">T104</f>
        <v>10.5665452155065</v>
      </c>
      <c r="U154" s="116" t="n">
        <f aca="false">U104</f>
        <v>10.7576209917969</v>
      </c>
      <c r="V154" s="116" t="n">
        <f aca="false">V104</f>
        <v>10.9474282170869</v>
      </c>
      <c r="W154" s="116" t="n">
        <f aca="false">W104</f>
        <v>11.1328067306391</v>
      </c>
      <c r="X154" s="116" t="n">
        <f aca="false">X104</f>
        <v>11.3140846174531</v>
      </c>
      <c r="Y154" s="116" t="n">
        <f aca="false">Y104</f>
        <v>11.4924401629267</v>
      </c>
      <c r="Z154" s="116" t="n">
        <f aca="false">Z104</f>
        <v>11.6692330033184</v>
      </c>
      <c r="AA154" s="116" t="n">
        <f aca="false">AA104</f>
        <v>11.8444514023902</v>
      </c>
      <c r="AB154" s="116" t="n">
        <f aca="false">AB104</f>
        <v>12.0181625580658</v>
      </c>
      <c r="AC154" s="116" t="n">
        <f aca="false">AC104</f>
        <v>12.1904354595098</v>
      </c>
      <c r="AD154" s="116" t="n">
        <f aca="false">AD104</f>
        <v>12.3613409001846</v>
      </c>
      <c r="AE154" s="116" t="n">
        <f aca="false">AE104</f>
        <v>12.5309514921169</v>
      </c>
      <c r="AF154" s="116" t="n">
        <f aca="false">AF104</f>
        <v>12.6993416813448</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89.2406112461916</v>
      </c>
      <c r="L155" s="116" t="n">
        <f aca="false">L70+L121-L227</f>
        <v>97.0836110758757</v>
      </c>
      <c r="M155" s="116" t="n">
        <f aca="false">M70+M121-M227</f>
        <v>101.588746767869</v>
      </c>
      <c r="N155" s="116" t="n">
        <f aca="false">N70+N121-N227</f>
        <v>106.17261244545</v>
      </c>
      <c r="O155" s="116" t="n">
        <f aca="false">O70+O121-O227</f>
        <v>110.796578786304</v>
      </c>
      <c r="P155" s="116" t="n">
        <f aca="false">P70+P121-P227</f>
        <v>115.293017285603</v>
      </c>
      <c r="Q155" s="116" t="n">
        <f aca="false">Q70+Q121-Q227</f>
        <v>119.660576242936</v>
      </c>
      <c r="R155" s="116" t="n">
        <f aca="false">R70+R121-R227</f>
        <v>123.908721573803</v>
      </c>
      <c r="S155" s="116" t="n">
        <f aca="false">S70+S121-S227</f>
        <v>128.053298553473</v>
      </c>
      <c r="T155" s="116" t="n">
        <f aca="false">T70+T121-T227</f>
        <v>132.10968605572</v>
      </c>
      <c r="U155" s="116" t="n">
        <f aca="false">U70+U121-U227</f>
        <v>136.093030813142</v>
      </c>
      <c r="V155" s="116" t="n">
        <f aca="false">V70+V121-V227</f>
        <v>140.018273399103</v>
      </c>
      <c r="W155" s="116" t="n">
        <f aca="false">W70+W121-W227</f>
        <v>143.900351081036</v>
      </c>
      <c r="X155" s="116" t="n">
        <f aca="false">X70+X121-X227</f>
        <v>147.788110011109</v>
      </c>
      <c r="Y155" s="116" t="n">
        <f aca="false">Y70+Y121-Y227</f>
        <v>151.737550258891</v>
      </c>
      <c r="Z155" s="116" t="n">
        <f aca="false">Z70+Z121-Z227</f>
        <v>155.749715826309</v>
      </c>
      <c r="AA155" s="116" t="n">
        <f aca="false">AA70+AA121-AA227</f>
        <v>159.825670568331</v>
      </c>
      <c r="AB155" s="116" t="n">
        <f aca="false">AB70+AB121-AB227</f>
        <v>163.96649863877</v>
      </c>
      <c r="AC155" s="116" t="n">
        <f aca="false">AC70+AC121-AC227</f>
        <v>168.17330494801</v>
      </c>
      <c r="AD155" s="116" t="n">
        <f aca="false">AD70+AD121-AD227</f>
        <v>172.447215633</v>
      </c>
      <c r="AE155" s="116" t="n">
        <f aca="false">AE70+AE121-AE227</f>
        <v>176.789378539898</v>
      </c>
      <c r="AF155" s="116" t="n">
        <f aca="false">AF70+AF121-AF227</f>
        <v>181.200963719759</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79.95545280556</v>
      </c>
      <c r="E156" s="136" t="n">
        <f aca="false">SUM(E152:E155)+E187</f>
        <v>120.991004323071</v>
      </c>
      <c r="F156" s="136" t="n">
        <f aca="false">SUM(F152:F155)+F187</f>
        <v>209.017221261074</v>
      </c>
      <c r="G156" s="136" t="n">
        <f aca="false">SUM(G152:G155)+G187</f>
        <v>251.029805243165</v>
      </c>
      <c r="H156" s="136" t="n">
        <f aca="false">SUM(H152:H155)+H187</f>
        <v>286.734520809523</v>
      </c>
      <c r="I156" s="136" t="n">
        <f aca="false">SUM(I152:I155)+I187</f>
        <v>324.582149440378</v>
      </c>
      <c r="J156" s="136" t="n">
        <f aca="false">SUM(J152:J155)+J187</f>
        <v>364.158038396588</v>
      </c>
      <c r="K156" s="136" t="n">
        <f aca="false">SUM(K152:K155)+K187</f>
        <v>395.641373316944</v>
      </c>
      <c r="L156" s="136" t="n">
        <f aca="false">SUM(L152:L155)+L187</f>
        <v>425.557543564815</v>
      </c>
      <c r="M156" s="136" t="n">
        <f aca="false">SUM(M152:M155)+M187</f>
        <v>434.178576196638</v>
      </c>
      <c r="N156" s="136" t="n">
        <f aca="false">SUM(N152:N155)+N187</f>
        <v>443.79053894558</v>
      </c>
      <c r="O156" s="136" t="n">
        <f aca="false">SUM(O152:O155)+O187</f>
        <v>454.467153842883</v>
      </c>
      <c r="P156" s="136" t="n">
        <f aca="false">SUM(P152:P155)+P187</f>
        <v>464.688309590508</v>
      </c>
      <c r="Q156" s="136" t="n">
        <f aca="false">SUM(Q152:Q155)+Q187</f>
        <v>474.723183813983</v>
      </c>
      <c r="R156" s="136" t="n">
        <f aca="false">SUM(R152:R155)+R187</f>
        <v>484.776967561283</v>
      </c>
      <c r="S156" s="136" t="n">
        <f aca="false">SUM(S152:S155)+S187</f>
        <v>494.863018755319</v>
      </c>
      <c r="T156" s="136" t="n">
        <f aca="false">SUM(T152:T155)+T187</f>
        <v>505.000234181026</v>
      </c>
      <c r="U156" s="136" t="n">
        <f aca="false">SUM(U152:U155)+U187</f>
        <v>515.207089102761</v>
      </c>
      <c r="V156" s="136" t="n">
        <f aca="false">SUM(V152:V155)+V187</f>
        <v>525.501915486413</v>
      </c>
      <c r="W156" s="136" t="n">
        <f aca="false">SUM(W152:W155)+W187</f>
        <v>535.901913775598</v>
      </c>
      <c r="X156" s="136" t="n">
        <f aca="false">SUM(X152:X155)+X187</f>
        <v>546.426086649348</v>
      </c>
      <c r="Y156" s="136" t="n">
        <f aca="false">SUM(Y152:Y155)+Y187</f>
        <v>557.093056789456</v>
      </c>
      <c r="Z156" s="136" t="n">
        <f aca="false">SUM(Z152:Z155)+Z187</f>
        <v>567.920512626239</v>
      </c>
      <c r="AA156" s="136" t="n">
        <f aca="false">SUM(AA152:AA155)+AA187</f>
        <v>578.925701821023</v>
      </c>
      <c r="AB156" s="136" t="n">
        <f aca="false">SUM(AB152:AB155)+AB187</f>
        <v>590.1263058898</v>
      </c>
      <c r="AC156" s="136" t="n">
        <f aca="false">SUM(AC152:AC155)+AC187</f>
        <v>601.54035889726</v>
      </c>
      <c r="AD156" s="136" t="n">
        <f aca="false">SUM(AD152:AD155)+AD187</f>
        <v>613.186160641454</v>
      </c>
      <c r="AE156" s="136" t="n">
        <f aca="false">SUM(AE152:AE155)+AE187</f>
        <v>625.082314414856</v>
      </c>
      <c r="AF156" s="136" t="n">
        <f aca="false">SUM(AF152:AF155)+AF187</f>
        <v>637.247757552628</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336.797352082607</v>
      </c>
      <c r="L157" s="116" t="n">
        <f aca="false">L69+L80+L121</f>
        <v>350.235474593008</v>
      </c>
      <c r="M157" s="116" t="n">
        <f aca="false">M69+M80+M121</f>
        <v>362.626127764145</v>
      </c>
      <c r="N157" s="116" t="n">
        <f aca="false">N69+N80+N121</f>
        <v>374.039594439753</v>
      </c>
      <c r="O157" s="116" t="n">
        <f aca="false">O69+O80+O121</f>
        <v>384.613777601493</v>
      </c>
      <c r="P157" s="116" t="n">
        <f aca="false">P69+P80+P121</f>
        <v>392.401121909386</v>
      </c>
      <c r="Q157" s="116" t="n">
        <f aca="false">Q69+Q80+Q121</f>
        <v>400.185508902799</v>
      </c>
      <c r="R157" s="116" t="n">
        <f aca="false">R69+R80+R121</f>
        <v>407.882701086703</v>
      </c>
      <c r="S157" s="116" t="n">
        <f aca="false">S69+S80+S121</f>
        <v>415.505694808508</v>
      </c>
      <c r="T157" s="116" t="n">
        <f aca="false">T69+T80+T121</f>
        <v>423.067104539411</v>
      </c>
      <c r="U157" s="116" t="n">
        <f aca="false">U69+U80+U121</f>
        <v>430.579397524447</v>
      </c>
      <c r="V157" s="116" t="n">
        <f aca="false">V69+V80+V121</f>
        <v>438.054920221137</v>
      </c>
      <c r="W157" s="116" t="n">
        <f aca="false">W69+W80+W121</f>
        <v>445.367244711994</v>
      </c>
      <c r="X157" s="116" t="n">
        <f aca="false">X69+X80+X121</f>
        <v>452.563384698125</v>
      </c>
      <c r="Y157" s="116" t="n">
        <f aca="false">Y69+Y80+Y121</f>
        <v>459.697606517069</v>
      </c>
      <c r="Z157" s="116" t="n">
        <f aca="false">Z69+Z80+Z121</f>
        <v>466.769320132736</v>
      </c>
      <c r="AA157" s="116" t="n">
        <f aca="false">AA69+AA80+AA121</f>
        <v>473.778056095607</v>
      </c>
      <c r="AB157" s="116" t="n">
        <f aca="false">AB69+AB80+AB121</f>
        <v>480.726502322631</v>
      </c>
      <c r="AC157" s="116" t="n">
        <f aca="false">AC69+AC80+AC121</f>
        <v>487.617418380392</v>
      </c>
      <c r="AD157" s="116" t="n">
        <f aca="false">AD69+AD80+AD121</f>
        <v>494.453636007383</v>
      </c>
      <c r="AE157" s="116" t="n">
        <f aca="false">AE69+AE80+AE121</f>
        <v>501.238059684676</v>
      </c>
      <c r="AF157" s="116" t="n">
        <f aca="false">AF69+AF80+AF121</f>
        <v>507.973667253791</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161.643402065657</v>
      </c>
      <c r="L159" s="116" t="n">
        <f aca="false">L72</f>
        <v>165.881316273354</v>
      </c>
      <c r="M159" s="116" t="n">
        <f aca="false">M72</f>
        <v>168.627522750894</v>
      </c>
      <c r="N159" s="116" t="n">
        <f aca="false">N72</f>
        <v>172.251687098407</v>
      </c>
      <c r="O159" s="116" t="n">
        <f aca="false">O72</f>
        <v>176.865304612913</v>
      </c>
      <c r="P159" s="116" t="n">
        <f aca="false">P72</f>
        <v>181.115015043248</v>
      </c>
      <c r="Q159" s="116" t="n">
        <f aca="false">Q72</f>
        <v>185.270448320947</v>
      </c>
      <c r="R159" s="116" t="n">
        <f aca="false">R72</f>
        <v>189.526407699227</v>
      </c>
      <c r="S159" s="116" t="n">
        <f aca="false">S72</f>
        <v>193.879460899486</v>
      </c>
      <c r="T159" s="116" t="n">
        <f aca="false">T72</f>
        <v>198.332157283487</v>
      </c>
      <c r="U159" s="116" t="n">
        <f aca="false">U72</f>
        <v>202.886832619854</v>
      </c>
      <c r="V159" s="116" t="n">
        <f aca="false">V72</f>
        <v>207.5458607189</v>
      </c>
      <c r="W159" s="116" t="n">
        <f aca="false">W72</f>
        <v>212.310461735042</v>
      </c>
      <c r="X159" s="116" t="n">
        <f aca="false">X72</f>
        <v>217.183688557351</v>
      </c>
      <c r="Y159" s="116" t="n">
        <f aca="false">Y72</f>
        <v>222.168703005438</v>
      </c>
      <c r="Z159" s="116" t="n">
        <f aca="false">Z72</f>
        <v>227.268326563586</v>
      </c>
      <c r="AA159" s="116" t="n">
        <f aca="false">AA72</f>
        <v>232.484854362617</v>
      </c>
      <c r="AB159" s="116" t="n">
        <f aca="false">AB72</f>
        <v>237.820874983189</v>
      </c>
      <c r="AC159" s="116" t="n">
        <f aca="false">AC72</f>
        <v>243.279153823326</v>
      </c>
      <c r="AD159" s="116" t="n">
        <f aca="false">AD72</f>
        <v>248.862512578294</v>
      </c>
      <c r="AE159" s="116" t="n">
        <f aca="false">AE72</f>
        <v>254.573837850532</v>
      </c>
      <c r="AF159" s="116" t="n">
        <f aca="false">AF72</f>
        <v>260.416082640363</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498.440754148265</v>
      </c>
      <c r="L160" s="136" t="n">
        <f aca="false">SUM(L157:L159)</f>
        <v>516.116790866362</v>
      </c>
      <c r="M160" s="136" t="n">
        <f aca="false">SUM(M157:M159)</f>
        <v>531.253650515039</v>
      </c>
      <c r="N160" s="136" t="n">
        <f aca="false">SUM(N157:N159)</f>
        <v>546.29128153816</v>
      </c>
      <c r="O160" s="136" t="n">
        <f aca="false">SUM(O157:O159)</f>
        <v>561.479082214406</v>
      </c>
      <c r="P160" s="136" t="n">
        <f aca="false">SUM(P157:P159)</f>
        <v>573.516136952634</v>
      </c>
      <c r="Q160" s="136" t="n">
        <f aca="false">SUM(Q157:Q159)</f>
        <v>585.455957223746</v>
      </c>
      <c r="R160" s="136" t="n">
        <f aca="false">SUM(R157:R159)</f>
        <v>597.409108785929</v>
      </c>
      <c r="S160" s="136" t="n">
        <f aca="false">SUM(S157:S159)</f>
        <v>609.385155707994</v>
      </c>
      <c r="T160" s="136" t="n">
        <f aca="false">SUM(T157:T159)</f>
        <v>621.399261822898</v>
      </c>
      <c r="U160" s="136" t="n">
        <f aca="false">SUM(U157:U159)</f>
        <v>633.466230144301</v>
      </c>
      <c r="V160" s="136" t="n">
        <f aca="false">SUM(V157:V159)</f>
        <v>645.600780940037</v>
      </c>
      <c r="W160" s="136" t="n">
        <f aca="false">SUM(W157:W159)</f>
        <v>657.677706447036</v>
      </c>
      <c r="X160" s="136" t="n">
        <f aca="false">SUM(X157:X159)</f>
        <v>669.747073255476</v>
      </c>
      <c r="Y160" s="136" t="n">
        <f aca="false">SUM(Y157:Y159)</f>
        <v>681.866309522507</v>
      </c>
      <c r="Z160" s="136" t="n">
        <f aca="false">SUM(Z157:Z159)</f>
        <v>694.037646696322</v>
      </c>
      <c r="AA160" s="136" t="n">
        <f aca="false">SUM(AA157:AA159)</f>
        <v>706.262910458224</v>
      </c>
      <c r="AB160" s="136" t="n">
        <f aca="false">SUM(AB157:AB159)</f>
        <v>718.54737730582</v>
      </c>
      <c r="AC160" s="136" t="n">
        <f aca="false">SUM(AC157:AC159)</f>
        <v>730.896572203718</v>
      </c>
      <c r="AD160" s="136" t="n">
        <f aca="false">SUM(AD157:AD159)</f>
        <v>743.316148585677</v>
      </c>
      <c r="AE160" s="136" t="n">
        <f aca="false">SUM(AE157:AE159)</f>
        <v>755.811897535207</v>
      </c>
      <c r="AF160" s="136" t="n">
        <f aca="false">SUM(AF157:AF159)</f>
        <v>768.389749894155</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-58.2803884221606</v>
      </c>
      <c r="E161" s="138" t="n">
        <f aca="false">E156-E160</f>
        <v>-72.8220340547052</v>
      </c>
      <c r="F161" s="138" t="n">
        <f aca="false">F156-F160</f>
        <v>-150.53882087251</v>
      </c>
      <c r="G161" s="138" t="n">
        <f aca="false">G156-G160</f>
        <v>-143.453546630034</v>
      </c>
      <c r="H161" s="138" t="n">
        <f aca="false">H156-H160</f>
        <v>-135.14560929965</v>
      </c>
      <c r="I161" s="138" t="n">
        <f aca="false">I156-I160</f>
        <v>-125.563981380522</v>
      </c>
      <c r="J161" s="138" t="n">
        <f aca="false">J156-J160</f>
        <v>-114.652485747762</v>
      </c>
      <c r="K161" s="138" t="n">
        <f aca="false">K156-K160</f>
        <v>-102.799380831321</v>
      </c>
      <c r="L161" s="138" t="n">
        <f aca="false">L156-L160</f>
        <v>-90.5592473015473</v>
      </c>
      <c r="M161" s="138" t="n">
        <f aca="false">M156-M160</f>
        <v>-97.0750743184005</v>
      </c>
      <c r="N161" s="138" t="n">
        <f aca="false">N156-N160</f>
        <v>-102.50074259258</v>
      </c>
      <c r="O161" s="138" t="n">
        <f aca="false">O156-O160</f>
        <v>-107.011928371523</v>
      </c>
      <c r="P161" s="138" t="n">
        <f aca="false">P156-P160</f>
        <v>-108.827827362125</v>
      </c>
      <c r="Q161" s="138" t="n">
        <f aca="false">Q156-Q160</f>
        <v>-110.732773409763</v>
      </c>
      <c r="R161" s="138" t="n">
        <f aca="false">R156-R160</f>
        <v>-112.632141224647</v>
      </c>
      <c r="S161" s="138" t="n">
        <f aca="false">S156-S160</f>
        <v>-114.522136952675</v>
      </c>
      <c r="T161" s="138" t="n">
        <f aca="false">T156-T160</f>
        <v>-116.399027641872</v>
      </c>
      <c r="U161" s="138" t="n">
        <f aca="false">U156-U160</f>
        <v>-118.25914104154</v>
      </c>
      <c r="V161" s="138" t="n">
        <f aca="false">V156-V160</f>
        <v>-120.098865453623</v>
      </c>
      <c r="W161" s="138" t="n">
        <f aca="false">W156-W160</f>
        <v>-121.775792671438</v>
      </c>
      <c r="X161" s="138" t="n">
        <f aca="false">X156-X160</f>
        <v>-123.320986606128</v>
      </c>
      <c r="Y161" s="138" t="n">
        <f aca="false">Y156-Y160</f>
        <v>-124.77325273305</v>
      </c>
      <c r="Z161" s="138" t="n">
        <f aca="false">Z156-Z160</f>
        <v>-126.117134070082</v>
      </c>
      <c r="AA161" s="138" t="n">
        <f aca="false">AA156-AA160</f>
        <v>-127.337208637201</v>
      </c>
      <c r="AB161" s="138" t="n">
        <f aca="false">AB156-AB160</f>
        <v>-128.42107141602</v>
      </c>
      <c r="AC161" s="138" t="n">
        <f aca="false">AC156-AC160</f>
        <v>-129.356213306458</v>
      </c>
      <c r="AD161" s="138" t="n">
        <f aca="false">AD156-AD160</f>
        <v>-130.129987944223</v>
      </c>
      <c r="AE161" s="138" t="n">
        <f aca="false">AE156-AE160</f>
        <v>-130.729583120351</v>
      </c>
      <c r="AF161" s="138" t="n">
        <f aca="false">AF156-AF160</f>
        <v>-131.141992341527</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-58.2803884221606</v>
      </c>
      <c r="E163" s="116" t="n">
        <f aca="false">D163+E53+E56+E58+E118+E119+E60+E113+E101-E115-E162</f>
        <v>-72.8220340547052</v>
      </c>
      <c r="F163" s="116" t="n">
        <f aca="false">E163+F53+F56+F58+F118+F119+F60+F113+F101-F115-F162</f>
        <v>-150.53882087251</v>
      </c>
      <c r="G163" s="116" t="n">
        <f aca="false">F163+G53+G56+G58+G118+G119+G60+G113+G101-G115-G162</f>
        <v>-143.453546630034</v>
      </c>
      <c r="H163" s="116" t="n">
        <f aca="false">G163+H53+H56+H58+H118+H119+H60+H113+H101-H115-H162</f>
        <v>-135.14560929965</v>
      </c>
      <c r="I163" s="116" t="n">
        <f aca="false">H163+I53+I56+I58+I118+I119+I60+I113+I101-I115-I162</f>
        <v>-125.563981380522</v>
      </c>
      <c r="J163" s="116" t="n">
        <f aca="false">I163+J53+J56+J58+J118+J119+J60+J113+J101-J115-J162</f>
        <v>-114.652485747762</v>
      </c>
      <c r="K163" s="116" t="n">
        <f aca="false">J163+K53+K56+K58+K118+K119+K60+K113+K101-K115-K162</f>
        <v>-102.799380831321</v>
      </c>
      <c r="L163" s="116" t="n">
        <f aca="false">K163+L53+L56+L58+L118+L119+L60+L113+L101-L115-L162</f>
        <v>-90.5592473015474</v>
      </c>
      <c r="M163" s="116" t="n">
        <f aca="false">L163+M53+M56+M58+M118+M119+M60+M113+M101-M115-M162</f>
        <v>-97.0750743184006</v>
      </c>
      <c r="N163" s="116" t="n">
        <f aca="false">M163+N53+N56+N58+N118+N119+N60+N113+N101-N115-N162</f>
        <v>-102.50074259258</v>
      </c>
      <c r="O163" s="116" t="n">
        <f aca="false">N163+O53+O56+O58+O118+O119+O60+O113+O101-O115-O162</f>
        <v>-107.011928371523</v>
      </c>
      <c r="P163" s="116" t="n">
        <f aca="false">O163+P53+P56+P58+P118+P119+P60+P113+P101-P115-P162</f>
        <v>-108.827827362126</v>
      </c>
      <c r="Q163" s="116" t="n">
        <f aca="false">P163+Q53+Q56+Q58+Q118+Q119+Q60+Q113+Q101-Q115-Q162</f>
        <v>-110.732773409763</v>
      </c>
      <c r="R163" s="116" t="n">
        <f aca="false">Q163+R53+R56+R58+R118+R119+R60+R113+R101-R115-R162</f>
        <v>-112.632141224647</v>
      </c>
      <c r="S163" s="116" t="n">
        <f aca="false">R163+S53+S56+S58+S118+S119+S60+S113+S101-S115-S162</f>
        <v>-114.522136952676</v>
      </c>
      <c r="T163" s="116" t="n">
        <f aca="false">S163+T53+T56+T58+T118+T119+T60+T113+T101-T115-T162</f>
        <v>-116.399027641872</v>
      </c>
      <c r="U163" s="116" t="n">
        <f aca="false">T163+U53+U56+U58+U118+U119+U60+U113+U101-U115-U162</f>
        <v>-118.25914104154</v>
      </c>
      <c r="V163" s="116" t="n">
        <f aca="false">U163+V53+V56+V58+V118+V119+V60+V113+V101-V115-V162</f>
        <v>-120.098865453624</v>
      </c>
      <c r="W163" s="116" t="n">
        <f aca="false">V163+W53+W56+W58+W118+W119+W60+W113+W101-W115-W162</f>
        <v>-121.775792671438</v>
      </c>
      <c r="X163" s="116" t="n">
        <f aca="false">W163+X53+X56+X58+X118+X119+X60+X113+X101-X115-X162</f>
        <v>-123.320986606128</v>
      </c>
      <c r="Y163" s="116" t="n">
        <f aca="false">X163+Y53+Y56+Y58+Y118+Y119+Y60+Y113+Y101-Y115-Y162</f>
        <v>-124.773252733051</v>
      </c>
      <c r="Z163" s="116" t="n">
        <f aca="false">Y163+Z53+Z56+Z58+Z118+Z119+Z60+Z113+Z101-Z115-Z162</f>
        <v>-126.117134070082</v>
      </c>
      <c r="AA163" s="116" t="n">
        <f aca="false">Z163+AA53+AA56+AA58+AA118+AA119+AA60+AA113+AA101-AA115-AA162</f>
        <v>-127.337208637201</v>
      </c>
      <c r="AB163" s="116" t="n">
        <f aca="false">AA163+AB53+AB56+AB58+AB118+AB119+AB60+AB113+AB101-AB115-AB162</f>
        <v>-128.42107141602</v>
      </c>
      <c r="AC163" s="116" t="n">
        <f aca="false">AB163+AC53+AC56+AC58+AC118+AC119+AC60+AC113+AC101-AC115-AC162</f>
        <v>-129.356213306458</v>
      </c>
      <c r="AD163" s="116" t="n">
        <f aca="false">AC163+AD53+AD56+AD58+AD118+AD119+AD60+AD113+AD101-AD115-AD162</f>
        <v>-130.129987944223</v>
      </c>
      <c r="AE163" s="116" t="n">
        <f aca="false">AD163+AE53+AE56+AE58+AE118+AE119+AE60+AE113+AE101-AE115-AE162</f>
        <v>-130.729583120351</v>
      </c>
      <c r="AF163" s="116" t="n">
        <f aca="false">AE163+AF53+AF56+AF58+AF118+AF119+AF60+AF113+AF101-AF115-AF162</f>
        <v>-131.141992341527</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1365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83.023499101748</v>
      </c>
      <c r="L186" s="142" t="n">
        <f aca="false">L84-L181</f>
        <v>84.8343572225671</v>
      </c>
      <c r="M186" s="142" t="n">
        <f aca="false">M84-M181</f>
        <v>88.8485720569353</v>
      </c>
      <c r="N186" s="142" t="n">
        <f aca="false">N84-N181</f>
        <v>91.7178304493575</v>
      </c>
      <c r="O186" s="142" t="n">
        <f aca="false">O84-O181</f>
        <v>93.6166167847099</v>
      </c>
      <c r="P186" s="142" t="n">
        <f aca="false">P84-P181</f>
        <v>92.7629092066038</v>
      </c>
      <c r="Q186" s="142" t="n">
        <f aca="false">Q84-Q181</f>
        <v>91.9397977480885</v>
      </c>
      <c r="R186" s="142" t="n">
        <f aca="false">R84-R181</f>
        <v>91.0513864981542</v>
      </c>
      <c r="S186" s="142" t="n">
        <f aca="false">S84-S181</f>
        <v>90.0925836009506</v>
      </c>
      <c r="T186" s="142" t="n">
        <f aca="false">T84-T181</f>
        <v>89.0583301385626</v>
      </c>
      <c r="U186" s="142" t="n">
        <f aca="false">U84-U181</f>
        <v>87.9435993342388</v>
      </c>
      <c r="V186" s="142" t="n">
        <f aca="false">V84-V181</f>
        <v>86.7433957952942</v>
      </c>
      <c r="W186" s="142" t="n">
        <f aca="false">W84-W181</f>
        <v>85.3138978306043</v>
      </c>
      <c r="X186" s="142" t="n">
        <f aca="false">X84-X181</f>
        <v>83.6507599832541</v>
      </c>
      <c r="Y186" s="142" t="n">
        <f aca="false">Y84-Y181</f>
        <v>81.7496777162294</v>
      </c>
      <c r="Z186" s="142" t="n">
        <f aca="false">Z84-Z181</f>
        <v>79.6063870580131</v>
      </c>
      <c r="AA186" s="142" t="n">
        <f aca="false">AA84-AA181</f>
        <v>77.2166642821489</v>
      </c>
      <c r="AB186" s="142" t="n">
        <f aca="false">AB84-AB181</f>
        <v>74.5793608500962</v>
      </c>
      <c r="AC186" s="142" t="n">
        <f aca="false">AC84-AC181</f>
        <v>71.6933158134408</v>
      </c>
      <c r="AD186" s="142" t="n">
        <f aca="false">AD84-AD181</f>
        <v>68.5573544102071</v>
      </c>
      <c r="AE186" s="142" t="n">
        <f aca="false">AE84-AE181</f>
        <v>65.1702866634249</v>
      </c>
      <c r="AF186" s="142" t="n">
        <f aca="false">AF84-AF181</f>
        <v>61.5309059796081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-78.2974655252644</v>
      </c>
      <c r="G192" s="142" t="n">
        <f aca="false">G149-SUM($C$191:G191)</f>
        <v>-98.8761867754437</v>
      </c>
      <c r="H192" s="142" t="n">
        <f aca="false">H149-SUM($C$191:H191)</f>
        <v>-120.039439173941</v>
      </c>
      <c r="I192" s="142" t="n">
        <f aca="false">I149-SUM($C$191:I191)</f>
        <v>-141.785142462569</v>
      </c>
      <c r="J192" s="142" t="n">
        <f aca="false">J149-SUM($C$191:J191)</f>
        <v>-164.11135338935</v>
      </c>
      <c r="K192" s="142" t="n">
        <f aca="false">K149-SUM($C$191:K191)</f>
        <v>-187.043113056153</v>
      </c>
      <c r="L192" s="142" t="n">
        <f aca="false">L149-SUM($C$191:L191)</f>
        <v>-210.585394149133</v>
      </c>
      <c r="M192" s="142" t="n">
        <f aca="false">M149-SUM($C$191:M191)</f>
        <v>-213.998830388056</v>
      </c>
      <c r="N192" s="142" t="n">
        <f aca="false">N149-SUM($C$191:N191)</f>
        <v>-217.357548930507</v>
      </c>
      <c r="O192" s="142" t="n">
        <f aca="false">O149-SUM($C$191:O191)</f>
        <v>-220.740341909039</v>
      </c>
      <c r="P192" s="142" t="n">
        <f aca="false">P149-SUM($C$191:P191)</f>
        <v>-224.12470915619</v>
      </c>
      <c r="Q192" s="142" t="n">
        <f aca="false">Q149-SUM($C$191:Q191)</f>
        <v>-227.512647567022</v>
      </c>
      <c r="R192" s="142" t="n">
        <f aca="false">R149-SUM($C$191:R191)</f>
        <v>-230.906451389062</v>
      </c>
      <c r="S192" s="142" t="n">
        <f aca="false">S149-SUM($C$191:S191)</f>
        <v>-234.308362678542</v>
      </c>
      <c r="T192" s="142" t="n">
        <f aca="false">T149-SUM($C$191:T191)</f>
        <v>-237.720582475913</v>
      </c>
      <c r="U192" s="142" t="n">
        <f aca="false">U149-SUM($C$191:U191)</f>
        <v>-241.145275023466</v>
      </c>
      <c r="V192" s="142" t="n">
        <f aca="false">V149-SUM($C$191:V191)</f>
        <v>-244.584571947283</v>
      </c>
      <c r="W192" s="142" t="n">
        <f aca="false">W149-SUM($C$191:W191)</f>
        <v>-248.040440832878</v>
      </c>
      <c r="X192" s="142" t="n">
        <f aca="false">X149-SUM($C$191:X191)</f>
        <v>-251.514825115048</v>
      </c>
      <c r="Y192" s="142" t="n">
        <f aca="false">Y149-SUM($C$191:Y191)</f>
        <v>-255.00968086985</v>
      </c>
      <c r="Z192" s="142" t="n">
        <f aca="false">Z149-SUM($C$191:Z191)</f>
        <v>-258.526987322126</v>
      </c>
      <c r="AA192" s="142" t="n">
        <f aca="false">AA149-SUM($C$191:AA191)</f>
        <v>-262.06869661127</v>
      </c>
      <c r="AB192" s="142" t="n">
        <f aca="false">AB149-SUM($C$191:AB191)</f>
        <v>-265.636739946396</v>
      </c>
      <c r="AC192" s="142" t="n">
        <f aca="false">AC149-SUM($C$191:AC191)</f>
        <v>-269.233030592473</v>
      </c>
      <c r="AD192" s="142" t="n">
        <f aca="false">AD149-SUM($C$191:AD191)</f>
        <v>-272.859466707925</v>
      </c>
      <c r="AE192" s="142" t="n">
        <f aca="false">AE149-SUM($C$191:AE191)</f>
        <v>-276.517934044395</v>
      </c>
      <c r="AF192" s="142" t="n">
        <f aca="false">AF149-SUM($C$191:AF191)</f>
        <v>-280.210308518754</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5" hidden="false" customHeight="true" outlineLevel="0" collapsed="false">
      <c r="B196" s="7" t="s">
        <v>1373</v>
      </c>
    </row>
    <row r="197" customFormat="false" ht="15" hidden="false" customHeight="true" outlineLevel="0" collapsed="false">
      <c r="B197" s="103" t="s">
        <v>1374</v>
      </c>
      <c r="C197" s="149" t="n">
        <f aca="false">64_Inflacion!C5</f>
        <v>294.5</v>
      </c>
    </row>
    <row r="198" customFormat="false" ht="15" hidden="false" customHeight="true" outlineLevel="0" collapsed="false">
      <c r="B198" s="103" t="s">
        <v>1375</v>
      </c>
      <c r="C198" s="150" t="n">
        <v>0.25</v>
      </c>
    </row>
    <row r="199" customFormat="false" ht="15" hidden="false" customHeight="true" outlineLevel="0" collapsed="false">
      <c r="B199" s="103" t="s">
        <v>1376</v>
      </c>
      <c r="C199" s="141" t="n">
        <v>0.03</v>
      </c>
    </row>
    <row r="200" customFormat="false" ht="15" hidden="false" customHeight="true" outlineLevel="0" collapsed="false">
      <c r="B200" s="103" t="s">
        <v>1377</v>
      </c>
      <c r="C200" s="141" t="n">
        <v>0.003</v>
      </c>
    </row>
    <row r="201" customFormat="false" ht="15" hidden="false" customHeight="true" outlineLevel="0" collapsed="false">
      <c r="B201" s="103" t="s">
        <v>1378</v>
      </c>
      <c r="C201" s="151" t="s">
        <v>1392</v>
      </c>
    </row>
    <row r="203" customFormat="false" ht="15" hidden="false" customHeight="true" outlineLevel="0" collapsed="false">
      <c r="B203" s="103" t="s">
        <v>1380</v>
      </c>
      <c r="C203" s="88" t="n">
        <f aca="false">$C$197*C41/$C$41</f>
        <v>294.5</v>
      </c>
      <c r="D203" s="88" t="n">
        <f aca="false">$C$197*D41/$C$41</f>
        <v>301.2735</v>
      </c>
      <c r="E203" s="88" t="n">
        <f aca="false">$C$197*E41/$C$41</f>
        <v>308.2027905</v>
      </c>
      <c r="F203" s="88" t="n">
        <f aca="false">$C$197*F41/$C$41</f>
        <v>315.2914546815</v>
      </c>
      <c r="G203" s="88" t="n">
        <f aca="false">$C$197*G41/$C$41</f>
        <v>322.543158139174</v>
      </c>
      <c r="H203" s="88" t="n">
        <f aca="false">$C$197*H41/$C$41</f>
        <v>329.961650776375</v>
      </c>
      <c r="I203" s="88" t="n">
        <f aca="false">$C$197*I41/$C$41</f>
        <v>337.550768744232</v>
      </c>
      <c r="J203" s="88" t="n">
        <f aca="false">$C$197*J41/$C$41</f>
        <v>345.314436425349</v>
      </c>
      <c r="K203" s="88" t="n">
        <f aca="false">$C$197*K41/$C$41</f>
        <v>353.256668463132</v>
      </c>
      <c r="L203" s="88" t="n">
        <f aca="false">$C$197*L41/$C$41</f>
        <v>361.381571837784</v>
      </c>
      <c r="M203" s="88" t="n">
        <f aca="false">$C$197*M41/$C$41</f>
        <v>369.693347990053</v>
      </c>
      <c r="N203" s="88" t="n">
        <f aca="false">$C$197*N41/$C$41</f>
        <v>378.196294993825</v>
      </c>
      <c r="O203" s="88" t="n">
        <f aca="false">$C$197*O41/$C$41</f>
        <v>386.894809778682</v>
      </c>
      <c r="P203" s="88" t="n">
        <f aca="false">$C$197*P41/$C$41</f>
        <v>395.793390403592</v>
      </c>
      <c r="Q203" s="88" t="n">
        <f aca="false">$C$197*Q41/$C$41</f>
        <v>404.896638382875</v>
      </c>
      <c r="R203" s="88" t="n">
        <f aca="false">$C$197*R41/$C$41</f>
        <v>414.209261065681</v>
      </c>
      <c r="S203" s="88" t="n">
        <f aca="false">$C$197*S41/$C$41</f>
        <v>423.736074070191</v>
      </c>
      <c r="T203" s="88" t="n">
        <f aca="false">$C$197*T41/$C$41</f>
        <v>433.482003773806</v>
      </c>
      <c r="U203" s="88" t="n">
        <f aca="false">$C$197*U41/$C$41</f>
        <v>443.452089860603</v>
      </c>
      <c r="V203" s="88" t="n">
        <f aca="false">$C$197*V41/$C$41</f>
        <v>453.651487927397</v>
      </c>
      <c r="W203" s="88" t="n">
        <f aca="false">$C$197*W41/$C$41</f>
        <v>464.085472149727</v>
      </c>
      <c r="X203" s="88" t="n">
        <f aca="false">$C$197*X41/$C$41</f>
        <v>474.759438009171</v>
      </c>
      <c r="Y203" s="88" t="n">
        <f aca="false">$C$197*Y41/$C$41</f>
        <v>485.678905083382</v>
      </c>
      <c r="Z203" s="88" t="n">
        <f aca="false">$C$197*Z41/$C$41</f>
        <v>496.8495199003</v>
      </c>
      <c r="AA203" s="88" t="n">
        <f aca="false">$C$197*AA41/$C$41</f>
        <v>508.277058858006</v>
      </c>
      <c r="AB203" s="88" t="n">
        <f aca="false">$C$197*AB41/$C$41</f>
        <v>519.96743121174</v>
      </c>
      <c r="AC203" s="88" t="n">
        <f aca="false">$C$197*AC41/$C$41</f>
        <v>531.92668212961</v>
      </c>
      <c r="AD203" s="88" t="n">
        <f aca="false">$C$197*AD41/$C$41</f>
        <v>544.160995818591</v>
      </c>
      <c r="AE203" s="88" t="n">
        <f aca="false">$C$197*AE41/$C$41</f>
        <v>556.676698722419</v>
      </c>
      <c r="AF203" s="88" t="n">
        <f aca="false">$C$197*AF41/$C$41</f>
        <v>569.480262793035</v>
      </c>
      <c r="AG203" s="88"/>
      <c r="AH203" s="88"/>
      <c r="AI203" s="88"/>
      <c r="AJ203" s="88"/>
      <c r="AK203" s="88"/>
      <c r="AL203" s="88"/>
      <c r="AM203" s="88"/>
      <c r="AN203" s="88"/>
      <c r="AO203" s="88"/>
      <c r="AP203" s="88"/>
      <c r="AQ203" s="88"/>
      <c r="AR203" s="88"/>
      <c r="AS203" s="88"/>
      <c r="AT203" s="88"/>
      <c r="AU203" s="88"/>
      <c r="AV203" s="88"/>
      <c r="AW203" s="88"/>
      <c r="AX203" s="88"/>
      <c r="AY203" s="88"/>
      <c r="AZ203" s="88"/>
      <c r="BA203" s="88"/>
      <c r="BB203" s="88"/>
      <c r="BC203" s="88"/>
      <c r="BD203" s="88"/>
      <c r="BE203" s="88"/>
      <c r="BF203" s="88"/>
      <c r="BG203" s="88"/>
      <c r="BH203" s="88"/>
      <c r="BI203" s="88"/>
      <c r="BJ203" s="88"/>
      <c r="BK203" s="88"/>
      <c r="BL203" s="88"/>
      <c r="BM203" s="88"/>
      <c r="BN203" s="88"/>
      <c r="BO203" s="88"/>
      <c r="BP203" s="88"/>
      <c r="BQ203" s="88"/>
      <c r="BR203" s="88"/>
      <c r="BS203" s="88"/>
      <c r="BT203" s="88"/>
    </row>
    <row r="204" customFormat="false" ht="15" hidden="false" customHeight="true" outlineLevel="0" collapsed="false">
      <c r="B204" s="103" t="s">
        <v>1381</v>
      </c>
      <c r="C204" s="87" t="n">
        <f aca="false">C83/C203</f>
        <v>0.0441426146010187</v>
      </c>
      <c r="D204" s="87" t="n">
        <f aca="false">D83/D203</f>
        <v>0.0872927755013302</v>
      </c>
      <c r="E204" s="87" t="n">
        <f aca="false">E83/E203</f>
        <v>0.129472795931742</v>
      </c>
      <c r="F204" s="87" t="n">
        <f aca="false">F83/F203</f>
        <v>0.170704487457072</v>
      </c>
      <c r="G204" s="87" t="n">
        <f aca="false">G83/G203</f>
        <v>0.211009171255048</v>
      </c>
      <c r="H204" s="87" t="n">
        <f aca="false">H83/H203</f>
        <v>0.250407689141632</v>
      </c>
      <c r="I204" s="87" t="n">
        <f aca="false">I83/I203</f>
        <v>0.28892041434846</v>
      </c>
      <c r="J204" s="87" t="n">
        <f aca="false">J83/J203</f>
        <v>0.326567262057969</v>
      </c>
      <c r="K204" s="87" t="n">
        <f aca="false">K83/K203</f>
        <v>0.333333333333333</v>
      </c>
      <c r="L204" s="87" t="n">
        <f aca="false">L83/L203</f>
        <v>0.333333333333333</v>
      </c>
      <c r="M204" s="87" t="n">
        <f aca="false">M83/M203</f>
        <v>0.333333333333333</v>
      </c>
      <c r="N204" s="87" t="n">
        <f aca="false">N83/N203</f>
        <v>0.333333333333333</v>
      </c>
      <c r="O204" s="87" t="n">
        <f aca="false">O83/O203</f>
        <v>0.333333333333333</v>
      </c>
      <c r="P204" s="87" t="n">
        <f aca="false">P83/P203</f>
        <v>0.333333333333333</v>
      </c>
      <c r="Q204" s="87" t="n">
        <f aca="false">Q83/Q203</f>
        <v>0.333333333333333</v>
      </c>
      <c r="R204" s="87" t="n">
        <f aca="false">R83/R203</f>
        <v>0.333333333333333</v>
      </c>
      <c r="S204" s="87" t="n">
        <f aca="false">S83/S203</f>
        <v>0.333333333333333</v>
      </c>
      <c r="T204" s="87" t="n">
        <f aca="false">T83/T203</f>
        <v>0.333333333333333</v>
      </c>
      <c r="U204" s="87" t="n">
        <f aca="false">U83/U203</f>
        <v>0.333333333333333</v>
      </c>
      <c r="V204" s="87" t="n">
        <f aca="false">V83/V203</f>
        <v>0.333333333333333</v>
      </c>
      <c r="W204" s="87" t="n">
        <f aca="false">W83/W203</f>
        <v>0.333333333333333</v>
      </c>
      <c r="X204" s="87" t="n">
        <f aca="false">X83/X203</f>
        <v>0.333333333333333</v>
      </c>
      <c r="Y204" s="87" t="n">
        <f aca="false">Y83/Y203</f>
        <v>0.333333333333333</v>
      </c>
      <c r="Z204" s="87" t="n">
        <f aca="false">Z83/Z203</f>
        <v>0.333333333333333</v>
      </c>
      <c r="AA204" s="87" t="n">
        <f aca="false">AA83/AA203</f>
        <v>0.333333333333333</v>
      </c>
      <c r="AB204" s="87" t="n">
        <f aca="false">AB83/AB203</f>
        <v>0.333333333333333</v>
      </c>
      <c r="AC204" s="87" t="n">
        <f aca="false">AC83/AC203</f>
        <v>0.333333333333333</v>
      </c>
      <c r="AD204" s="87" t="n">
        <f aca="false">AD83/AD203</f>
        <v>0.333333333333333</v>
      </c>
      <c r="AE204" s="87" t="n">
        <f aca="false">AE83/AE203</f>
        <v>0.333333333333333</v>
      </c>
      <c r="AF204" s="87" t="n">
        <f aca="false">AF83/AF203</f>
        <v>0.333333333333333</v>
      </c>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c r="BG204" s="87"/>
      <c r="BH204" s="87"/>
      <c r="BI204" s="87"/>
      <c r="BJ204" s="87"/>
      <c r="BK204" s="87"/>
      <c r="BL204" s="87"/>
      <c r="BM204" s="87"/>
      <c r="BN204" s="87"/>
      <c r="BO204" s="87"/>
      <c r="BP204" s="87"/>
      <c r="BQ204" s="87"/>
      <c r="BR204" s="87"/>
      <c r="BS204" s="87"/>
      <c r="BT204" s="87"/>
    </row>
    <row r="205" customFormat="false" ht="15" hidden="false" customHeight="true" outlineLevel="0" collapsed="false">
      <c r="B205" s="103" t="s">
        <v>1382</v>
      </c>
      <c r="C205" s="87" t="n">
        <f aca="false">C83/(C203+C83)</f>
        <v>0.0422764227642276</v>
      </c>
      <c r="D205" s="87" t="n">
        <f aca="false">D83/(D203+D83)</f>
        <v>0.0802845171679552</v>
      </c>
      <c r="E205" s="87" t="n">
        <f aca="false">E83/(E203+E83)</f>
        <v>0.114631176950956</v>
      </c>
      <c r="F205" s="87" t="n">
        <f aca="false">F83/(F203+F83)</f>
        <v>0.145813473242821</v>
      </c>
      <c r="G205" s="87" t="n">
        <f aca="false">G83/(G203+G83)</f>
        <v>0.174242422158013</v>
      </c>
      <c r="H205" s="87" t="n">
        <f aca="false">H83/(H203+H83)</f>
        <v>0.200260835978648</v>
      </c>
      <c r="I205" s="87" t="n">
        <f aca="false">I83/(I203+I83)</f>
        <v>0.224156907697445</v>
      </c>
      <c r="J205" s="87" t="n">
        <f aca="false">J83/(J203+J83)</f>
        <v>0.246174673081672</v>
      </c>
      <c r="K205" s="87" t="n">
        <f aca="false">K83/(K203+K83)</f>
        <v>0.25</v>
      </c>
      <c r="L205" s="87" t="n">
        <f aca="false">L83/(L203+L83)</f>
        <v>0.25</v>
      </c>
      <c r="M205" s="87" t="n">
        <f aca="false">M83/(M203+M83)</f>
        <v>0.25</v>
      </c>
      <c r="N205" s="87" t="n">
        <f aca="false">N83/(N203+N83)</f>
        <v>0.25</v>
      </c>
      <c r="O205" s="87" t="n">
        <f aca="false">O83/(O203+O83)</f>
        <v>0.25</v>
      </c>
      <c r="P205" s="87" t="n">
        <f aca="false">P83/(P203+P83)</f>
        <v>0.25</v>
      </c>
      <c r="Q205" s="87" t="n">
        <f aca="false">Q83/(Q203+Q83)</f>
        <v>0.25</v>
      </c>
      <c r="R205" s="87" t="n">
        <f aca="false">R83/(R203+R83)</f>
        <v>0.25</v>
      </c>
      <c r="S205" s="87" t="n">
        <f aca="false">S83/(S203+S83)</f>
        <v>0.25</v>
      </c>
      <c r="T205" s="87" t="n">
        <f aca="false">T83/(T203+T83)</f>
        <v>0.25</v>
      </c>
      <c r="U205" s="87" t="n">
        <f aca="false">U83/(U203+U83)</f>
        <v>0.25</v>
      </c>
      <c r="V205" s="87" t="n">
        <f aca="false">V83/(V203+V83)</f>
        <v>0.25</v>
      </c>
      <c r="W205" s="87" t="n">
        <f aca="false">W83/(W203+W83)</f>
        <v>0.25</v>
      </c>
      <c r="X205" s="87" t="n">
        <f aca="false">X83/(X203+X83)</f>
        <v>0.25</v>
      </c>
      <c r="Y205" s="87" t="n">
        <f aca="false">Y83/(Y203+Y83)</f>
        <v>0.25</v>
      </c>
      <c r="Z205" s="87" t="n">
        <f aca="false">Z83/(Z203+Z83)</f>
        <v>0.25</v>
      </c>
      <c r="AA205" s="87" t="n">
        <f aca="false">AA83/(AA203+AA83)</f>
        <v>0.25</v>
      </c>
      <c r="AB205" s="87" t="n">
        <f aca="false">AB83/(AB203+AB83)</f>
        <v>0.25</v>
      </c>
      <c r="AC205" s="87" t="n">
        <f aca="false">AC83/(AC203+AC83)</f>
        <v>0.25</v>
      </c>
      <c r="AD205" s="87" t="n">
        <f aca="false">AD83/(AD203+AD83)</f>
        <v>0.25</v>
      </c>
      <c r="AE205" s="87" t="n">
        <f aca="false">AE83/(AE203+AE83)</f>
        <v>0.25</v>
      </c>
      <c r="AF205" s="87" t="n">
        <f aca="false">AF83/(AF203+AF83)</f>
        <v>0.25</v>
      </c>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c r="BG205" s="87"/>
      <c r="BH205" s="87"/>
      <c r="BI205" s="87"/>
      <c r="BJ205" s="87"/>
      <c r="BK205" s="87"/>
      <c r="BL205" s="87"/>
      <c r="BM205" s="87"/>
      <c r="BN205" s="87"/>
      <c r="BO205" s="87"/>
      <c r="BP205" s="87"/>
      <c r="BQ205" s="87"/>
      <c r="BR205" s="87"/>
      <c r="BS205" s="87"/>
      <c r="BT205" s="87"/>
    </row>
    <row r="206" customFormat="false" ht="15" hidden="false" customHeight="true" outlineLevel="0" collapsed="false">
      <c r="B206" s="103" t="s">
        <v>1383</v>
      </c>
      <c r="C206" s="1" t="n">
        <v>0</v>
      </c>
      <c r="D206" s="1" t="n">
        <f aca="false">IF($C$201="No",0,IF(AND(C205&gt;$C$198,OR($C$201="Siempre",$C$8&gt;$C$200)),1,0))</f>
        <v>0</v>
      </c>
      <c r="E206" s="1" t="n">
        <f aca="false">IF($C$201="No",0,IF(AND(D205&gt;$C$198,OR($C$201="Siempre",$C$8&gt;$C$200)),1,0))</f>
        <v>0</v>
      </c>
      <c r="F206" s="1" t="n">
        <f aca="false">IF($C$201="No",0,IF(AND(E205&gt;$C$198,OR($C$201="Siempre",$C$8&gt;$C$200)),1,0))</f>
        <v>0</v>
      </c>
      <c r="G206" s="1" t="n">
        <f aca="false">IF($C$201="No",0,IF(AND(F205&gt;$C$198,OR($C$201="Siempre",$C$8&gt;$C$200)),1,0))</f>
        <v>0</v>
      </c>
      <c r="H206" s="1" t="n">
        <f aca="false">IF($C$201="No",0,IF(AND(G205&gt;$C$198,OR($C$201="Siempre",$C$8&gt;$C$200)),1,0))</f>
        <v>0</v>
      </c>
      <c r="I206" s="1" t="n">
        <f aca="false">IF($C$201="No",0,IF(AND(H205&gt;$C$198,OR($C$201="Siempre",$C$8&gt;$C$200)),1,0))</f>
        <v>0</v>
      </c>
      <c r="J206" s="1" t="n">
        <f aca="false">IF($C$201="No",0,IF(AND(I205&gt;$C$198,OR($C$201="Siempre",$C$8&gt;$C$200)),1,0))</f>
        <v>0</v>
      </c>
      <c r="K206" s="1" t="n">
        <f aca="false">IF($C$201="No",0,IF(AND(J205&gt;$C$198,OR($C$201="Siempre",$C$8&gt;$C$200)),1,0))</f>
        <v>0</v>
      </c>
      <c r="L206" s="1" t="n">
        <f aca="false">IF($C$201="No",0,IF(AND(K205&gt;$C$198,OR($C$201="Siempre",$C$8&gt;$C$200)),1,0))</f>
        <v>0</v>
      </c>
      <c r="M206" s="1" t="n">
        <f aca="false">IF($C$201="No",0,IF(AND(L205&gt;$C$198,OR($C$201="Siempre",$C$8&gt;$C$200)),1,0))</f>
        <v>0</v>
      </c>
      <c r="N206" s="1" t="n">
        <f aca="false">IF($C$201="No",0,IF(AND(M205&gt;$C$198,OR($C$201="Siempre",$C$8&gt;$C$200)),1,0))</f>
        <v>0</v>
      </c>
      <c r="O206" s="1" t="n">
        <f aca="false">IF($C$201="No",0,IF(AND(N205&gt;$C$198,OR($C$201="Siempre",$C$8&gt;$C$200)),1,0))</f>
        <v>0</v>
      </c>
      <c r="P206" s="1" t="n">
        <f aca="false">IF($C$201="No",0,IF(AND(O205&gt;$C$198,OR($C$201="Siempre",$C$8&gt;$C$200)),1,0))</f>
        <v>0</v>
      </c>
      <c r="Q206" s="1" t="n">
        <f aca="false">IF($C$201="No",0,IF(AND(P205&gt;$C$198,OR($C$201="Siempre",$C$8&gt;$C$200)),1,0))</f>
        <v>0</v>
      </c>
      <c r="R206" s="1" t="n">
        <f aca="false">IF($C$201="No",0,IF(AND(Q205&gt;$C$198,OR($C$201="Siempre",$C$8&gt;$C$200)),1,0))</f>
        <v>0</v>
      </c>
      <c r="S206" s="1" t="n">
        <f aca="false">IF($C$201="No",0,IF(AND(R205&gt;$C$198,OR($C$201="Siempre",$C$8&gt;$C$200)),1,0))</f>
        <v>0</v>
      </c>
      <c r="T206" s="1" t="n">
        <f aca="false">IF($C$201="No",0,IF(AND(S205&gt;$C$198,OR($C$201="Siempre",$C$8&gt;$C$200)),1,0))</f>
        <v>0</v>
      </c>
      <c r="U206" s="1" t="n">
        <f aca="false">IF($C$201="No",0,IF(AND(T205&gt;$C$198,OR($C$201="Siempre",$C$8&gt;$C$200)),1,0))</f>
        <v>0</v>
      </c>
      <c r="V206" s="1" t="n">
        <f aca="false">IF($C$201="No",0,IF(AND(U205&gt;$C$198,OR($C$201="Siempre",$C$8&gt;$C$200)),1,0))</f>
        <v>0</v>
      </c>
      <c r="W206" s="1" t="n">
        <f aca="false">IF($C$201="No",0,IF(AND(V205&gt;$C$198,OR($C$201="Siempre",$C$8&gt;$C$200)),1,0))</f>
        <v>0</v>
      </c>
      <c r="X206" s="1" t="n">
        <f aca="false">IF($C$201="No",0,IF(AND(W205&gt;$C$198,OR($C$201="Siempre",$C$8&gt;$C$200)),1,0))</f>
        <v>0</v>
      </c>
      <c r="Y206" s="1" t="n">
        <f aca="false">IF($C$201="No",0,IF(AND(X205&gt;$C$198,OR($C$201="Siempre",$C$8&gt;$C$200)),1,0))</f>
        <v>0</v>
      </c>
      <c r="Z206" s="1" t="n">
        <f aca="false">IF($C$201="No",0,IF(AND(Y205&gt;$C$198,OR($C$201="Siempre",$C$8&gt;$C$200)),1,0))</f>
        <v>0</v>
      </c>
      <c r="AA206" s="1" t="n">
        <f aca="false">IF($C$201="No",0,IF(AND(Z205&gt;$C$198,OR($C$201="Siempre",$C$8&gt;$C$200)),1,0))</f>
        <v>0</v>
      </c>
      <c r="AB206" s="1" t="n">
        <f aca="false">IF($C$201="No",0,IF(AND(AA205&gt;$C$198,OR($C$201="Siempre",$C$8&gt;$C$200)),1,0))</f>
        <v>0</v>
      </c>
      <c r="AC206" s="1" t="n">
        <f aca="false">IF($C$201="No",0,IF(AND(AB205&gt;$C$198,OR($C$201="Siempre",$C$8&gt;$C$200)),1,0))</f>
        <v>0</v>
      </c>
      <c r="AD206" s="1" t="n">
        <f aca="false">IF($C$201="No",0,IF(AND(AC205&gt;$C$198,OR($C$201="Siempre",$C$8&gt;$C$200)),1,0))</f>
        <v>0</v>
      </c>
      <c r="AE206" s="1" t="n">
        <f aca="false">IF($C$201="No",0,IF(AND(AD205&gt;$C$198,OR($C$201="Siempre",$C$8&gt;$C$200)),1,0))</f>
        <v>0</v>
      </c>
      <c r="AF206" s="1" t="n">
        <f aca="false">IF($C$201="No",0,IF(AND(AE205&gt;$C$198,OR($C$201="Siempre",$C$8&gt;$C$200)),1,0))</f>
        <v>0</v>
      </c>
    </row>
    <row r="207" customFormat="false" ht="15" hidden="false" customHeight="true" outlineLevel="0" collapsed="false">
      <c r="B207" s="103" t="s">
        <v>1384</v>
      </c>
      <c r="C207" s="87" t="n">
        <f aca="false">IF(C206=1,$C$199,IF(C$39&lt;=01_Supuestos!$C$182,01_Supuestos!$C$181,$C$174))</f>
        <v>0.04</v>
      </c>
      <c r="D207" s="87" t="n">
        <f aca="false">IF(D206=1,$C$199,IF(D$39&lt;=01_Supuestos!$C$182,01_Supuestos!$C$181,$C$174))</f>
        <v>0.04</v>
      </c>
      <c r="E207" s="87" t="n">
        <f aca="false">IF(E206=1,$C$199,IF(E$39&lt;=01_Supuestos!$C$182,01_Supuestos!$C$181,$C$174))</f>
        <v>0.04</v>
      </c>
      <c r="F207" s="87" t="n">
        <f aca="false">IF(F206=1,$C$199,IF(F$39&lt;=01_Supuestos!$C$182,01_Supuestos!$C$181,$C$174))</f>
        <v>0.04</v>
      </c>
      <c r="G207" s="87" t="n">
        <f aca="false">IF(G206=1,$C$199,IF(G$39&lt;=01_Supuestos!$C$182,01_Supuestos!$C$181,$C$174))</f>
        <v>0.04</v>
      </c>
      <c r="H207" s="87" t="n">
        <f aca="false">IF(H206=1,$C$199,IF(H$39&lt;=01_Supuestos!$C$182,01_Supuestos!$C$181,$C$174))</f>
        <v>0.04</v>
      </c>
      <c r="I207" s="87" t="n">
        <f aca="false">IF(I206=1,$C$199,IF(I$39&lt;=01_Supuestos!$C$182,01_Supuestos!$C$181,$C$174))</f>
        <v>0.04</v>
      </c>
      <c r="J207" s="87" t="n">
        <f aca="false">IF(J206=1,$C$199,IF(J$39&lt;=01_Supuestos!$C$182,01_Supuestos!$C$181,$C$174))</f>
        <v>0.04</v>
      </c>
      <c r="K207" s="87" t="n">
        <f aca="false">IF(K206=1,$C$199,IF(K$39&lt;=01_Supuestos!$C$182,01_Supuestos!$C$181,$C$174))</f>
        <v>0.04</v>
      </c>
      <c r="L207" s="87" t="n">
        <f aca="false">IF(L206=1,$C$199,IF(L$39&lt;=01_Supuestos!$C$182,01_Supuestos!$C$181,$C$174))</f>
        <v>0.04</v>
      </c>
      <c r="M207" s="87" t="n">
        <f aca="false">IF(M206=1,$C$199,IF(M$39&lt;=01_Supuestos!$C$182,01_Supuestos!$C$181,$C$174))</f>
        <v>0.04</v>
      </c>
      <c r="N207" s="87" t="n">
        <f aca="false">IF(N206=1,$C$199,IF(N$39&lt;=01_Supuestos!$C$182,01_Supuestos!$C$181,$C$174))</f>
        <v>0.04</v>
      </c>
      <c r="O207" s="87" t="n">
        <f aca="false">IF(O206=1,$C$199,IF(O$39&lt;=01_Supuestos!$C$182,01_Supuestos!$C$181,$C$174))</f>
        <v>0.04</v>
      </c>
      <c r="P207" s="87" t="n">
        <f aca="false">IF(P206=1,$C$199,IF(P$39&lt;=01_Supuestos!$C$182,01_Supuestos!$C$181,$C$174))</f>
        <v>0.04</v>
      </c>
      <c r="Q207" s="87" t="n">
        <f aca="false">IF(Q206=1,$C$199,IF(Q$39&lt;=01_Supuestos!$C$182,01_Supuestos!$C$181,$C$174))</f>
        <v>0.04</v>
      </c>
      <c r="R207" s="87" t="n">
        <f aca="false">IF(R206=1,$C$199,IF(R$39&lt;=01_Supuestos!$C$182,01_Supuestos!$C$181,$C$174))</f>
        <v>0.04</v>
      </c>
      <c r="S207" s="87" t="n">
        <f aca="false">IF(S206=1,$C$199,IF(S$39&lt;=01_Supuestos!$C$182,01_Supuestos!$C$181,$C$174))</f>
        <v>0.04</v>
      </c>
      <c r="T207" s="87" t="n">
        <f aca="false">IF(T206=1,$C$199,IF(T$39&lt;=01_Supuestos!$C$182,01_Supuestos!$C$181,$C$174))</f>
        <v>0.04</v>
      </c>
      <c r="U207" s="87" t="n">
        <f aca="false">IF(U206=1,$C$199,IF(U$39&lt;=01_Supuestos!$C$182,01_Supuestos!$C$181,$C$174))</f>
        <v>0.04</v>
      </c>
      <c r="V207" s="87" t="n">
        <f aca="false">IF(V206=1,$C$199,IF(V$39&lt;=01_Supuestos!$C$182,01_Supuestos!$C$181,$C$174))</f>
        <v>0.04</v>
      </c>
      <c r="W207" s="87" t="n">
        <f aca="false">IF(W206=1,$C$199,IF(W$39&lt;=01_Supuestos!$C$182,01_Supuestos!$C$181,$C$174))</f>
        <v>0.04</v>
      </c>
      <c r="X207" s="87" t="n">
        <f aca="false">IF(X206=1,$C$199,IF(X$39&lt;=01_Supuestos!$C$182,01_Supuestos!$C$181,$C$174))</f>
        <v>0.04</v>
      </c>
      <c r="Y207" s="87" t="n">
        <f aca="false">IF(Y206=1,$C$199,IF(Y$39&lt;=01_Supuestos!$C$182,01_Supuestos!$C$181,$C$174))</f>
        <v>0.04</v>
      </c>
      <c r="Z207" s="87" t="n">
        <f aca="false">IF(Z206=1,$C$199,IF(Z$39&lt;=01_Supuestos!$C$182,01_Supuestos!$C$181,$C$174))</f>
        <v>0.04</v>
      </c>
      <c r="AA207" s="87" t="n">
        <f aca="false">IF(AA206=1,$C$199,IF(AA$39&lt;=01_Supuestos!$C$182,01_Supuestos!$C$181,$C$174))</f>
        <v>0.04</v>
      </c>
      <c r="AB207" s="87" t="n">
        <f aca="false">IF(AB206=1,$C$199,IF(AB$39&lt;=01_Supuestos!$C$182,01_Supuestos!$C$181,$C$174))</f>
        <v>0.04</v>
      </c>
      <c r="AC207" s="87" t="n">
        <f aca="false">IF(AC206=1,$C$199,IF(AC$39&lt;=01_Supuestos!$C$182,01_Supuestos!$C$181,$C$174))</f>
        <v>0.04</v>
      </c>
      <c r="AD207" s="87" t="n">
        <f aca="false">IF(AD206=1,$C$199,IF(AD$39&lt;=01_Supuestos!$C$182,01_Supuestos!$C$181,$C$174))</f>
        <v>0.04</v>
      </c>
      <c r="AE207" s="87" t="n">
        <f aca="false">IF(AE206=1,$C$199,IF(AE$39&lt;=01_Supuestos!$C$182,01_Supuestos!$C$181,$C$174))</f>
        <v>0.04</v>
      </c>
      <c r="AF207" s="87" t="n">
        <f aca="false">IF(AF206=1,$C$199,IF(AF$39&lt;=01_Supuestos!$C$182,01_Supuestos!$C$181,$C$174))</f>
        <v>0.04</v>
      </c>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87"/>
      <c r="BJ207" s="87"/>
      <c r="BK207" s="87"/>
      <c r="BL207" s="87"/>
      <c r="BM207" s="87"/>
      <c r="BN207" s="87"/>
      <c r="BO207" s="87"/>
      <c r="BP207" s="87"/>
      <c r="BQ207" s="87"/>
      <c r="BR207" s="87"/>
      <c r="BS207" s="87"/>
      <c r="BT207" s="87"/>
    </row>
    <row r="208" customFormat="false" ht="15" hidden="false" customHeight="true" outlineLevel="0" collapsed="false">
      <c r="B208" s="103" t="s">
        <v>1385</v>
      </c>
      <c r="C208" s="1" t="n">
        <f aca="false">C206</f>
        <v>0</v>
      </c>
      <c r="D208" s="1" t="n">
        <f aca="false">C208+D206</f>
        <v>0</v>
      </c>
      <c r="E208" s="1" t="n">
        <f aca="false">D208+E206</f>
        <v>0</v>
      </c>
      <c r="F208" s="1" t="n">
        <f aca="false">E208+F206</f>
        <v>0</v>
      </c>
      <c r="G208" s="1" t="n">
        <f aca="false">F208+G206</f>
        <v>0</v>
      </c>
      <c r="H208" s="1" t="n">
        <f aca="false">G208+H206</f>
        <v>0</v>
      </c>
      <c r="I208" s="1" t="n">
        <f aca="false">H208+I206</f>
        <v>0</v>
      </c>
      <c r="J208" s="1" t="n">
        <f aca="false">I208+J206</f>
        <v>0</v>
      </c>
      <c r="K208" s="1" t="n">
        <f aca="false">J208+K206</f>
        <v>0</v>
      </c>
      <c r="L208" s="1" t="n">
        <f aca="false">K208+L206</f>
        <v>0</v>
      </c>
      <c r="M208" s="1" t="n">
        <f aca="false">L208+M206</f>
        <v>0</v>
      </c>
      <c r="N208" s="1" t="n">
        <f aca="false">M208+N206</f>
        <v>0</v>
      </c>
      <c r="O208" s="1" t="n">
        <f aca="false">N208+O206</f>
        <v>0</v>
      </c>
      <c r="P208" s="1" t="n">
        <f aca="false">O208+P206</f>
        <v>0</v>
      </c>
      <c r="Q208" s="1" t="n">
        <f aca="false">P208+Q206</f>
        <v>0</v>
      </c>
      <c r="R208" s="1" t="n">
        <f aca="false">Q208+R206</f>
        <v>0</v>
      </c>
      <c r="S208" s="1" t="n">
        <f aca="false">R208+S206</f>
        <v>0</v>
      </c>
      <c r="T208" s="1" t="n">
        <f aca="false">S208+T206</f>
        <v>0</v>
      </c>
      <c r="U208" s="1" t="n">
        <f aca="false">T208+U206</f>
        <v>0</v>
      </c>
      <c r="V208" s="1" t="n">
        <f aca="false">U208+V206</f>
        <v>0</v>
      </c>
      <c r="W208" s="1" t="n">
        <f aca="false">V208+W206</f>
        <v>0</v>
      </c>
      <c r="X208" s="1" t="n">
        <f aca="false">W208+X206</f>
        <v>0</v>
      </c>
      <c r="Y208" s="1" t="n">
        <f aca="false">X208+Y206</f>
        <v>0</v>
      </c>
      <c r="Z208" s="1" t="n">
        <f aca="false">Y208+Z206</f>
        <v>0</v>
      </c>
      <c r="AA208" s="1" t="n">
        <f aca="false">Z208+AA206</f>
        <v>0</v>
      </c>
      <c r="AB208" s="1" t="n">
        <f aca="false">AA208+AB206</f>
        <v>0</v>
      </c>
      <c r="AC208" s="1" t="n">
        <f aca="false">AB208+AC206</f>
        <v>0</v>
      </c>
      <c r="AD208" s="1" t="n">
        <f aca="false">AC208+AD206</f>
        <v>0</v>
      </c>
      <c r="AE208" s="1" t="n">
        <f aca="false">AD208+AE206</f>
        <v>0</v>
      </c>
      <c r="AF208" s="1" t="n">
        <f aca="false">AE208+AF206</f>
        <v>0</v>
      </c>
    </row>
    <row r="209" customFormat="false" ht="15" hidden="false" customHeight="true" outlineLevel="0" collapsed="false">
      <c r="B209" s="103" t="s">
        <v>1386</v>
      </c>
      <c r="C209" s="88" t="n">
        <f aca="false">IF($C$201="Tope",$C$198/(1-$C$198)*C203,1E+099)</f>
        <v>98.1666666666667</v>
      </c>
      <c r="D209" s="88" t="n">
        <f aca="false">IF($C$201="Tope",$C$198/(1-$C$198)*D203,1E+099)</f>
        <v>100.4245</v>
      </c>
      <c r="E209" s="88" t="n">
        <f aca="false">IF($C$201="Tope",$C$198/(1-$C$198)*E203,1E+099)</f>
        <v>102.7342635</v>
      </c>
      <c r="F209" s="88" t="n">
        <f aca="false">IF($C$201="Tope",$C$198/(1-$C$198)*F203,1E+099)</f>
        <v>105.0971515605</v>
      </c>
      <c r="G209" s="88" t="n">
        <f aca="false">IF($C$201="Tope",$C$198/(1-$C$198)*G203,1E+099)</f>
        <v>107.514386046391</v>
      </c>
      <c r="H209" s="88" t="n">
        <f aca="false">IF($C$201="Tope",$C$198/(1-$C$198)*H203,1E+099)</f>
        <v>109.987216925458</v>
      </c>
      <c r="I209" s="88" t="n">
        <f aca="false">IF($C$201="Tope",$C$198/(1-$C$198)*I203,1E+099)</f>
        <v>112.516922914744</v>
      </c>
      <c r="J209" s="88" t="n">
        <f aca="false">IF($C$201="Tope",$C$198/(1-$C$198)*J203,1E+099)</f>
        <v>115.104812141783</v>
      </c>
      <c r="K209" s="88" t="n">
        <f aca="false">IF($C$201="Tope",$C$198/(1-$C$198)*K203,1E+099)</f>
        <v>117.752222821044</v>
      </c>
      <c r="L209" s="88" t="n">
        <f aca="false">IF($C$201="Tope",$C$198/(1-$C$198)*L203,1E+099)</f>
        <v>120.460523945928</v>
      </c>
      <c r="M209" s="88" t="n">
        <f aca="false">IF($C$201="Tope",$C$198/(1-$C$198)*M203,1E+099)</f>
        <v>123.231115996684</v>
      </c>
      <c r="N209" s="88" t="n">
        <f aca="false">IF($C$201="Tope",$C$198/(1-$C$198)*N203,1E+099)</f>
        <v>126.065431664608</v>
      </c>
      <c r="O209" s="88" t="n">
        <f aca="false">IF($C$201="Tope",$C$198/(1-$C$198)*O203,1E+099)</f>
        <v>128.964936592894</v>
      </c>
      <c r="P209" s="88" t="n">
        <f aca="false">IF($C$201="Tope",$C$198/(1-$C$198)*P203,1E+099)</f>
        <v>131.931130134531</v>
      </c>
      <c r="Q209" s="88" t="n">
        <f aca="false">IF($C$201="Tope",$C$198/(1-$C$198)*Q203,1E+099)</f>
        <v>134.965546127625</v>
      </c>
      <c r="R209" s="88" t="n">
        <f aca="false">IF($C$201="Tope",$C$198/(1-$C$198)*R203,1E+099)</f>
        <v>138.06975368856</v>
      </c>
      <c r="S209" s="88" t="n">
        <f aca="false">IF($C$201="Tope",$C$198/(1-$C$198)*S203,1E+099)</f>
        <v>141.245358023397</v>
      </c>
      <c r="T209" s="88" t="n">
        <f aca="false">IF($C$201="Tope",$C$198/(1-$C$198)*T203,1E+099)</f>
        <v>144.494001257935</v>
      </c>
      <c r="U209" s="88" t="n">
        <f aca="false">IF($C$201="Tope",$C$198/(1-$C$198)*U203,1E+099)</f>
        <v>147.817363286868</v>
      </c>
      <c r="V209" s="88" t="n">
        <f aca="false">IF($C$201="Tope",$C$198/(1-$C$198)*V203,1E+099)</f>
        <v>151.217162642466</v>
      </c>
      <c r="W209" s="88" t="n">
        <f aca="false">IF($C$201="Tope",$C$198/(1-$C$198)*W203,1E+099)</f>
        <v>154.695157383242</v>
      </c>
      <c r="X209" s="88" t="n">
        <f aca="false">IF($C$201="Tope",$C$198/(1-$C$198)*X203,1E+099)</f>
        <v>158.253146003057</v>
      </c>
      <c r="Y209" s="88" t="n">
        <f aca="false">IF($C$201="Tope",$C$198/(1-$C$198)*Y203,1E+099)</f>
        <v>161.892968361127</v>
      </c>
      <c r="Z209" s="88" t="n">
        <f aca="false">IF($C$201="Tope",$C$198/(1-$C$198)*Z203,1E+099)</f>
        <v>165.616506633433</v>
      </c>
      <c r="AA209" s="88" t="n">
        <f aca="false">IF($C$201="Tope",$C$198/(1-$C$198)*AA203,1E+099)</f>
        <v>169.425686286002</v>
      </c>
      <c r="AB209" s="88" t="n">
        <f aca="false">IF($C$201="Tope",$C$198/(1-$C$198)*AB203,1E+099)</f>
        <v>173.32247707058</v>
      </c>
      <c r="AC209" s="88" t="n">
        <f aca="false">IF($C$201="Tope",$C$198/(1-$C$198)*AC203,1E+099)</f>
        <v>177.308894043203</v>
      </c>
      <c r="AD209" s="88" t="n">
        <f aca="false">IF($C$201="Tope",$C$198/(1-$C$198)*AD203,1E+099)</f>
        <v>181.386998606197</v>
      </c>
      <c r="AE209" s="88" t="n">
        <f aca="false">IF($C$201="Tope",$C$198/(1-$C$198)*AE203,1E+099)</f>
        <v>185.55889957414</v>
      </c>
      <c r="AF209" s="88" t="n">
        <f aca="false">IF($C$201="Tope",$C$198/(1-$C$198)*AF203,1E+099)</f>
        <v>189.826754264345</v>
      </c>
      <c r="AG209" s="88"/>
      <c r="AH209" s="88"/>
      <c r="AI209" s="88"/>
      <c r="AJ209" s="88"/>
      <c r="AK209" s="88"/>
      <c r="AL209" s="88"/>
      <c r="AM209" s="88"/>
      <c r="AN209" s="88"/>
      <c r="AO209" s="88"/>
      <c r="AP209" s="88"/>
      <c r="AQ209" s="88"/>
      <c r="AR209" s="88"/>
      <c r="AS209" s="88"/>
      <c r="AT209" s="88"/>
      <c r="AU209" s="88"/>
      <c r="AV209" s="88"/>
      <c r="AW209" s="88"/>
      <c r="AX209" s="88"/>
      <c r="AY209" s="88"/>
      <c r="AZ209" s="88"/>
      <c r="BA209" s="88"/>
      <c r="BB209" s="88"/>
      <c r="BC209" s="88"/>
      <c r="BD209" s="88"/>
      <c r="BE209" s="88"/>
      <c r="BF209" s="88"/>
      <c r="BG209" s="88"/>
      <c r="BH209" s="88"/>
      <c r="BI209" s="88"/>
      <c r="BJ209" s="88"/>
      <c r="BK209" s="88"/>
      <c r="BL209" s="88"/>
      <c r="BM209" s="88"/>
      <c r="BN209" s="88"/>
      <c r="BO209" s="88"/>
      <c r="BP209" s="88"/>
      <c r="BQ209" s="88"/>
      <c r="BR209" s="88"/>
      <c r="BS209" s="88"/>
      <c r="BT209" s="88"/>
    </row>
    <row r="210" customFormat="false" ht="15" hidden="false" customHeight="true" outlineLevel="0" collapsed="false">
      <c r="B210" s="83" t="s">
        <v>1387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0.34971585133187</v>
      </c>
      <c r="M221" s="116" t="n">
        <f aca="false">M112</f>
        <v>0.361393895840307</v>
      </c>
      <c r="N221" s="116" t="n">
        <f aca="false">N112</f>
        <v>0.37278002354794</v>
      </c>
      <c r="O221" s="116" t="n">
        <f aca="false">O112</f>
        <v>0.383366349029661</v>
      </c>
      <c r="P221" s="116" t="n">
        <f aca="false">P112</f>
        <v>0.391334331770332</v>
      </c>
      <c r="Q221" s="116" t="n">
        <f aca="false">Q112</f>
        <v>0.399301592482923</v>
      </c>
      <c r="R221" s="116" t="n">
        <f aca="false">R112</f>
        <v>0.407173092378812</v>
      </c>
      <c r="S221" s="116" t="n">
        <f aca="false">S112</f>
        <v>0.414955465121112</v>
      </c>
      <c r="T221" s="116" t="n">
        <f aca="false">T112</f>
        <v>0.422661808620259</v>
      </c>
      <c r="U221" s="116" t="n">
        <f aca="false">U112</f>
        <v>0.430304839671878</v>
      </c>
      <c r="V221" s="116" t="n">
        <f aca="false">V112</f>
        <v>0.437897128683477</v>
      </c>
      <c r="W221" s="116" t="n">
        <f aca="false">W112</f>
        <v>0.445312269225562</v>
      </c>
      <c r="X221" s="116" t="n">
        <f aca="false">X112</f>
        <v>0.452563384698125</v>
      </c>
      <c r="Y221" s="116" t="n">
        <f aca="false">Y112</f>
        <v>0.459697606517069</v>
      </c>
      <c r="Z221" s="116" t="n">
        <f aca="false">Z112</f>
        <v>0.466769320132736</v>
      </c>
      <c r="AA221" s="116" t="n">
        <f aca="false">AA112</f>
        <v>0.473778056095607</v>
      </c>
      <c r="AB221" s="116" t="n">
        <f aca="false">AB112</f>
        <v>0.480726502322631</v>
      </c>
      <c r="AC221" s="116" t="n">
        <f aca="false">AC112</f>
        <v>0.487617418380392</v>
      </c>
      <c r="AD221" s="116" t="n">
        <f aca="false">AD112</f>
        <v>0.494453636007383</v>
      </c>
      <c r="AE221" s="116" t="n">
        <f aca="false">AE112</f>
        <v>0.501238059684676</v>
      </c>
      <c r="AF221" s="116" t="n">
        <f aca="false">AF112</f>
        <v>0.507973667253791</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7.40014627528878</v>
      </c>
      <c r="M222" s="87" t="n">
        <f aca="false">IF(M221&gt;0,M220/M221,0)</f>
        <v>7.55751694614927</v>
      </c>
      <c r="N222" s="87" t="n">
        <f aca="false">IF(N221&gt;0,N220/N221,0)</f>
        <v>7.53504519502232</v>
      </c>
      <c r="O222" s="87" t="n">
        <f aca="false">IF(O221&gt;0,O220/O221,0)</f>
        <v>7.39145468119811</v>
      </c>
      <c r="P222" s="87" t="n">
        <f aca="false">IF(P221&gt;0,P220/P221,0)</f>
        <v>6.77396567533409</v>
      </c>
      <c r="Q222" s="87" t="n">
        <f aca="false">IF(Q221&gt;0,Q220/Q221,0)</f>
        <v>6.21064826774253</v>
      </c>
      <c r="R222" s="87" t="n">
        <f aca="false">IF(R221&gt;0,R220/R221,0)</f>
        <v>5.69778346592749</v>
      </c>
      <c r="S222" s="87" t="n">
        <f aca="false">IF(S221&gt;0,S220/S221,0)</f>
        <v>5.23034765365249</v>
      </c>
      <c r="T222" s="87" t="n">
        <f aca="false">IF(T221&gt;0,T220/T221,0)</f>
        <v>4.80381277738334</v>
      </c>
      <c r="U222" s="87" t="n">
        <f aca="false">IF(U221&gt;0,U220/U221,0)</f>
        <v>4.41417842719349</v>
      </c>
      <c r="V222" s="87" t="n">
        <f aca="false">IF(V221&gt;0,V220/V221,0)</f>
        <v>4.05789730215427</v>
      </c>
      <c r="W222" s="87" t="n">
        <f aca="false">IF(W221&gt;0,W220/W221,0)</f>
        <v>3.7329787932107</v>
      </c>
      <c r="X222" s="87" t="n">
        <f aca="false">IF(X221&gt;0,X220/X221,0)</f>
        <v>3.43627414493199</v>
      </c>
      <c r="Y222" s="87" t="n">
        <f aca="false">IF(Y221&gt;0,Y220/Y221,0)</f>
        <v>3.16476895892947</v>
      </c>
      <c r="Z222" s="87" t="n">
        <f aca="false">IF(Z221&gt;0,Z220/Z221,0)</f>
        <v>2.91580841075128</v>
      </c>
      <c r="AA222" s="87" t="n">
        <f aca="false">IF(AA221&gt;0,AA220/AA221,0)</f>
        <v>2.68740660458053</v>
      </c>
      <c r="AB222" s="87" t="n">
        <f aca="false">IF(AB221&gt;0,AB220/AB221,0)</f>
        <v>2.47774889466941</v>
      </c>
      <c r="AC222" s="87" t="n">
        <f aca="false">IF(AC221&gt;0,AC220/AC221,0)</f>
        <v>2.28519455246707</v>
      </c>
      <c r="AD222" s="87" t="n">
        <f aca="false">IF(AD221&gt;0,AD220/AD221,0)</f>
        <v>2.10825845455758</v>
      </c>
      <c r="AE222" s="87" t="n">
        <f aca="false">IF(AE221&gt;0,AE220/AE221,0)</f>
        <v>1.94559490312531</v>
      </c>
      <c r="AF222" s="87" t="n">
        <f aca="false">IF(AF221&gt;0,AF220/AF221,0)</f>
        <v>1.79598330389649</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2.23823260331112</v>
      </c>
      <c r="M223" s="88" t="n">
        <f aca="false">M220-M221</f>
        <v>2.36984659620771</v>
      </c>
      <c r="N223" s="88" t="n">
        <f aca="false">N220-N221</f>
        <v>2.43613430168727</v>
      </c>
      <c r="O223" s="88" t="n">
        <f aca="false">O220-O221</f>
        <v>2.45026864611946</v>
      </c>
      <c r="P223" s="88" t="n">
        <f aca="false">P220-P221</f>
        <v>2.2595509992217</v>
      </c>
      <c r="Q223" s="88" t="n">
        <f aca="false">Q220-Q221</f>
        <v>2.08062015117798</v>
      </c>
      <c r="R223" s="88" t="n">
        <f aca="false">R220-R221</f>
        <v>1.91281102114775</v>
      </c>
      <c r="S223" s="88" t="n">
        <f aca="false">S220-S221</f>
        <v>1.75540587824537</v>
      </c>
      <c r="T223" s="88" t="n">
        <f aca="false">T220-T221</f>
        <v>1.60772638814169</v>
      </c>
      <c r="U223" s="88" t="n">
        <f aca="false">U220-U221</f>
        <v>1.46913750072468</v>
      </c>
      <c r="V223" s="88" t="n">
        <f aca="false">V220-V221</f>
        <v>1.3390444484223</v>
      </c>
      <c r="W223" s="88" t="n">
        <f aca="false">W220-W221</f>
        <v>1.21702898814999</v>
      </c>
      <c r="X223" s="88" t="n">
        <f aca="false">X220-X221</f>
        <v>1.10256847308295</v>
      </c>
      <c r="Y223" s="88" t="n">
        <f aca="false">Y220-Y221</f>
        <v>0.995139109082324</v>
      </c>
      <c r="Z223" s="88" t="n">
        <f aca="false">Z220-Z221</f>
        <v>0.894240589390953</v>
      </c>
      <c r="AA223" s="88" t="n">
        <f aca="false">AA220-AA221</f>
        <v>0.799456220961054</v>
      </c>
      <c r="AB223" s="88" t="n">
        <f aca="false">AB220-AB221</f>
        <v>0.710393057445558</v>
      </c>
      <c r="AC223" s="88" t="n">
        <f aca="false">AC220-AC221</f>
        <v>0.626683249790534</v>
      </c>
      <c r="AD223" s="88" t="n">
        <f aca="false">AD220-AD221</f>
        <v>0.547982422491917</v>
      </c>
      <c r="AE223" s="88" t="n">
        <f aca="false">AE220-AE221</f>
        <v>0.473968154490248</v>
      </c>
      <c r="AF223" s="88" t="n">
        <f aca="false">AF220-AF221</f>
        <v>0.404338557953089</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0.0353755274227365</v>
      </c>
      <c r="F233" s="1" t="n">
        <f aca="false">IF(E81&gt;0,(F107+F109+F110+F184-F108-F229)/E81,0)</f>
        <v>0.046240631504257</v>
      </c>
      <c r="G233" s="1" t="n">
        <f aca="false">IF(F81&gt;0,(G107+G109+G110+G184-G108-G229)/F81,0)</f>
        <v>0.026948009554355</v>
      </c>
      <c r="H233" s="1" t="n">
        <f aca="false">IF(G81&gt;0,(H107+H109+H110+H184-H108-H229)/G81,0)</f>
        <v>0.0298571010358753</v>
      </c>
      <c r="I233" s="1" t="n">
        <f aca="false">IF(H81&gt;0,(I107+I109+I110+I184-I108-I229)/H81,0)</f>
        <v>0.0327590448602859</v>
      </c>
      <c r="J233" s="1" t="n">
        <f aca="false">IF(I81&gt;0,(J107+J109+J110+J184-J108-J229)/I81,0)</f>
        <v>0.0356649182099065</v>
      </c>
      <c r="K233" s="1" t="n">
        <f aca="false">IF(J81&gt;0,(K107+K109+K110+K184-K108-K229)/J81,0)</f>
        <v>0.037182545478275</v>
      </c>
      <c r="L233" s="1" t="n">
        <f aca="false">IF(K81&gt;0,(L107+L109+L110+L184-L108-L229)/K81,0)</f>
        <v>0.0385252124988555</v>
      </c>
      <c r="M233" s="1" t="n">
        <f aca="false">IF(L81&gt;0,(M107+M109+M110+M184-M108-M229)/L81,0)</f>
        <v>0.0396316615515207</v>
      </c>
      <c r="N233" s="1" t="n">
        <f aca="false">IF(M81&gt;0,(N107+N109+N110+N184-N108-N229)/M81,0)</f>
        <v>0.0390905262700631</v>
      </c>
      <c r="O233" s="1" t="n">
        <f aca="false">IF(N81&gt;0,(O107+O109+O110+O184-O108-O229)/N81,0)</f>
        <v>0.0386545902075625</v>
      </c>
      <c r="P233" s="1" t="n">
        <f aca="false">IF(O81&gt;0,(P107+P109+P110+P184-P108-P229)/O81,0)</f>
        <v>0.0384242468066396</v>
      </c>
      <c r="Q233" s="1" t="n">
        <f aca="false">IF(P81&gt;0,(Q107+Q109+Q110+Q184-Q108-Q229)/P81,0)</f>
        <v>0.0384313509917696</v>
      </c>
      <c r="R233" s="1" t="n">
        <f aca="false">IF(Q81&gt;0,(R107+R109+R110+R184-R108-R229)/Q81,0)</f>
        <v>0.0384262511030206</v>
      </c>
      <c r="S233" s="1" t="n">
        <f aca="false">IF(R81&gt;0,(S107+S109+S110+S184-S108-S229)/R81,0)</f>
        <v>0.0384362166077015</v>
      </c>
      <c r="T233" s="1" t="n">
        <f aca="false">IF(S81&gt;0,(T107+T109+T110+T184-T108-T229)/S81,0)</f>
        <v>0.0384604676773403</v>
      </c>
      <c r="U233" s="1" t="n">
        <f aca="false">IF(T81&gt;0,(U107+U109+U110+U184-U108-U229)/T81,0)</f>
        <v>0.038498168805817</v>
      </c>
      <c r="V233" s="1" t="n">
        <f aca="false">IF(U81&gt;0,(V107+V109+V110+V184-V108-V229)/U81,0)</f>
        <v>0.0385485623197876</v>
      </c>
      <c r="W233" s="1" t="n">
        <f aca="false">IF(V81&gt;0,(W107+W109+W110+W184-W108-W229)/V81,0)</f>
        <v>0.038611027393987</v>
      </c>
      <c r="X233" s="1" t="n">
        <f aca="false">IF(W81&gt;0,(X107+X109+X110+X184-X108-X229)/W81,0)</f>
        <v>0.0386971757783525</v>
      </c>
      <c r="Y233" s="1" t="n">
        <f aca="false">IF(X81&gt;0,(Y107+Y109+Y110+Y184-Y108-Y229)/X81,0)</f>
        <v>0.0388050278923946</v>
      </c>
      <c r="Z233" s="1" t="n">
        <f aca="false">IF(Y81&gt;0,(Z107+Z109+Z110+Z184-Z108-Z229)/Y81,0)</f>
        <v>0.0389296120825857</v>
      </c>
      <c r="AA233" s="1" t="n">
        <f aca="false">IF(Z81&gt;0,(AA107+AA109+AA110+AA184-AA108-AA229)/Z81,0)</f>
        <v>0.0390669158747065</v>
      </c>
      <c r="AB233" s="1" t="n">
        <f aca="false">IF(AA81&gt;0,(AB107+AB109+AB110+AB184-AB108-AB229)/AA81,0)</f>
        <v>0.0392177255446523</v>
      </c>
      <c r="AC233" s="1" t="n">
        <f aca="false">IF(AB81&gt;0,(AC107+AC109+AC110+AC184-AC108-AC229)/AB81,0)</f>
        <v>0.0393825594792591</v>
      </c>
      <c r="AD233" s="1" t="n">
        <f aca="false">IF(AC81&gt;0,(AD107+AD109+AD110+AD184-AD108-AD229)/AC81,0)</f>
        <v>0.0395619324832259</v>
      </c>
      <c r="AE233" s="1" t="n">
        <f aca="false">IF(AD81&gt;0,(AE107+AE109+AE110+AE184-AE108-AE229)/AD81,0)</f>
        <v>0.0397563495357136</v>
      </c>
      <c r="AF233" s="1" t="n">
        <f aca="false">IF(AE81&gt;0,(AF107+AF109+AF110+AF184-AF108-AF229)/AE81,0)</f>
        <v>0.0399663086528478</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0.230355790038912</v>
      </c>
      <c r="F234" s="1" t="n">
        <f aca="false">(F232+E232)/2*F233</f>
        <v>0.558656712324482</v>
      </c>
      <c r="G234" s="1" t="n">
        <f aca="false">(G232+F232)/2*G233</f>
        <v>0.521466710721946</v>
      </c>
      <c r="H234" s="1" t="n">
        <f aca="false">(H232+G232)/2*H233</f>
        <v>0.780803624544456</v>
      </c>
      <c r="I234" s="1" t="n">
        <f aca="false">(I232+H232)/2*I233</f>
        <v>1.06510398583486</v>
      </c>
      <c r="J234" s="1" t="n">
        <f aca="false">(J232+I232)/2*J233</f>
        <v>1.37184770154413</v>
      </c>
      <c r="K234" s="1" t="n">
        <f aca="false">(K232+J232)/2*K233</f>
        <v>1.6372475986132</v>
      </c>
      <c r="L234" s="1" t="n">
        <f aca="false">(L232+K232)/2*L233</f>
        <v>1.89703527121634</v>
      </c>
      <c r="M234" s="1" t="n">
        <f aca="false">(M232+L232)/2*M233</f>
        <v>2.10808296063848</v>
      </c>
      <c r="N234" s="1" t="n">
        <f aca="false">(N232+M232)/2*N233</f>
        <v>2.16567567425227</v>
      </c>
      <c r="O234" s="1" t="n">
        <f aca="false">(O232+N232)/2*O233</f>
        <v>2.18110431705417</v>
      </c>
      <c r="P234" s="1" t="n">
        <f aca="false">(P232+O232)/2*P233</f>
        <v>2.10738562627679</v>
      </c>
      <c r="Q234" s="1" t="n">
        <f aca="false">(Q232+P232)/2*Q233</f>
        <v>1.97183847557042</v>
      </c>
      <c r="R234" s="1" t="n">
        <f aca="false">(R232+Q232)/2*R233</f>
        <v>1.84442387739145</v>
      </c>
      <c r="S234" s="1" t="n">
        <f aca="false">(S232+R232)/2*S233</f>
        <v>1.72591890624549</v>
      </c>
      <c r="T234" s="1" t="n">
        <f aca="false">(T232+S232)/2*T233</f>
        <v>1.61562791908712</v>
      </c>
      <c r="U234" s="1" t="n">
        <f aca="false">(U232+T232)/2*U233</f>
        <v>1.51291279397783</v>
      </c>
      <c r="V234" s="1" t="n">
        <f aca="false">(V232+U232)/2*V233</f>
        <v>1.41719314555304</v>
      </c>
      <c r="W234" s="1" t="n">
        <f aca="false">(W232+V232)/2*W233</f>
        <v>1.32794243737828</v>
      </c>
      <c r="X234" s="1" t="n">
        <f aca="false">(X232+W232)/2*X233</f>
        <v>1.2450712269934</v>
      </c>
      <c r="Y234" s="1" t="n">
        <f aca="false">(Y232+X232)/2*Y233</f>
        <v>1.1680191444526</v>
      </c>
      <c r="Z234" s="1" t="n">
        <f aca="false">(Z232+Y232)/2*Z233</f>
        <v>1.096198168001</v>
      </c>
      <c r="AA234" s="1" t="n">
        <f aca="false">(AA232+Z232)/2*AA233</f>
        <v>1.02911796030569</v>
      </c>
      <c r="AB234" s="1" t="n">
        <f aca="false">(AB232+AA232)/2*AB233</f>
        <v>0.966463524175079</v>
      </c>
      <c r="AC234" s="1" t="n">
        <f aca="false">(AC232+AB232)/2*AC233</f>
        <v>0.907933492514992</v>
      </c>
      <c r="AD234" s="1" t="n">
        <f aca="false">(AD232+AC232)/2*AD233</f>
        <v>0.853246727646211</v>
      </c>
      <c r="AE234" s="1" t="n">
        <f aca="false">(AE232+AD232)/2*AE233</f>
        <v>0.802140914304679</v>
      </c>
      <c r="AF234" s="1" t="n">
        <f aca="false">(AF232+AE232)/2*AF233</f>
        <v>0.754371445362747</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0.188727116952576</v>
      </c>
      <c r="F236" s="1" t="n">
        <f aca="false">MAX(0,F234-F235)</f>
        <v>0.479470272348824</v>
      </c>
      <c r="G236" s="1" t="n">
        <f aca="false">MAX(0,G234-G235)</f>
        <v>0.407144717479139</v>
      </c>
      <c r="H236" s="1" t="n">
        <f aca="false">MAX(0,H234-H235)</f>
        <v>0.63361207579728</v>
      </c>
      <c r="I236" s="1" t="n">
        <f aca="false">MAX(0,I234-I235)</f>
        <v>0.887162738318464</v>
      </c>
      <c r="J236" s="1" t="n">
        <f aca="false">MAX(0,J234-J235)</f>
        <v>1.16513989604151</v>
      </c>
      <c r="K236" s="1" t="n">
        <f aca="false">MAX(0,K234-K235)</f>
        <v>1.40362847717915</v>
      </c>
      <c r="L236" s="1" t="n">
        <f aca="false">MAX(0,L234-L235)</f>
        <v>1.63824042575204</v>
      </c>
      <c r="M236" s="1" t="n">
        <f aca="false">MAX(0,M234-M235)</f>
        <v>1.83495891143368</v>
      </c>
      <c r="N236" s="1" t="n">
        <f aca="false">MAX(0,N234-N235)</f>
        <v>1.88478424172874</v>
      </c>
      <c r="O236" s="1" t="n">
        <f aca="false">MAX(0,O234-O235)</f>
        <v>1.89774081753925</v>
      </c>
      <c r="P236" s="1" t="n">
        <f aca="false">MAX(0,P234-P235)</f>
        <v>1.84229709317759</v>
      </c>
      <c r="Q236" s="1" t="n">
        <f aca="false">MAX(0,Q234-Q235)</f>
        <v>1.72384630120433</v>
      </c>
      <c r="R236" s="1" t="n">
        <f aca="false">MAX(0,R234-R235)</f>
        <v>1.61242546603879</v>
      </c>
      <c r="S236" s="1" t="n">
        <f aca="false">MAX(0,S234-S235)</f>
        <v>1.50888277190885</v>
      </c>
      <c r="T236" s="1" t="n">
        <f aca="false">MAX(0,T234-T235)</f>
        <v>1.41258909941092</v>
      </c>
      <c r="U236" s="1" t="n">
        <f aca="false">MAX(0,U234-U235)</f>
        <v>1.32296855993817</v>
      </c>
      <c r="V236" s="1" t="n">
        <f aca="false">MAX(0,V234-V235)</f>
        <v>1.23949898784246</v>
      </c>
      <c r="W236" s="1" t="n">
        <f aca="false">MAX(0,W234-W235)</f>
        <v>1.16170831164073</v>
      </c>
      <c r="X236" s="1" t="n">
        <f aca="false">MAX(0,X234-X235)</f>
        <v>1.08955804121529</v>
      </c>
      <c r="Y236" s="1" t="n">
        <f aca="false">MAX(0,Y234-Y235)</f>
        <v>1.02253547289266</v>
      </c>
      <c r="Z236" s="1" t="n">
        <f aca="false">MAX(0,Z234-Z235)</f>
        <v>0.960097177048627</v>
      </c>
      <c r="AA236" s="1" t="n">
        <f aca="false">MAX(0,AA234-AA235)</f>
        <v>0.901794532600024</v>
      </c>
      <c r="AB236" s="1" t="n">
        <f aca="false">MAX(0,AB234-AB235)</f>
        <v>0.84735156819826</v>
      </c>
      <c r="AC236" s="1" t="n">
        <f aca="false">MAX(0,AC234-AC235)</f>
        <v>0.796503425697899</v>
      </c>
      <c r="AD236" s="1" t="n">
        <f aca="false">MAX(0,AD234-AD235)</f>
        <v>0.749003121796281</v>
      </c>
      <c r="AE236" s="1" t="n">
        <f aca="false">MAX(0,AE234-AE235)</f>
        <v>0.704620292887187</v>
      </c>
      <c r="AF236" s="1" t="n">
        <f aca="false">MAX(0,AF234-AF235)</f>
        <v>0.663140222842058</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0.740014627528878</v>
      </c>
      <c r="M238" s="1" t="n">
        <f aca="false">IF(M112&gt;0,M235/M112,0)</f>
        <v>0.755751694614927</v>
      </c>
      <c r="N238" s="1" t="n">
        <f aca="false">IF(N112&gt;0,N235/N112,0)</f>
        <v>0.753504519502232</v>
      </c>
      <c r="O238" s="1" t="n">
        <f aca="false">IF(O112&gt;0,O235/O112,0)</f>
        <v>0.739145468119811</v>
      </c>
      <c r="P238" s="1" t="n">
        <f aca="false">IF(P112&gt;0,P235/P112,0)</f>
        <v>0.677396567533409</v>
      </c>
      <c r="Q238" s="1" t="n">
        <f aca="false">IF(Q112&gt;0,Q235/Q112,0)</f>
        <v>0.621064826774253</v>
      </c>
      <c r="R238" s="1" t="n">
        <f aca="false">IF(R112&gt;0,R235/R112,0)</f>
        <v>0.569778346592749</v>
      </c>
      <c r="S238" s="1" t="n">
        <f aca="false">IF(S112&gt;0,S235/S112,0)</f>
        <v>0.523034765365249</v>
      </c>
      <c r="T238" s="1" t="n">
        <f aca="false">IF(T112&gt;0,T235/T112,0)</f>
        <v>0.480381277738334</v>
      </c>
      <c r="U238" s="1" t="n">
        <f aca="false">IF(U112&gt;0,U235/U112,0)</f>
        <v>0.441417842719349</v>
      </c>
      <c r="V238" s="1" t="n">
        <f aca="false">IF(V112&gt;0,V235/V112,0)</f>
        <v>0.405789730215427</v>
      </c>
      <c r="W238" s="1" t="n">
        <f aca="false">IF(W112&gt;0,W235/W112,0)</f>
        <v>0.37329787932107</v>
      </c>
      <c r="X238" s="1" t="n">
        <f aca="false">IF(X112&gt;0,X235/X112,0)</f>
        <v>0.343627414493199</v>
      </c>
      <c r="Y238" s="1" t="n">
        <f aca="false">IF(Y112&gt;0,Y235/Y112,0)</f>
        <v>0.316476895892947</v>
      </c>
      <c r="Z238" s="1" t="n">
        <f aca="false">IF(Z112&gt;0,Z235/Z112,0)</f>
        <v>0.291580841075128</v>
      </c>
      <c r="AA238" s="1" t="n">
        <f aca="false">IF(AA112&gt;0,AA235/AA112,0)</f>
        <v>0.268740660458053</v>
      </c>
      <c r="AB238" s="1" t="n">
        <f aca="false">IF(AB112&gt;0,AB235/AB112,0)</f>
        <v>0.247774889466941</v>
      </c>
      <c r="AC238" s="1" t="n">
        <f aca="false">IF(AC112&gt;0,AC235/AC112,0)</f>
        <v>0.228519455246706</v>
      </c>
      <c r="AD238" s="1" t="n">
        <f aca="false">IF(AD112&gt;0,AD235/AD112,0)</f>
        <v>0.210825845455757</v>
      </c>
      <c r="AE238" s="1" t="n">
        <f aca="false">IF(AE112&gt;0,AE235/AE112,0)</f>
        <v>0.194559490312531</v>
      </c>
      <c r="AF238" s="1" t="n">
        <f aca="false">IF(AF112&gt;0,AF235/AF112,0)</f>
        <v>0.179598330389649</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0.188727116952576</v>
      </c>
      <c r="F243" s="1" t="n">
        <f aca="false">F236</f>
        <v>0.479470272348824</v>
      </c>
      <c r="G243" s="1" t="n">
        <f aca="false">G236</f>
        <v>0.407144717479139</v>
      </c>
      <c r="H243" s="1" t="n">
        <f aca="false">H236</f>
        <v>0.63361207579728</v>
      </c>
      <c r="I243" s="1" t="n">
        <f aca="false">I236</f>
        <v>0.887162738318464</v>
      </c>
      <c r="J243" s="1" t="n">
        <f aca="false">J236</f>
        <v>1.16513989604151</v>
      </c>
      <c r="K243" s="1" t="n">
        <f aca="false">K236</f>
        <v>1.40362847717915</v>
      </c>
      <c r="L243" s="1" t="n">
        <f aca="false">L236</f>
        <v>1.63824042575204</v>
      </c>
      <c r="M243" s="1" t="n">
        <f aca="false">M236</f>
        <v>1.83495891143368</v>
      </c>
      <c r="N243" s="1" t="n">
        <f aca="false">N236</f>
        <v>1.88478424172874</v>
      </c>
      <c r="O243" s="1" t="n">
        <f aca="false">O236</f>
        <v>1.89774081753925</v>
      </c>
      <c r="P243" s="1" t="n">
        <f aca="false">P236</f>
        <v>1.84229709317759</v>
      </c>
      <c r="Q243" s="1" t="n">
        <f aca="false">Q236</f>
        <v>1.72384630120433</v>
      </c>
      <c r="R243" s="1" t="n">
        <f aca="false">R236</f>
        <v>1.61242546603879</v>
      </c>
      <c r="S243" s="1" t="n">
        <f aca="false">S236</f>
        <v>1.50888277190885</v>
      </c>
      <c r="T243" s="1" t="n">
        <f aca="false">T236</f>
        <v>1.41258909941092</v>
      </c>
      <c r="U243" s="1" t="n">
        <f aca="false">U236</f>
        <v>1.32296855993817</v>
      </c>
      <c r="V243" s="1" t="n">
        <f aca="false">V236</f>
        <v>1.23949898784246</v>
      </c>
      <c r="W243" s="1" t="n">
        <f aca="false">W236</f>
        <v>1.16170831164073</v>
      </c>
      <c r="X243" s="1" t="n">
        <f aca="false">X236</f>
        <v>1.08955804121529</v>
      </c>
      <c r="Y243" s="1" t="n">
        <f aca="false">Y236</f>
        <v>1.02253547289266</v>
      </c>
      <c r="Z243" s="1" t="n">
        <f aca="false">Z236</f>
        <v>0.960097177048627</v>
      </c>
      <c r="AA243" s="1" t="n">
        <f aca="false">AA236</f>
        <v>0.901794532600024</v>
      </c>
      <c r="AB243" s="1" t="n">
        <f aca="false">AB236</f>
        <v>0.84735156819826</v>
      </c>
      <c r="AC243" s="1" t="n">
        <f aca="false">AC236</f>
        <v>0.796503425697899</v>
      </c>
      <c r="AD243" s="1" t="n">
        <f aca="false">AD236</f>
        <v>0.749003121796281</v>
      </c>
      <c r="AE243" s="1" t="n">
        <f aca="false">AE236</f>
        <v>0.704620292887187</v>
      </c>
      <c r="AF243" s="1" t="n">
        <f aca="false">AF236</f>
        <v>0.663140222842058</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0.283849755680774</v>
      </c>
      <c r="F247" s="1" t="n">
        <f aca="false">MAX(0,E248+F243-F244-F245-F246)</f>
        <v>0.763320028029599</v>
      </c>
      <c r="G247" s="1" t="n">
        <f aca="false">MAX(0,F248+G243-G244-G245-G246)</f>
        <v>1.17046474550874</v>
      </c>
      <c r="H247" s="1" t="n">
        <f aca="false">MAX(0,G248+H243-H244-H245-H246)</f>
        <v>1.80407682130602</v>
      </c>
      <c r="I247" s="1" t="n">
        <f aca="false">MAX(0,H248+I243-I244-I245-I246)</f>
        <v>2.69123955962448</v>
      </c>
      <c r="J247" s="1" t="n">
        <f aca="false">MAX(0,I248+J243-J244-J245-J246)</f>
        <v>3.85637945566599</v>
      </c>
      <c r="K247" s="1" t="n">
        <f aca="false">MAX(0,J248+K243-K244-K245-K246)</f>
        <v>5.26000793284514</v>
      </c>
      <c r="L247" s="1" t="n">
        <f aca="false">MAX(0,K248+L243-L244-L245-L246)</f>
        <v>6.89824835859718</v>
      </c>
      <c r="M247" s="1" t="n">
        <f aca="false">MAX(0,L248+M243-M244-M245-M246)</f>
        <v>8.73320727003086</v>
      </c>
      <c r="N247" s="1" t="n">
        <f aca="false">MAX(0,M248+N243-N244-N245-N246)</f>
        <v>10.6179915117596</v>
      </c>
      <c r="O247" s="1" t="n">
        <f aca="false">MAX(0,N248+O243-O244-O245-O246)</f>
        <v>12.5157323292989</v>
      </c>
      <c r="P247" s="1" t="n">
        <f aca="false">MAX(0,O248+P243-P244-P245-P246)</f>
        <v>14.3580294224764</v>
      </c>
      <c r="Q247" s="1" t="n">
        <f aca="false">MAX(0,P248+Q243-Q244-Q245-Q246)</f>
        <v>16.0818757236808</v>
      </c>
      <c r="R247" s="1" t="n">
        <f aca="false">MAX(0,Q248+R243-R244-R245-R246)</f>
        <v>17.6943011897196</v>
      </c>
      <c r="S247" s="1" t="n">
        <f aca="false">MAX(0,R248+S243-S244-S245-S246)</f>
        <v>19.2031839616284</v>
      </c>
      <c r="T247" s="1" t="n">
        <f aca="false">MAX(0,S248+T243-T244-T245-T246)</f>
        <v>20.6157730610393</v>
      </c>
      <c r="U247" s="1" t="n">
        <f aca="false">MAX(0,T248+U243-U244-U245-U246)</f>
        <v>21.9387416209775</v>
      </c>
      <c r="V247" s="1" t="n">
        <f aca="false">MAX(0,U248+V243-V244-V245-V246)</f>
        <v>23.17824060882</v>
      </c>
      <c r="W247" s="1" t="n">
        <f aca="false">MAX(0,V248+W243-W244-W245-W246)</f>
        <v>24.3399489204607</v>
      </c>
      <c r="X247" s="1" t="n">
        <f aca="false">MAX(0,W248+X243-X244-X245-X246)</f>
        <v>25.429506961676</v>
      </c>
      <c r="Y247" s="1" t="n">
        <f aca="false">MAX(0,X248+Y243-Y244-Y245-Y246)</f>
        <v>26.4520424345686</v>
      </c>
      <c r="Z247" s="1" t="n">
        <f aca="false">MAX(0,Y248+Z243-Z244-Z245-Z246)</f>
        <v>27.4121396116173</v>
      </c>
      <c r="AA247" s="1" t="n">
        <f aca="false">MAX(0,Z248+AA243-AA244-AA245-AA246)</f>
        <v>28.3139341442173</v>
      </c>
      <c r="AB247" s="1" t="n">
        <f aca="false">MAX(0,AA248+AB243-AB244-AB245-AB246)</f>
        <v>29.1612857124155</v>
      </c>
      <c r="AC247" s="1" t="n">
        <f aca="false">MAX(0,AB248+AC243-AC244-AC245-AC246)</f>
        <v>29.9577891381134</v>
      </c>
      <c r="AD247" s="1" t="n">
        <f aca="false">MAX(0,AC248+AD243-AD244-AD245-AD246)</f>
        <v>30.7067922599097</v>
      </c>
      <c r="AE247" s="1" t="n">
        <f aca="false">MAX(0,AD248+AE243-AE244-AE245-AE246)</f>
        <v>31.4114125527969</v>
      </c>
      <c r="AF247" s="1" t="n">
        <f aca="false">MAX(0,AE248+AF243-AF244-AF245-AF246)</f>
        <v>32.074552775639</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0.283849755680774</v>
      </c>
      <c r="F248" s="1" t="n">
        <f aca="false">MIN(F247,MAX(0,F276))</f>
        <v>0.763320028029599</v>
      </c>
      <c r="G248" s="1" t="n">
        <f aca="false">MIN(G247,MAX(0,G276))</f>
        <v>1.17046474550874</v>
      </c>
      <c r="H248" s="1" t="n">
        <f aca="false">MIN(H247,MAX(0,H276))</f>
        <v>1.80407682130602</v>
      </c>
      <c r="I248" s="1" t="n">
        <f aca="false">MIN(I247,MAX(0,I276))</f>
        <v>2.69123955962448</v>
      </c>
      <c r="J248" s="1" t="n">
        <f aca="false">MIN(J247,MAX(0,J276))</f>
        <v>3.85637945566599</v>
      </c>
      <c r="K248" s="1" t="n">
        <f aca="false">MIN(K247,MAX(0,K276))</f>
        <v>5.26000793284514</v>
      </c>
      <c r="L248" s="1" t="n">
        <f aca="false">MIN(L247,MAX(0,L276))</f>
        <v>6.89824835859718</v>
      </c>
      <c r="M248" s="1" t="n">
        <f aca="false">MIN(M247,MAX(0,M276))</f>
        <v>8.73320727003086</v>
      </c>
      <c r="N248" s="1" t="n">
        <f aca="false">MIN(N247,MAX(0,N276))</f>
        <v>10.6179915117596</v>
      </c>
      <c r="O248" s="1" t="n">
        <f aca="false">MIN(O247,MAX(0,O276))</f>
        <v>12.5157323292989</v>
      </c>
      <c r="P248" s="1" t="n">
        <f aca="false">MIN(P247,MAX(0,P276))</f>
        <v>14.3580294224764</v>
      </c>
      <c r="Q248" s="1" t="n">
        <f aca="false">MIN(Q247,MAX(0,Q276))</f>
        <v>16.0818757236808</v>
      </c>
      <c r="R248" s="1" t="n">
        <f aca="false">MIN(R247,MAX(0,R276))</f>
        <v>17.6943011897196</v>
      </c>
      <c r="S248" s="1" t="n">
        <f aca="false">MIN(S247,MAX(0,S276))</f>
        <v>19.2031839616284</v>
      </c>
      <c r="T248" s="1" t="n">
        <f aca="false">MIN(T247,MAX(0,T276))</f>
        <v>20.6157730610393</v>
      </c>
      <c r="U248" s="1" t="n">
        <f aca="false">MIN(U247,MAX(0,U276))</f>
        <v>21.9387416209775</v>
      </c>
      <c r="V248" s="1" t="n">
        <f aca="false">MIN(V247,MAX(0,V276))</f>
        <v>23.17824060882</v>
      </c>
      <c r="W248" s="1" t="n">
        <f aca="false">MIN(W247,MAX(0,W276))</f>
        <v>24.3399489204607</v>
      </c>
      <c r="X248" s="1" t="n">
        <f aca="false">MIN(X247,MAX(0,X276))</f>
        <v>25.429506961676</v>
      </c>
      <c r="Y248" s="1" t="n">
        <f aca="false">MIN(Y247,MAX(0,Y276))</f>
        <v>26.4520424345686</v>
      </c>
      <c r="Z248" s="1" t="n">
        <f aca="false">MIN(Z247,MAX(0,Z276))</f>
        <v>27.4121396116173</v>
      </c>
      <c r="AA248" s="1" t="n">
        <f aca="false">MIN(AA247,MAX(0,AA276))</f>
        <v>28.3139341442173</v>
      </c>
      <c r="AB248" s="1" t="n">
        <f aca="false">MIN(AB247,MAX(0,AB276))</f>
        <v>29.1612857124155</v>
      </c>
      <c r="AC248" s="1" t="n">
        <f aca="false">MIN(AC247,MAX(0,AC276))</f>
        <v>29.9577891381134</v>
      </c>
      <c r="AD248" s="1" t="n">
        <f aca="false">MIN(AD247,MAX(0,AD276))</f>
        <v>30.7067922599097</v>
      </c>
      <c r="AE248" s="1" t="n">
        <f aca="false">MIN(AE247,MAX(0,AE276))</f>
        <v>31.4114125527969</v>
      </c>
      <c r="AF248" s="1" t="n">
        <f aca="false">MIN(AF247,MAX(0,AF276))</f>
        <v>32.074552775639</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35.0087369140404</v>
      </c>
      <c r="E250" s="1" t="n">
        <f aca="false">E120-E248</f>
        <v>52.7881563849995</v>
      </c>
      <c r="F250" s="1" t="n">
        <f aca="false">F120-F248</f>
        <v>61.0982111149309</v>
      </c>
      <c r="G250" s="1" t="n">
        <f aca="false">G120-G248</f>
        <v>71.6743211018636</v>
      </c>
      <c r="H250" s="1" t="n">
        <f aca="false">H120-H248</f>
        <v>83.684970392487</v>
      </c>
      <c r="I250" s="1" t="n">
        <f aca="false">I120-I248</f>
        <v>97.1946805088609</v>
      </c>
      <c r="J250" s="1" t="n">
        <f aca="false">J120-J248</f>
        <v>111.755676184188</v>
      </c>
      <c r="K250" s="1" t="n">
        <f aca="false">K120-K248</f>
        <v>128.187578601174</v>
      </c>
      <c r="L250" s="1" t="n">
        <f aca="false">L120-L248</f>
        <v>144.51528155248</v>
      </c>
      <c r="M250" s="1" t="n">
        <f aca="false">M120-M248</f>
        <v>142.63296582339</v>
      </c>
      <c r="N250" s="1" t="n">
        <f aca="false">N120-N248</f>
        <v>141.531282854726</v>
      </c>
      <c r="O250" s="1" t="n">
        <f aca="false">O120-O248</f>
        <v>141.37010197106</v>
      </c>
      <c r="P250" s="1" t="n">
        <f aca="false">P120-P248</f>
        <v>140.908709170991</v>
      </c>
      <c r="Q250" s="1" t="n">
        <f aca="false">Q120-Q248</f>
        <v>140.413057123518</v>
      </c>
      <c r="R250" s="1" t="n">
        <f aca="false">R120-R248</f>
        <v>140.072024473544</v>
      </c>
      <c r="S250" s="1" t="n">
        <f aca="false">S120-S248</f>
        <v>139.872836958105</v>
      </c>
      <c r="T250" s="1" t="n">
        <f aca="false">T120-T248</f>
        <v>139.809141503632</v>
      </c>
      <c r="U250" s="1" t="n">
        <f aca="false">U120-U248</f>
        <v>139.874928299778</v>
      </c>
      <c r="V250" s="1" t="n">
        <f aca="false">V120-V248</f>
        <v>140.064722234664</v>
      </c>
      <c r="W250" s="1" t="n">
        <f aca="false">W120-W248</f>
        <v>140.375811243109</v>
      </c>
      <c r="X250" s="1" t="n">
        <f aca="false">X120-X248</f>
        <v>140.769870355348</v>
      </c>
      <c r="Y250" s="1" t="n">
        <f aca="false">Y120-Y248</f>
        <v>141.200645391122</v>
      </c>
      <c r="Z250" s="1" t="n">
        <f aca="false">Z120-Z248</f>
        <v>141.676206936581</v>
      </c>
      <c r="AA250" s="1" t="n">
        <f aca="false">AA120-AA248</f>
        <v>142.205924460958</v>
      </c>
      <c r="AB250" s="1" t="n">
        <f aca="false">AB120-AB248</f>
        <v>142.799716146784</v>
      </c>
      <c r="AC250" s="1" t="n">
        <f aca="false">AC120-AC248</f>
        <v>143.468031732685</v>
      </c>
      <c r="AD250" s="1" t="n">
        <f aca="false">AD120-AD248</f>
        <v>144.221745884184</v>
      </c>
      <c r="AE250" s="1" t="n">
        <f aca="false">AE120-AE248</f>
        <v>145.072177348692</v>
      </c>
      <c r="AF250" s="1" t="n">
        <f aca="false">AF120-AF248</f>
        <v>146.031101821461</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0.00270974872678057</v>
      </c>
      <c r="E252" s="1" t="n">
        <f aca="false">IF(E120&gt;0,E248/E120,0)</f>
        <v>0.00534838941132848</v>
      </c>
      <c r="F252" s="1" t="n">
        <f aca="false">IF(F120&gt;0,F248/F120,0)</f>
        <v>0.0123391712737531</v>
      </c>
      <c r="G252" s="1" t="n">
        <f aca="false">IF(G120&gt;0,G248/G120,0)</f>
        <v>0.0160679276065297</v>
      </c>
      <c r="H252" s="1" t="n">
        <f aca="false">IF(H120&gt;0,H248/H120,0)</f>
        <v>0.0211030170542706</v>
      </c>
      <c r="I252" s="1" t="n">
        <f aca="false">IF(I120&gt;0,I248/I120,0)</f>
        <v>0.0269431323031241</v>
      </c>
      <c r="J252" s="1" t="n">
        <f aca="false">IF(J120&gt;0,J248/J120,0)</f>
        <v>0.033356205235889</v>
      </c>
      <c r="K252" s="1" t="n">
        <f aca="false">IF(K120&gt;0,K248/K120,0)</f>
        <v>0.0394162837220307</v>
      </c>
      <c r="L252" s="1" t="n">
        <f aca="false">IF(L120&gt;0,L248/L120,0)</f>
        <v>0.0455589957030155</v>
      </c>
      <c r="M252" s="1" t="n">
        <f aca="false">IF(M120&gt;0,M248/M120,0)</f>
        <v>0.0576958979113572</v>
      </c>
      <c r="N252" s="1" t="n">
        <f aca="false">IF(N120&gt;0,N248/N120,0)</f>
        <v>0.0697866720427714</v>
      </c>
      <c r="O252" s="1" t="n">
        <f aca="false">IF(O120&gt;0,O248/O120,0)</f>
        <v>0.081331282935831</v>
      </c>
      <c r="P252" s="1" t="n">
        <f aca="false">IF(P120&gt;0,P248/P120,0)</f>
        <v>0.0924733111067002</v>
      </c>
      <c r="Q252" s="1" t="n">
        <f aca="false">IF(Q120&gt;0,Q248/Q120,0)</f>
        <v>0.10276291654365</v>
      </c>
      <c r="R252" s="1" t="n">
        <f aca="false">IF(R120&gt;0,R248/R120,0)</f>
        <v>0.112155120018997</v>
      </c>
      <c r="S252" s="1" t="n">
        <f aca="false">IF(S120&gt;0,S248/S120,0)</f>
        <v>0.120717024794818</v>
      </c>
      <c r="T252" s="1" t="n">
        <f aca="false">IF(T120&gt;0,T248/T120,0)</f>
        <v>0.128507302727773</v>
      </c>
      <c r="U252" s="1" t="n">
        <f aca="false">IF(U120&gt;0,U248/U120,0)</f>
        <v>0.135580273481971</v>
      </c>
      <c r="V252" s="1" t="n">
        <f aca="false">IF(V120&gt;0,V248/V120,0)</f>
        <v>0.141986154901164</v>
      </c>
      <c r="W252" s="1" t="n">
        <f aca="false">IF(W120&gt;0,W248/W120,0)</f>
        <v>0.147769399214077</v>
      </c>
      <c r="X252" s="1" t="n">
        <f aca="false">IF(X120&gt;0,X248/X120,0)</f>
        <v>0.153006030300399</v>
      </c>
      <c r="Y252" s="1" t="n">
        <f aca="false">IF(Y120&gt;0,Y248/Y120,0)</f>
        <v>0.157778815106567</v>
      </c>
      <c r="Z252" s="1" t="n">
        <f aca="false">IF(Z120&gt;0,Z248/Z120,0)</f>
        <v>0.162117261013038</v>
      </c>
      <c r="AA252" s="1" t="n">
        <f aca="false">IF(AA120&gt;0,AA248/AA120,0)</f>
        <v>0.166044790183505</v>
      </c>
      <c r="AB252" s="1" t="n">
        <f aca="false">IF(AB120&gt;0,AB248/AB120,0)</f>
        <v>0.169580808422439</v>
      </c>
      <c r="AC252" s="1" t="n">
        <f aca="false">IF(AC120&gt;0,AC248/AC120,0)</f>
        <v>0.17274122727337</v>
      </c>
      <c r="AD252" s="1" t="n">
        <f aca="false">IF(AD120&gt;0,AD248/AD120,0)</f>
        <v>0.175539066327849</v>
      </c>
      <c r="AE252" s="1" t="n">
        <f aca="false">IF(AE120&gt;0,AE248/AE120,0)</f>
        <v>0.177984891231703</v>
      </c>
      <c r="AF252" s="1" t="n">
        <f aca="false">IF(AF120&gt;0,AF248/AF120,0)</f>
        <v>0.180087223217007</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0.34971585133187</v>
      </c>
      <c r="M254" s="116" t="n">
        <f aca="false">M112</f>
        <v>0.361393895840307</v>
      </c>
      <c r="N254" s="116" t="n">
        <f aca="false">N112</f>
        <v>0.37278002354794</v>
      </c>
      <c r="O254" s="116" t="n">
        <f aca="false">O112</f>
        <v>0.383366349029661</v>
      </c>
      <c r="P254" s="116" t="n">
        <f aca="false">P112</f>
        <v>0.391334331770332</v>
      </c>
      <c r="Q254" s="116" t="n">
        <f aca="false">Q112</f>
        <v>0.399301592482923</v>
      </c>
      <c r="R254" s="116" t="n">
        <f aca="false">R112</f>
        <v>0.407173092378812</v>
      </c>
      <c r="S254" s="116" t="n">
        <f aca="false">S112</f>
        <v>0.414955465121112</v>
      </c>
      <c r="T254" s="116" t="n">
        <f aca="false">T112</f>
        <v>0.422661808620259</v>
      </c>
      <c r="U254" s="116" t="n">
        <f aca="false">U112</f>
        <v>0.430304839671878</v>
      </c>
      <c r="V254" s="116" t="n">
        <f aca="false">V112</f>
        <v>0.437897128683477</v>
      </c>
      <c r="W254" s="116" t="n">
        <f aca="false">W112</f>
        <v>0.445312269225562</v>
      </c>
      <c r="X254" s="116" t="n">
        <f aca="false">X112</f>
        <v>0.452563384698125</v>
      </c>
      <c r="Y254" s="116" t="n">
        <f aca="false">Y112</f>
        <v>0.459697606517069</v>
      </c>
      <c r="Z254" s="116" t="n">
        <f aca="false">Z112</f>
        <v>0.466769320132736</v>
      </c>
      <c r="AA254" s="116" t="n">
        <f aca="false">AA112</f>
        <v>0.473778056095607</v>
      </c>
      <c r="AB254" s="116" t="n">
        <f aca="false">AB112</f>
        <v>0.480726502322631</v>
      </c>
      <c r="AC254" s="116" t="n">
        <f aca="false">AC112</f>
        <v>0.487617418380392</v>
      </c>
      <c r="AD254" s="116" t="n">
        <f aca="false">AD112</f>
        <v>0.494453636007383</v>
      </c>
      <c r="AE254" s="116" t="n">
        <f aca="false">AE112</f>
        <v>0.501238059684676</v>
      </c>
      <c r="AF254" s="116" t="n">
        <f aca="false">AF112</f>
        <v>0.507973667253791</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0.0909210058675717</v>
      </c>
      <c r="M256" s="1" t="n">
        <f aca="false">MIN(M254-M255,MAX(0,M107-M108+M109+M110+M184-M229-M235))</f>
        <v>0.0882698466355045</v>
      </c>
      <c r="N256" s="1" t="n">
        <f aca="false">MIN(N254-N255,MAX(0,N107-N108+N109+N110+N184-N229-N235))</f>
        <v>0.0918885910244189</v>
      </c>
      <c r="O256" s="1" t="n">
        <f aca="false">MIN(O254-O255,MAX(0,O107-O108+O109+O110+O184-O229-O235))</f>
        <v>0.100002849514749</v>
      </c>
      <c r="P256" s="1" t="n">
        <f aca="false">MIN(P254-P255,MAX(0,P107-P108+P109+P110+P184-P229-P235))</f>
        <v>0.126245798671129</v>
      </c>
      <c r="Q256" s="1" t="n">
        <f aca="false">MIN(Q254-Q255,MAX(0,Q107-Q108+Q109+Q110+Q184-Q229-Q235))</f>
        <v>0.151309418116833</v>
      </c>
      <c r="R256" s="1" t="n">
        <f aca="false">MIN(R254-R255,MAX(0,R107-R108+R109+R110+R184-R229-R235))</f>
        <v>0.175174681026156</v>
      </c>
      <c r="S256" s="1" t="n">
        <f aca="false">MIN(S254-S255,MAX(0,S107-S108+S109+S110+S184-S229-S235))</f>
        <v>0.197919330784463</v>
      </c>
      <c r="T256" s="1" t="n">
        <f aca="false">MIN(T254-T255,MAX(0,T107-T108+T109+T110+T184-T229-T235))</f>
        <v>0.219622988944064</v>
      </c>
      <c r="U256" s="1" t="n">
        <f aca="false">MIN(U254-U255,MAX(0,U107-U108+U109+U110+U184-U229-U235))</f>
        <v>0.240360605632222</v>
      </c>
      <c r="V256" s="1" t="n">
        <f aca="false">MIN(V254-V255,MAX(0,V107-V108+V109+V110+V184-V229-V235))</f>
        <v>0.260202970972899</v>
      </c>
      <c r="W256" s="1" t="n">
        <f aca="false">MIN(W254-W255,MAX(0,W107-W108+W109+W110+W184-W229-W235))</f>
        <v>0.279078143488006</v>
      </c>
      <c r="X256" s="1" t="n">
        <f aca="false">MIN(X254-X255,MAX(0,X107-X108+X109+X110+X184-X229-X235))</f>
        <v>0.297050198920017</v>
      </c>
      <c r="Y256" s="1" t="n">
        <f aca="false">MIN(Y254-Y255,MAX(0,Y107-Y108+Y109+Y110+Y184-Y229-Y235))</f>
        <v>0.31421393495713</v>
      </c>
      <c r="Z256" s="1" t="n">
        <f aca="false">MIN(Z254-Z255,MAX(0,Z107-Z108+Z109+Z110+Z184-Z229-Z235))</f>
        <v>0.330668329180367</v>
      </c>
      <c r="AA256" s="1" t="n">
        <f aca="false">MIN(AA254-AA255,MAX(0,AA107-AA108+AA109+AA110+AA184-AA229-AA235))</f>
        <v>0.346454628389941</v>
      </c>
      <c r="AB256" s="1" t="n">
        <f aca="false">MIN(AB254-AB255,MAX(0,AB107-AB108+AB109+AB110+AB184-AB229-AB235))</f>
        <v>0.361614546345812</v>
      </c>
      <c r="AC256" s="1" t="n">
        <f aca="false">MIN(AC254-AC255,MAX(0,AC107-AC108+AC109+AC110+AC184-AC229-AC235))</f>
        <v>0.3761873515633</v>
      </c>
      <c r="AD256" s="1" t="n">
        <f aca="false">MIN(AD254-AD255,MAX(0,AD107-AD108+AD109+AD110+AD184-AD229-AD235))</f>
        <v>0.390210030157454</v>
      </c>
      <c r="AE256" s="1" t="n">
        <f aca="false">MIN(AE254-AE255,MAX(0,AE107-AE108+AE109+AE110+AE184-AE229-AE235))</f>
        <v>0.403717438267183</v>
      </c>
      <c r="AF256" s="1" t="n">
        <f aca="false">MIN(AF254-AF255,MAX(0,AF107-AF108+AF109+AF110+AF184-AF229-AF235))</f>
        <v>0.416742444733103</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161.643402065657</v>
      </c>
      <c r="L261" s="1" t="n">
        <f aca="false">(L83-L326)+L181</f>
        <v>165.881316273354</v>
      </c>
      <c r="M261" s="1" t="n">
        <f aca="false">(M83-M326)+M181</f>
        <v>168.627522750894</v>
      </c>
      <c r="N261" s="1" t="n">
        <f aca="false">(N83-N326)+N181</f>
        <v>172.251687098407</v>
      </c>
      <c r="O261" s="1" t="n">
        <f aca="false">(O83-O326)+O181</f>
        <v>176.865304612913</v>
      </c>
      <c r="P261" s="1" t="n">
        <f aca="false">(P83-P326)+P181</f>
        <v>181.115015043248</v>
      </c>
      <c r="Q261" s="1" t="n">
        <f aca="false">(Q83-Q326)+Q181</f>
        <v>185.270448320947</v>
      </c>
      <c r="R261" s="1" t="n">
        <f aca="false">(R83-R326)+R181</f>
        <v>189.526407699227</v>
      </c>
      <c r="S261" s="1" t="n">
        <f aca="false">(S83-S326)+S181</f>
        <v>193.879460899486</v>
      </c>
      <c r="T261" s="1" t="n">
        <f aca="false">(T83-T326)+T181</f>
        <v>198.332157283487</v>
      </c>
      <c r="U261" s="1" t="n">
        <f aca="false">(U83-U326)+U181</f>
        <v>202.886832619854</v>
      </c>
      <c r="V261" s="1" t="n">
        <f aca="false">(V83-V326)+V181</f>
        <v>207.5458607189</v>
      </c>
      <c r="W261" s="1" t="n">
        <f aca="false">(W83-W326)+W181</f>
        <v>212.310461735042</v>
      </c>
      <c r="X261" s="1" t="n">
        <f aca="false">(X83-X326)+X181</f>
        <v>217.183688557351</v>
      </c>
      <c r="Y261" s="1" t="n">
        <f aca="false">(Y83-Y326)+Y181</f>
        <v>222.168703005438</v>
      </c>
      <c r="Z261" s="1" t="n">
        <f aca="false">(Z83-Z326)+Z181</f>
        <v>227.268326563586</v>
      </c>
      <c r="AA261" s="1" t="n">
        <f aca="false">(AA83-AA326)+AA181</f>
        <v>232.484854362617</v>
      </c>
      <c r="AB261" s="1" t="n">
        <f aca="false">(AB83-AB326)+AB181</f>
        <v>237.820874983189</v>
      </c>
      <c r="AC261" s="1" t="n">
        <f aca="false">(AC83-AC326)+AC181</f>
        <v>243.279153823326</v>
      </c>
      <c r="AD261" s="1" t="n">
        <f aca="false">(AD83-AD326)+AD181</f>
        <v>248.862512578294</v>
      </c>
      <c r="AE261" s="1" t="n">
        <f aca="false">(AE83-AE326)+AE181</f>
        <v>254.573837850532</v>
      </c>
      <c r="AF261" s="1" t="n">
        <f aca="false">(AF83-AF326)+AF181</f>
        <v>260.416082640363</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8.08217010328286</v>
      </c>
      <c r="L262" s="1" t="n">
        <f aca="false">$C$260*L261</f>
        <v>8.29406581366772</v>
      </c>
      <c r="M262" s="1" t="n">
        <f aca="false">$C$260*M261</f>
        <v>8.4313761375447</v>
      </c>
      <c r="N262" s="1" t="n">
        <f aca="false">$C$260*N261</f>
        <v>8.61258435492036</v>
      </c>
      <c r="O262" s="1" t="n">
        <f aca="false">$C$260*O261</f>
        <v>8.84326523064564</v>
      </c>
      <c r="P262" s="1" t="n">
        <f aca="false">$C$260*P261</f>
        <v>9.05575075216239</v>
      </c>
      <c r="Q262" s="1" t="n">
        <f aca="false">$C$260*Q261</f>
        <v>9.26352241604733</v>
      </c>
      <c r="R262" s="1" t="n">
        <f aca="false">$C$260*R261</f>
        <v>9.47632038496133</v>
      </c>
      <c r="S262" s="1" t="n">
        <f aca="false">$C$260*S261</f>
        <v>9.69397304497429</v>
      </c>
      <c r="T262" s="1" t="n">
        <f aca="false">$C$260*T261</f>
        <v>9.91660786417437</v>
      </c>
      <c r="U262" s="1" t="n">
        <f aca="false">$C$260*U261</f>
        <v>10.1443416309927</v>
      </c>
      <c r="V262" s="1" t="n">
        <f aca="false">$C$260*V261</f>
        <v>10.377293035945</v>
      </c>
      <c r="W262" s="1" t="n">
        <f aca="false">$C$260*W261</f>
        <v>10.6155230867521</v>
      </c>
      <c r="X262" s="1" t="n">
        <f aca="false">$C$260*X261</f>
        <v>10.8591844278675</v>
      </c>
      <c r="Y262" s="1" t="n">
        <f aca="false">$C$260*Y261</f>
        <v>11.1084351502719</v>
      </c>
      <c r="Z262" s="1" t="n">
        <f aca="false">$C$260*Z261</f>
        <v>11.3634163281793</v>
      </c>
      <c r="AA262" s="1" t="n">
        <f aca="false">$C$260*AA261</f>
        <v>11.6242427181309</v>
      </c>
      <c r="AB262" s="1" t="n">
        <f aca="false">$C$260*AB261</f>
        <v>11.8910437491594</v>
      </c>
      <c r="AC262" s="1" t="n">
        <f aca="false">$C$260*AC261</f>
        <v>12.1639576911663</v>
      </c>
      <c r="AD262" s="1" t="n">
        <f aca="false">$C$260*AD261</f>
        <v>12.4431256289147</v>
      </c>
      <c r="AE262" s="1" t="n">
        <f aca="false">$C$260*AE261</f>
        <v>12.7286918925266</v>
      </c>
      <c r="AF262" s="1" t="n">
        <f aca="false">$C$260*AF261</f>
        <v>13.0208041320182</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43.892721733972</v>
      </c>
      <c r="M263" s="1" t="n">
        <f aca="false">MAX(0,(M70+L121-L227)*0.25/0.55)</f>
        <v>45.6165976563778</v>
      </c>
      <c r="N263" s="1" t="n">
        <f aca="false">MAX(0,(N70+M121-M227)*0.25/0.55)</f>
        <v>47.6877461607444</v>
      </c>
      <c r="O263" s="1" t="n">
        <f aca="false">MAX(0,(O70+N121-N227)*0.25/0.55)</f>
        <v>49.7950682793057</v>
      </c>
      <c r="P263" s="1" t="n">
        <f aca="false">MAX(0,(P70+O121-O227)*0.25/0.55)</f>
        <v>51.9210123393405</v>
      </c>
      <c r="Q263" s="1" t="n">
        <f aca="false">MAX(0,(Q70+P121-P227)*0.25/0.55)</f>
        <v>53.9893908286634</v>
      </c>
      <c r="R263" s="1" t="n">
        <f aca="false">MAX(0,(R70+Q121-Q227)*0.25/0.55)</f>
        <v>55.9995967572328</v>
      </c>
      <c r="S263" s="1" t="n">
        <f aca="false">MAX(0,(S70+R121-R227)*0.25/0.55)</f>
        <v>57.9559403936712</v>
      </c>
      <c r="T263" s="1" t="n">
        <f aca="false">MAX(0,(T70+S121-S227)*0.25/0.55)</f>
        <v>59.865631880258</v>
      </c>
      <c r="U263" s="1" t="n">
        <f aca="false">MAX(0,(U70+T121-T227)*0.25/0.55)</f>
        <v>61.7356695275328</v>
      </c>
      <c r="V263" s="1" t="n">
        <f aca="false">MAX(0,(V70+U121-U227)*0.25/0.55)</f>
        <v>63.5729463006561</v>
      </c>
      <c r="W263" s="1" t="n">
        <f aca="false">MAX(0,(W70+V121-V227)*0.25/0.55)</f>
        <v>65.3842616339108</v>
      </c>
      <c r="X263" s="1" t="n">
        <f aca="false">MAX(0,(X70+W121-W227)*0.25/0.55)</f>
        <v>67.176413641413</v>
      </c>
      <c r="Y263" s="1" t="n">
        <f aca="false">MAX(0,(Y70+X121-X227)*0.25/0.55)</f>
        <v>68.9716137540413</v>
      </c>
      <c r="Z263" s="1" t="n">
        <f aca="false">MAX(0,(Z70+Y121-Y227)*0.25/0.55)</f>
        <v>70.7953253755952</v>
      </c>
      <c r="AA263" s="1" t="n">
        <f aca="false">MAX(0,(AA70+Z121-Z227)*0.25/0.55)</f>
        <v>72.648032076514</v>
      </c>
      <c r="AB263" s="1" t="n">
        <f aca="false">MAX(0,(AB70+AA121-AA227)*0.25/0.55)</f>
        <v>74.5302266539863</v>
      </c>
      <c r="AC263" s="1" t="n">
        <f aca="false">MAX(0,(AC70+AB121-AB227)*0.25/0.55)</f>
        <v>76.4424113400045</v>
      </c>
      <c r="AD263" s="1" t="n">
        <f aca="false">MAX(0,(AD70+AC121-AC227)*0.25/0.55)</f>
        <v>78.3850980149998</v>
      </c>
      <c r="AE263" s="1" t="n">
        <f aca="false">MAX(0,(AE70+AD121-AD227)*0.25/0.55)</f>
        <v>80.3588084272263</v>
      </c>
      <c r="AF263" s="1" t="n">
        <f aca="false">MAX(0,(AF70+AE121-AE227)*0.25/0.55)</f>
        <v>82.3640744180725</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0.199245320924234</v>
      </c>
      <c r="L266" s="1" t="n">
        <f aca="false">IF(L263&gt;0,L262/L263,0)</f>
        <v>0.188962212549428</v>
      </c>
      <c r="M266" s="1" t="n">
        <f aca="false">IF(M263&gt;0,M262/M263,0)</f>
        <v>0.18483132391979</v>
      </c>
      <c r="N266" s="1" t="n">
        <f aca="false">IF(N263&gt;0,N262/N263,0)</f>
        <v>0.180603719997362</v>
      </c>
      <c r="O266" s="1" t="n">
        <f aca="false">IF(O263&gt;0,O262/O263,0)</f>
        <v>0.177593194190293</v>
      </c>
      <c r="P266" s="1" t="n">
        <f aca="false">IF(P263&gt;0,P262/P263,0)</f>
        <v>0.174413986633709</v>
      </c>
      <c r="Q266" s="1" t="n">
        <f aca="false">IF(Q263&gt;0,Q262/Q263,0)</f>
        <v>0.171580421150617</v>
      </c>
      <c r="R266" s="1" t="n">
        <f aca="false">IF(R263&gt;0,R262/R263,0)</f>
        <v>0.169221225396366</v>
      </c>
      <c r="S266" s="1" t="n">
        <f aca="false">IF(S263&gt;0,S262/S263,0)</f>
        <v>0.167264528521616</v>
      </c>
      <c r="T266" s="1" t="n">
        <f aca="false">IF(T263&gt;0,T262/T263,0)</f>
        <v>0.16564776070533</v>
      </c>
      <c r="U266" s="1" t="n">
        <f aca="false">IF(U263&gt;0,U262/U263,0)</f>
        <v>0.16431897003188</v>
      </c>
      <c r="V266" s="1" t="n">
        <f aca="false">IF(V263&gt;0,V262/V263,0)</f>
        <v>0.163234420296766</v>
      </c>
      <c r="W266" s="1" t="n">
        <f aca="false">IF(W263&gt;0,W262/W263,0)</f>
        <v>0.162355937368978</v>
      </c>
      <c r="X266" s="1" t="n">
        <f aca="false">IF(X263&gt;0,X262/X263,0)</f>
        <v>0.161651744105212</v>
      </c>
      <c r="Y266" s="1" t="n">
        <f aca="false">IF(Y263&gt;0,Y262/Y263,0)</f>
        <v>0.161058072236581</v>
      </c>
      <c r="Z266" s="1" t="n">
        <f aca="false">IF(Z263&gt;0,Z262/Z263,0)</f>
        <v>0.160510828474792</v>
      </c>
      <c r="AA266" s="1" t="n">
        <f aca="false">IF(AA263&gt;0,AA262/AA263,0)</f>
        <v>0.160007675168517</v>
      </c>
      <c r="AB266" s="1" t="n">
        <f aca="false">IF(AB263&gt;0,AB262/AB263,0)</f>
        <v>0.159546593147566</v>
      </c>
      <c r="AC266" s="1" t="n">
        <f aca="false">IF(AC263&gt;0,AC262/AC263,0)</f>
        <v>0.15912577164871</v>
      </c>
      <c r="AD266" s="1" t="n">
        <f aca="false">IF(AD263&gt;0,AD262/AD263,0)</f>
        <v>0.158743510488863</v>
      </c>
      <c r="AE266" s="1" t="n">
        <f aca="false">IF(AE263&gt;0,AE262/AE263,0)</f>
        <v>0.158398215972227</v>
      </c>
      <c r="AF266" s="1" t="n">
        <f aca="false">IF(AF263&gt;0,AF262/AF263,0)</f>
        <v>0.158088392591238</v>
      </c>
    </row>
    <row r="267" customFormat="false" ht="14.25" hidden="false" customHeight="true" outlineLevel="0" collapsed="false">
      <c r="B267" s="1" t="s">
        <v>1262</v>
      </c>
      <c r="C267" s="1" t="n">
        <f aca="false">C120-C264</f>
        <v>17.9458778419531</v>
      </c>
      <c r="D267" s="1" t="n">
        <f aca="false">D120-D264</f>
        <v>33.1280169060563</v>
      </c>
      <c r="E267" s="1" t="n">
        <f aca="false">E120-E264</f>
        <v>50.0498831427186</v>
      </c>
      <c r="F267" s="1" t="n">
        <f aca="false">F120-F264</f>
        <v>61.8615311429605</v>
      </c>
      <c r="G267" s="1" t="n">
        <f aca="false">G120-G264</f>
        <v>72.8447858473724</v>
      </c>
      <c r="H267" s="1" t="n">
        <f aca="false">H120-H264</f>
        <v>85.489047213793</v>
      </c>
      <c r="I267" s="1" t="n">
        <f aca="false">I120-I264</f>
        <v>99.8859200684854</v>
      </c>
      <c r="J267" s="1" t="n">
        <f aca="false">J120-J264</f>
        <v>115.612055639854</v>
      </c>
      <c r="K267" s="1" t="n">
        <f aca="false">K120-K264</f>
        <v>133.447586534019</v>
      </c>
      <c r="L267" s="1" t="n">
        <f aca="false">L120-L264</f>
        <v>151.413529911077</v>
      </c>
      <c r="M267" s="1" t="n">
        <f aca="false">M120-M264</f>
        <v>151.366173093421</v>
      </c>
      <c r="N267" s="1" t="n">
        <f aca="false">N120-N264</f>
        <v>152.149274366486</v>
      </c>
      <c r="O267" s="1" t="n">
        <f aca="false">O120-O264</f>
        <v>153.885834300358</v>
      </c>
      <c r="P267" s="1" t="n">
        <f aca="false">P120-P264</f>
        <v>155.266738593468</v>
      </c>
      <c r="Q267" s="1" t="n">
        <f aca="false">Q120-Q264</f>
        <v>156.494932847199</v>
      </c>
      <c r="R267" s="1" t="n">
        <f aca="false">R120-R264</f>
        <v>157.766325663264</v>
      </c>
      <c r="S267" s="1" t="n">
        <f aca="false">S120-S264</f>
        <v>159.076020919733</v>
      </c>
      <c r="T267" s="1" t="n">
        <f aca="false">T120-T264</f>
        <v>160.424914564671</v>
      </c>
      <c r="U267" s="1" t="n">
        <f aca="false">U120-U264</f>
        <v>161.813669920756</v>
      </c>
      <c r="V267" s="1" t="n">
        <f aca="false">V120-V264</f>
        <v>163.242962843484</v>
      </c>
      <c r="W267" s="1" t="n">
        <f aca="false">W120-W264</f>
        <v>164.715760163569</v>
      </c>
      <c r="X267" s="1" t="n">
        <f aca="false">X120-X264</f>
        <v>166.199377317024</v>
      </c>
      <c r="Y267" s="1" t="n">
        <f aca="false">Y120-Y264</f>
        <v>167.65268782569</v>
      </c>
      <c r="Z267" s="1" t="n">
        <f aca="false">Z120-Z264</f>
        <v>169.088346548198</v>
      </c>
      <c r="AA267" s="1" t="n">
        <f aca="false">AA120-AA264</f>
        <v>170.519858605175</v>
      </c>
      <c r="AB267" s="1" t="n">
        <f aca="false">AB120-AB264</f>
        <v>171.961001859199</v>
      </c>
      <c r="AC267" s="1" t="n">
        <f aca="false">AC120-AC264</f>
        <v>173.425820870799</v>
      </c>
      <c r="AD267" s="1" t="n">
        <f aca="false">AD120-AD264</f>
        <v>174.928538144093</v>
      </c>
      <c r="AE267" s="1" t="n">
        <f aca="false">AE120-AE264</f>
        <v>176.483589901488</v>
      </c>
      <c r="AF267" s="1" t="n">
        <f aca="false">AF120-AF264</f>
        <v>178.1056545971</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8.08217010328286</v>
      </c>
      <c r="L270" s="1" t="n">
        <f aca="false">01_Supuestos!$C$173*L261</f>
        <v>8.29406581366772</v>
      </c>
      <c r="M270" s="1" t="n">
        <f aca="false">01_Supuestos!$C$173*M261</f>
        <v>8.4313761375447</v>
      </c>
      <c r="N270" s="1" t="n">
        <f aca="false">01_Supuestos!$C$173*N261</f>
        <v>8.61258435492036</v>
      </c>
      <c r="O270" s="1" t="n">
        <f aca="false">01_Supuestos!$C$173*O261</f>
        <v>8.84326523064564</v>
      </c>
      <c r="P270" s="1" t="n">
        <f aca="false">01_Supuestos!$C$173*P261</f>
        <v>9.05575075216239</v>
      </c>
      <c r="Q270" s="1" t="n">
        <f aca="false">01_Supuestos!$C$173*Q261</f>
        <v>9.26352241604733</v>
      </c>
      <c r="R270" s="1" t="n">
        <f aca="false">01_Supuestos!$C$173*R261</f>
        <v>9.47632038496133</v>
      </c>
      <c r="S270" s="1" t="n">
        <f aca="false">01_Supuestos!$C$173*S261</f>
        <v>9.69397304497429</v>
      </c>
      <c r="T270" s="1" t="n">
        <f aca="false">01_Supuestos!$C$173*T261</f>
        <v>9.91660786417437</v>
      </c>
      <c r="U270" s="1" t="n">
        <f aca="false">01_Supuestos!$C$173*U261</f>
        <v>10.1443416309927</v>
      </c>
      <c r="V270" s="1" t="n">
        <f aca="false">01_Supuestos!$C$173*V261</f>
        <v>10.377293035945</v>
      </c>
      <c r="W270" s="1" t="n">
        <f aca="false">01_Supuestos!$C$173*W261</f>
        <v>10.6155230867521</v>
      </c>
      <c r="X270" s="1" t="n">
        <f aca="false">01_Supuestos!$C$173*X261</f>
        <v>10.8591844278675</v>
      </c>
      <c r="Y270" s="1" t="n">
        <f aca="false">01_Supuestos!$C$173*Y261</f>
        <v>11.1084351502719</v>
      </c>
      <c r="Z270" s="1" t="n">
        <f aca="false">01_Supuestos!$C$173*Z261</f>
        <v>11.3634163281793</v>
      </c>
      <c r="AA270" s="1" t="n">
        <f aca="false">01_Supuestos!$C$173*AA261</f>
        <v>11.6242427181309</v>
      </c>
      <c r="AB270" s="1" t="n">
        <f aca="false">01_Supuestos!$C$173*AB261</f>
        <v>11.8910437491594</v>
      </c>
      <c r="AC270" s="1" t="n">
        <f aca="false">01_Supuestos!$C$173*AC261</f>
        <v>12.1639576911663</v>
      </c>
      <c r="AD270" s="1" t="n">
        <f aca="false">01_Supuestos!$C$173*AD261</f>
        <v>12.4431256289147</v>
      </c>
      <c r="AE270" s="1" t="n">
        <f aca="false">01_Supuestos!$C$173*AE261</f>
        <v>12.7286918925266</v>
      </c>
      <c r="AF270" s="1" t="n">
        <f aca="false">01_Supuestos!$C$173*AF261</f>
        <v>13.0208041320182</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8.08217010328286</v>
      </c>
      <c r="L271" s="1" t="n">
        <f aca="false">MIN(L270,L263)</f>
        <v>8.29406581366772</v>
      </c>
      <c r="M271" s="1" t="n">
        <f aca="false">MIN(M270,M263)</f>
        <v>8.4313761375447</v>
      </c>
      <c r="N271" s="1" t="n">
        <f aca="false">MIN(N270,N263)</f>
        <v>8.61258435492036</v>
      </c>
      <c r="O271" s="1" t="n">
        <f aca="false">MIN(O270,O263)</f>
        <v>8.84326523064564</v>
      </c>
      <c r="P271" s="1" t="n">
        <f aca="false">MIN(P270,P263)</f>
        <v>9.05575075216239</v>
      </c>
      <c r="Q271" s="1" t="n">
        <f aca="false">MIN(Q270,Q263)</f>
        <v>9.26352241604733</v>
      </c>
      <c r="R271" s="1" t="n">
        <f aca="false">MIN(R270,R263)</f>
        <v>9.47632038496133</v>
      </c>
      <c r="S271" s="1" t="n">
        <f aca="false">MIN(S270,S263)</f>
        <v>9.69397304497429</v>
      </c>
      <c r="T271" s="1" t="n">
        <f aca="false">MIN(T270,T263)</f>
        <v>9.91660786417437</v>
      </c>
      <c r="U271" s="1" t="n">
        <f aca="false">MIN(U270,U263)</f>
        <v>10.1443416309927</v>
      </c>
      <c r="V271" s="1" t="n">
        <f aca="false">MIN(V270,V263)</f>
        <v>10.377293035945</v>
      </c>
      <c r="W271" s="1" t="n">
        <f aca="false">MIN(W270,W263)</f>
        <v>10.6155230867521</v>
      </c>
      <c r="X271" s="1" t="n">
        <f aca="false">MIN(X270,X263)</f>
        <v>10.8591844278675</v>
      </c>
      <c r="Y271" s="1" t="n">
        <f aca="false">MIN(Y270,Y263)</f>
        <v>11.1084351502719</v>
      </c>
      <c r="Z271" s="1" t="n">
        <f aca="false">MIN(Z270,Z263)</f>
        <v>11.3634163281793</v>
      </c>
      <c r="AA271" s="1" t="n">
        <f aca="false">MIN(AA270,AA263)</f>
        <v>11.6242427181309</v>
      </c>
      <c r="AB271" s="1" t="n">
        <f aca="false">MIN(AB270,AB263)</f>
        <v>11.8910437491594</v>
      </c>
      <c r="AC271" s="1" t="n">
        <f aca="false">MIN(AC270,AC263)</f>
        <v>12.1639576911663</v>
      </c>
      <c r="AD271" s="1" t="n">
        <f aca="false">MIN(AD270,AD263)</f>
        <v>12.4431256289147</v>
      </c>
      <c r="AE271" s="1" t="n">
        <f aca="false">MIN(AE270,AE263)</f>
        <v>12.7286918925266</v>
      </c>
      <c r="AF271" s="1" t="n">
        <f aca="false">MIN(AF270,AF263)</f>
        <v>13.0208041320182</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0.0808217010328286</v>
      </c>
      <c r="L274" s="1" t="n">
        <f aca="false">IF(01_Supuestos!$C$174="Sí",01_Supuestos!$C$172*L271,01_Supuestos!$I$134*(L271+MIN(MIN(L270-L271,MAX(0,K120)),L264))+$C$10*MAX(0,MIN(L270-L271,MAX(0,K120))-L264))</f>
        <v>0.0829406581366772</v>
      </c>
      <c r="M274" s="1" t="n">
        <f aca="false">IF(01_Supuestos!$C$174="Sí",01_Supuestos!$C$172*M271,01_Supuestos!$I$134*(M271+MIN(MIN(M270-M271,MAX(0,L120)),M264))+$C$10*MAX(0,MIN(M270-M271,MAX(0,L120))-M264))</f>
        <v>0.084313761375447</v>
      </c>
      <c r="N274" s="1" t="n">
        <f aca="false">IF(01_Supuestos!$C$174="Sí",01_Supuestos!$C$172*N271,01_Supuestos!$I$134*(N271+MIN(MIN(N270-N271,MAX(0,M120)),N264))+$C$10*MAX(0,MIN(N270-N271,MAX(0,M120))-N264))</f>
        <v>0.0861258435492036</v>
      </c>
      <c r="O274" s="1" t="n">
        <f aca="false">IF(01_Supuestos!$C$174="Sí",01_Supuestos!$C$172*O271,01_Supuestos!$I$134*(O271+MIN(MIN(O270-O271,MAX(0,N120)),O264))+$C$10*MAX(0,MIN(O270-O271,MAX(0,N120))-O264))</f>
        <v>0.0884326523064564</v>
      </c>
      <c r="P274" s="1" t="n">
        <f aca="false">IF(01_Supuestos!$C$174="Sí",01_Supuestos!$C$172*P271,01_Supuestos!$I$134*(P271+MIN(MIN(P270-P271,MAX(0,O120)),P264))+$C$10*MAX(0,MIN(P270-P271,MAX(0,O120))-P264))</f>
        <v>0.0905575075216239</v>
      </c>
      <c r="Q274" s="1" t="n">
        <f aca="false">IF(01_Supuestos!$C$174="Sí",01_Supuestos!$C$172*Q271,01_Supuestos!$I$134*(Q271+MIN(MIN(Q270-Q271,MAX(0,P120)),Q264))+$C$10*MAX(0,MIN(Q270-Q271,MAX(0,P120))-Q264))</f>
        <v>0.0926352241604733</v>
      </c>
      <c r="R274" s="1" t="n">
        <f aca="false">IF(01_Supuestos!$C$174="Sí",01_Supuestos!$C$172*R271,01_Supuestos!$I$134*(R271+MIN(MIN(R270-R271,MAX(0,Q120)),R264))+$C$10*MAX(0,MIN(R270-R271,MAX(0,Q120))-R264))</f>
        <v>0.0947632038496133</v>
      </c>
      <c r="S274" s="1" t="n">
        <f aca="false">IF(01_Supuestos!$C$174="Sí",01_Supuestos!$C$172*S271,01_Supuestos!$I$134*(S271+MIN(MIN(S270-S271,MAX(0,R120)),S264))+$C$10*MAX(0,MIN(S270-S271,MAX(0,R120))-S264))</f>
        <v>0.0969397304497429</v>
      </c>
      <c r="T274" s="1" t="n">
        <f aca="false">IF(01_Supuestos!$C$174="Sí",01_Supuestos!$C$172*T271,01_Supuestos!$I$134*(T271+MIN(MIN(T270-T271,MAX(0,S120)),T264))+$C$10*MAX(0,MIN(T270-T271,MAX(0,S120))-T264))</f>
        <v>0.0991660786417437</v>
      </c>
      <c r="U274" s="1" t="n">
        <f aca="false">IF(01_Supuestos!$C$174="Sí",01_Supuestos!$C$172*U271,01_Supuestos!$I$134*(U271+MIN(MIN(U270-U271,MAX(0,T120)),U264))+$C$10*MAX(0,MIN(U270-U271,MAX(0,T120))-U264))</f>
        <v>0.101443416309927</v>
      </c>
      <c r="V274" s="1" t="n">
        <f aca="false">IF(01_Supuestos!$C$174="Sí",01_Supuestos!$C$172*V271,01_Supuestos!$I$134*(V271+MIN(MIN(V270-V271,MAX(0,U120)),V264))+$C$10*MAX(0,MIN(V270-V271,MAX(0,U120))-V264))</f>
        <v>0.10377293035945</v>
      </c>
      <c r="W274" s="1" t="n">
        <f aca="false">IF(01_Supuestos!$C$174="Sí",01_Supuestos!$C$172*W271,01_Supuestos!$I$134*(W271+MIN(MIN(W270-W271,MAX(0,V120)),W264))+$C$10*MAX(0,MIN(W270-W271,MAX(0,V120))-W264))</f>
        <v>0.106155230867521</v>
      </c>
      <c r="X274" s="1" t="n">
        <f aca="false">IF(01_Supuestos!$C$174="Sí",01_Supuestos!$C$172*X271,01_Supuestos!$I$134*(X271+MIN(MIN(X270-X271,MAX(0,W120)),X264))+$C$10*MAX(0,MIN(X270-X271,MAX(0,W120))-X264))</f>
        <v>0.108591844278675</v>
      </c>
      <c r="Y274" s="1" t="n">
        <f aca="false">IF(01_Supuestos!$C$174="Sí",01_Supuestos!$C$172*Y271,01_Supuestos!$I$134*(Y271+MIN(MIN(Y270-Y271,MAX(0,X120)),Y264))+$C$10*MAX(0,MIN(Y270-Y271,MAX(0,X120))-Y264))</f>
        <v>0.111084351502719</v>
      </c>
      <c r="Z274" s="1" t="n">
        <f aca="false">IF(01_Supuestos!$C$174="Sí",01_Supuestos!$C$172*Z271,01_Supuestos!$I$134*(Z271+MIN(MIN(Z270-Z271,MAX(0,Y120)),Z264))+$C$10*MAX(0,MIN(Z270-Z271,MAX(0,Y120))-Z264))</f>
        <v>0.113634163281793</v>
      </c>
      <c r="AA274" s="1" t="n">
        <f aca="false">IF(01_Supuestos!$C$174="Sí",01_Supuestos!$C$172*AA271,01_Supuestos!$I$134*(AA271+MIN(MIN(AA270-AA271,MAX(0,Z120)),AA264))+$C$10*MAX(0,MIN(AA270-AA271,MAX(0,Z120))-AA264))</f>
        <v>0.116242427181309</v>
      </c>
      <c r="AB274" s="1" t="n">
        <f aca="false">IF(01_Supuestos!$C$174="Sí",01_Supuestos!$C$172*AB271,01_Supuestos!$I$134*(AB271+MIN(MIN(AB270-AB271,MAX(0,AA120)),AB264))+$C$10*MAX(0,MIN(AB270-AB271,MAX(0,AA120))-AB264))</f>
        <v>0.118910437491594</v>
      </c>
      <c r="AC274" s="1" t="n">
        <f aca="false">IF(01_Supuestos!$C$174="Sí",01_Supuestos!$C$172*AC271,01_Supuestos!$I$134*(AC271+MIN(MIN(AC270-AC271,MAX(0,AB120)),AC264))+$C$10*MAX(0,MIN(AC270-AC271,MAX(0,AB120))-AC264))</f>
        <v>0.121639576911663</v>
      </c>
      <c r="AD274" s="1" t="n">
        <f aca="false">IF(01_Supuestos!$C$174="Sí",01_Supuestos!$C$172*AD271,01_Supuestos!$I$134*(AD271+MIN(MIN(AD270-AD271,MAX(0,AC120)),AD264))+$C$10*MAX(0,MIN(AD270-AD271,MAX(0,AC120))-AD264))</f>
        <v>0.124431256289147</v>
      </c>
      <c r="AE274" s="1" t="n">
        <f aca="false">IF(01_Supuestos!$C$174="Sí",01_Supuestos!$C$172*AE271,01_Supuestos!$I$134*(AE271+MIN(MIN(AE270-AE271,MAX(0,AD120)),AE264))+$C$10*MAX(0,MIN(AE270-AE271,MAX(0,AD120))-AE264))</f>
        <v>0.127286918925266</v>
      </c>
      <c r="AF274" s="1" t="n">
        <f aca="false">IF(01_Supuestos!$C$174="Sí",01_Supuestos!$C$172*AF271,01_Supuestos!$I$134*(AF271+MIN(MIN(AF270-AF271,MAX(0,AE120)),AF264))+$C$10*MAX(0,MIN(AF270-AF271,MAX(0,AE120))-AF264))</f>
        <v>0.130208041320182</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33.1280169060563</v>
      </c>
      <c r="E276" s="1" t="n">
        <f aca="false">E120-MAX(E264,E272)</f>
        <v>50.0498831427186</v>
      </c>
      <c r="F276" s="1" t="n">
        <f aca="false">F120-MAX(F264,F272)</f>
        <v>61.8615311429605</v>
      </c>
      <c r="G276" s="1" t="n">
        <f aca="false">G120-MAX(G264,G272)</f>
        <v>72.8447858473724</v>
      </c>
      <c r="H276" s="1" t="n">
        <f aca="false">H120-MAX(H264,H272)</f>
        <v>85.489047213793</v>
      </c>
      <c r="I276" s="1" t="n">
        <f aca="false">I120-MAX(I264,I272)</f>
        <v>99.8859200684854</v>
      </c>
      <c r="J276" s="1" t="n">
        <f aca="false">J120-MAX(J264,J272)</f>
        <v>115.612055639854</v>
      </c>
      <c r="K276" s="1" t="n">
        <f aca="false">K120-MAX(K264,K272)</f>
        <v>133.447586534019</v>
      </c>
      <c r="L276" s="1" t="n">
        <f aca="false">L120-MAX(L264,L272)</f>
        <v>151.413529911077</v>
      </c>
      <c r="M276" s="1" t="n">
        <f aca="false">M120-MAX(M264,M272)</f>
        <v>151.366173093421</v>
      </c>
      <c r="N276" s="1" t="n">
        <f aca="false">N120-MAX(N264,N272)</f>
        <v>152.149274366486</v>
      </c>
      <c r="O276" s="1" t="n">
        <f aca="false">O120-MAX(O264,O272)</f>
        <v>153.885834300358</v>
      </c>
      <c r="P276" s="1" t="n">
        <f aca="false">P120-MAX(P264,P272)</f>
        <v>155.266738593468</v>
      </c>
      <c r="Q276" s="1" t="n">
        <f aca="false">Q120-MAX(Q264,Q272)</f>
        <v>156.494932847199</v>
      </c>
      <c r="R276" s="1" t="n">
        <f aca="false">R120-MAX(R264,R272)</f>
        <v>157.766325663264</v>
      </c>
      <c r="S276" s="1" t="n">
        <f aca="false">S120-MAX(S264,S272)</f>
        <v>159.076020919733</v>
      </c>
      <c r="T276" s="1" t="n">
        <f aca="false">T120-MAX(T264,T272)</f>
        <v>160.424914564671</v>
      </c>
      <c r="U276" s="1" t="n">
        <f aca="false">U120-MAX(U264,U272)</f>
        <v>161.813669920756</v>
      </c>
      <c r="V276" s="1" t="n">
        <f aca="false">V120-MAX(V264,V272)</f>
        <v>163.242962843484</v>
      </c>
      <c r="W276" s="1" t="n">
        <f aca="false">W120-MAX(W264,W272)</f>
        <v>164.715760163569</v>
      </c>
      <c r="X276" s="1" t="n">
        <f aca="false">X120-MAX(X264,X272)</f>
        <v>166.199377317024</v>
      </c>
      <c r="Y276" s="1" t="n">
        <f aca="false">Y120-MAX(Y264,Y272)</f>
        <v>167.65268782569</v>
      </c>
      <c r="Z276" s="1" t="n">
        <f aca="false">Z120-MAX(Z264,Z272)</f>
        <v>169.088346548198</v>
      </c>
      <c r="AA276" s="1" t="n">
        <f aca="false">AA120-MAX(AA264,AA272)</f>
        <v>170.519858605175</v>
      </c>
      <c r="AB276" s="1" t="n">
        <f aca="false">AB120-MAX(AB264,AB272)</f>
        <v>171.961001859199</v>
      </c>
      <c r="AC276" s="1" t="n">
        <f aca="false">AC120-MAX(AC264,AC272)</f>
        <v>173.425820870799</v>
      </c>
      <c r="AD276" s="1" t="n">
        <f aca="false">AD120-MAX(AD264,AD272)</f>
        <v>174.928538144093</v>
      </c>
      <c r="AE276" s="1" t="n">
        <f aca="false">AE120-MAX(AE264,AE272)</f>
        <v>176.483589901488</v>
      </c>
      <c r="AF276" s="1" t="n">
        <f aca="false">AF120-MAX(AF264,AF272)</f>
        <v>178.1056545971</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30.0085503606332</v>
      </c>
      <c r="L284" s="1" t="n">
        <f aca="false">$C$279*L87</f>
        <v>30.438070147299</v>
      </c>
      <c r="M284" s="1" t="n">
        <f aca="false">$C$279*M87</f>
        <v>35.0686721569761</v>
      </c>
      <c r="N284" s="1" t="n">
        <f aca="false">$C$279*N87</f>
        <v>38.5575364924185</v>
      </c>
      <c r="O284" s="1" t="n">
        <f aca="false">$C$279*O87</f>
        <v>39.3809697061304</v>
      </c>
      <c r="P284" s="1" t="n">
        <f aca="false">$C$279*P87</f>
        <v>40.3134894729123</v>
      </c>
      <c r="Q284" s="1" t="n">
        <f aca="false">$C$279*Q87</f>
        <v>41.2732527417103</v>
      </c>
      <c r="R284" s="1" t="n">
        <f aca="false">$C$279*R87</f>
        <v>42.2638793118029</v>
      </c>
      <c r="S284" s="1" t="n">
        <f aca="false">$C$279*S87</f>
        <v>43.2858007000204</v>
      </c>
      <c r="T284" s="1" t="n">
        <f aca="false">$C$279*T87</f>
        <v>44.339259530378</v>
      </c>
      <c r="U284" s="1" t="n">
        <f aca="false">$C$279*U87</f>
        <v>45.4245255017961</v>
      </c>
      <c r="V284" s="1" t="n">
        <f aca="false">$C$279*V87</f>
        <v>46.5418883408143</v>
      </c>
      <c r="W284" s="1" t="n">
        <f aca="false">$C$279*W87</f>
        <v>47.6960313153085</v>
      </c>
      <c r="X284" s="1" t="n">
        <f aca="false">$C$279*X87</f>
        <v>48.8872586372288</v>
      </c>
      <c r="Y284" s="1" t="n">
        <f aca="false">$C$279*Y87</f>
        <v>50.1148197708021</v>
      </c>
      <c r="Z284" s="1" t="n">
        <f aca="false">$C$279*Z87</f>
        <v>51.3777525625587</v>
      </c>
      <c r="AA284" s="1" t="n">
        <f aca="false">$C$279*AA87</f>
        <v>52.6768400611032</v>
      </c>
      <c r="AB284" s="1" t="n">
        <f aca="false">$C$279*AB87</f>
        <v>54.0127835279986</v>
      </c>
      <c r="AC284" s="1" t="n">
        <f aca="false">$C$279*AC87</f>
        <v>55.3863000442558</v>
      </c>
      <c r="AD284" s="1" t="n">
        <f aca="false">$C$279*AD87</f>
        <v>56.7981229096401</v>
      </c>
      <c r="AE284" s="1" t="n">
        <f aca="false">$C$279*AE87</f>
        <v>58.2490020500144</v>
      </c>
      <c r="AF284" s="1" t="n">
        <f aca="false">$C$279*AF87</f>
        <v>59.7397044329792</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1.49892709051363</v>
      </c>
      <c r="M285" s="1" t="n">
        <f aca="false">MAX(L284*(1-$C$340)/$C$280,L284-M341-M284)</f>
        <v>1.52038160385759</v>
      </c>
      <c r="N285" s="1" t="n">
        <f aca="false">MAX(M284*(1-$C$340)/$C$280,M284-N341-N284)</f>
        <v>1.75168017424096</v>
      </c>
      <c r="O285" s="1" t="n">
        <f aca="false">MAX(N284*(1-$C$340)/$C$280,N284-O341-O284)</f>
        <v>1.92594894779631</v>
      </c>
      <c r="P285" s="1" t="n">
        <f aca="false">MAX(O284*(1-$C$340)/$C$280,O284-P341-P284)</f>
        <v>1.96707943682122</v>
      </c>
      <c r="Q285" s="1" t="n">
        <f aca="false">MAX(P284*(1-$C$340)/$C$280,P284-Q341-Q284)</f>
        <v>2.01365879917197</v>
      </c>
      <c r="R285" s="1" t="n">
        <f aca="false">MAX(Q284*(1-$C$340)/$C$280,Q284-R341-R284)</f>
        <v>2.06159897444843</v>
      </c>
      <c r="S285" s="1" t="n">
        <f aca="false">MAX(R284*(1-$C$340)/$C$280,R284-S341-S284)</f>
        <v>2.11108077162456</v>
      </c>
      <c r="T285" s="1" t="n">
        <f aca="false">MAX(S284*(1-$C$340)/$C$280,S284-T341-T284)</f>
        <v>2.16212574496602</v>
      </c>
      <c r="U285" s="1" t="n">
        <f aca="false">MAX(T284*(1-$C$340)/$C$280,T284-U341-U284)</f>
        <v>2.21474601354238</v>
      </c>
      <c r="V285" s="1" t="n">
        <f aca="false">MAX(U284*(1-$C$340)/$C$280,U284-V341-V284)</f>
        <v>2.26895504881471</v>
      </c>
      <c r="W285" s="1" t="n">
        <f aca="false">MAX(V284*(1-$C$340)/$C$280,V284-W341-W284)</f>
        <v>2.32476732262367</v>
      </c>
      <c r="X285" s="1" t="n">
        <f aca="false">MAX(W284*(1-$C$340)/$C$280,W284-X341-X284)</f>
        <v>2.38241676419966</v>
      </c>
      <c r="Y285" s="1" t="n">
        <f aca="false">MAX(X284*(1-$C$340)/$C$280,X284-Y341-Y284)</f>
        <v>2.44191856892958</v>
      </c>
      <c r="Z285" s="1" t="n">
        <f aca="false">MAX(Y284*(1-$C$340)/$C$280,Y284-Z341-Z284)</f>
        <v>2.50323524755156</v>
      </c>
      <c r="AA285" s="1" t="n">
        <f aca="false">MAX(Z284*(1-$C$340)/$C$280,Z284-AA341-AA284)</f>
        <v>2.56631874049981</v>
      </c>
      <c r="AB285" s="1" t="n">
        <f aca="false">MAX(AA284*(1-$C$340)/$C$280,AA284-AB341-AB284)</f>
        <v>2.63120816105211</v>
      </c>
      <c r="AC285" s="1" t="n">
        <f aca="false">MAX(AB284*(1-$C$340)/$C$280,AB284-AC341-AC284)</f>
        <v>2.69793853722353</v>
      </c>
      <c r="AD285" s="1" t="n">
        <f aca="false">MAX(AC284*(1-$C$340)/$C$280,AC284-AD341-AD284)</f>
        <v>2.76654568721058</v>
      </c>
      <c r="AE285" s="1" t="n">
        <f aca="false">MAX(AD284*(1-$C$340)/$C$280,AD284-AE341-AE284)</f>
        <v>2.83706623933652</v>
      </c>
      <c r="AF285" s="1" t="n">
        <f aca="false">MAX(AE284*(1-$C$340)/$C$280,AE284-AF341-AF284)</f>
        <v>2.90953765239822</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2.80031709480681</v>
      </c>
      <c r="L286" s="1" t="n">
        <f aca="false">L284-K284+L285+L341</f>
        <v>1.95845542754013</v>
      </c>
      <c r="M286" s="1" t="n">
        <f aca="false">M284-L284+M285+M341</f>
        <v>6.18142168368193</v>
      </c>
      <c r="N286" s="1" t="n">
        <f aca="false">N284-M284+N285+N341</f>
        <v>5.2756131818404</v>
      </c>
      <c r="O286" s="1" t="n">
        <f aca="false">O284-N284+O285+O341</f>
        <v>2.78793969800061</v>
      </c>
      <c r="P286" s="1" t="n">
        <f aca="false">P284-O284+P285+P341</f>
        <v>2.93898017330919</v>
      </c>
      <c r="Q286" s="1" t="n">
        <f aca="false">Q284-P284+Q285+Q341</f>
        <v>3.01373555744287</v>
      </c>
      <c r="R286" s="1" t="n">
        <f aca="false">R284-Q284+R285+R341</f>
        <v>3.09349879728282</v>
      </c>
      <c r="S286" s="1" t="n">
        <f aca="false">S284-R284+S285+S341</f>
        <v>3.17526603915384</v>
      </c>
      <c r="T286" s="1" t="n">
        <f aca="false">T284-S284+T285+T341</f>
        <v>3.25887037602363</v>
      </c>
      <c r="U286" s="1" t="n">
        <f aca="false">U284-T284+U285+U341</f>
        <v>3.34435124449082</v>
      </c>
      <c r="V286" s="1" t="n">
        <f aca="false">V284-U284+V285+V341</f>
        <v>3.43174241333473</v>
      </c>
      <c r="W286" s="1" t="n">
        <f aca="false">W284-V284+W285+W341</f>
        <v>3.52545218545869</v>
      </c>
      <c r="X286" s="1" t="n">
        <f aca="false">X284-W284+X285+X341</f>
        <v>3.62134011743526</v>
      </c>
      <c r="Y286" s="1" t="n">
        <f aca="false">Y284-X284+Y285+Y341</f>
        <v>3.71836696114012</v>
      </c>
      <c r="Z286" s="1" t="n">
        <f aca="false">Z284-Y284+Z285+Z341</f>
        <v>3.81628285907892</v>
      </c>
      <c r="AA286" s="1" t="n">
        <f aca="false">AA284-Z284+AA285+AA341</f>
        <v>3.91678399160694</v>
      </c>
      <c r="AB286" s="1" t="n">
        <f aca="false">AB284-AA284+AB285+AB341</f>
        <v>4.01982846800857</v>
      </c>
      <c r="AC286" s="1" t="n">
        <f aca="false">AC284-AB284+AC285+AC341</f>
        <v>4.12546783700875</v>
      </c>
      <c r="AD286" s="1" t="n">
        <f aca="false">AD284-AC284+AD285+AD341</f>
        <v>4.23375485263908</v>
      </c>
      <c r="AE286" s="1" t="n">
        <f aca="false">AE284-AD284+AE285+AE341</f>
        <v>4.34474350262052</v>
      </c>
      <c r="AF286" s="1" t="n">
        <f aca="false">AF284-AE284+AF285+AF341</f>
        <v>4.45848903741298</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1.28907729784172</v>
      </c>
      <c r="L287" s="1" t="n">
        <f aca="false">L284*(1-$C$340)*$C$175</f>
        <v>1.30752817931752</v>
      </c>
      <c r="M287" s="1" t="n">
        <f aca="false">M284*(1-$C$340)*$C$175</f>
        <v>1.50644494984722</v>
      </c>
      <c r="N287" s="1" t="n">
        <f aca="false">N284*(1-$C$340)*$C$175</f>
        <v>1.65631609510482</v>
      </c>
      <c r="O287" s="1" t="n">
        <f aca="false">O284*(1-$C$340)*$C$175</f>
        <v>1.69168831566624</v>
      </c>
      <c r="P287" s="1" t="n">
        <f aca="false">P284*(1-$C$340)*$C$175</f>
        <v>1.73174656728789</v>
      </c>
      <c r="Q287" s="1" t="n">
        <f aca="false">Q284*(1-$C$340)*$C$175</f>
        <v>1.77297511802565</v>
      </c>
      <c r="R287" s="1" t="n">
        <f aca="false">R284*(1-$C$340)*$C$175</f>
        <v>1.81552946359712</v>
      </c>
      <c r="S287" s="1" t="n">
        <f aca="false">S284*(1-$C$340)*$C$175</f>
        <v>1.85942814067078</v>
      </c>
      <c r="T287" s="1" t="n">
        <f aca="false">T284*(1-$C$340)*$C$175</f>
        <v>1.90468157164645</v>
      </c>
      <c r="U287" s="1" t="n">
        <f aca="false">U284*(1-$C$340)*$C$175</f>
        <v>1.95130134198065</v>
      </c>
      <c r="V287" s="1" t="n">
        <f aca="false">V284*(1-$C$340)*$C$175</f>
        <v>1.99929989745636</v>
      </c>
      <c r="W287" s="1" t="n">
        <f aca="false">W284*(1-$C$340)*$C$175</f>
        <v>2.04887841721171</v>
      </c>
      <c r="X287" s="1" t="n">
        <f aca="false">X284*(1-$C$340)*$C$175</f>
        <v>2.10004996927944</v>
      </c>
      <c r="Y287" s="1" t="n">
        <f aca="false">Y284*(1-$C$340)*$C$175</f>
        <v>2.15278231289435</v>
      </c>
      <c r="Z287" s="1" t="n">
        <f aca="false">Z284*(1-$C$340)*$C$175</f>
        <v>2.20703411682983</v>
      </c>
      <c r="AA287" s="1" t="n">
        <f aca="false">AA284*(1-$C$340)*$C$175</f>
        <v>2.26283901850481</v>
      </c>
      <c r="AB287" s="1" t="n">
        <f aca="false">AB284*(1-$C$340)*$C$175</f>
        <v>2.32022714201224</v>
      </c>
      <c r="AC287" s="1" t="n">
        <f aca="false">AC284*(1-$C$340)*$C$175</f>
        <v>2.3792292910011</v>
      </c>
      <c r="AD287" s="1" t="n">
        <f aca="false">AD284*(1-$C$340)*$C$175</f>
        <v>2.43987696582941</v>
      </c>
      <c r="AE287" s="1" t="n">
        <f aca="false">AE284*(1-$C$340)*$C$175</f>
        <v>2.50220238106247</v>
      </c>
      <c r="AF287" s="1" t="n">
        <f aca="false">AF284*(1-$C$340)*$C$175</f>
        <v>2.56623848332749</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41.4403790694458</v>
      </c>
      <c r="L289" s="1" t="n">
        <f aca="false">(1-$C$279)*L87</f>
        <v>42.0335254415082</v>
      </c>
      <c r="M289" s="1" t="n">
        <f aca="false">(1-$C$279)*M87</f>
        <v>48.4281663120146</v>
      </c>
      <c r="N289" s="1" t="n">
        <f aca="false">(1-$C$279)*N87</f>
        <v>53.2461218228637</v>
      </c>
      <c r="O289" s="1" t="n">
        <f aca="false">(1-$C$279)*O87</f>
        <v>54.3832438798944</v>
      </c>
      <c r="P289" s="1" t="n">
        <f aca="false">(1-$C$279)*P87</f>
        <v>55.671009272117</v>
      </c>
      <c r="Q289" s="1" t="n">
        <f aca="false">(1-$C$279)*Q87</f>
        <v>56.9963966433142</v>
      </c>
      <c r="R289" s="1" t="n">
        <f aca="false">(1-$C$279)*R87</f>
        <v>58.3644047639184</v>
      </c>
      <c r="S289" s="1" t="n">
        <f aca="false">(1-$C$279)*S87</f>
        <v>59.7756295381235</v>
      </c>
      <c r="T289" s="1" t="n">
        <f aca="false">(1-$C$279)*T87</f>
        <v>61.2304060181411</v>
      </c>
      <c r="U289" s="1" t="n">
        <f aca="false">(1-$C$279)*U87</f>
        <v>62.7291066453374</v>
      </c>
      <c r="V289" s="1" t="n">
        <f aca="false">(1-$C$279)*V87</f>
        <v>64.2721315182674</v>
      </c>
      <c r="W289" s="1" t="n">
        <f aca="false">(1-$C$279)*W87</f>
        <v>65.8659480068546</v>
      </c>
      <c r="X289" s="1" t="n">
        <f aca="false">(1-$C$279)*X87</f>
        <v>67.510976213316</v>
      </c>
      <c r="Y289" s="1" t="n">
        <f aca="false">(1-$C$279)*Y87</f>
        <v>69.2061796834886</v>
      </c>
      <c r="Z289" s="1" t="n">
        <f aca="false">(1-$C$279)*Z87</f>
        <v>70.9502297292477</v>
      </c>
      <c r="AA289" s="1" t="n">
        <f aca="false">(1-$C$279)*AA87</f>
        <v>72.7442077034283</v>
      </c>
      <c r="AB289" s="1" t="n">
        <f aca="false">(1-$C$279)*AB87</f>
        <v>74.5890820148552</v>
      </c>
      <c r="AC289" s="1" t="n">
        <f aca="false">(1-$C$279)*AC87</f>
        <v>76.485842918258</v>
      </c>
      <c r="AD289" s="1" t="n">
        <f aca="false">(1-$C$279)*AD87</f>
        <v>78.4355030656934</v>
      </c>
      <c r="AE289" s="1" t="n">
        <f aca="false">(1-$C$279)*AE87</f>
        <v>80.4390980690675</v>
      </c>
      <c r="AF289" s="1" t="n">
        <f aca="false">(1-$C$279)*AF87</f>
        <v>82.4976870741141</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8.27978773807527</v>
      </c>
      <c r="M290" s="1" t="n">
        <f aca="false">MAX(L289*(1-$C$340)/$C$281+IF(AND(01_Supuestos!$C$189&gt;0,M$39=01_Supuestos!$C$189),01_Supuestos!$C$190*L289*(1-$C$340)*(1-1/$C$281),0),L289-M342-M289)</f>
        <v>8.39829838321334</v>
      </c>
      <c r="N290" s="1" t="n">
        <f aca="false">MAX(M289*(1-$C$340)/$C$281+IF(AND(01_Supuestos!$C$189&gt;0,N$39=01_Supuestos!$C$189),01_Supuestos!$C$190*M289*(1-$C$340)*(1-1/$C$281),0),M289-N342-N289)</f>
        <v>9.67594762914052</v>
      </c>
      <c r="O290" s="1" t="n">
        <f aca="false">MAX(N289*(1-$C$340)/$C$281+IF(AND(01_Supuestos!$C$189&gt;0,O$39=01_Supuestos!$C$189),01_Supuestos!$C$190*N289*(1-$C$340)*(1-1/$C$281),0),N289-O342-O289)</f>
        <v>10.6385751402082</v>
      </c>
      <c r="P290" s="1" t="n">
        <f aca="false">MAX(O289*(1-$C$340)/$C$281+IF(AND(01_Supuestos!$C$189&gt;0,P$39=01_Supuestos!$C$189),01_Supuestos!$C$190*O289*(1-$C$340)*(1-1/$C$281),0),O289-P342-P289)</f>
        <v>10.8657721272029</v>
      </c>
      <c r="Q290" s="1" t="n">
        <f aca="false">MAX(P289*(1-$C$340)/$C$281+IF(AND(01_Supuestos!$C$189&gt;0,Q$39=01_Supuestos!$C$189),01_Supuestos!$C$190*P289*(1-$C$340)*(1-1/$C$281),0),P289-Q342-Q289)</f>
        <v>11.123067652569</v>
      </c>
      <c r="R290" s="1" t="n">
        <f aca="false">MAX(Q289*(1-$C$340)/$C$281+IF(AND(01_Supuestos!$C$189&gt;0,R$39=01_Supuestos!$C$189),01_Supuestos!$C$190*Q289*(1-$C$340)*(1-1/$C$281),0),Q289-R342-R289)</f>
        <v>11.3878800493342</v>
      </c>
      <c r="S290" s="1" t="n">
        <f aca="false">MAX(R289*(1-$C$340)/$C$281+IF(AND(01_Supuestos!$C$189&gt;0,S$39=01_Supuestos!$C$189),01_Supuestos!$C$190*R289*(1-$C$340)*(1-1/$C$281),0),R289-S342-S289)</f>
        <v>11.6612080718309</v>
      </c>
      <c r="T290" s="1" t="n">
        <f aca="false">MAX(S289*(1-$C$340)/$C$281+IF(AND(01_Supuestos!$C$189&gt;0,T$39=01_Supuestos!$C$189),01_Supuestos!$C$190*S289*(1-$C$340)*(1-1/$C$281),0),S289-T342-T289)</f>
        <v>11.9431707817171</v>
      </c>
      <c r="U290" s="1" t="n">
        <f aca="false">MAX(T289*(1-$C$340)/$C$281+IF(AND(01_Supuestos!$C$189&gt;0,U$39=01_Supuestos!$C$189),01_Supuestos!$C$190*T289*(1-$C$340)*(1-1/$C$281),0),T289-U342-U289)</f>
        <v>12.2338351224246</v>
      </c>
      <c r="V290" s="1" t="n">
        <f aca="false">MAX(U289*(1-$C$340)/$C$281+IF(AND(01_Supuestos!$C$189&gt;0,V$39=01_Supuestos!$C$189),01_Supuestos!$C$190*U289*(1-$C$340)*(1-1/$C$281),0),U289-V342-V289)</f>
        <v>12.5332755077384</v>
      </c>
      <c r="W290" s="1" t="n">
        <f aca="false">MAX(V289*(1-$C$340)/$C$281+IF(AND(01_Supuestos!$C$189&gt;0,W$39=01_Supuestos!$C$189),01_Supuestos!$C$190*V289*(1-$C$340)*(1-1/$C$281),0),V289-W342-W289)</f>
        <v>12.8415718773498</v>
      </c>
      <c r="X290" s="1" t="n">
        <f aca="false">MAX(W289*(1-$C$340)/$C$281+IF(AND(01_Supuestos!$C$189&gt;0,X$39=01_Supuestos!$C$189),01_Supuestos!$C$190*W289*(1-$C$340)*(1-1/$C$281),0),W289-X342-X289)</f>
        <v>13.1600164117695</v>
      </c>
      <c r="Y290" s="1" t="n">
        <f aca="false">MAX(X289*(1-$C$340)/$C$281+IF(AND(01_Supuestos!$C$189&gt;0,Y$39=01_Supuestos!$C$189),01_Supuestos!$C$190*X289*(1-$C$340)*(1-1/$C$281),0),X289-Y342-Y289)</f>
        <v>13.4886930474205</v>
      </c>
      <c r="Z290" s="1" t="n">
        <f aca="false">MAX(Y289*(1-$C$340)/$C$281+IF(AND(01_Supuestos!$C$189&gt;0,Z$39=01_Supuestos!$C$189),01_Supuestos!$C$190*Y289*(1-$C$340)*(1-1/$C$281),0),Y289-Z342-Z289)</f>
        <v>13.827394700761</v>
      </c>
      <c r="AA290" s="1" t="n">
        <f aca="false">MAX(Z289*(1-$C$340)/$C$281+IF(AND(01_Supuestos!$C$189&gt;0,AA$39=01_Supuestos!$C$189),01_Supuestos!$C$190*Z289*(1-$C$340)*(1-1/$C$281),0),Z289-AA342-AA289)</f>
        <v>14.1758558999037</v>
      </c>
      <c r="AB290" s="1" t="n">
        <f aca="false">MAX(AA289*(1-$C$340)/$C$281+IF(AND(01_Supuestos!$C$189&gt;0,AB$39=01_Supuestos!$C$189),01_Supuestos!$C$190*AA289*(1-$C$340)*(1-1/$C$281),0),AA289-AB342-AB289)</f>
        <v>14.534292699145</v>
      </c>
      <c r="AC290" s="1" t="n">
        <f aca="false">MAX(AB289*(1-$C$340)/$C$281+IF(AND(01_Supuestos!$C$189&gt;0,AC$39=01_Supuestos!$C$189),01_Supuestos!$C$190*AB289*(1-$C$340)*(1-1/$C$281),0),AB289-AC342-AC289)</f>
        <v>14.9028985865681</v>
      </c>
      <c r="AD290" s="1" t="n">
        <f aca="false">MAX(AC289*(1-$C$340)/$C$281+IF(AND(01_Supuestos!$C$189&gt;0,AD$39=01_Supuestos!$C$189),01_Supuestos!$C$190*AC289*(1-$C$340)*(1-1/$C$281),0),AC289-AD342-AD289)</f>
        <v>15.281871415068</v>
      </c>
      <c r="AE290" s="1" t="n">
        <f aca="false">MAX(AD289*(1-$C$340)/$C$281+IF(AND(01_Supuestos!$C$189&gt;0,AE$39=01_Supuestos!$C$189),01_Supuestos!$C$190*AD289*(1-$C$340)*(1-1/$C$281),0),AD289-AE342-AE289)</f>
        <v>15.6714135125255</v>
      </c>
      <c r="AF290" s="1" t="n">
        <f aca="false">MAX(AE289*(1-$C$340)/$C$281+IF(AND(01_Supuestos!$C$189&gt;0,AF$39=01_Supuestos!$C$189),01_Supuestos!$C$190*AE289*(1-$C$340)*(1-1/$C$281),0),AE289-AF342-AF289)</f>
        <v>16.0717317941997</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9.79972685053996</v>
      </c>
      <c r="L291" s="1" t="n">
        <f aca="false">L289-K289+L290+L342</f>
        <v>8.91437448920711</v>
      </c>
      <c r="M291" s="1" t="n">
        <f aca="false">M289-L289+M290+M342</f>
        <v>14.8349727791612</v>
      </c>
      <c r="N291" s="1" t="n">
        <f aca="false">N289-M289+N290+N342</f>
        <v>14.5423313063017</v>
      </c>
      <c r="O291" s="1" t="n">
        <f aca="false">O289-N289+O290+O342</f>
        <v>11.8289433190617</v>
      </c>
      <c r="P291" s="1" t="n">
        <f aca="false">P289-O289+P290+P342</f>
        <v>12.2079207633053</v>
      </c>
      <c r="Q291" s="1" t="n">
        <f aca="false">Q289-P289+Q290+Q342</f>
        <v>12.5041260330383</v>
      </c>
      <c r="R291" s="1" t="n">
        <f aca="false">R289-Q289+R290+R342</f>
        <v>12.8128845665817</v>
      </c>
      <c r="S291" s="1" t="n">
        <f aca="false">S289-R289+S290+S342</f>
        <v>13.1307972507999</v>
      </c>
      <c r="T291" s="1" t="n">
        <f aca="false">T289-S289+T290+T342</f>
        <v>13.4577228912728</v>
      </c>
      <c r="U291" s="1" t="n">
        <f aca="false">U289-T289+U290+U342</f>
        <v>13.7937661556391</v>
      </c>
      <c r="V291" s="1" t="n">
        <f aca="false">V289-U289+V290+V342</f>
        <v>14.1390294873137</v>
      </c>
      <c r="W291" s="1" t="n">
        <f aca="false">W289-V289+W290+W342</f>
        <v>14.4996604974553</v>
      </c>
      <c r="X291" s="1" t="n">
        <f aca="false">X289-W289+X290+X342</f>
        <v>14.8709105662378</v>
      </c>
      <c r="Y291" s="1" t="n">
        <f aca="false">Y289-X289+Y290+Y342</f>
        <v>15.2514074938065</v>
      </c>
      <c r="Z291" s="1" t="n">
        <f aca="false">Z289-Y289+Z290+Z342</f>
        <v>15.6406509262036</v>
      </c>
      <c r="AA291" s="1" t="n">
        <f aca="false">AA289-Z289+AA290+AA342</f>
        <v>16.0407841038135</v>
      </c>
      <c r="AB291" s="1" t="n">
        <f aca="false">AB289-AA289+AB290+AB342</f>
        <v>16.4519112182753</v>
      </c>
      <c r="AC291" s="1" t="n">
        <f aca="false">AC289-AB289+AC290+AC342</f>
        <v>16.8742485719858</v>
      </c>
      <c r="AD291" s="1" t="n">
        <f aca="false">AD289-AC289+AD290+AD342</f>
        <v>17.3080174054216</v>
      </c>
      <c r="AE291" s="1" t="n">
        <f aca="false">AE289-AD289+AE290+AE342</f>
        <v>17.7534440189654</v>
      </c>
      <c r="AF291" s="1" t="n">
        <f aca="false">AF289-AE289+AF290+AF342</f>
        <v>18.2107598973153</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1.78015436368618</v>
      </c>
      <c r="L292" s="1" t="n">
        <f aca="false">L289*(1-$C$340)*$C$175</f>
        <v>1.80563415239087</v>
      </c>
      <c r="M292" s="1" t="n">
        <f aca="false">M289*(1-$C$340)*$C$175</f>
        <v>2.08032874026521</v>
      </c>
      <c r="N292" s="1" t="n">
        <f aca="false">N289*(1-$C$340)*$C$175</f>
        <v>2.28729365514476</v>
      </c>
      <c r="O292" s="1" t="n">
        <f aca="false">O289*(1-$C$340)*$C$175</f>
        <v>2.33614100734862</v>
      </c>
      <c r="P292" s="1" t="n">
        <f aca="false">P289*(1-$C$340)*$C$175</f>
        <v>2.39145954530233</v>
      </c>
      <c r="Q292" s="1" t="n">
        <f aca="false">Q289*(1-$C$340)*$C$175</f>
        <v>2.44839421060685</v>
      </c>
      <c r="R292" s="1" t="n">
        <f aca="false">R289*(1-$C$340)*$C$175</f>
        <v>2.50715973544364</v>
      </c>
      <c r="S292" s="1" t="n">
        <f aca="false">S289*(1-$C$340)*$C$175</f>
        <v>2.56778171806917</v>
      </c>
      <c r="T292" s="1" t="n">
        <f aca="false">T289*(1-$C$340)*$C$175</f>
        <v>2.63027455132129</v>
      </c>
      <c r="U292" s="1" t="n">
        <f aca="false">U289*(1-$C$340)*$C$175</f>
        <v>2.69465423416376</v>
      </c>
      <c r="V292" s="1" t="n">
        <f aca="false">V289*(1-$C$340)*$C$175</f>
        <v>2.76093795363021</v>
      </c>
      <c r="W292" s="1" t="n">
        <f aca="false">W289*(1-$C$340)*$C$175</f>
        <v>2.82940352853045</v>
      </c>
      <c r="X292" s="1" t="n">
        <f aca="false">X289*(1-$C$340)*$C$175</f>
        <v>2.90006900519541</v>
      </c>
      <c r="Y292" s="1" t="n">
        <f aca="false">Y289*(1-$C$340)*$C$175</f>
        <v>2.97288986066362</v>
      </c>
      <c r="Z292" s="1" t="n">
        <f aca="false">Z289*(1-$C$340)*$C$175</f>
        <v>3.04780901847929</v>
      </c>
      <c r="AA292" s="1" t="n">
        <f aca="false">AA289*(1-$C$340)*$C$175</f>
        <v>3.12487293031617</v>
      </c>
      <c r="AB292" s="1" t="n">
        <f aca="false">AB289*(1-$C$340)*$C$175</f>
        <v>3.20412319611213</v>
      </c>
      <c r="AC292" s="1" t="n">
        <f aca="false">AC289*(1-$C$340)*$C$175</f>
        <v>3.28560235423961</v>
      </c>
      <c r="AD292" s="1" t="n">
        <f aca="false">AD289*(1-$C$340)*$C$175</f>
        <v>3.36935390519299</v>
      </c>
      <c r="AE292" s="1" t="n">
        <f aca="false">AE289*(1-$C$340)*$C$175</f>
        <v>3.45542233575293</v>
      </c>
      <c r="AF292" s="1" t="n">
        <f aca="false">AF289*(1-$C$340)*$C$175</f>
        <v>3.54385314364272</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41.9659021598244</v>
      </c>
      <c r="M294" s="116" t="n">
        <f aca="false">M85</f>
        <v>33.5727217278596</v>
      </c>
      <c r="N294" s="116" t="n">
        <f aca="false">N85</f>
        <v>27.9585017660955</v>
      </c>
      <c r="O294" s="116" t="n">
        <f aca="false">O85</f>
        <v>28.7524761772246</v>
      </c>
      <c r="P294" s="116" t="n">
        <f aca="false">P85</f>
        <v>29.3500748827749</v>
      </c>
      <c r="Q294" s="116" t="n">
        <f aca="false">Q85</f>
        <v>29.9476194362192</v>
      </c>
      <c r="R294" s="116" t="n">
        <f aca="false">R85</f>
        <v>30.5379819284109</v>
      </c>
      <c r="S294" s="116" t="n">
        <f aca="false">S85</f>
        <v>31.1216598840834</v>
      </c>
      <c r="T294" s="116" t="n">
        <f aca="false">T85</f>
        <v>31.6996356465194</v>
      </c>
      <c r="U294" s="116" t="n">
        <f aca="false">U85</f>
        <v>32.2728629753908</v>
      </c>
      <c r="V294" s="116" t="n">
        <f aca="false">V85</f>
        <v>32.8422846512607</v>
      </c>
      <c r="W294" s="116" t="n">
        <f aca="false">W85</f>
        <v>33.3984201919172</v>
      </c>
      <c r="X294" s="116" t="n">
        <f aca="false">X85</f>
        <v>33.9422538523594</v>
      </c>
      <c r="Y294" s="116" t="n">
        <f aca="false">Y85</f>
        <v>34.4773204887802</v>
      </c>
      <c r="Z294" s="116" t="n">
        <f aca="false">Z85</f>
        <v>35.0076990099552</v>
      </c>
      <c r="AA294" s="116" t="n">
        <f aca="false">AA85</f>
        <v>35.5333542071705</v>
      </c>
      <c r="AB294" s="116" t="n">
        <f aca="false">AB85</f>
        <v>36.0544876741973</v>
      </c>
      <c r="AC294" s="116" t="n">
        <f aca="false">AC85</f>
        <v>36.5713063785294</v>
      </c>
      <c r="AD294" s="116" t="n">
        <f aca="false">AD85</f>
        <v>37.0840227005538</v>
      </c>
      <c r="AE294" s="116" t="n">
        <f aca="false">AE85</f>
        <v>37.5928544763507</v>
      </c>
      <c r="AF294" s="116" t="n">
        <f aca="false">AF85</f>
        <v>38.0980250440344</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8.39318043196489</v>
      </c>
      <c r="N295" s="1" t="n">
        <f aca="false">MAX(M294/$C$282,M294-N294)</f>
        <v>5.61421996176406</v>
      </c>
      <c r="O295" s="1" t="n">
        <f aca="false">MAX(N294/$C$282,N294-O294)</f>
        <v>2.79585017660955</v>
      </c>
      <c r="P295" s="1" t="n">
        <f aca="false">MAX(O294/$C$282,O294-P294)</f>
        <v>2.87524761772246</v>
      </c>
      <c r="Q295" s="1" t="n">
        <f aca="false">MAX(P294/$C$282,P294-Q294)</f>
        <v>2.93500748827749</v>
      </c>
      <c r="R295" s="1" t="n">
        <f aca="false">MAX(Q294/$C$282,Q294-R294)</f>
        <v>2.99476194362192</v>
      </c>
      <c r="S295" s="1" t="n">
        <f aca="false">MAX(R294/$C$282,R294-S294)</f>
        <v>3.05379819284109</v>
      </c>
      <c r="T295" s="1" t="n">
        <f aca="false">MAX(S294/$C$282,S294-T294)</f>
        <v>3.11216598840834</v>
      </c>
      <c r="U295" s="1" t="n">
        <f aca="false">MAX(T294/$C$282,T294-U294)</f>
        <v>3.16996356465194</v>
      </c>
      <c r="V295" s="1" t="n">
        <f aca="false">MAX(U294/$C$282,U294-V294)</f>
        <v>3.22728629753908</v>
      </c>
      <c r="W295" s="1" t="n">
        <f aca="false">MAX(V294/$C$282,V294-W294)</f>
        <v>3.28422846512607</v>
      </c>
      <c r="X295" s="1" t="n">
        <f aca="false">MAX(W294/$C$282,W294-X294)</f>
        <v>3.33984201919172</v>
      </c>
      <c r="Y295" s="1" t="n">
        <f aca="false">MAX(X294/$C$282,X294-Y294)</f>
        <v>3.39422538523594</v>
      </c>
      <c r="Z295" s="1" t="n">
        <f aca="false">MAX(Y294/$C$282,Y294-Z294)</f>
        <v>3.44773204887802</v>
      </c>
      <c r="AA295" s="1" t="n">
        <f aca="false">MAX(Z294/$C$282,Z294-AA294)</f>
        <v>3.50076990099552</v>
      </c>
      <c r="AB295" s="1" t="n">
        <f aca="false">MAX(AA294/$C$282,AA294-AB294)</f>
        <v>3.55333542071705</v>
      </c>
      <c r="AC295" s="1" t="n">
        <f aca="false">MAX(AB294/$C$282,AB294-AC294)</f>
        <v>3.60544876741973</v>
      </c>
      <c r="AD295" s="1" t="n">
        <f aca="false">MAX(AC294/$C$282,AC294-AD294)</f>
        <v>3.65713063785294</v>
      </c>
      <c r="AE295" s="1" t="n">
        <f aca="false">MAX(AD294/$C$282,AD294-AE294)</f>
        <v>3.70840227005538</v>
      </c>
      <c r="AF295" s="1" t="n">
        <f aca="false">MAX(AE294/$C$282,AE294-AF294)</f>
        <v>3.75928544763507</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5.59178813490286</v>
      </c>
      <c r="M296" s="1" t="n">
        <f aca="false">M294-L294+M295</f>
        <v>0</v>
      </c>
      <c r="N296" s="1" t="n">
        <f aca="false">N294-M294+N295</f>
        <v>0</v>
      </c>
      <c r="O296" s="1" t="n">
        <f aca="false">O294-N294+O295</f>
        <v>3.58982458773862</v>
      </c>
      <c r="P296" s="1" t="n">
        <f aca="false">P294-O294+P295</f>
        <v>3.47284632327282</v>
      </c>
      <c r="Q296" s="1" t="n">
        <f aca="false">Q294-P294+Q295</f>
        <v>3.53255204172176</v>
      </c>
      <c r="R296" s="1" t="n">
        <f aca="false">R294-Q294+R295</f>
        <v>3.58512443581361</v>
      </c>
      <c r="S296" s="1" t="n">
        <f aca="false">S294-R294+S295</f>
        <v>3.63747614851357</v>
      </c>
      <c r="T296" s="1" t="n">
        <f aca="false">T294-S294+T295</f>
        <v>3.69014175084437</v>
      </c>
      <c r="U296" s="1" t="n">
        <f aca="false">U294-T294+U295</f>
        <v>3.74319089352334</v>
      </c>
      <c r="V296" s="1" t="n">
        <f aca="false">V294-U294+V295</f>
        <v>3.79670797340901</v>
      </c>
      <c r="W296" s="1" t="n">
        <f aca="false">W294-V294+W295</f>
        <v>3.84036400578248</v>
      </c>
      <c r="X296" s="1" t="n">
        <f aca="false">X294-W294+X295</f>
        <v>3.88367567963393</v>
      </c>
      <c r="Y296" s="1" t="n">
        <f aca="false">Y294-X294+Y295</f>
        <v>3.92929202165673</v>
      </c>
      <c r="Z296" s="1" t="n">
        <f aca="false">Z294-Y294+Z295</f>
        <v>3.97811057005305</v>
      </c>
      <c r="AA296" s="1" t="n">
        <f aca="false">AA294-Z294+AA295</f>
        <v>4.02642509821084</v>
      </c>
      <c r="AB296" s="1" t="n">
        <f aca="false">AB294-AA294+AB295</f>
        <v>4.07446888774385</v>
      </c>
      <c r="AC296" s="1" t="n">
        <f aca="false">AC294-AB294+AC295</f>
        <v>4.12226747175183</v>
      </c>
      <c r="AD296" s="1" t="n">
        <f aca="false">AD294-AC294+AD295</f>
        <v>4.16984695987729</v>
      </c>
      <c r="AE296" s="1" t="n">
        <f aca="false">AE294-AD294+AE295</f>
        <v>4.21723404585228</v>
      </c>
      <c r="AF296" s="1" t="n">
        <f aca="false">AF294-AE294+AF295</f>
        <v>4.26445601531875</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1.67863608639298</v>
      </c>
      <c r="M297" s="1" t="n">
        <f aca="false">M294*01_Supuestos!$I$126</f>
        <v>1.34290886911438</v>
      </c>
      <c r="N297" s="1" t="n">
        <f aca="false">N294*01_Supuestos!$I$126</f>
        <v>1.11834007064382</v>
      </c>
      <c r="O297" s="1" t="n">
        <f aca="false">O294*01_Supuestos!$I$126</f>
        <v>1.15009904708898</v>
      </c>
      <c r="P297" s="1" t="n">
        <f aca="false">P294*01_Supuestos!$I$126</f>
        <v>1.174002995311</v>
      </c>
      <c r="Q297" s="1" t="n">
        <f aca="false">Q294*01_Supuestos!$I$126</f>
        <v>1.19790477744877</v>
      </c>
      <c r="R297" s="1" t="n">
        <f aca="false">R294*01_Supuestos!$I$126</f>
        <v>1.22151927713644</v>
      </c>
      <c r="S297" s="1" t="n">
        <f aca="false">S294*01_Supuestos!$I$126</f>
        <v>1.24486639536334</v>
      </c>
      <c r="T297" s="1" t="n">
        <f aca="false">T294*01_Supuestos!$I$126</f>
        <v>1.26798542586078</v>
      </c>
      <c r="U297" s="1" t="n">
        <f aca="false">U294*01_Supuestos!$I$126</f>
        <v>1.29091451901563</v>
      </c>
      <c r="V297" s="1" t="n">
        <f aca="false">V294*01_Supuestos!$I$126</f>
        <v>1.31369138605043</v>
      </c>
      <c r="W297" s="1" t="n">
        <f aca="false">W294*01_Supuestos!$I$126</f>
        <v>1.33593680767669</v>
      </c>
      <c r="X297" s="1" t="n">
        <f aca="false">X294*01_Supuestos!$I$126</f>
        <v>1.35769015409437</v>
      </c>
      <c r="Y297" s="1" t="n">
        <f aca="false">Y294*01_Supuestos!$I$126</f>
        <v>1.37909281955121</v>
      </c>
      <c r="Z297" s="1" t="n">
        <f aca="false">Z294*01_Supuestos!$I$126</f>
        <v>1.40030796039821</v>
      </c>
      <c r="AA297" s="1" t="n">
        <f aca="false">AA294*01_Supuestos!$I$126</f>
        <v>1.42133416828682</v>
      </c>
      <c r="AB297" s="1" t="n">
        <f aca="false">AB294*01_Supuestos!$I$126</f>
        <v>1.44217950696789</v>
      </c>
      <c r="AC297" s="1" t="n">
        <f aca="false">AC294*01_Supuestos!$I$126</f>
        <v>1.46285225514118</v>
      </c>
      <c r="AD297" s="1" t="n">
        <f aca="false">AD294*01_Supuestos!$I$126</f>
        <v>1.48336090802215</v>
      </c>
      <c r="AE297" s="1" t="n">
        <f aca="false">AE294*01_Supuestos!$I$126</f>
        <v>1.50371417905403</v>
      </c>
      <c r="AF297" s="1" t="n">
        <f aca="false">AF294*01_Supuestos!$I$126</f>
        <v>1.52392100176137</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5.8876111410522</v>
      </c>
      <c r="L298" s="116" t="n">
        <f aca="false">L86</f>
        <v>6.02302619729641</v>
      </c>
      <c r="M298" s="116" t="n">
        <f aca="false">M86</f>
        <v>6.16155579983422</v>
      </c>
      <c r="N298" s="116" t="n">
        <f aca="false">N86</f>
        <v>6.30327158323041</v>
      </c>
      <c r="O298" s="116" t="n">
        <f aca="false">O86</f>
        <v>6.44824682964471</v>
      </c>
      <c r="P298" s="116" t="n">
        <f aca="false">P86</f>
        <v>6.59655650672654</v>
      </c>
      <c r="Q298" s="116" t="n">
        <f aca="false">Q86</f>
        <v>6.74827730638124</v>
      </c>
      <c r="R298" s="116" t="n">
        <f aca="false">R86</f>
        <v>6.90348768442801</v>
      </c>
      <c r="S298" s="116" t="n">
        <f aca="false">S86</f>
        <v>7.06226790116986</v>
      </c>
      <c r="T298" s="116" t="n">
        <f aca="false">T86</f>
        <v>7.22470006289676</v>
      </c>
      <c r="U298" s="116" t="n">
        <f aca="false">U86</f>
        <v>7.39086816434339</v>
      </c>
      <c r="V298" s="116" t="n">
        <f aca="false">V86</f>
        <v>7.56085813212328</v>
      </c>
      <c r="W298" s="116" t="n">
        <f aca="false">W86</f>
        <v>7.73475786916212</v>
      </c>
      <c r="X298" s="116" t="n">
        <f aca="false">X86</f>
        <v>7.91265730015285</v>
      </c>
      <c r="Y298" s="116" t="n">
        <f aca="false">Y86</f>
        <v>8.09464841805636</v>
      </c>
      <c r="Z298" s="116" t="n">
        <f aca="false">Z86</f>
        <v>8.28082533167166</v>
      </c>
      <c r="AA298" s="116" t="n">
        <f aca="false">AA86</f>
        <v>8.47128431430011</v>
      </c>
      <c r="AB298" s="116" t="n">
        <f aca="false">AB86</f>
        <v>8.66612385352901</v>
      </c>
      <c r="AC298" s="116" t="n">
        <f aca="false">AC86</f>
        <v>8.86544470216017</v>
      </c>
      <c r="AD298" s="116" t="n">
        <f aca="false">AD86</f>
        <v>9.06934993030985</v>
      </c>
      <c r="AE298" s="116" t="n">
        <f aca="false">AE86</f>
        <v>9.27794497870698</v>
      </c>
      <c r="AF298" s="116" t="n">
        <f aca="false">AF86</f>
        <v>9.49133771321724</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18.0321408234275</v>
      </c>
      <c r="L299" s="1" t="n">
        <f aca="false">L286+L291+L296</f>
        <v>16.4646180516501</v>
      </c>
      <c r="M299" s="1" t="n">
        <f aca="false">M286+M291+M296</f>
        <v>21.0163944628432</v>
      </c>
      <c r="N299" s="1" t="n">
        <f aca="false">N286+N291+N296</f>
        <v>19.8179444881421</v>
      </c>
      <c r="O299" s="1" t="n">
        <f aca="false">O286+O291+O296</f>
        <v>18.206707604801</v>
      </c>
      <c r="P299" s="1" t="n">
        <f aca="false">P286+P291+P296</f>
        <v>18.6197472598874</v>
      </c>
      <c r="Q299" s="1" t="n">
        <f aca="false">Q286+Q291+Q296</f>
        <v>19.0504136322029</v>
      </c>
      <c r="R299" s="1" t="n">
        <f aca="false">R286+R291+R296</f>
        <v>19.4915077996781</v>
      </c>
      <c r="S299" s="1" t="n">
        <f aca="false">S286+S291+S296</f>
        <v>19.9435394384673</v>
      </c>
      <c r="T299" s="1" t="n">
        <f aca="false">T286+T291+T296</f>
        <v>20.4067350181408</v>
      </c>
      <c r="U299" s="1" t="n">
        <f aca="false">U286+U291+U296</f>
        <v>20.8813082936533</v>
      </c>
      <c r="V299" s="1" t="n">
        <f aca="false">V286+V291+V296</f>
        <v>21.3674798740574</v>
      </c>
      <c r="W299" s="1" t="n">
        <f aca="false">W286+W291+W296</f>
        <v>21.8654766886965</v>
      </c>
      <c r="X299" s="1" t="n">
        <f aca="false">X286+X291+X296</f>
        <v>22.375926363307</v>
      </c>
      <c r="Y299" s="1" t="n">
        <f aca="false">Y286+Y291+Y296</f>
        <v>22.8990664766034</v>
      </c>
      <c r="Z299" s="1" t="n">
        <f aca="false">Z286+Z291+Z296</f>
        <v>23.4350443553355</v>
      </c>
      <c r="AA299" s="1" t="n">
        <f aca="false">AA286+AA291+AA296</f>
        <v>23.9839931936313</v>
      </c>
      <c r="AB299" s="1" t="n">
        <f aca="false">AB286+AB291+AB296</f>
        <v>24.5462085740277</v>
      </c>
      <c r="AC299" s="1" t="n">
        <f aca="false">AC286+AC291+AC296</f>
        <v>25.1219838807463</v>
      </c>
      <c r="AD299" s="1" t="n">
        <f aca="false">AD286+AD291+AD296</f>
        <v>25.711619217938</v>
      </c>
      <c r="AE299" s="1" t="n">
        <f aca="false">AE286+AE291+AE296</f>
        <v>26.3154215674382</v>
      </c>
      <c r="AF299" s="1" t="n">
        <f aca="false">AF286+AF291+AF296</f>
        <v>26.933704950047</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13.8202830535802</v>
      </c>
      <c r="M300" s="1" t="n">
        <f aca="false">M285+M290+M295</f>
        <v>18.3118604190358</v>
      </c>
      <c r="N300" s="1" t="n">
        <f aca="false">N285+N290+N295</f>
        <v>17.0418477651455</v>
      </c>
      <c r="O300" s="1" t="n">
        <f aca="false">O285+O290+O295</f>
        <v>15.360374264614</v>
      </c>
      <c r="P300" s="1" t="n">
        <f aca="false">P285+P290+P295</f>
        <v>15.7080991817466</v>
      </c>
      <c r="Q300" s="1" t="n">
        <f aca="false">Q285+Q290+Q295</f>
        <v>16.0717339400184</v>
      </c>
      <c r="R300" s="1" t="n">
        <f aca="false">R285+R290+R295</f>
        <v>16.4442409674045</v>
      </c>
      <c r="S300" s="1" t="n">
        <f aca="false">S285+S290+S295</f>
        <v>16.8260870362965</v>
      </c>
      <c r="T300" s="1" t="n">
        <f aca="false">T285+T290+T295</f>
        <v>17.2174625150914</v>
      </c>
      <c r="U300" s="1" t="n">
        <f aca="false">U285+U290+U295</f>
        <v>17.6185447006189</v>
      </c>
      <c r="V300" s="1" t="n">
        <f aca="false">V285+V290+V295</f>
        <v>18.0295168540922</v>
      </c>
      <c r="W300" s="1" t="n">
        <f aca="false">W285+W290+W295</f>
        <v>18.4505676650996</v>
      </c>
      <c r="X300" s="1" t="n">
        <f aca="false">X285+X290+X295</f>
        <v>18.8822751951609</v>
      </c>
      <c r="Y300" s="1" t="n">
        <f aca="false">Y285+Y290+Y295</f>
        <v>19.324837001586</v>
      </c>
      <c r="Z300" s="1" t="n">
        <f aca="false">Z285+Z290+Z295</f>
        <v>19.7783619971906</v>
      </c>
      <c r="AA300" s="1" t="n">
        <f aca="false">AA285+AA290+AA295</f>
        <v>20.242944541399</v>
      </c>
      <c r="AB300" s="1" t="n">
        <f aca="false">AB285+AB290+AB295</f>
        <v>20.7188362809141</v>
      </c>
      <c r="AC300" s="1" t="n">
        <f aca="false">AC285+AC290+AC295</f>
        <v>21.2062858912113</v>
      </c>
      <c r="AD300" s="1" t="n">
        <f aca="false">AD285+AD290+AD295</f>
        <v>21.7055477401315</v>
      </c>
      <c r="AE300" s="1" t="n">
        <f aca="false">AE285+AE290+AE295</f>
        <v>22.2168820219174</v>
      </c>
      <c r="AF300" s="1" t="n">
        <f aca="false">AF285+AF290+AF295</f>
        <v>22.740554894233</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111.864611679992</v>
      </c>
      <c r="L301" s="1" t="n">
        <f aca="false">L284+L289+L294</f>
        <v>114.437497748632</v>
      </c>
      <c r="M301" s="1" t="n">
        <f aca="false">M284+M289+M294</f>
        <v>117.06956019685</v>
      </c>
      <c r="N301" s="1" t="n">
        <f aca="false">N284+N289+N294</f>
        <v>119.762160081378</v>
      </c>
      <c r="O301" s="1" t="n">
        <f aca="false">O284+O289+O294</f>
        <v>122.516689763249</v>
      </c>
      <c r="P301" s="1" t="n">
        <f aca="false">P284+P289+P294</f>
        <v>125.334573627804</v>
      </c>
      <c r="Q301" s="1" t="n">
        <f aca="false">Q284+Q289+Q294</f>
        <v>128.217268821244</v>
      </c>
      <c r="R301" s="1" t="n">
        <f aca="false">R284+R289+R294</f>
        <v>131.166266004132</v>
      </c>
      <c r="S301" s="1" t="n">
        <f aca="false">S284+S289+S294</f>
        <v>134.183090122227</v>
      </c>
      <c r="T301" s="1" t="n">
        <f aca="false">T284+T289+T294</f>
        <v>137.269301195038</v>
      </c>
      <c r="U301" s="1" t="n">
        <f aca="false">U284+U289+U294</f>
        <v>140.426495122524</v>
      </c>
      <c r="V301" s="1" t="n">
        <f aca="false">V284+V289+V294</f>
        <v>143.656304510342</v>
      </c>
      <c r="W301" s="1" t="n">
        <f aca="false">W284+W289+W294</f>
        <v>146.96039951408</v>
      </c>
      <c r="X301" s="1" t="n">
        <f aca="false">X284+X289+X294</f>
        <v>150.340488702904</v>
      </c>
      <c r="Y301" s="1" t="n">
        <f aca="false">Y284+Y289+Y294</f>
        <v>153.798319943071</v>
      </c>
      <c r="Z301" s="1" t="n">
        <f aca="false">Z284+Z289+Z294</f>
        <v>157.335681301762</v>
      </c>
      <c r="AA301" s="1" t="n">
        <f aca="false">AA284+AA289+AA294</f>
        <v>160.954401971702</v>
      </c>
      <c r="AB301" s="1" t="n">
        <f aca="false">AB284+AB289+AB294</f>
        <v>164.656353217051</v>
      </c>
      <c r="AC301" s="1" t="n">
        <f aca="false">AC284+AC289+AC294</f>
        <v>168.443449341043</v>
      </c>
      <c r="AD301" s="1" t="n">
        <f aca="false">AD284+AD289+AD294</f>
        <v>172.317648675887</v>
      </c>
      <c r="AE301" s="1" t="n">
        <f aca="false">AE284+AE289+AE294</f>
        <v>176.280954595433</v>
      </c>
      <c r="AF301" s="1" t="n">
        <f aca="false">AF284+AF289+AF294</f>
        <v>180.335416551128</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4.68585895152442</v>
      </c>
      <c r="L302" s="1" t="n">
        <f aca="false">L287+L292+L297</f>
        <v>4.79179841810137</v>
      </c>
      <c r="M302" s="1" t="n">
        <f aca="false">M287+M292+M297</f>
        <v>4.92968255922682</v>
      </c>
      <c r="N302" s="1" t="n">
        <f aca="false">N287+N292+N297</f>
        <v>5.0619498208934</v>
      </c>
      <c r="O302" s="1" t="n">
        <f aca="false">O287+O292+O297</f>
        <v>5.17792837010385</v>
      </c>
      <c r="P302" s="1" t="n">
        <f aca="false">P287+P292+P297</f>
        <v>5.29720910790122</v>
      </c>
      <c r="Q302" s="1" t="n">
        <f aca="false">Q287+Q292+Q297</f>
        <v>5.41927410608126</v>
      </c>
      <c r="R302" s="1" t="n">
        <f aca="false">R287+R292+R297</f>
        <v>5.5442084761772</v>
      </c>
      <c r="S302" s="1" t="n">
        <f aca="false">S287+S292+S297</f>
        <v>5.67207625410328</v>
      </c>
      <c r="T302" s="1" t="n">
        <f aca="false">T287+T292+T297</f>
        <v>5.80294154882851</v>
      </c>
      <c r="U302" s="1" t="n">
        <f aca="false">U287+U292+U297</f>
        <v>5.93687009516005</v>
      </c>
      <c r="V302" s="1" t="n">
        <f aca="false">V287+V292+V297</f>
        <v>6.073929237137</v>
      </c>
      <c r="W302" s="1" t="n">
        <f aca="false">W287+W292+W297</f>
        <v>6.21421875341885</v>
      </c>
      <c r="X302" s="1" t="n">
        <f aca="false">X287+X292+X297</f>
        <v>6.35780912856922</v>
      </c>
      <c r="Y302" s="1" t="n">
        <f aca="false">Y287+Y292+Y297</f>
        <v>6.50476499310917</v>
      </c>
      <c r="Z302" s="1" t="n">
        <f aca="false">Z287+Z292+Z297</f>
        <v>6.65515109570733</v>
      </c>
      <c r="AA302" s="1" t="n">
        <f aca="false">AA287+AA292+AA297</f>
        <v>6.8090461171078</v>
      </c>
      <c r="AB302" s="1" t="n">
        <f aca="false">AB287+AB292+AB297</f>
        <v>6.96652984509226</v>
      </c>
      <c r="AC302" s="1" t="n">
        <f aca="false">AC287+AC292+AC297</f>
        <v>7.12768390038188</v>
      </c>
      <c r="AD302" s="1" t="n">
        <f aca="false">AD287+AD292+AD297</f>
        <v>7.29259177904455</v>
      </c>
      <c r="AE302" s="1" t="n">
        <f aca="false">AE287+AE292+AE297</f>
        <v>7.46133889586943</v>
      </c>
      <c r="AF302" s="1" t="n">
        <f aca="false">AF287+AF292+AF297</f>
        <v>7.63401262873158</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349.71585133187</v>
      </c>
      <c r="M307" s="116" t="n">
        <f aca="false">M81</f>
        <v>361.393895840307</v>
      </c>
      <c r="N307" s="116" t="n">
        <f aca="false">N81</f>
        <v>372.78002354794</v>
      </c>
      <c r="O307" s="116" t="n">
        <f aca="false">O81</f>
        <v>383.366349029661</v>
      </c>
      <c r="P307" s="116" t="n">
        <f aca="false">P81</f>
        <v>391.334331770332</v>
      </c>
      <c r="Q307" s="116" t="n">
        <f aca="false">Q81</f>
        <v>399.301592482923</v>
      </c>
      <c r="R307" s="116" t="n">
        <f aca="false">R81</f>
        <v>407.173092378812</v>
      </c>
      <c r="S307" s="116" t="n">
        <f aca="false">S81</f>
        <v>414.955465121112</v>
      </c>
      <c r="T307" s="116" t="n">
        <f aca="false">T81</f>
        <v>422.661808620259</v>
      </c>
      <c r="U307" s="116" t="n">
        <f aca="false">U81</f>
        <v>430.304839671877</v>
      </c>
      <c r="V307" s="116" t="n">
        <f aca="false">V81</f>
        <v>437.897128683477</v>
      </c>
      <c r="W307" s="116" t="n">
        <f aca="false">W81</f>
        <v>445.312269225562</v>
      </c>
      <c r="X307" s="116" t="n">
        <f aca="false">X81</f>
        <v>452.563384698125</v>
      </c>
      <c r="Y307" s="116" t="n">
        <f aca="false">Y81</f>
        <v>459.697606517069</v>
      </c>
      <c r="Z307" s="116" t="n">
        <f aca="false">Z81</f>
        <v>466.769320132736</v>
      </c>
      <c r="AA307" s="116" t="n">
        <f aca="false">AA81</f>
        <v>473.778056095607</v>
      </c>
      <c r="AB307" s="116" t="n">
        <f aca="false">AB81</f>
        <v>480.726502322631</v>
      </c>
      <c r="AC307" s="116" t="n">
        <f aca="false">AC81</f>
        <v>487.617418380392</v>
      </c>
      <c r="AD307" s="116" t="n">
        <f aca="false">AD81</f>
        <v>494.453636007383</v>
      </c>
      <c r="AE307" s="116" t="n">
        <f aca="false">AE81</f>
        <v>501.238059684676</v>
      </c>
      <c r="AF307" s="116" t="n">
        <f aca="false">AF81</f>
        <v>507.973667253791</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111.864611679992</v>
      </c>
      <c r="L308" s="1" t="n">
        <f aca="false">L301</f>
        <v>114.437497748632</v>
      </c>
      <c r="M308" s="1" t="n">
        <f aca="false">M301</f>
        <v>117.06956019685</v>
      </c>
      <c r="N308" s="1" t="n">
        <f aca="false">N301</f>
        <v>119.762160081378</v>
      </c>
      <c r="O308" s="1" t="n">
        <f aca="false">O301</f>
        <v>122.516689763249</v>
      </c>
      <c r="P308" s="1" t="n">
        <f aca="false">P301</f>
        <v>125.334573627804</v>
      </c>
      <c r="Q308" s="1" t="n">
        <f aca="false">Q301</f>
        <v>128.217268821244</v>
      </c>
      <c r="R308" s="1" t="n">
        <f aca="false">R301</f>
        <v>131.166266004132</v>
      </c>
      <c r="S308" s="1" t="n">
        <f aca="false">S301</f>
        <v>134.183090122227</v>
      </c>
      <c r="T308" s="1" t="n">
        <f aca="false">T301</f>
        <v>137.269301195038</v>
      </c>
      <c r="U308" s="1" t="n">
        <f aca="false">U301</f>
        <v>140.426495122524</v>
      </c>
      <c r="V308" s="1" t="n">
        <f aca="false">V301</f>
        <v>143.656304510342</v>
      </c>
      <c r="W308" s="1" t="n">
        <f aca="false">W301</f>
        <v>146.96039951408</v>
      </c>
      <c r="X308" s="1" t="n">
        <f aca="false">X301</f>
        <v>150.340488702904</v>
      </c>
      <c r="Y308" s="1" t="n">
        <f aca="false">Y301</f>
        <v>153.798319943071</v>
      </c>
      <c r="Z308" s="1" t="n">
        <f aca="false">Z301</f>
        <v>157.335681301762</v>
      </c>
      <c r="AA308" s="1" t="n">
        <f aca="false">AA301</f>
        <v>160.954401971702</v>
      </c>
      <c r="AB308" s="1" t="n">
        <f aca="false">AB301</f>
        <v>164.656353217051</v>
      </c>
      <c r="AC308" s="1" t="n">
        <f aca="false">AC301</f>
        <v>168.443449341043</v>
      </c>
      <c r="AD308" s="1" t="n">
        <f aca="false">AD301</f>
        <v>172.317648675887</v>
      </c>
      <c r="AE308" s="1" t="n">
        <f aca="false">AE301</f>
        <v>176.280954595433</v>
      </c>
      <c r="AF308" s="1" t="n">
        <f aca="false">AF301</f>
        <v>180.335416551128</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224.932740402615</v>
      </c>
      <c r="L309" s="1" t="n">
        <f aca="false">L307-L308</f>
        <v>235.278353583239</v>
      </c>
      <c r="M309" s="1" t="n">
        <f aca="false">M307-M308</f>
        <v>244.324335643456</v>
      </c>
      <c r="N309" s="1" t="n">
        <f aca="false">N307-N308</f>
        <v>253.017863466562</v>
      </c>
      <c r="O309" s="1" t="n">
        <f aca="false">O307-O308</f>
        <v>260.849659266411</v>
      </c>
      <c r="P309" s="1" t="n">
        <f aca="false">P307-P308</f>
        <v>265.999758142528</v>
      </c>
      <c r="Q309" s="1" t="n">
        <f aca="false">Q307-Q308</f>
        <v>271.084323661679</v>
      </c>
      <c r="R309" s="1" t="n">
        <f aca="false">R307-R308</f>
        <v>276.00682637468</v>
      </c>
      <c r="S309" s="1" t="n">
        <f aca="false">S307-S308</f>
        <v>280.772374998884</v>
      </c>
      <c r="T309" s="1" t="n">
        <f aca="false">T307-T308</f>
        <v>285.39250742522</v>
      </c>
      <c r="U309" s="1" t="n">
        <f aca="false">U307-U308</f>
        <v>289.878344549353</v>
      </c>
      <c r="V309" s="1" t="n">
        <f aca="false">V307-V308</f>
        <v>294.240824173134</v>
      </c>
      <c r="W309" s="1" t="n">
        <f aca="false">W307-W308</f>
        <v>298.351869711482</v>
      </c>
      <c r="X309" s="1" t="n">
        <f aca="false">X307-X308</f>
        <v>302.222895995221</v>
      </c>
      <c r="Y309" s="1" t="n">
        <f aca="false">Y307-Y308</f>
        <v>305.899286573998</v>
      </c>
      <c r="Z309" s="1" t="n">
        <f aca="false">Z307-Z308</f>
        <v>309.433638830974</v>
      </c>
      <c r="AA309" s="1" t="n">
        <f aca="false">AA307-AA308</f>
        <v>312.823654123905</v>
      </c>
      <c r="AB309" s="1" t="n">
        <f aca="false">AB307-AB308</f>
        <v>316.07014910558</v>
      </c>
      <c r="AC309" s="1" t="n">
        <f aca="false">AC307-AC308</f>
        <v>319.173969039349</v>
      </c>
      <c r="AD309" s="1" t="n">
        <f aca="false">AD307-AD308</f>
        <v>322.135987331496</v>
      </c>
      <c r="AE309" s="1" t="n">
        <f aca="false">AE307-AE308</f>
        <v>324.957105089243</v>
      </c>
      <c r="AF309" s="1" t="n">
        <f aca="false">AF307-AF308</f>
        <v>327.638250702664</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33.2142194670683</v>
      </c>
      <c r="L310" s="1" t="n">
        <f aca="false">IF(L307&gt;0,100*L308/L307,0)</f>
        <v>32.7229942002354</v>
      </c>
      <c r="M310" s="1" t="n">
        <f aca="false">IF(M307&gt;0,100*M308/M307,0)</f>
        <v>32.3938952883092</v>
      </c>
      <c r="N310" s="1" t="n">
        <f aca="false">IF(N307&gt;0,100*N308/N307,0)</f>
        <v>32.1267644498596</v>
      </c>
      <c r="O310" s="1" t="n">
        <f aca="false">IF(O307&gt;0,100*O308/O307,0)</f>
        <v>31.9581231042713</v>
      </c>
      <c r="P310" s="1" t="n">
        <f aca="false">IF(P307&gt;0,100*P308/P307,0)</f>
        <v>32.027492466815</v>
      </c>
      <c r="Q310" s="1" t="n">
        <f aca="false">IF(Q307&gt;0,100*Q308/Q307,0)</f>
        <v>32.1103825366605</v>
      </c>
      <c r="R310" s="1" t="n">
        <f aca="false">IF(R307&gt;0,100*R308/R307,0)</f>
        <v>32.2138835937867</v>
      </c>
      <c r="S310" s="1" t="n">
        <f aca="false">IF(S307&gt;0,100*S308/S307,0)</f>
        <v>32.3367448800954</v>
      </c>
      <c r="T310" s="1" t="n">
        <f aca="false">IF(T307&gt;0,100*T308/T307,0)</f>
        <v>32.4773372931758</v>
      </c>
      <c r="U310" s="1" t="n">
        <f aca="false">IF(U307&gt;0,100*U308/U307,0)</f>
        <v>32.6341891087268</v>
      </c>
      <c r="V310" s="1" t="n">
        <f aca="false">IF(V307&gt;0,100*V308/V307,0)</f>
        <v>32.805948041322</v>
      </c>
      <c r="W310" s="1" t="n">
        <f aca="false">IF(W307&gt;0,100*W308/W307,0)</f>
        <v>33.0016506775476</v>
      </c>
      <c r="X310" s="1" t="n">
        <f aca="false">IF(X307&gt;0,100*X308/X307,0)</f>
        <v>33.2197640786133</v>
      </c>
      <c r="Y310" s="1" t="n">
        <f aca="false">IF(Y307&gt;0,100*Y308/Y307,0)</f>
        <v>33.4564108585065</v>
      </c>
      <c r="Z310" s="1" t="n">
        <f aca="false">IF(Z307&gt;0,100*Z308/Z307,0)</f>
        <v>33.7073741815378</v>
      </c>
      <c r="AA310" s="1" t="n">
        <f aca="false">IF(AA307&gt;0,100*AA308/AA307,0)</f>
        <v>33.9725320539586</v>
      </c>
      <c r="AB310" s="1" t="n">
        <f aca="false">IF(AB307&gt;0,100*AB308/AB307,0)</f>
        <v>34.2515655828238</v>
      </c>
      <c r="AC310" s="1" t="n">
        <f aca="false">IF(AC307&gt;0,100*AC308/AC307,0)</f>
        <v>34.5441821788327</v>
      </c>
      <c r="AD310" s="1" t="n">
        <f aca="false">IF(AD307&gt;0,100*AD308/AD307,0)</f>
        <v>34.8501125539937</v>
      </c>
      <c r="AE310" s="1" t="n">
        <f aca="false">IF(AE307&gt;0,100*AE308/AE307,0)</f>
        <v>35.1691080095413</v>
      </c>
      <c r="AF310" s="1" t="n">
        <f aca="false">IF(AF307&gt;0,100*AF308/AF307,0)</f>
        <v>35.5009379769738</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4.68585895152442</v>
      </c>
      <c r="L314" s="1" t="n">
        <f aca="false">L302</f>
        <v>4.79179841810137</v>
      </c>
      <c r="M314" s="1" t="n">
        <f aca="false">M302</f>
        <v>4.92968255922682</v>
      </c>
      <c r="N314" s="1" t="n">
        <f aca="false">N302</f>
        <v>5.0619498208934</v>
      </c>
      <c r="O314" s="1" t="n">
        <f aca="false">O302</f>
        <v>5.17792837010385</v>
      </c>
      <c r="P314" s="1" t="n">
        <f aca="false">P302</f>
        <v>5.29720910790122</v>
      </c>
      <c r="Q314" s="1" t="n">
        <f aca="false">Q302</f>
        <v>5.41927410608126</v>
      </c>
      <c r="R314" s="1" t="n">
        <f aca="false">R302</f>
        <v>5.5442084761772</v>
      </c>
      <c r="S314" s="1" t="n">
        <f aca="false">S302</f>
        <v>5.67207625410328</v>
      </c>
      <c r="T314" s="1" t="n">
        <f aca="false">T302</f>
        <v>5.80294154882851</v>
      </c>
      <c r="U314" s="1" t="n">
        <f aca="false">U302</f>
        <v>5.93687009516005</v>
      </c>
      <c r="V314" s="1" t="n">
        <f aca="false">V302</f>
        <v>6.073929237137</v>
      </c>
      <c r="W314" s="1" t="n">
        <f aca="false">W302</f>
        <v>6.21421875341885</v>
      </c>
      <c r="X314" s="1" t="n">
        <f aca="false">X302</f>
        <v>6.35780912856922</v>
      </c>
      <c r="Y314" s="1" t="n">
        <f aca="false">Y302</f>
        <v>6.50476499310917</v>
      </c>
      <c r="Z314" s="1" t="n">
        <f aca="false">Z302</f>
        <v>6.65515109570733</v>
      </c>
      <c r="AA314" s="1" t="n">
        <f aca="false">AA302</f>
        <v>6.8090461171078</v>
      </c>
      <c r="AB314" s="1" t="n">
        <f aca="false">AB302</f>
        <v>6.96652984509226</v>
      </c>
      <c r="AC314" s="1" t="n">
        <f aca="false">AC302</f>
        <v>7.12768390038188</v>
      </c>
      <c r="AD314" s="1" t="n">
        <f aca="false">AD302</f>
        <v>7.29259177904455</v>
      </c>
      <c r="AE314" s="1" t="n">
        <f aca="false">AE302</f>
        <v>7.46133889586943</v>
      </c>
      <c r="AF314" s="1" t="n">
        <f aca="false">AF302</f>
        <v>7.63401262873158</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57.066429452404</v>
      </c>
      <c r="D316" s="1" t="n">
        <f aca="false">IF(D313&gt;0,100*(D314+D315)/D313,0)</f>
        <v>48.8274483834642</v>
      </c>
      <c r="E316" s="1" t="n">
        <f aca="false">IF(E313&gt;0,100*(E314+E315)/E313,0)</f>
        <v>47.6514402741486</v>
      </c>
      <c r="F316" s="1" t="n">
        <f aca="false">IF(F313&gt;0,100*(F314+F315)/F313,0)</f>
        <v>26.9990174466285</v>
      </c>
      <c r="G316" s="1" t="n">
        <f aca="false">IF(G313&gt;0,100*(G314+G315)/G313,0)</f>
        <v>32.191742531</v>
      </c>
      <c r="H316" s="1" t="n">
        <f aca="false">IF(H313&gt;0,100*(H314+H315)/H313,0)</f>
        <v>37.4787778154359</v>
      </c>
      <c r="I316" s="1" t="n">
        <f aca="false">IF(I313&gt;0,100*(I314+I315)/I313,0)</f>
        <v>42.8359936611859</v>
      </c>
      <c r="J316" s="1" t="n">
        <f aca="false">IF(J313&gt;0,100*(J314+J315)/J313,0)</f>
        <v>48.2405150894827</v>
      </c>
      <c r="K316" s="1" t="n">
        <f aca="false">IF(K313&gt;0,100*(K314+K315)/K313,0)</f>
        <v>50.052780482991</v>
      </c>
      <c r="L316" s="1" t="n">
        <f aca="false">IF(L313&gt;0,100*(L314+L315)/L313,0)</f>
        <v>51.0057594671469</v>
      </c>
      <c r="M316" s="1" t="n">
        <f aca="false">IF(M313&gt;0,100*(M314+M315)/M313,0)</f>
        <v>51.7481452556087</v>
      </c>
      <c r="N316" s="1" t="n">
        <f aca="false">IF(N313&gt;0,100*(N314+N315)/N313,0)</f>
        <v>52.1460392959127</v>
      </c>
      <c r="O316" s="1" t="n">
        <f aca="false">IF(O313&gt;0,100*(O314+O315)/O313,0)</f>
        <v>52.1796465923942</v>
      </c>
      <c r="P316" s="1" t="n">
        <f aca="false">IF(P313&gt;0,100*(P314+P315)/P313,0)</f>
        <v>51.4125659869788</v>
      </c>
      <c r="Q316" s="1" t="n">
        <f aca="false">IF(Q313&gt;0,100*(Q314+Q315)/Q313,0)</f>
        <v>50.7633063643238</v>
      </c>
      <c r="R316" s="1" t="n">
        <f aca="false">IF(R313&gt;0,100*(R314+R315)/R313,0)</f>
        <v>50.2323986801051</v>
      </c>
      <c r="S316" s="1" t="n">
        <f aca="false">IF(S313&gt;0,100*(S314+S315)/S313,0)</f>
        <v>49.8048605359179</v>
      </c>
      <c r="T316" s="1" t="n">
        <f aca="false">IF(T313&gt;0,100*(T314+T315)/T313,0)</f>
        <v>49.4683177260634</v>
      </c>
      <c r="U316" s="1" t="n">
        <f aca="false">IF(U313&gt;0,100*(U314+U315)/U313,0)</f>
        <v>49.2124691479352</v>
      </c>
      <c r="V316" s="1" t="n">
        <f aca="false">IF(V313&gt;0,100*(V314+V315)/V313,0)</f>
        <v>49.0286710261639</v>
      </c>
      <c r="W316" s="1" t="n">
        <f aca="false">IF(W313&gt;0,100*(W314+W315)/W313,0)</f>
        <v>48.9098063460213</v>
      </c>
      <c r="X316" s="1" t="n">
        <f aca="false">IF(X313&gt;0,100*(X314+X315)/X313,0)</f>
        <v>48.8496434109531</v>
      </c>
      <c r="Y316" s="1" t="n">
        <f aca="false">IF(Y313&gt;0,100*(Y314+Y315)/Y313,0)</f>
        <v>48.8428019170353</v>
      </c>
      <c r="Z316" s="1" t="n">
        <f aca="false">IF(Z313&gt;0,100*(Z314+Z315)/Z313,0)</f>
        <v>48.8846364588041</v>
      </c>
      <c r="AA316" s="1" t="n">
        <f aca="false">IF(AA313&gt;0,100*(AA314+AA315)/AA313,0)</f>
        <v>48.9711897221878</v>
      </c>
      <c r="AB316" s="1" t="n">
        <f aca="false">IF(AB313&gt;0,100*(AB314+AB315)/AB313,0)</f>
        <v>49.0990140226311</v>
      </c>
      <c r="AC316" s="1" t="n">
        <f aca="false">IF(AC313&gt;0,100*(AC314+AC315)/AC313,0)</f>
        <v>49.2650940994102</v>
      </c>
      <c r="AD316" s="1" t="n">
        <f aca="false">IF(AD313&gt;0,100*(AD314+AD315)/AD313,0)</f>
        <v>49.4667805315764</v>
      </c>
      <c r="AE316" s="1" t="n">
        <f aca="false">IF(AE313&gt;0,100*(AE314+AE315)/AE313,0)</f>
        <v>49.7017348433121</v>
      </c>
      <c r="AF316" s="1" t="n">
        <f aca="false">IF(AF313&gt;0,100*(AF314+AF315)/AF313,0)</f>
        <v>49.9678839600494</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6.53315123369331</v>
      </c>
      <c r="L317" s="1" t="n">
        <f aca="false">$C$329*L291</f>
        <v>5.94291632613807</v>
      </c>
      <c r="M317" s="1" t="n">
        <f aca="false">$C$329*M291</f>
        <v>9.88998185277416</v>
      </c>
      <c r="N317" s="1" t="n">
        <f aca="false">$C$329*N291</f>
        <v>9.69488753753444</v>
      </c>
      <c r="O317" s="1" t="n">
        <f aca="false">$C$329*O291</f>
        <v>7.88596221270783</v>
      </c>
      <c r="P317" s="1" t="n">
        <f aca="false">$C$329*P291</f>
        <v>8.13861384220356</v>
      </c>
      <c r="Q317" s="1" t="n">
        <f aca="false">$C$329*Q291</f>
        <v>8.33608402202553</v>
      </c>
      <c r="R317" s="1" t="n">
        <f aca="false">$C$329*R291</f>
        <v>8.54192304438779</v>
      </c>
      <c r="S317" s="1" t="n">
        <f aca="false">$C$329*S291</f>
        <v>8.7538648338666</v>
      </c>
      <c r="T317" s="1" t="n">
        <f aca="false">$C$329*T291</f>
        <v>8.97181526084854</v>
      </c>
      <c r="U317" s="1" t="n">
        <f aca="false">$C$329*U291</f>
        <v>9.1958441037594</v>
      </c>
      <c r="V317" s="1" t="n">
        <f aca="false">$C$329*V291</f>
        <v>9.42601965820912</v>
      </c>
      <c r="W317" s="1" t="n">
        <f aca="false">$C$329*W291</f>
        <v>9.66644033163688</v>
      </c>
      <c r="X317" s="1" t="n">
        <f aca="false">$C$329*X291</f>
        <v>9.91394037749184</v>
      </c>
      <c r="Y317" s="1" t="n">
        <f aca="false">$C$329*Y291</f>
        <v>10.167604995871</v>
      </c>
      <c r="Z317" s="1" t="n">
        <f aca="false">$C$329*Z291</f>
        <v>10.427100617469</v>
      </c>
      <c r="AA317" s="1" t="n">
        <f aca="false">$C$329*AA291</f>
        <v>10.693856069209</v>
      </c>
      <c r="AB317" s="1" t="n">
        <f aca="false">$C$329*AB291</f>
        <v>10.9679408121835</v>
      </c>
      <c r="AC317" s="1" t="n">
        <f aca="false">$C$329*AC291</f>
        <v>11.2494990479905</v>
      </c>
      <c r="AD317" s="1" t="n">
        <f aca="false">$C$329*AD291</f>
        <v>11.5386782702811</v>
      </c>
      <c r="AE317" s="1" t="n">
        <f aca="false">$C$329*AE291</f>
        <v>11.8356293459769</v>
      </c>
      <c r="AF317" s="1" t="n">
        <f aca="false">$C$329*AF291</f>
        <v>12.1405065982102</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5.54748541142981</v>
      </c>
      <c r="M318" s="1" t="n">
        <f aca="false">$C$329*(M290+(1-$C$279)*M332)</f>
        <v>5.62688793910323</v>
      </c>
      <c r="N318" s="1" t="n">
        <f aca="false">$C$329*(N290+(1-$C$279)*N332)</f>
        <v>6.48291719696835</v>
      </c>
      <c r="O318" s="1" t="n">
        <f aca="false">$C$329*(O290+(1-$C$279)*O332)</f>
        <v>7.12788084135402</v>
      </c>
      <c r="P318" s="1" t="n">
        <f aca="false">$C$329*(P290+(1-$C$279)*P332)</f>
        <v>7.28010358072187</v>
      </c>
      <c r="Q318" s="1" t="n">
        <f aca="false">$C$329*(Q290+(1-$C$279)*Q332)</f>
        <v>7.45249244122739</v>
      </c>
      <c r="R318" s="1" t="n">
        <f aca="false">$C$329*(R290+(1-$C$279)*R332)</f>
        <v>7.62991763065166</v>
      </c>
      <c r="S318" s="1" t="n">
        <f aca="false">$C$329*(S290+(1-$C$279)*S332)</f>
        <v>7.81304831772987</v>
      </c>
      <c r="T318" s="1" t="n">
        <f aca="false">$C$329*(T290+(1-$C$279)*T332)</f>
        <v>8.00196427417013</v>
      </c>
      <c r="U318" s="1" t="n">
        <f aca="false">$C$329*(U290+(1-$C$279)*U332)</f>
        <v>8.19671035229515</v>
      </c>
      <c r="V318" s="1" t="n">
        <f aca="false">$C$329*(V290+(1-$C$279)*V332)</f>
        <v>8.39733640958917</v>
      </c>
      <c r="W318" s="1" t="n">
        <f aca="false">$C$329*(W290+(1-$C$279)*W332)</f>
        <v>8.60389600591206</v>
      </c>
      <c r="X318" s="1" t="n">
        <f aca="false">$C$329*(X290+(1-$C$279)*X332)</f>
        <v>8.8172549065176</v>
      </c>
      <c r="Y318" s="1" t="n">
        <f aca="false">$C$329*(Y290+(1-$C$279)*Y332)</f>
        <v>9.03746934908923</v>
      </c>
      <c r="Z318" s="1" t="n">
        <f aca="false">$C$329*(Z290+(1-$C$279)*Z332)</f>
        <v>9.26440058696301</v>
      </c>
      <c r="AA318" s="1" t="n">
        <f aca="false">$C$329*(AA290+(1-$C$279)*AA332)</f>
        <v>9.49787075308862</v>
      </c>
      <c r="AB318" s="1" t="n">
        <f aca="false">$C$329*(AB290+(1-$C$279)*AB332)</f>
        <v>9.7380246045656</v>
      </c>
      <c r="AC318" s="1" t="n">
        <f aca="false">$C$329*(AC290+(1-$C$279)*AC332)</f>
        <v>9.98499177905528</v>
      </c>
      <c r="AD318" s="1" t="n">
        <f aca="false">$C$329*(AD290+(1-$C$279)*AD332)</f>
        <v>10.2389048386575</v>
      </c>
      <c r="AE318" s="1" t="n">
        <f aca="false">$C$329*(AE290+(1-$C$279)*AE332)</f>
        <v>10.4998993437275</v>
      </c>
      <c r="AF318" s="1" t="n">
        <f aca="false">$C$329*(AF290+(1-$C$279)*AF332)</f>
        <v>10.7681139281792</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2.88983966901042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2.43619002121075</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3.56128618844605</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3.89746444653775</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3.33527741756579</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3.23018037393185</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3.31468659082802</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3.39618531551889</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3.48035175459876</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3.56693106164122</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3.65593475721267</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3.74739030783868</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3.84253406531198</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3.94082614641124</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4.04167553651049</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4.14489068482782</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4.25086688250961</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4.35976785057597</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4.47164379561551</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4.58655338588337</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4.70455663082118</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4.82571491406075</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1.95994537010799</v>
      </c>
      <c r="L320" s="1" t="n">
        <f aca="false">01_Supuestos!$C$185*L317</f>
        <v>1.78287489784142</v>
      </c>
      <c r="M320" s="1" t="n">
        <f aca="false">01_Supuestos!$C$185*M317</f>
        <v>2.96699455583225</v>
      </c>
      <c r="N320" s="1" t="n">
        <f aca="false">01_Supuestos!$C$185*N317</f>
        <v>2.90846626126033</v>
      </c>
      <c r="O320" s="1" t="n">
        <f aca="false">01_Supuestos!$C$185*O317</f>
        <v>2.36578866381235</v>
      </c>
      <c r="P320" s="1" t="n">
        <f aca="false">01_Supuestos!$C$185*P317</f>
        <v>2.44158415266107</v>
      </c>
      <c r="Q320" s="1" t="n">
        <f aca="false">01_Supuestos!$C$185*Q317</f>
        <v>2.50082520660766</v>
      </c>
      <c r="R320" s="1" t="n">
        <f aca="false">01_Supuestos!$C$185*R317</f>
        <v>2.56257691331634</v>
      </c>
      <c r="S320" s="1" t="n">
        <f aca="false">01_Supuestos!$C$185*S317</f>
        <v>2.62615945015998</v>
      </c>
      <c r="T320" s="1" t="n">
        <f aca="false">01_Supuestos!$C$185*T317</f>
        <v>2.69154457825456</v>
      </c>
      <c r="U320" s="1" t="n">
        <f aca="false">01_Supuestos!$C$185*U317</f>
        <v>2.75875323112782</v>
      </c>
      <c r="V320" s="1" t="n">
        <f aca="false">01_Supuestos!$C$185*V317</f>
        <v>2.82780589746274</v>
      </c>
      <c r="W320" s="1" t="n">
        <f aca="false">01_Supuestos!$C$185*W317</f>
        <v>2.89993209949107</v>
      </c>
      <c r="X320" s="1" t="n">
        <f aca="false">01_Supuestos!$C$185*X317</f>
        <v>2.97418211324755</v>
      </c>
      <c r="Y320" s="1" t="n">
        <f aca="false">01_Supuestos!$C$185*Y317</f>
        <v>3.0502814987613</v>
      </c>
      <c r="Z320" s="1" t="n">
        <f aca="false">01_Supuestos!$C$185*Z317</f>
        <v>3.12813018524071</v>
      </c>
      <c r="AA320" s="1" t="n">
        <f aca="false">01_Supuestos!$C$185*AA317</f>
        <v>3.20815682076271</v>
      </c>
      <c r="AB320" s="1" t="n">
        <f aca="false">01_Supuestos!$C$185*AB317</f>
        <v>3.29038224365506</v>
      </c>
      <c r="AC320" s="1" t="n">
        <f aca="false">01_Supuestos!$C$185*AC317</f>
        <v>3.37484971439715</v>
      </c>
      <c r="AD320" s="1" t="n">
        <f aca="false">01_Supuestos!$C$185*AD317</f>
        <v>3.46160348108432</v>
      </c>
      <c r="AE320" s="1" t="n">
        <f aca="false">01_Supuestos!$C$185*AE317</f>
        <v>3.55068880379307</v>
      </c>
      <c r="AF320" s="1" t="n">
        <f aca="false">01_Supuestos!$C$185*AF317</f>
        <v>3.64215197946306</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2.88983966901042</v>
      </c>
      <c r="L321" s="1" t="n">
        <f aca="false">K321+L320-L323</f>
        <v>2.43619002121075</v>
      </c>
      <c r="M321" s="1" t="n">
        <f aca="false">L321+M320-M323</f>
        <v>3.56128618844605</v>
      </c>
      <c r="N321" s="1" t="n">
        <f aca="false">M321+N320-N323</f>
        <v>3.89746444653775</v>
      </c>
      <c r="O321" s="1" t="n">
        <f aca="false">N321+O320-O323</f>
        <v>3.33527741756579</v>
      </c>
      <c r="P321" s="1" t="n">
        <f aca="false">O321+P320-P323</f>
        <v>3.23018037393185</v>
      </c>
      <c r="Q321" s="1" t="n">
        <f aca="false">P321+Q320-Q323</f>
        <v>3.31468659082802</v>
      </c>
      <c r="R321" s="1" t="n">
        <f aca="false">Q321+R320-R323</f>
        <v>3.39618531551889</v>
      </c>
      <c r="S321" s="1" t="n">
        <f aca="false">R321+S320-S323</f>
        <v>3.48035175459876</v>
      </c>
      <c r="T321" s="1" t="n">
        <f aca="false">S321+T320-T323</f>
        <v>3.56693106164122</v>
      </c>
      <c r="U321" s="1" t="n">
        <f aca="false">T321+U320-U323</f>
        <v>3.65593475721267</v>
      </c>
      <c r="V321" s="1" t="n">
        <f aca="false">U321+V320-V323</f>
        <v>3.74739030783868</v>
      </c>
      <c r="W321" s="1" t="n">
        <f aca="false">V321+W320-W323</f>
        <v>3.84253406531198</v>
      </c>
      <c r="X321" s="1" t="n">
        <f aca="false">W321+X320-X323</f>
        <v>3.94082614641124</v>
      </c>
      <c r="Y321" s="1" t="n">
        <f aca="false">X321+Y320-Y323</f>
        <v>4.04167553651049</v>
      </c>
      <c r="Z321" s="1" t="n">
        <f aca="false">Y321+Z320-Z323</f>
        <v>4.14489068482782</v>
      </c>
      <c r="AA321" s="1" t="n">
        <f aca="false">Z321+AA320-AA323</f>
        <v>4.25086688250961</v>
      </c>
      <c r="AB321" s="1" t="n">
        <f aca="false">AA321+AB320-AB323</f>
        <v>4.35976785057597</v>
      </c>
      <c r="AC321" s="1" t="n">
        <f aca="false">AB321+AC320-AC323</f>
        <v>4.47164379561551</v>
      </c>
      <c r="AD321" s="1" t="n">
        <f aca="false">AC321+AD320-AD323</f>
        <v>4.58655338588337</v>
      </c>
      <c r="AE321" s="1" t="n">
        <f aca="false">AD321+AE320-AE323</f>
        <v>4.70455663082118</v>
      </c>
      <c r="AF321" s="1" t="n">
        <f aca="false">AE321+AF320-AF323</f>
        <v>4.82571491406075</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23.5504445642088</v>
      </c>
      <c r="L322" s="1" t="n">
        <f aca="false">$C$172*L83</f>
        <v>24.0921047891856</v>
      </c>
      <c r="M322" s="1" t="n">
        <f aca="false">$C$172*M83</f>
        <v>24.6462231993369</v>
      </c>
      <c r="N322" s="1" t="n">
        <f aca="false">$C$172*N83</f>
        <v>25.2130863329216</v>
      </c>
      <c r="O322" s="1" t="n">
        <f aca="false">$C$172*O83</f>
        <v>25.7929873185788</v>
      </c>
      <c r="P322" s="1" t="n">
        <f aca="false">$C$172*P83</f>
        <v>26.3862260269061</v>
      </c>
      <c r="Q322" s="1" t="n">
        <f aca="false">$C$172*Q83</f>
        <v>26.993109225525</v>
      </c>
      <c r="R322" s="1" t="n">
        <f aca="false">$C$172*R83</f>
        <v>27.613950737712</v>
      </c>
      <c r="S322" s="1" t="n">
        <f aca="false">$C$172*S83</f>
        <v>28.2490716046794</v>
      </c>
      <c r="T322" s="1" t="n">
        <f aca="false">$C$172*T83</f>
        <v>28.898800251587</v>
      </c>
      <c r="U322" s="1" t="n">
        <f aca="false">$C$172*U83</f>
        <v>29.5634726573735</v>
      </c>
      <c r="V322" s="1" t="n">
        <f aca="false">$C$172*V83</f>
        <v>30.2434325284931</v>
      </c>
      <c r="W322" s="1" t="n">
        <f aca="false">$C$172*W83</f>
        <v>30.9390314766485</v>
      </c>
      <c r="X322" s="1" t="n">
        <f aca="false">$C$172*X83</f>
        <v>31.6506292006114</v>
      </c>
      <c r="Y322" s="1" t="n">
        <f aca="false">$C$172*Y83</f>
        <v>32.3785936722255</v>
      </c>
      <c r="Z322" s="1" t="n">
        <f aca="false">$C$172*Z83</f>
        <v>33.1233013266866</v>
      </c>
      <c r="AA322" s="1" t="n">
        <f aca="false">$C$172*AA83</f>
        <v>33.8851372572004</v>
      </c>
      <c r="AB322" s="1" t="n">
        <f aca="false">$C$172*AB83</f>
        <v>34.664495414116</v>
      </c>
      <c r="AC322" s="1" t="n">
        <f aca="false">$C$172*AC83</f>
        <v>35.4617788086407</v>
      </c>
      <c r="AD322" s="1" t="n">
        <f aca="false">$C$172*AD83</f>
        <v>36.2773997212394</v>
      </c>
      <c r="AE322" s="1" t="n">
        <f aca="false">$C$172*AE83</f>
        <v>37.1117799148279</v>
      </c>
      <c r="AF322" s="1" t="n">
        <f aca="false">$C$172*AF83</f>
        <v>37.965350852869</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2.23652454564109</v>
      </c>
      <c r="M323" s="1" t="n">
        <f aca="false">MAX(0,MIN(M318,L321+M320,L321+M320-M319))</f>
        <v>1.84189838859695</v>
      </c>
      <c r="N323" s="1" t="n">
        <f aca="false">MAX(0,MIN(N318,M321+N320,M321+N320-N319))</f>
        <v>2.57228800316864</v>
      </c>
      <c r="O323" s="1" t="n">
        <f aca="false">MAX(0,MIN(O318,N321+O320,N321+O320-O319))</f>
        <v>2.9279756927843</v>
      </c>
      <c r="P323" s="1" t="n">
        <f aca="false">MAX(0,MIN(P318,O321+P320,O321+P320-P319))</f>
        <v>2.54668119629501</v>
      </c>
      <c r="Q323" s="1" t="n">
        <f aca="false">MAX(0,MIN(Q318,P321+Q320,P321+Q320-Q319))</f>
        <v>2.4163189897115</v>
      </c>
      <c r="R323" s="1" t="n">
        <f aca="false">MAX(0,MIN(R318,Q321+R320,Q321+R320-R319))</f>
        <v>2.48107818862546</v>
      </c>
      <c r="S323" s="1" t="n">
        <f aca="false">MAX(0,MIN(S318,R321+S320,R321+S320-S319))</f>
        <v>2.54199301108011</v>
      </c>
      <c r="T323" s="1" t="n">
        <f aca="false">MAX(0,MIN(T318,S321+T320,S321+T320-T319))</f>
        <v>2.6049652712121</v>
      </c>
      <c r="U323" s="1" t="n">
        <f aca="false">MAX(0,MIN(U318,T321+U320,T321+U320-U319))</f>
        <v>2.66974953555637</v>
      </c>
      <c r="V323" s="1" t="n">
        <f aca="false">MAX(0,MIN(V318,U321+V320,U321+V320-V319))</f>
        <v>2.73635034683673</v>
      </c>
      <c r="W323" s="1" t="n">
        <f aca="false">MAX(0,MIN(W318,V321+W320,V321+W320-W319))</f>
        <v>2.80478834201776</v>
      </c>
      <c r="X323" s="1" t="n">
        <f aca="false">MAX(0,MIN(X318,W321+X320,W321+X320-X319))</f>
        <v>2.87589003214829</v>
      </c>
      <c r="Y323" s="1" t="n">
        <f aca="false">MAX(0,MIN(Y318,X321+Y320,X321+Y320-Y319))</f>
        <v>2.94943210866206</v>
      </c>
      <c r="Z323" s="1" t="n">
        <f aca="false">MAX(0,MIN(Z318,Y321+Z320,Y321+Z320-Z319))</f>
        <v>3.02491503692339</v>
      </c>
      <c r="AA323" s="1" t="n">
        <f aca="false">MAX(0,MIN(AA318,Z321+AA320,Z321+AA320-AA319))</f>
        <v>3.10218062308091</v>
      </c>
      <c r="AB323" s="1" t="n">
        <f aca="false">MAX(0,MIN(AB318,AA321+AB320,AA321+AB320-AB319))</f>
        <v>3.18148127558871</v>
      </c>
      <c r="AC323" s="1" t="n">
        <f aca="false">MAX(0,MIN(AC318,AB321+AC320,AB321+AC320-AC319))</f>
        <v>3.26297376935761</v>
      </c>
      <c r="AD323" s="1" t="n">
        <f aca="false">MAX(0,MIN(AD318,AC321+AD320,AC321+AD320-AD319))</f>
        <v>3.34669389081646</v>
      </c>
      <c r="AE323" s="1" t="n">
        <f aca="false">MAX(0,MIN(AE318,AD321+AE320,AD321+AE320-AE319))</f>
        <v>3.43268555885527</v>
      </c>
      <c r="AF323" s="1" t="n">
        <f aca="false">MAX(0,MIN(AF318,AE321+AF320,AE321+AF320-AF319))</f>
        <v>3.52099369622349</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2.88983966901042</v>
      </c>
      <c r="L326" s="1" t="n">
        <f aca="false">IF(01_Supuestos!$C$184="Sí",L321,$C$172*L83)</f>
        <v>2.43619002121075</v>
      </c>
      <c r="M326" s="1" t="n">
        <f aca="false">IF(01_Supuestos!$C$184="Sí",M321,$C$172*M83)</f>
        <v>3.56128618844605</v>
      </c>
      <c r="N326" s="1" t="n">
        <f aca="false">IF(01_Supuestos!$C$184="Sí",N321,$C$172*N83)</f>
        <v>3.89746444653775</v>
      </c>
      <c r="O326" s="1" t="n">
        <f aca="false">IF(01_Supuestos!$C$184="Sí",O321,$C$172*O83)</f>
        <v>3.33527741756579</v>
      </c>
      <c r="P326" s="1" t="n">
        <f aca="false">IF(01_Supuestos!$C$184="Sí",P321,$C$172*P83)</f>
        <v>3.23018037393185</v>
      </c>
      <c r="Q326" s="1" t="n">
        <f aca="false">IF(01_Supuestos!$C$184="Sí",Q321,$C$172*Q83)</f>
        <v>3.31468659082802</v>
      </c>
      <c r="R326" s="1" t="n">
        <f aca="false">IF(01_Supuestos!$C$184="Sí",R321,$C$172*R83)</f>
        <v>3.39618531551889</v>
      </c>
      <c r="S326" s="1" t="n">
        <f aca="false">IF(01_Supuestos!$C$184="Sí",S321,$C$172*S83)</f>
        <v>3.48035175459876</v>
      </c>
      <c r="T326" s="1" t="n">
        <f aca="false">IF(01_Supuestos!$C$184="Sí",T321,$C$172*T83)</f>
        <v>3.56693106164122</v>
      </c>
      <c r="U326" s="1" t="n">
        <f aca="false">IF(01_Supuestos!$C$184="Sí",U321,$C$172*U83)</f>
        <v>3.65593475721267</v>
      </c>
      <c r="V326" s="1" t="n">
        <f aca="false">IF(01_Supuestos!$C$184="Sí",V321,$C$172*V83)</f>
        <v>3.74739030783868</v>
      </c>
      <c r="W326" s="1" t="n">
        <f aca="false">IF(01_Supuestos!$C$184="Sí",W321,$C$172*W83)</f>
        <v>3.84253406531198</v>
      </c>
      <c r="X326" s="1" t="n">
        <f aca="false">IF(01_Supuestos!$C$184="Sí",X321,$C$172*X83)</f>
        <v>3.94082614641124</v>
      </c>
      <c r="Y326" s="1" t="n">
        <f aca="false">IF(01_Supuestos!$C$184="Sí",Y321,$C$172*Y83)</f>
        <v>4.04167553651049</v>
      </c>
      <c r="Z326" s="1" t="n">
        <f aca="false">IF(01_Supuestos!$C$184="Sí",Z321,$C$172*Z83)</f>
        <v>4.14489068482782</v>
      </c>
      <c r="AA326" s="1" t="n">
        <f aca="false">IF(01_Supuestos!$C$184="Sí",AA321,$C$172*AA83)</f>
        <v>4.25086688250961</v>
      </c>
      <c r="AB326" s="1" t="n">
        <f aca="false">IF(01_Supuestos!$C$184="Sí",AB321,$C$172*AB83)</f>
        <v>4.35976785057597</v>
      </c>
      <c r="AC326" s="1" t="n">
        <f aca="false">IF(01_Supuestos!$C$184="Sí",AC321,$C$172*AC83)</f>
        <v>4.47164379561551</v>
      </c>
      <c r="AD326" s="1" t="n">
        <f aca="false">IF(01_Supuestos!$C$184="Sí",AD321,$C$172*AD83)</f>
        <v>4.58655338588337</v>
      </c>
      <c r="AE326" s="1" t="n">
        <f aca="false">IF(01_Supuestos!$C$184="Sí",AE321,$C$172*AE83)</f>
        <v>4.70455663082118</v>
      </c>
      <c r="AF326" s="1" t="n">
        <f aca="false">IF(01_Supuestos!$C$184="Sí",AF321,$C$172*AF83)</f>
        <v>4.82571491406075</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0.108691773722264</v>
      </c>
      <c r="M327" s="1" t="n">
        <f aca="false">IF(01_Supuestos!$C$184="Sí",MAX(0.001,IF(L299&gt;0,L320/L299,$C$328*(1-$C$279))),$C$172)</f>
        <v>0.108285226675073</v>
      </c>
      <c r="N327" s="1" t="n">
        <f aca="false">IF(01_Supuestos!$C$184="Sí",MAX(0.001,IF(M299&gt;0,M320/M299,$C$328*(1-$C$279))),$C$172)</f>
        <v>0.141175241123204</v>
      </c>
      <c r="O327" s="1" t="n">
        <f aca="false">IF(01_Supuestos!$C$184="Sí",MAX(0.001,IF(N299&gt;0,N320/N299,$C$328*(1-$C$279))),$C$172)</f>
        <v>0.14675922939438</v>
      </c>
      <c r="P327" s="1" t="n">
        <f aca="false">IF(01_Supuestos!$C$184="Sí",MAX(0.001,IF(O299&gt;0,O320/O299,$C$328*(1-$C$279))),$C$172)</f>
        <v>0.129940498587922</v>
      </c>
      <c r="Q327" s="1" t="n">
        <f aca="false">IF(01_Supuestos!$C$184="Sí",MAX(0.001,IF(P299&gt;0,P320/P299,$C$328*(1-$C$279))),$C$172)</f>
        <v>0.131128748343485</v>
      </c>
      <c r="R327" s="1" t="n">
        <f aca="false">IF(01_Supuestos!$C$184="Sí",MAX(0.001,IF(Q299&gt;0,Q320/Q299,$C$328*(1-$C$279))),$C$172)</f>
        <v>0.131274063382028</v>
      </c>
      <c r="S327" s="1" t="n">
        <f aca="false">IF(01_Supuestos!$C$184="Sí",MAX(0.001,IF(R299&gt;0,R320/R299,$C$328*(1-$C$279))),$C$172)</f>
        <v>0.131471456167114</v>
      </c>
      <c r="T327" s="1" t="n">
        <f aca="false">IF(01_Supuestos!$C$184="Sí",MAX(0.001,IF(S299&gt;0,S320/S299,$C$328*(1-$C$279))),$C$172)</f>
        <v>0.131679708020865</v>
      </c>
      <c r="U327" s="1" t="n">
        <f aca="false">IF(01_Supuestos!$C$184="Sí",MAX(0.001,IF(T299&gt;0,T320/T299,$C$328*(1-$C$279))),$C$172)</f>
        <v>0.13189491488285</v>
      </c>
      <c r="V327" s="1" t="n">
        <f aca="false">IF(01_Supuestos!$C$184="Sí",MAX(0.001,IF(U299&gt;0,U320/U299,$C$328*(1-$C$279))),$C$172)</f>
        <v>0.132115918807938</v>
      </c>
      <c r="W327" s="1" t="n">
        <f aca="false">IF(01_Supuestos!$C$184="Sí",MAX(0.001,IF(V299&gt;0,V320/V299,$C$328*(1-$C$279))),$C$172)</f>
        <v>0.132341572994578</v>
      </c>
      <c r="X327" s="1" t="n">
        <f aca="false">IF(01_Supuestos!$C$184="Sí",MAX(0.001,IF(W299&gt;0,W320/W299,$C$328*(1-$C$279))),$C$172)</f>
        <v>0.132626063487114</v>
      </c>
      <c r="Y327" s="1" t="n">
        <f aca="false">IF(01_Supuestos!$C$184="Sí",MAX(0.001,IF(X299&gt;0,X320/X299,$C$328*(1-$C$279))),$C$172)</f>
        <v>0.132918837189452</v>
      </c>
      <c r="Z327" s="1" t="n">
        <f aca="false">IF(01_Supuestos!$C$184="Sí",MAX(0.001,IF(Y299&gt;0,Y320/Y299,$C$328*(1-$C$279))),$C$172)</f>
        <v>0.133205495598603</v>
      </c>
      <c r="AA327" s="1" t="n">
        <f aca="false">IF(01_Supuestos!$C$184="Sí",MAX(0.001,IF(Z299&gt;0,Z320/Z299,$C$328*(1-$C$279))),$C$172)</f>
        <v>0.133480873251623</v>
      </c>
      <c r="AB327" s="1" t="n">
        <f aca="false">IF(01_Supuestos!$C$184="Sí",MAX(0.001,IF(AA299&gt;0,AA320/AA299,$C$328*(1-$C$279))),$C$172)</f>
        <v>0.133762413742454</v>
      </c>
      <c r="AC327" s="1" t="n">
        <f aca="false">IF(01_Supuestos!$C$184="Sí",MAX(0.001,IF(AB299&gt;0,AB320/AB299,$C$328*(1-$C$279))),$C$172)</f>
        <v>0.134048491999559</v>
      </c>
      <c r="AD327" s="1" t="n">
        <f aca="false">IF(01_Supuestos!$C$184="Sí",MAX(0.001,IF(AC299&gt;0,AC320/AC299,$C$328*(1-$C$279))),$C$172)</f>
        <v>0.134338503297252</v>
      </c>
      <c r="AE327" s="1" t="n">
        <f aca="false">IF(01_Supuestos!$C$184="Sí",MAX(0.001,IF(AD299&gt;0,AD320/AD299,$C$328*(1-$C$279))),$C$172)</f>
        <v>0.134631874085522</v>
      </c>
      <c r="AF327" s="1" t="n">
        <f aca="false">IF(01_Supuestos!$C$184="Sí",MAX(0.001,IF(AE299&gt;0,AE320/AE299,$C$328*(1-$C$279))),$C$172)</f>
        <v>0.134928060897439</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0.071448929430079</v>
      </c>
      <c r="M330" s="1" t="n">
        <f aca="false">M343</f>
        <v>0.0724715955888073</v>
      </c>
      <c r="N330" s="1" t="n">
        <f aca="false">N343</f>
        <v>0.0834968384689907</v>
      </c>
      <c r="O330" s="1" t="n">
        <f aca="false">O343</f>
        <v>0.0918036583152823</v>
      </c>
      <c r="P330" s="1" t="n">
        <f aca="false">P343</f>
        <v>0.0937642135860249</v>
      </c>
      <c r="Q330" s="1" t="n">
        <f aca="false">Q343</f>
        <v>0.0959844987450292</v>
      </c>
      <c r="R330" s="1" t="n">
        <f aca="false">R343</f>
        <v>0.0982696493850244</v>
      </c>
      <c r="S330" s="1" t="n">
        <f aca="false">S343</f>
        <v>0.100628284075721</v>
      </c>
      <c r="T330" s="1" t="n">
        <f aca="false">T343</f>
        <v>0.103061430238144</v>
      </c>
      <c r="U330" s="1" t="n">
        <f aca="false">U343</f>
        <v>0.105569665548519</v>
      </c>
      <c r="V330" s="1" t="n">
        <f aca="false">V343</f>
        <v>0.108153632147134</v>
      </c>
      <c r="W330" s="1" t="n">
        <f aca="false">W343</f>
        <v>0.110814019859082</v>
      </c>
      <c r="X330" s="1" t="n">
        <f aca="false">X343</f>
        <v>0.113561979322163</v>
      </c>
      <c r="Y330" s="1" t="n">
        <f aca="false">Y343</f>
        <v>0.116398234850545</v>
      </c>
      <c r="Z330" s="1" t="n">
        <f aca="false">Z343</f>
        <v>0.119320999454291</v>
      </c>
      <c r="AA330" s="1" t="n">
        <f aca="false">AA343</f>
        <v>0.122327982291806</v>
      </c>
      <c r="AB330" s="1" t="n">
        <f aca="false">AB343</f>
        <v>0.125421047764532</v>
      </c>
      <c r="AC330" s="1" t="n">
        <f aca="false">AC343</f>
        <v>0.128601865542854</v>
      </c>
      <c r="AD330" s="1" t="n">
        <f aca="false">AD343</f>
        <v>0.131872142962514</v>
      </c>
      <c r="AE330" s="1" t="n">
        <f aca="false">AE343</f>
        <v>0.135233625975333</v>
      </c>
      <c r="AF330" s="1" t="n">
        <f aca="false">AF343</f>
        <v>0.138688100119082</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0.071448929430079</v>
      </c>
      <c r="M331" s="1" t="n">
        <f aca="false">M330*$C$338</f>
        <v>0.0724715955888073</v>
      </c>
      <c r="N331" s="1" t="n">
        <f aca="false">N330*$C$338</f>
        <v>0.0834968384689907</v>
      </c>
      <c r="O331" s="1" t="n">
        <f aca="false">O330*$C$338</f>
        <v>0.0918036583152823</v>
      </c>
      <c r="P331" s="1" t="n">
        <f aca="false">P330*$C$338</f>
        <v>0.0937642135860249</v>
      </c>
      <c r="Q331" s="1" t="n">
        <f aca="false">Q330*$C$338</f>
        <v>0.0959844987450292</v>
      </c>
      <c r="R331" s="1" t="n">
        <f aca="false">R330*$C$338</f>
        <v>0.0982696493850244</v>
      </c>
      <c r="S331" s="1" t="n">
        <f aca="false">S330*$C$338</f>
        <v>0.100628284075721</v>
      </c>
      <c r="T331" s="1" t="n">
        <f aca="false">T330*$C$338</f>
        <v>0.103061430238144</v>
      </c>
      <c r="U331" s="1" t="n">
        <f aca="false">U330*$C$338</f>
        <v>0.105569665548519</v>
      </c>
      <c r="V331" s="1" t="n">
        <f aca="false">V330*$C$338</f>
        <v>0.108153632147134</v>
      </c>
      <c r="W331" s="1" t="n">
        <f aca="false">W330*$C$338</f>
        <v>0.110814019859082</v>
      </c>
      <c r="X331" s="1" t="n">
        <f aca="false">X330*$C$338</f>
        <v>0.113561979322163</v>
      </c>
      <c r="Y331" s="1" t="n">
        <f aca="false">Y330*$C$338</f>
        <v>0.116398234850545</v>
      </c>
      <c r="Z331" s="1" t="n">
        <f aca="false">Z330*$C$338</f>
        <v>0.119320999454291</v>
      </c>
      <c r="AA331" s="1" t="n">
        <f aca="false">AA330*$C$338</f>
        <v>0.122327982291806</v>
      </c>
      <c r="AB331" s="1" t="n">
        <f aca="false">AB330*$C$338</f>
        <v>0.125421047764532</v>
      </c>
      <c r="AC331" s="1" t="n">
        <f aca="false">AC330*$C$338</f>
        <v>0.128601865542854</v>
      </c>
      <c r="AD331" s="1" t="n">
        <f aca="false">AD330*$C$338</f>
        <v>0.131872142962514</v>
      </c>
      <c r="AE331" s="1" t="n">
        <f aca="false">AE330*$C$338</f>
        <v>0.135233625975333</v>
      </c>
      <c r="AF331" s="1" t="n">
        <f aca="false">AF330*$C$338</f>
        <v>0.138688100119082</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0.071448929430079</v>
      </c>
      <c r="M332" s="1" t="n">
        <f aca="false">IF($C$339&lt;=0,M331,IF($C$339=1,L331,K331))</f>
        <v>0.0724715955888073</v>
      </c>
      <c r="N332" s="1" t="n">
        <f aca="false">IF($C$339&lt;=0,N331,IF($C$339=1,M331,L331))</f>
        <v>0.0834968384689907</v>
      </c>
      <c r="O332" s="1" t="n">
        <f aca="false">IF($C$339&lt;=0,O331,IF($C$339=1,N331,M331))</f>
        <v>0.0918036583152823</v>
      </c>
      <c r="P332" s="1" t="n">
        <f aca="false">IF($C$339&lt;=0,P331,IF($C$339=1,O331,N331))</f>
        <v>0.0937642135860249</v>
      </c>
      <c r="Q332" s="1" t="n">
        <f aca="false">IF($C$339&lt;=0,Q331,IF($C$339=1,P331,O331))</f>
        <v>0.0959844987450292</v>
      </c>
      <c r="R332" s="1" t="n">
        <f aca="false">IF($C$339&lt;=0,R331,IF($C$339=1,Q331,P331))</f>
        <v>0.0982696493850244</v>
      </c>
      <c r="S332" s="1" t="n">
        <f aca="false">IF($C$339&lt;=0,S331,IF($C$339=1,R331,Q331))</f>
        <v>0.100628284075721</v>
      </c>
      <c r="T332" s="1" t="n">
        <f aca="false">IF($C$339&lt;=0,T331,IF($C$339=1,S331,R331))</f>
        <v>0.103061430238144</v>
      </c>
      <c r="U332" s="1" t="n">
        <f aca="false">IF($C$339&lt;=0,U331,IF($C$339=1,T331,S331))</f>
        <v>0.105569665548519</v>
      </c>
      <c r="V332" s="1" t="n">
        <f aca="false">IF($C$339&lt;=0,V331,IF($C$339=1,U331,T331))</f>
        <v>0.108153632147134</v>
      </c>
      <c r="W332" s="1" t="n">
        <f aca="false">IF($C$339&lt;=0,W331,IF($C$339=1,V331,U331))</f>
        <v>0.110814019859082</v>
      </c>
      <c r="X332" s="1" t="n">
        <f aca="false">IF($C$339&lt;=0,X331,IF($C$339=1,W331,V331))</f>
        <v>0.113561979322163</v>
      </c>
      <c r="Y332" s="1" t="n">
        <f aca="false">IF($C$339&lt;=0,Y331,IF($C$339=1,X331,W331))</f>
        <v>0.116398234850545</v>
      </c>
      <c r="Z332" s="1" t="n">
        <f aca="false">IF($C$339&lt;=0,Z331,IF($C$339=1,Y331,X331))</f>
        <v>0.119320999454291</v>
      </c>
      <c r="AA332" s="1" t="n">
        <f aca="false">IF($C$339&lt;=0,AA331,IF($C$339=1,Z331,Y331))</f>
        <v>0.122327982291806</v>
      </c>
      <c r="AB332" s="1" t="n">
        <f aca="false">IF($C$339&lt;=0,AB331,IF($C$339=1,AA331,Z331))</f>
        <v>0.125421047764532</v>
      </c>
      <c r="AC332" s="1" t="n">
        <f aca="false">IF($C$339&lt;=0,AC331,IF($C$339=1,AB331,AA331))</f>
        <v>0.128601865542854</v>
      </c>
      <c r="AD332" s="1" t="n">
        <f aca="false">IF($C$339&lt;=0,AD331,IF($C$339=1,AC331,AB331))</f>
        <v>0.131872142962514</v>
      </c>
      <c r="AE332" s="1" t="n">
        <f aca="false">IF($C$339&lt;=0,AE331,IF($C$339=1,AD331,AC331))</f>
        <v>0.135233625975333</v>
      </c>
      <c r="AF332" s="1" t="n">
        <f aca="false">IF($C$339&lt;=0,AF331,IF($C$339=1,AE331,AD331))</f>
        <v>0.138688100119082</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0.0300085503606332</v>
      </c>
      <c r="M341" s="1" t="n">
        <f aca="false">L284*$C$340</f>
        <v>0.030438070147299</v>
      </c>
      <c r="N341" s="1" t="n">
        <f aca="false">M284*$C$340</f>
        <v>0.0350686721569761</v>
      </c>
      <c r="O341" s="1" t="n">
        <f aca="false">N284*$C$340</f>
        <v>0.0385575364924185</v>
      </c>
      <c r="P341" s="1" t="n">
        <f aca="false">O284*$C$340</f>
        <v>0.0393809697061304</v>
      </c>
      <c r="Q341" s="1" t="n">
        <f aca="false">P284*$C$340</f>
        <v>0.0403134894729123</v>
      </c>
      <c r="R341" s="1" t="n">
        <f aca="false">Q284*$C$340</f>
        <v>0.0412732527417103</v>
      </c>
      <c r="S341" s="1" t="n">
        <f aca="false">R284*$C$340</f>
        <v>0.042263879311803</v>
      </c>
      <c r="T341" s="1" t="n">
        <f aca="false">S284*$C$340</f>
        <v>0.0432858007000204</v>
      </c>
      <c r="U341" s="1" t="n">
        <f aca="false">T284*$C$340</f>
        <v>0.044339259530378</v>
      </c>
      <c r="V341" s="1" t="n">
        <f aca="false">U284*$C$340</f>
        <v>0.0454245255017961</v>
      </c>
      <c r="W341" s="1" t="n">
        <f aca="false">V284*$C$340</f>
        <v>0.0465418883408143</v>
      </c>
      <c r="X341" s="1" t="n">
        <f aca="false">W284*$C$340</f>
        <v>0.0476960313153085</v>
      </c>
      <c r="Y341" s="1" t="n">
        <f aca="false">X284*$C$340</f>
        <v>0.0488872586372288</v>
      </c>
      <c r="Z341" s="1" t="n">
        <f aca="false">Y284*$C$340</f>
        <v>0.0501148197708021</v>
      </c>
      <c r="AA341" s="1" t="n">
        <f aca="false">Z284*$C$340</f>
        <v>0.0513777525625587</v>
      </c>
      <c r="AB341" s="1" t="n">
        <f aca="false">AA284*$C$340</f>
        <v>0.0526768400611032</v>
      </c>
      <c r="AC341" s="1" t="n">
        <f aca="false">AB284*$C$340</f>
        <v>0.0540127835279986</v>
      </c>
      <c r="AD341" s="1" t="n">
        <f aca="false">AC284*$C$340</f>
        <v>0.0553863000442558</v>
      </c>
      <c r="AE341" s="1" t="n">
        <f aca="false">AD284*$C$340</f>
        <v>0.0567981229096401</v>
      </c>
      <c r="AF341" s="1" t="n">
        <f aca="false">AE284*$C$340</f>
        <v>0.0582490020500144</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0.0414403790694458</v>
      </c>
      <c r="M342" s="1" t="n">
        <f aca="false">L289*$C$340</f>
        <v>0.0420335254415082</v>
      </c>
      <c r="N342" s="1" t="n">
        <f aca="false">M289*$C$340</f>
        <v>0.0484281663120146</v>
      </c>
      <c r="O342" s="1" t="n">
        <f aca="false">N289*$C$340</f>
        <v>0.0532461218228637</v>
      </c>
      <c r="P342" s="1" t="n">
        <f aca="false">O289*$C$340</f>
        <v>0.0543832438798944</v>
      </c>
      <c r="Q342" s="1" t="n">
        <f aca="false">P289*$C$340</f>
        <v>0.055671009272117</v>
      </c>
      <c r="R342" s="1" t="n">
        <f aca="false">Q289*$C$340</f>
        <v>0.0569963966433142</v>
      </c>
      <c r="S342" s="1" t="n">
        <f aca="false">R289*$C$340</f>
        <v>0.0583644047639184</v>
      </c>
      <c r="T342" s="1" t="n">
        <f aca="false">S289*$C$340</f>
        <v>0.0597756295381235</v>
      </c>
      <c r="U342" s="1" t="n">
        <f aca="false">T289*$C$340</f>
        <v>0.0612304060181411</v>
      </c>
      <c r="V342" s="1" t="n">
        <f aca="false">U289*$C$340</f>
        <v>0.0627291066453374</v>
      </c>
      <c r="W342" s="1" t="n">
        <f aca="false">V289*$C$340</f>
        <v>0.0642721315182674</v>
      </c>
      <c r="X342" s="1" t="n">
        <f aca="false">W289*$C$340</f>
        <v>0.0658659480068546</v>
      </c>
      <c r="Y342" s="1" t="n">
        <f aca="false">X289*$C$340</f>
        <v>0.067510976213316</v>
      </c>
      <c r="Z342" s="1" t="n">
        <f aca="false">Y289*$C$340</f>
        <v>0.0692061796834886</v>
      </c>
      <c r="AA342" s="1" t="n">
        <f aca="false">Z289*$C$340</f>
        <v>0.0709502297292477</v>
      </c>
      <c r="AB342" s="1" t="n">
        <f aca="false">AA289*$C$340</f>
        <v>0.0727442077034283</v>
      </c>
      <c r="AC342" s="1" t="n">
        <f aca="false">AB289*$C$340</f>
        <v>0.0745890820148552</v>
      </c>
      <c r="AD342" s="1" t="n">
        <f aca="false">AC289*$C$340</f>
        <v>0.076485842918258</v>
      </c>
      <c r="AE342" s="1" t="n">
        <f aca="false">AD289*$C$340</f>
        <v>0.0784355030656934</v>
      </c>
      <c r="AF342" s="1" t="n">
        <f aca="false">AE289*$C$340</f>
        <v>0.0804390980690675</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0.071448929430079</v>
      </c>
      <c r="M343" s="1" t="n">
        <f aca="false">M341+M342</f>
        <v>0.0724715955888073</v>
      </c>
      <c r="N343" s="1" t="n">
        <f aca="false">N341+N342</f>
        <v>0.0834968384689907</v>
      </c>
      <c r="O343" s="1" t="n">
        <f aca="false">O341+O342</f>
        <v>0.0918036583152823</v>
      </c>
      <c r="P343" s="1" t="n">
        <f aca="false">P341+P342</f>
        <v>0.0937642135860249</v>
      </c>
      <c r="Q343" s="1" t="n">
        <f aca="false">Q341+Q342</f>
        <v>0.0959844987450292</v>
      </c>
      <c r="R343" s="1" t="n">
        <f aca="false">R341+R342</f>
        <v>0.0982696493850244</v>
      </c>
      <c r="S343" s="1" t="n">
        <f aca="false">S341+S342</f>
        <v>0.100628284075721</v>
      </c>
      <c r="T343" s="1" t="n">
        <f aca="false">T341+T342</f>
        <v>0.103061430238144</v>
      </c>
      <c r="U343" s="1" t="n">
        <f aca="false">U341+U342</f>
        <v>0.105569665548519</v>
      </c>
      <c r="V343" s="1" t="n">
        <f aca="false">V341+V342</f>
        <v>0.108153632147134</v>
      </c>
      <c r="W343" s="1" t="n">
        <f aca="false">W341+W342</f>
        <v>0.110814019859082</v>
      </c>
      <c r="X343" s="1" t="n">
        <f aca="false">X341+X342</f>
        <v>0.113561979322163</v>
      </c>
      <c r="Y343" s="1" t="n">
        <f aca="false">Y341+Y342</f>
        <v>0.116398234850545</v>
      </c>
      <c r="Z343" s="1" t="n">
        <f aca="false">Z341+Z342</f>
        <v>0.119320999454291</v>
      </c>
      <c r="AA343" s="1" t="n">
        <f aca="false">AA341+AA342</f>
        <v>0.122327982291806</v>
      </c>
      <c r="AB343" s="1" t="n">
        <f aca="false">AB341+AB342</f>
        <v>0.125421047764532</v>
      </c>
      <c r="AC343" s="1" t="n">
        <f aca="false">AC341+AC342</f>
        <v>0.128601865542854</v>
      </c>
      <c r="AD343" s="1" t="n">
        <f aca="false">AD341+AD342</f>
        <v>0.131872142962514</v>
      </c>
      <c r="AE343" s="1" t="n">
        <f aca="false">AE341+AE342</f>
        <v>0.135233625975333</v>
      </c>
      <c r="AF343" s="1" t="n">
        <f aca="false">AF341+AF342</f>
        <v>0.138688100119082</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1393</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52" t="n">
        <v>0.0022</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10.9916285</v>
      </c>
      <c r="E54" s="116" t="n">
        <f aca="false">01_Supuestos!$I$132*(1+01_Supuestos!$I$133)^(E$39-1)*(1+$C$14)^(E$39-1)</f>
        <v>11.2912053347675</v>
      </c>
      <c r="F54" s="116" t="n">
        <f aca="false">01_Supuestos!$I$132*(1+01_Supuestos!$I$133)^(F$39-1)*(1+$C$14)^(F$39-1)</f>
        <v>11.5989471361666</v>
      </c>
      <c r="G54" s="116" t="n">
        <f aca="false">01_Supuestos!$I$132*(1+01_Supuestos!$I$133)^(G$39-1)*(1+$C$14)^(G$39-1)</f>
        <v>11.9150764403628</v>
      </c>
      <c r="H54" s="116" t="n">
        <f aca="false">01_Supuestos!$I$132*(1+01_Supuestos!$I$133)^(H$39-1)*(1+$C$14)^(H$39-1)</f>
        <v>12.2398218487449</v>
      </c>
      <c r="I54" s="116" t="n">
        <f aca="false">01_Supuestos!$I$132*(1+01_Supuestos!$I$133)^(I$39-1)*(1+$C$14)^(I$39-1)</f>
        <v>12.5734181932324</v>
      </c>
      <c r="J54" s="116" t="n">
        <f aca="false">01_Supuestos!$I$132*(1+01_Supuestos!$I$133)^(J$39-1)*(1+$C$14)^(J$39-1)</f>
        <v>12.916106706089</v>
      </c>
      <c r="K54" s="116" t="n">
        <f aca="false">01_Supuestos!$I$132*(1+01_Supuestos!$I$133)^(K$39-1)*(1+$C$14)^(K$39-1)</f>
        <v>13.2681351943634</v>
      </c>
      <c r="L54" s="116" t="n">
        <f aca="false">01_Supuestos!$I$132*(1+01_Supuestos!$I$133)^(L$39-1)*(1+$C$14)^(L$39-1)</f>
        <v>13.6297582190858</v>
      </c>
      <c r="M54" s="116" t="n">
        <f aca="false">01_Supuestos!$I$132*(1+01_Supuestos!$I$133)^(M$39-1)*(1+$C$14)^(M$39-1)</f>
        <v>14.001237279347</v>
      </c>
      <c r="N54" s="116" t="n">
        <f aca="false">01_Supuestos!$I$132*(1+01_Supuestos!$I$133)^(N$39-1)*(1+$C$14)^(N$39-1)</f>
        <v>14.3828410013956</v>
      </c>
      <c r="O54" s="116" t="n">
        <f aca="false">01_Supuestos!$I$132*(1+01_Supuestos!$I$133)^(O$39-1)*(1+$C$14)^(O$39-1)</f>
        <v>14.7748453328886</v>
      </c>
      <c r="P54" s="116" t="n">
        <f aca="false">01_Supuestos!$I$132*(1+01_Supuestos!$I$133)^(P$39-1)*(1+$C$14)^(P$39-1)</f>
        <v>15.1775337424365</v>
      </c>
      <c r="Q54" s="116" t="n">
        <f aca="false">01_Supuestos!$I$132*(1+01_Supuestos!$I$133)^(Q$39-1)*(1+$C$14)^(Q$39-1)</f>
        <v>15.5911974245866</v>
      </c>
      <c r="R54" s="116" t="n">
        <f aca="false">01_Supuestos!$I$132*(1+01_Supuestos!$I$133)^(R$39-1)*(1+$C$14)^(R$39-1)</f>
        <v>16.0161355103937</v>
      </c>
      <c r="S54" s="116" t="n">
        <f aca="false">01_Supuestos!$I$132*(1+01_Supuestos!$I$133)^(S$39-1)*(1+$C$14)^(S$39-1)</f>
        <v>16.4526552837295</v>
      </c>
      <c r="T54" s="116" t="n">
        <f aca="false">01_Supuestos!$I$132*(1+01_Supuestos!$I$133)^(T$39-1)*(1+$C$14)^(T$39-1)</f>
        <v>16.9010724034875</v>
      </c>
      <c r="U54" s="116" t="n">
        <f aca="false">01_Supuestos!$I$132*(1+01_Supuestos!$I$133)^(U$39-1)*(1+$C$14)^(U$39-1)</f>
        <v>17.3617111318446</v>
      </c>
      <c r="V54" s="116" t="n">
        <f aca="false">01_Supuestos!$I$132*(1+01_Supuestos!$I$133)^(V$39-1)*(1+$C$14)^(V$39-1)</f>
        <v>17.834904568743</v>
      </c>
      <c r="W54" s="116" t="n">
        <f aca="false">01_Supuestos!$I$132*(1+01_Supuestos!$I$133)^(W$39-1)*(1+$C$14)^(W$39-1)</f>
        <v>18.3209948927641</v>
      </c>
      <c r="X54" s="116" t="n">
        <f aca="false">01_Supuestos!$I$132*(1+01_Supuestos!$I$133)^(X$39-1)*(1+$C$14)^(X$39-1)</f>
        <v>18.8203336085664</v>
      </c>
      <c r="Y54" s="116" t="n">
        <f aca="false">01_Supuestos!$I$132*(1+01_Supuestos!$I$133)^(Y$39-1)*(1+$C$14)^(Y$39-1)</f>
        <v>19.3332818010679</v>
      </c>
      <c r="Z54" s="116" t="n">
        <f aca="false">01_Supuestos!$I$132*(1+01_Supuestos!$I$133)^(Z$39-1)*(1+$C$14)^(Z$39-1)</f>
        <v>19.860210396556</v>
      </c>
      <c r="AA54" s="116" t="n">
        <f aca="false">01_Supuestos!$I$132*(1+01_Supuestos!$I$133)^(AA$39-1)*(1+$C$14)^(AA$39-1)</f>
        <v>20.4015004309141</v>
      </c>
      <c r="AB54" s="116" t="n">
        <f aca="false">01_Supuestos!$I$132*(1+01_Supuestos!$I$133)^(AB$39-1)*(1+$C$14)^(AB$39-1)</f>
        <v>20.9575433251587</v>
      </c>
      <c r="AC54" s="116" t="n">
        <f aca="false">01_Supuestos!$I$132*(1+01_Supuestos!$I$133)^(AC$39-1)*(1+$C$14)^(AC$39-1)</f>
        <v>21.5287411684858</v>
      </c>
      <c r="AD54" s="116" t="n">
        <f aca="false">01_Supuestos!$I$132*(1+01_Supuestos!$I$133)^(AD$39-1)*(1+$C$14)^(AD$39-1)</f>
        <v>22.1155070090329</v>
      </c>
      <c r="AE54" s="116" t="n">
        <f aca="false">01_Supuestos!$I$132*(1+01_Supuestos!$I$133)^(AE$39-1)*(1+$C$14)^(AE$39-1)</f>
        <v>22.7182651525641</v>
      </c>
      <c r="AF54" s="116" t="n">
        <f aca="false">01_Supuestos!$I$132*(1+01_Supuestos!$I$133)^(AF$39-1)*(1+$C$14)^(AF$39-1)</f>
        <v>23.3374514692973</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(IF($C$11="Libro",C55*C54,IF(C$39&lt;=20,01_Supuestos!$I$26+(01_Supuestos!$I$27-01_Supuestos!$I$26)*(C$39-1)/19,01_Supuestos!$I$27*IF($C$6="Sí",(1+01_Supuestos!$I$9)^(C$39-20),1))*C55/0.1))*(1-IF(C$39&gt;=$C$198,$C$197,0))</f>
        <v>1.07</v>
      </c>
      <c r="D56" s="116" t="n">
        <f aca="false">(IF($C$11="Libro",D55*D54,IF(D$39&lt;=20,01_Supuestos!$I$26+(01_Supuestos!$I$27-01_Supuestos!$I$26)*(D$39-1)/19,01_Supuestos!$I$27*IF($C$6="Sí",(1+01_Supuestos!$I$9)^(D$39-20),1))*D55/0.1))*(1-IF(D$39&gt;=$C$198,$C$197,0))</f>
        <v>1.09916285</v>
      </c>
      <c r="E56" s="116" t="n">
        <f aca="false">(IF($C$11="Libro",E55*E54,IF(E$39&lt;=20,01_Supuestos!$I$26+(01_Supuestos!$I$27-01_Supuestos!$I$26)*(E$39-1)/19,01_Supuestos!$I$27*IF($C$6="Sí",(1+01_Supuestos!$I$9)^(E$39-20),1))*E55/0.1))*(1-IF(E$39&gt;=$C$198,$C$197,0))</f>
        <v>1.12912053347675</v>
      </c>
      <c r="F56" s="116" t="n">
        <f aca="false">(IF($C$11="Libro",F55*F54,IF(F$39&lt;=20,01_Supuestos!$I$26+(01_Supuestos!$I$27-01_Supuestos!$I$26)*(F$39-1)/19,01_Supuestos!$I$27*IF($C$6="Sí",(1+01_Supuestos!$I$9)^(F$39-20),1))*F55/0.1))*(1-IF(F$39&gt;=$C$198,$C$197,0))</f>
        <v>1.15989471361666</v>
      </c>
      <c r="G56" s="116" t="n">
        <f aca="false">(IF($C$11="Libro",G55*G54,IF(G$39&lt;=20,01_Supuestos!$I$26+(01_Supuestos!$I$27-01_Supuestos!$I$26)*(G$39-1)/19,01_Supuestos!$I$27*IF($C$6="Sí",(1+01_Supuestos!$I$9)^(G$39-20),1))*G55/0.1))*(1-IF(G$39&gt;=$C$198,$C$197,0))</f>
        <v>1.19150764403628</v>
      </c>
      <c r="H56" s="116" t="n">
        <f aca="false">(IF($C$11="Libro",H55*H54,IF(H$39&lt;=20,01_Supuestos!$I$26+(01_Supuestos!$I$27-01_Supuestos!$I$26)*(H$39-1)/19,01_Supuestos!$I$27*IF($C$6="Sí",(1+01_Supuestos!$I$9)^(H$39-20),1))*H55/0.1))*(1-IF(H$39&gt;=$C$198,$C$197,0))</f>
        <v>1.22398218487449</v>
      </c>
      <c r="I56" s="116" t="n">
        <f aca="false">(IF($C$11="Libro",I55*I54,IF(I$39&lt;=20,01_Supuestos!$I$26+(01_Supuestos!$I$27-01_Supuestos!$I$26)*(I$39-1)/19,01_Supuestos!$I$27*IF($C$6="Sí",(1+01_Supuestos!$I$9)^(I$39-20),1))*I55/0.1))*(1-IF(I$39&gt;=$C$198,$C$197,0))</f>
        <v>1.25734181932324</v>
      </c>
      <c r="J56" s="116" t="n">
        <f aca="false">(IF($C$11="Libro",J55*J54,IF(J$39&lt;=20,01_Supuestos!$I$26+(01_Supuestos!$I$27-01_Supuestos!$I$26)*(J$39-1)/19,01_Supuestos!$I$27*IF($C$6="Sí",(1+01_Supuestos!$I$9)^(J$39-20),1))*J55/0.1))*(1-IF(J$39&gt;=$C$198,$C$197,0))</f>
        <v>1.2916106706089</v>
      </c>
      <c r="K56" s="116" t="n">
        <f aca="false">(IF($C$11="Libro",K55*K54,IF(K$39&lt;=20,01_Supuestos!$I$26+(01_Supuestos!$I$27-01_Supuestos!$I$26)*(K$39-1)/19,01_Supuestos!$I$27*IF($C$6="Sí",(1+01_Supuestos!$I$9)^(K$39-20),1))*K55/0.1))*(1-IF(K$39&gt;=$C$198,$C$197,0))</f>
        <v>1.32681351943634</v>
      </c>
      <c r="L56" s="116" t="n">
        <f aca="false">(IF($C$11="Libro",L55*L54,IF(L$39&lt;=20,01_Supuestos!$I$26+(01_Supuestos!$I$27-01_Supuestos!$I$26)*(L$39-1)/19,01_Supuestos!$I$27*IF($C$6="Sí",(1+01_Supuestos!$I$9)^(L$39-20),1))*L55/0.1))*(1-IF(L$39&gt;=$C$198,$C$197,0))</f>
        <v>1.36297582190858</v>
      </c>
      <c r="M56" s="116" t="n">
        <f aca="false">(IF($C$11="Libro",M55*M54,IF(M$39&lt;=20,01_Supuestos!$I$26+(01_Supuestos!$I$27-01_Supuestos!$I$26)*(M$39-1)/19,01_Supuestos!$I$27*IF($C$6="Sí",(1+01_Supuestos!$I$9)^(M$39-20),1))*M55/0.1))*(1-IF(M$39&gt;=$C$198,$C$197,0))</f>
        <v>1.4001237279347</v>
      </c>
      <c r="N56" s="116" t="n">
        <f aca="false">(IF($C$11="Libro",N55*N54,IF(N$39&lt;=20,01_Supuestos!$I$26+(01_Supuestos!$I$27-01_Supuestos!$I$26)*(N$39-1)/19,01_Supuestos!$I$27*IF($C$6="Sí",(1+01_Supuestos!$I$9)^(N$39-20),1))*N55/0.1))*(1-IF(N$39&gt;=$C$198,$C$197,0))</f>
        <v>1.43828410013956</v>
      </c>
      <c r="O56" s="116" t="n">
        <f aca="false">(IF($C$11="Libro",O55*O54,IF(O$39&lt;=20,01_Supuestos!$I$26+(01_Supuestos!$I$27-01_Supuestos!$I$26)*(O$39-1)/19,01_Supuestos!$I$27*IF($C$6="Sí",(1+01_Supuestos!$I$9)^(O$39-20),1))*O55/0.1))*(1-IF(O$39&gt;=$C$198,$C$197,0))</f>
        <v>1.47748453328886</v>
      </c>
      <c r="P56" s="116" t="n">
        <f aca="false">(IF($C$11="Libro",P55*P54,IF(P$39&lt;=20,01_Supuestos!$I$26+(01_Supuestos!$I$27-01_Supuestos!$I$26)*(P$39-1)/19,01_Supuestos!$I$27*IF($C$6="Sí",(1+01_Supuestos!$I$9)^(P$39-20),1))*P55/0.1))*(1-IF(P$39&gt;=$C$198,$C$197,0))</f>
        <v>1.51775337424365</v>
      </c>
      <c r="Q56" s="116" t="n">
        <f aca="false">(IF($C$11="Libro",Q55*Q54,IF(Q$39&lt;=20,01_Supuestos!$I$26+(01_Supuestos!$I$27-01_Supuestos!$I$26)*(Q$39-1)/19,01_Supuestos!$I$27*IF($C$6="Sí",(1+01_Supuestos!$I$9)^(Q$39-20),1))*Q55/0.1))*(1-IF(Q$39&gt;=$C$198,$C$197,0))</f>
        <v>1.55911974245866</v>
      </c>
      <c r="R56" s="116" t="n">
        <f aca="false">(IF($C$11="Libro",R55*R54,IF(R$39&lt;=20,01_Supuestos!$I$26+(01_Supuestos!$I$27-01_Supuestos!$I$26)*(R$39-1)/19,01_Supuestos!$I$27*IF($C$6="Sí",(1+01_Supuestos!$I$9)^(R$39-20),1))*R55/0.1))*(1-IF(R$39&gt;=$C$198,$C$197,0))</f>
        <v>1.60161355103937</v>
      </c>
      <c r="S56" s="116" t="n">
        <f aca="false">(IF($C$11="Libro",S55*S54,IF(S$39&lt;=20,01_Supuestos!$I$26+(01_Supuestos!$I$27-01_Supuestos!$I$26)*(S$39-1)/19,01_Supuestos!$I$27*IF($C$6="Sí",(1+01_Supuestos!$I$9)^(S$39-20),1))*S55/0.1))*(1-IF(S$39&gt;=$C$198,$C$197,0))</f>
        <v>1.64526552837295</v>
      </c>
      <c r="T56" s="116" t="n">
        <f aca="false">(IF($C$11="Libro",T55*T54,IF(T$39&lt;=20,01_Supuestos!$I$26+(01_Supuestos!$I$27-01_Supuestos!$I$26)*(T$39-1)/19,01_Supuestos!$I$27*IF($C$6="Sí",(1+01_Supuestos!$I$9)^(T$39-20),1))*T55/0.1))*(1-IF(T$39&gt;=$C$198,$C$197,0))</f>
        <v>1.69010724034875</v>
      </c>
      <c r="U56" s="116" t="n">
        <f aca="false">(IF($C$11="Libro",U55*U54,IF(U$39&lt;=20,01_Supuestos!$I$26+(01_Supuestos!$I$27-01_Supuestos!$I$26)*(U$39-1)/19,01_Supuestos!$I$27*IF($C$6="Sí",(1+01_Supuestos!$I$9)^(U$39-20),1))*U55/0.1))*(1-IF(U$39&gt;=$C$198,$C$197,0))</f>
        <v>1.73617111318446</v>
      </c>
      <c r="V56" s="116" t="n">
        <f aca="false">(IF($C$11="Libro",V55*V54,IF(V$39&lt;=20,01_Supuestos!$I$26+(01_Supuestos!$I$27-01_Supuestos!$I$26)*(V$39-1)/19,01_Supuestos!$I$27*IF($C$6="Sí",(1+01_Supuestos!$I$9)^(V$39-20),1))*V55/0.1))*(1-IF(V$39&gt;=$C$198,$C$197,0))</f>
        <v>1.7834904568743</v>
      </c>
      <c r="W56" s="116" t="n">
        <f aca="false">(IF($C$11="Libro",W55*W54,IF(W$39&lt;=20,01_Supuestos!$I$26+(01_Supuestos!$I$27-01_Supuestos!$I$26)*(W$39-1)/19,01_Supuestos!$I$27*IF($C$6="Sí",(1+01_Supuestos!$I$9)^(W$39-20),1))*W55/0.1))*(1-IF(W$39&gt;=$C$198,$C$197,0))</f>
        <v>1.83209948927641</v>
      </c>
      <c r="X56" s="116" t="n">
        <f aca="false">(IF($C$11="Libro",X55*X54,IF(X$39&lt;=20,01_Supuestos!$I$26+(01_Supuestos!$I$27-01_Supuestos!$I$26)*(X$39-1)/19,01_Supuestos!$I$27*IF($C$6="Sí",(1+01_Supuestos!$I$9)^(X$39-20),1))*X55/0.1))*(1-IF(X$39&gt;=$C$198,$C$197,0))</f>
        <v>1.88203336085664</v>
      </c>
      <c r="Y56" s="116" t="n">
        <f aca="false">(IF($C$11="Libro",Y55*Y54,IF(Y$39&lt;=20,01_Supuestos!$I$26+(01_Supuestos!$I$27-01_Supuestos!$I$26)*(Y$39-1)/19,01_Supuestos!$I$27*IF($C$6="Sí",(1+01_Supuestos!$I$9)^(Y$39-20),1))*Y55/0.1))*(1-IF(Y$39&gt;=$C$198,$C$197,0))</f>
        <v>1.93332818010679</v>
      </c>
      <c r="Z56" s="116" t="n">
        <f aca="false">(IF($C$11="Libro",Z55*Z54,IF(Z$39&lt;=20,01_Supuestos!$I$26+(01_Supuestos!$I$27-01_Supuestos!$I$26)*(Z$39-1)/19,01_Supuestos!$I$27*IF($C$6="Sí",(1+01_Supuestos!$I$9)^(Z$39-20),1))*Z55/0.1))*(1-IF(Z$39&gt;=$C$198,$C$197,0))</f>
        <v>1.9860210396556</v>
      </c>
      <c r="AA56" s="116" t="n">
        <f aca="false">(IF($C$11="Libro",AA55*AA54,IF(AA$39&lt;=20,01_Supuestos!$I$26+(01_Supuestos!$I$27-01_Supuestos!$I$26)*(AA$39-1)/19,01_Supuestos!$I$27*IF($C$6="Sí",(1+01_Supuestos!$I$9)^(AA$39-20),1))*AA55/0.1))*(1-IF(AA$39&gt;=$C$198,$C$197,0))</f>
        <v>2.04015004309141</v>
      </c>
      <c r="AB56" s="116" t="n">
        <f aca="false">(IF($C$11="Libro",AB55*AB54,IF(AB$39&lt;=20,01_Supuestos!$I$26+(01_Supuestos!$I$27-01_Supuestos!$I$26)*(AB$39-1)/19,01_Supuestos!$I$27*IF($C$6="Sí",(1+01_Supuestos!$I$9)^(AB$39-20),1))*AB55/0.1))*(1-IF(AB$39&gt;=$C$198,$C$197,0))</f>
        <v>2.09575433251587</v>
      </c>
      <c r="AC56" s="116" t="n">
        <f aca="false">(IF($C$11="Libro",AC55*AC54,IF(AC$39&lt;=20,01_Supuestos!$I$26+(01_Supuestos!$I$27-01_Supuestos!$I$26)*(AC$39-1)/19,01_Supuestos!$I$27*IF($C$6="Sí",(1+01_Supuestos!$I$9)^(AC$39-20),1))*AC55/0.1))*(1-IF(AC$39&gt;=$C$198,$C$197,0))</f>
        <v>2.15287411684858</v>
      </c>
      <c r="AD56" s="116" t="n">
        <f aca="false">(IF($C$11="Libro",AD55*AD54,IF(AD$39&lt;=20,01_Supuestos!$I$26+(01_Supuestos!$I$27-01_Supuestos!$I$26)*(AD$39-1)/19,01_Supuestos!$I$27*IF($C$6="Sí",(1+01_Supuestos!$I$9)^(AD$39-20),1))*AD55/0.1))*(1-IF(AD$39&gt;=$C$198,$C$197,0))</f>
        <v>2.21155070090329</v>
      </c>
      <c r="AE56" s="116" t="n">
        <f aca="false">(IF($C$11="Libro",AE55*AE54,IF(AE$39&lt;=20,01_Supuestos!$I$26+(01_Supuestos!$I$27-01_Supuestos!$I$26)*(AE$39-1)/19,01_Supuestos!$I$27*IF($C$6="Sí",(1+01_Supuestos!$I$9)^(AE$39-20),1))*AE55/0.1))*(1-IF(AE$39&gt;=$C$198,$C$197,0))</f>
        <v>2.27182651525641</v>
      </c>
      <c r="AF56" s="116" t="n">
        <f aca="false">(IF($C$11="Libro",AF55*AF54,IF(AF$39&lt;=20,01_Supuestos!$I$26+(01_Supuestos!$I$27-01_Supuestos!$I$26)*(AF$39-1)/19,01_Supuestos!$I$27*IF($C$6="Sí",(1+01_Supuestos!$I$9)^(AF$39-20),1))*AF55/0.1))*(1-IF(AF$39&gt;=$C$198,$C$197,0))</f>
        <v>2.33374514692973</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187.652378758606</v>
      </c>
      <c r="M72" s="116" t="n">
        <f aca="false">IF($C$173="Sí",(M83-M326)+M181,$C$15*L83)</f>
        <v>201.492891786311</v>
      </c>
      <c r="N72" s="116" t="n">
        <f aca="false">IF($C$173="Sí",(N83-N326)+N181,$C$15*M83)</f>
        <v>206.829349576801</v>
      </c>
      <c r="O72" s="116" t="n">
        <f aca="false">IF($C$173="Sí",(O83-O326)+O181,$C$15*N83)</f>
        <v>212.558326925522</v>
      </c>
      <c r="P72" s="116" t="n">
        <f aca="false">IF($C$173="Sí",(P83-P326)+P181,$C$15*O83)</f>
        <v>217.63065329352</v>
      </c>
      <c r="Q72" s="116" t="n">
        <f aca="false">IF($C$173="Sí",(Q83-Q326)+Q181,$C$15*P83)</f>
        <v>222.629875658643</v>
      </c>
      <c r="R72" s="116" t="n">
        <f aca="false">IF($C$173="Sí",(R83-R326)+R181,$C$15*Q83)</f>
        <v>227.748997179024</v>
      </c>
      <c r="S72" s="116" t="n">
        <f aca="false">IF($C$173="Sí",(S83-S326)+S181,$C$15*R83)</f>
        <v>232.985127753442</v>
      </c>
      <c r="T72" s="116" t="n">
        <f aca="false">IF($C$173="Sí",(T83-T326)+T181,$C$15*S83)</f>
        <v>238.341302051136</v>
      </c>
      <c r="U72" s="116" t="n">
        <f aca="false">IF($C$173="Sí",(U83-U326)+U181,$C$15*T83)</f>
        <v>243.820327184285</v>
      </c>
      <c r="V72" s="116" t="n">
        <f aca="false">IF($C$173="Sí",(V83-V326)+V181,$C$15*U83)</f>
        <v>249.425059360922</v>
      </c>
      <c r="W72" s="116" t="n">
        <f aca="false">IF($C$173="Sí",(W83-W326)+W181,$C$15*V83)</f>
        <v>255.157212277955</v>
      </c>
      <c r="X72" s="116" t="n">
        <f aca="false">IF($C$173="Sí",(X83-X326)+X181,$C$15*W83)</f>
        <v>261.020343778487</v>
      </c>
      <c r="Y72" s="116" t="n">
        <f aca="false">IF($C$173="Sí",(Y83-Y326)+Y181,$C$15*X83)</f>
        <v>267.017836814289</v>
      </c>
      <c r="Z72" s="116" t="n">
        <f aca="false">IF($C$173="Sí",(Z83-Z326)+Z181,$C$15*Y83)</f>
        <v>273.15282060804</v>
      </c>
      <c r="AA72" s="116" t="n">
        <f aca="false">IF($C$173="Sí",(AA83-AA326)+AA181,$C$15*Z83)</f>
        <v>279.428495857819</v>
      </c>
      <c r="AB72" s="116" t="n">
        <f aca="false">IF($C$173="Sí",(AB83-AB326)+AB181,$C$15*AA83)</f>
        <v>285.848162919702</v>
      </c>
      <c r="AC72" s="116" t="n">
        <f aca="false">IF($C$173="Sí",(AC83-AC326)+AC181,$C$15*AB83)</f>
        <v>292.415184410719</v>
      </c>
      <c r="AD72" s="116" t="n">
        <f aca="false">IF($C$173="Sí",(AD83-AD326)+AD181,$C$15*AC83)</f>
        <v>299.132992472867</v>
      </c>
      <c r="AE72" s="116" t="n">
        <f aca="false">IF($C$173="Sí",(AE83-AE326)+AE181,$C$15*AD83)</f>
        <v>306.005097743956</v>
      </c>
      <c r="AF72" s="116" t="n">
        <f aca="false">IF($C$173="Sí",(AF83-AF326)+AF181,$C$15*AE83)</f>
        <v>313.035091206367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16.5683408806031</v>
      </c>
      <c r="M73" s="116" t="n">
        <f aca="false">M72-L72</f>
        <v>13.8405130277052</v>
      </c>
      <c r="N73" s="116" t="n">
        <f aca="false">N72-M72</f>
        <v>5.33645779049056</v>
      </c>
      <c r="O73" s="116" t="n">
        <f aca="false">O72-N72</f>
        <v>5.72897734872117</v>
      </c>
      <c r="P73" s="116" t="n">
        <f aca="false">P72-O72</f>
        <v>5.07232636799708</v>
      </c>
      <c r="Q73" s="116" t="n">
        <f aca="false">Q72-P72</f>
        <v>4.99922236512356</v>
      </c>
      <c r="R73" s="116" t="n">
        <f aca="false">R72-Q72</f>
        <v>5.11912152038039</v>
      </c>
      <c r="S73" s="116" t="n">
        <f aca="false">S72-R72</f>
        <v>5.23613057441855</v>
      </c>
      <c r="T73" s="116" t="n">
        <f aca="false">T72-S72</f>
        <v>5.35617429769377</v>
      </c>
      <c r="U73" s="116" t="n">
        <f aca="false">U72-T72</f>
        <v>5.47902513314872</v>
      </c>
      <c r="V73" s="116" t="n">
        <f aca="false">V72-U72</f>
        <v>5.6047321766371</v>
      </c>
      <c r="W73" s="116" t="n">
        <f aca="false">W72-V72</f>
        <v>5.73215291703303</v>
      </c>
      <c r="X73" s="116" t="n">
        <f aca="false">X72-W72</f>
        <v>5.86313150053223</v>
      </c>
      <c r="Y73" s="116" t="n">
        <f aca="false">Y72-X72</f>
        <v>5.99749303580217</v>
      </c>
      <c r="Z73" s="116" t="n">
        <f aca="false">Z72-Y72</f>
        <v>6.13498379375045</v>
      </c>
      <c r="AA73" s="116" t="n">
        <f aca="false">AA72-Z72</f>
        <v>6.27567524977911</v>
      </c>
      <c r="AB73" s="116" t="n">
        <f aca="false">AB72-AA72</f>
        <v>6.41966706188299</v>
      </c>
      <c r="AC73" s="116" t="n">
        <f aca="false">AC72-AB72</f>
        <v>6.56702149101687</v>
      </c>
      <c r="AD73" s="116" t="n">
        <f aca="false">AD72-AC72</f>
        <v>6.71780806214883</v>
      </c>
      <c r="AE73" s="116" t="n">
        <f aca="false">AE72-AD72</f>
        <v>6.87210527108886</v>
      </c>
      <c r="AF73" s="116" t="n">
        <f aca="false">AF72-AE72</f>
        <v>7.02999346241097</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17.4900982319835</v>
      </c>
      <c r="N75" s="116" t="n">
        <f aca="false">$C$19*M81</f>
        <v>18.1213040415011</v>
      </c>
      <c r="O75" s="116" t="n">
        <f aca="false">$C$19*N81</f>
        <v>18.7604809007079</v>
      </c>
      <c r="P75" s="116" t="n">
        <f aca="false">$C$19*O81</f>
        <v>19.3623989251979</v>
      </c>
      <c r="Q75" s="116" t="n">
        <f aca="false">$C$19*P81</f>
        <v>19.8382778801439</v>
      </c>
      <c r="R75" s="116" t="n">
        <f aca="false">$C$19*Q81</f>
        <v>20.3180820983724</v>
      </c>
      <c r="S75" s="116" t="n">
        <f aca="false">$C$19*R81</f>
        <v>20.7966454269296</v>
      </c>
      <c r="T75" s="116" t="n">
        <f aca="false">$C$19*S81</f>
        <v>21.2744267767822</v>
      </c>
      <c r="U75" s="116" t="n">
        <f aca="false">$C$19*T81</f>
        <v>21.7522088495324</v>
      </c>
      <c r="V75" s="116" t="n">
        <f aca="false">$C$19*U81</f>
        <v>22.2307595124438</v>
      </c>
      <c r="W75" s="116" t="n">
        <f aca="false">$C$19*V81</f>
        <v>22.7108435473142</v>
      </c>
      <c r="X75" s="116" t="n">
        <f aca="false">$C$19*W81</f>
        <v>23.1862812125883</v>
      </c>
      <c r="Y75" s="116" t="n">
        <f aca="false">$C$19*X81</f>
        <v>23.6578737074776</v>
      </c>
      <c r="Z75" s="116" t="n">
        <f aca="false">$C$19*Y81</f>
        <v>24.1264289427011</v>
      </c>
      <c r="AA75" s="116" t="n">
        <f aca="false">$C$19*Z81</f>
        <v>24.5927601549689</v>
      </c>
      <c r="AB75" s="116" t="n">
        <f aca="false">$C$19*AA81</f>
        <v>25.0576871340551</v>
      </c>
      <c r="AC75" s="116" t="n">
        <f aca="false">$C$19*AB81</f>
        <v>25.5221889989047</v>
      </c>
      <c r="AD75" s="116" t="n">
        <f aca="false">$C$19*AC81</f>
        <v>25.9872511608426</v>
      </c>
      <c r="AE75" s="116" t="n">
        <f aca="false">$C$19*AD81</f>
        <v>26.4538666430673</v>
      </c>
      <c r="AF75" s="116" t="n">
        <f aca="false">$C$19*AE81</f>
        <v>26.9230374242476</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650.020810319395</v>
      </c>
      <c r="F76" s="116" t="n">
        <f aca="false">(IF($C$173="Sí",(MAX(0,F74-E96)+MAX(0,E276+F53-F75))/F327,F73+MAX(0,F74-E96)+MAX(0,E276+F53-F75)))+IF($C$173="Sí",MAX(0,$C$226*(F70+E121)*0.3/0.55-E227)/F327,0)</f>
        <v>763.101458454192</v>
      </c>
      <c r="G76" s="116" t="n">
        <f aca="false">(IF($C$173="Sí",(MAX(0,G74-F96)+MAX(0,F276+G53-G75))/G327,G73+MAX(0,G74-F96)+MAX(0,F276+G53-G75)))+IF($C$173="Sí",MAX(0,$C$226*(G70+F121)*0.3/0.55-F227)/G327,0)</f>
        <v>16915.0817813716</v>
      </c>
      <c r="H76" s="116" t="n">
        <f aca="false">(IF($C$173="Sí",(MAX(0,H74-G96)+MAX(0,G276+H53-H75))/H327,H73+MAX(0,H74-G96)+MAX(0,G276+H53-H75)))+IF($C$173="Sí",MAX(0,$C$226*(H70+G121)*0.3/0.55-G227)/H327,0)</f>
        <v>841.092012729372</v>
      </c>
      <c r="I76" s="116" t="n">
        <f aca="false">(IF($C$173="Sí",(MAX(0,I74-H96)+MAX(0,H276+I53-I75))/I327,I73+MAX(0,I74-H96)+MAX(0,H276+I53-I75)))+IF($C$173="Sí",MAX(0,$C$226*(I70+H121)*0.3/0.55-H227)/I327,0)</f>
        <v>916.32524228234</v>
      </c>
      <c r="J76" s="116" t="n">
        <f aca="false">(IF($C$173="Sí",(MAX(0,J74-I96)+MAX(0,I276+J53-J75))/J327,J73+MAX(0,J74-I96)+MAX(0,I276+J53-J75)))+IF($C$173="Sí",MAX(0,$C$226*(J70+I121)*0.3/0.55-I227)/J327,0)</f>
        <v>1008.72795034206</v>
      </c>
      <c r="K76" s="116" t="n">
        <f aca="false">(IF($C$173="Sí",(MAX(0,K74-J96)+MAX(0,J276+K53-K75))/K327,K73+MAX(0,K74-J96)+MAX(0,J276+K53-K75)))+IF($C$173="Sí",MAX(0,$C$226*(K70+J121)*0.3/0.55-J227)/K327,0)</f>
        <v>1112.43014225711</v>
      </c>
      <c r="L76" s="116" t="n">
        <f aca="false">(IF($C$173="Sí",(MAX(0,L74-K96)+MAX(0,K276+L53-L75))/L327,L73+MAX(0,L74-K96)+MAX(0,K276+L53-L75)))+IF($C$173="Sí",MAX(0,$C$226*(L70+K121)*0.3/0.55-K227)/L327,0)</f>
        <v>1226.18998380199</v>
      </c>
      <c r="M76" s="116" t="n">
        <f aca="false">(IF($C$173="Sí",(MAX(0,M74-L96)+MAX(0,L276+M53-M75))/M327,M73+MAX(0,M74-L96)+MAX(0,L276+M53-M75)))+IF($C$173="Sí",MAX(0,$C$226*(M70+L121)*0.3/0.55-L227)/M327,0)</f>
        <v>1158.58760581963</v>
      </c>
      <c r="N76" s="116" t="n">
        <f aca="false">(IF($C$173="Sí",(MAX(0,N74-M96)+MAX(0,M276+N53-N75))/N327,N73+MAX(0,N74-M96)+MAX(0,M276+N53-N75)))+IF($C$173="Sí",MAX(0,$C$226*(N70+M121)*0.3/0.55-M227)/N327,0)</f>
        <v>966.895074167216</v>
      </c>
      <c r="O76" s="116" t="n">
        <f aca="false">(IF($C$173="Sí",(MAX(0,O74-N96)+MAX(0,N276+O53-O75))/O327,O73+MAX(0,O74-N96)+MAX(0,N276+O53-O75)))+IF($C$173="Sí",MAX(0,$C$226*(O70+N121)*0.3/0.55-N227)/O327,0)</f>
        <v>882.178335834664</v>
      </c>
      <c r="P76" s="116" t="n">
        <f aca="false">(IF($C$173="Sí",(MAX(0,P74-O96)+MAX(0,O276+P53-P75))/P327,P73+MAX(0,P74-O96)+MAX(0,O276+P53-P75)))+IF($C$173="Sí",MAX(0,$C$226*(P70+O121)*0.3/0.55-O227)/P327,0)</f>
        <v>980.123800278203</v>
      </c>
      <c r="Q76" s="116" t="n">
        <f aca="false">(IF($C$173="Sí",(MAX(0,Q74-P96)+MAX(0,P276+Q53-Q75))/Q327,Q73+MAX(0,Q74-P96)+MAX(0,P276+Q53-Q75)))+IF($C$173="Sí",MAX(0,$C$226*(Q70+P121)*0.3/0.55-P227)/Q327,0)</f>
        <v>980.759399340638</v>
      </c>
      <c r="R76" s="116" t="n">
        <f aca="false">(IF($C$173="Sí",(MAX(0,R74-Q96)+MAX(0,Q276+R53-R75))/R327,R73+MAX(0,R74-Q96)+MAX(0,Q276+R53-R75)))+IF($C$173="Sí",MAX(0,$C$226*(R70+Q121)*0.3/0.55-Q227)/R327,0)</f>
        <v>985.971971593327</v>
      </c>
      <c r="S76" s="116" t="n">
        <f aca="false">(IF($C$173="Sí",(MAX(0,S74-R96)+MAX(0,R276+S53-S75))/S327,S73+MAX(0,S74-R96)+MAX(0,R276+S53-S75)))+IF($C$173="Sí",MAX(0,$C$226*(S70+R121)*0.3/0.55-R227)/S327,0)</f>
        <v>991.212159183026</v>
      </c>
      <c r="T76" s="116" t="n">
        <f aca="false">(IF($C$173="Sí",(MAX(0,T74-S96)+MAX(0,S276+T53-T75))/T327,T73+MAX(0,T74-S96)+MAX(0,S276+T53-T75)))+IF($C$173="Sí",MAX(0,$C$226*(T70+S121)*0.3/0.55-S227)/T327,0)</f>
        <v>996.691132370337</v>
      </c>
      <c r="U76" s="116" t="n">
        <f aca="false">(IF($C$173="Sí",(MAX(0,U74-T96)+MAX(0,T276+U53-U75))/U327,U73+MAX(0,U74-T96)+MAX(0,T276+U53-U75)))+IF($C$173="Sí",MAX(0,$C$226*(U70+T121)*0.3/0.55-T227)/U327,0)</f>
        <v>1002.43117920456</v>
      </c>
      <c r="V76" s="116" t="n">
        <f aca="false">(IF($C$173="Sí",(MAX(0,V74-U96)+MAX(0,U276+V53-V75))/V327,V73+MAX(0,V74-U96)+MAX(0,U276+V53-V75)))+IF($C$173="Sí",MAX(0,$C$226*(V70+U121)*0.3/0.55-U227)/V327,0)</f>
        <v>1008.43793661778</v>
      </c>
      <c r="W76" s="116" t="n">
        <f aca="false">(IF($C$173="Sí",(MAX(0,W74-V96)+MAX(0,V276+W53-W75))/W327,W73+MAX(0,W74-V96)+MAX(0,V276+W53-W75)))+IF($C$173="Sí",MAX(0,$C$226*(W70+V121)*0.3/0.55-V227)/W327,0)</f>
        <v>1014.71724228058</v>
      </c>
      <c r="X76" s="116" t="n">
        <f aca="false">(IF($C$173="Sí",(MAX(0,X74-W96)+MAX(0,W276+X53-X75))/X327,X73+MAX(0,X74-W96)+MAX(0,W276+X53-X75)))+IF($C$173="Sí",MAX(0,$C$226*(X70+W121)*0.3/0.55-W227)/X327,0)</f>
        <v>1021.02677334127</v>
      </c>
      <c r="Y76" s="116" t="n">
        <f aca="false">(IF($C$173="Sí",(MAX(0,Y74-X96)+MAX(0,X276+Y53-Y75))/Y327,Y73+MAX(0,Y74-X96)+MAX(0,X276+Y53-Y75)))+IF($C$173="Sí",MAX(0,$C$226*(Y70+X121)*0.3/0.55-X227)/Y327,0)</f>
        <v>1027.65472426977</v>
      </c>
      <c r="Z76" s="116" t="n">
        <f aca="false">(IF($C$173="Sí",(MAX(0,Z74-Y96)+MAX(0,Y276+Z53-Z75))/Z327,Z73+MAX(0,Z74-Y96)+MAX(0,Y276+Z53-Z75)))+IF($C$173="Sí",MAX(0,$C$226*(Z70+Y121)*0.3/0.55-Y227)/Z327,0)</f>
        <v>1034.61081668402</v>
      </c>
      <c r="AA76" s="116" t="n">
        <f aca="false">(IF($C$173="Sí",(MAX(0,AA74-Z96)+MAX(0,Z276+AA53-AA75))/AA327,AA73+MAX(0,AA74-Z96)+MAX(0,Z276+AA53-AA75)))+IF($C$173="Sí",MAX(0,$C$226*(AA70+Z121)*0.3/0.55-Z227)/AA327,0)</f>
        <v>1041.90210704787</v>
      </c>
      <c r="AB76" s="116" t="n">
        <f aca="false">(IF($C$173="Sí",(MAX(0,AB74-AA96)+MAX(0,AA276+AB53-AB75))/AB327,AB73+MAX(0,AB74-AA96)+MAX(0,AA276+AB53-AB75)))+IF($C$173="Sí",MAX(0,$C$226*(AB70+AA121)*0.3/0.55-AA227)/AB327,0)</f>
        <v>1049.53546605328</v>
      </c>
      <c r="AC76" s="116" t="n">
        <f aca="false">(IF($C$173="Sí",(MAX(0,AC74-AB96)+MAX(0,AB276+AC53-AC75))/AC327,AC73+MAX(0,AC74-AB96)+MAX(0,AB276+AC53-AC75)))+IF($C$173="Sí",MAX(0,$C$226*(AC70+AB121)*0.3/0.55-AB227)/AC327,0)</f>
        <v>1057.52247165725</v>
      </c>
      <c r="AD76" s="116" t="n">
        <f aca="false">(IF($C$173="Sí",(MAX(0,AD74-AC96)+MAX(0,AC276+AD53-AD75))/AD327,AD73+MAX(0,AD74-AC96)+MAX(0,AC276+AD53-AD75)))+IF($C$173="Sí",MAX(0,$C$226*(AD70+AC121)*0.3/0.55-AC227)/AD327,0)</f>
        <v>1065.86875096535</v>
      </c>
      <c r="AE76" s="116" t="n">
        <f aca="false">(IF($C$173="Sí",(MAX(0,AE74-AD96)+MAX(0,AD276+AE53-AE75))/AE327,AE73+MAX(0,AE74-AD96)+MAX(0,AD276+AE53-AE75)))+IF($C$173="Sí",MAX(0,$C$226*(AE70+AD121)*0.3/0.55-AD227)/AE327,0)</f>
        <v>1074.57975788772</v>
      </c>
      <c r="AF76" s="116" t="n">
        <f aca="false">(IF($C$173="Sí",(MAX(0,AF74-AE96)+MAX(0,AE276+AF53-AF75))/AF327,AF73+MAX(0,AF74-AE96)+MAX(0,AE276+AF53-AF75)))+IF($C$173="Sí",MAX(0,$C$226*(AF70+AE121)*0.3/0.55-AE227)/AF327,0)</f>
        <v>1083.66085299464</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349.801964639669</v>
      </c>
      <c r="M81" s="116" t="n">
        <f aca="false">M69+M80+L121</f>
        <v>362.426080830021</v>
      </c>
      <c r="N81" s="116" t="n">
        <f aca="false">N69+N80+M121</f>
        <v>375.209618014158</v>
      </c>
      <c r="O81" s="116" t="n">
        <f aca="false">O69+O80+N121</f>
        <v>387.247978503958</v>
      </c>
      <c r="P81" s="116" t="n">
        <f aca="false">P69+P80+O121</f>
        <v>396.765557602879</v>
      </c>
      <c r="Q81" s="116" t="n">
        <f aca="false">Q69+Q80+P121</f>
        <v>406.361641967449</v>
      </c>
      <c r="R81" s="116" t="n">
        <f aca="false">R69+R80+Q121</f>
        <v>415.932908538592</v>
      </c>
      <c r="S81" s="116" t="n">
        <f aca="false">S69+S80+R121</f>
        <v>425.488535535643</v>
      </c>
      <c r="T81" s="116" t="n">
        <f aca="false">T69+T80+S121</f>
        <v>435.044176990647</v>
      </c>
      <c r="U81" s="116" t="n">
        <f aca="false">U69+U80+T121</f>
        <v>444.615190248877</v>
      </c>
      <c r="V81" s="116" t="n">
        <f aca="false">V69+V80+U121</f>
        <v>454.216870946285</v>
      </c>
      <c r="W81" s="116" t="n">
        <f aca="false">W69+W80+V121</f>
        <v>463.725624251766</v>
      </c>
      <c r="X81" s="116" t="n">
        <f aca="false">X69+X80+W121</f>
        <v>473.157474149552</v>
      </c>
      <c r="Y81" s="116" t="n">
        <f aca="false">Y69+Y80+X121</f>
        <v>482.528578854021</v>
      </c>
      <c r="Z81" s="116" t="n">
        <f aca="false">Z69+Z80+Y121</f>
        <v>491.855203099379</v>
      </c>
      <c r="AA81" s="116" t="n">
        <f aca="false">AA69+AA80+Z121</f>
        <v>501.153742681103</v>
      </c>
      <c r="AB81" s="116" t="n">
        <f aca="false">AB69+AB80+AA121</f>
        <v>510.443779978093</v>
      </c>
      <c r="AC81" s="116" t="n">
        <f aca="false">AC69+AC80+AB121</f>
        <v>519.745023216852</v>
      </c>
      <c r="AD81" s="116" t="n">
        <f aca="false">AD69+AD80+AC121</f>
        <v>529.077332861345</v>
      </c>
      <c r="AE81" s="116" t="n">
        <f aca="false">AE69+AE80+AD121</f>
        <v>538.460748484952</v>
      </c>
      <c r="AF81" s="116" t="n">
        <f aca="false">AF69+AF80+AE121</f>
        <v>547.915515020609</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41.9762357567603</v>
      </c>
      <c r="M85" s="116" t="n">
        <f aca="false">IF(AND($C$31&gt;0,M$39&gt;10),MIN(M83,MAX(01_Supuestos!$I$137*M81,L85*(1-1/MAX(1,$C$31)))),MIN(IF(M$39&lt;=10,01_Supuestos!$I$136,01_Supuestos!$I$137)*M81,M83))</f>
        <v>33.5809886054082</v>
      </c>
      <c r="N85" s="116" t="n">
        <f aca="false">IF(AND($C$31&gt;0,N$39&gt;10),MIN(N83,MAX(01_Supuestos!$I$137*N81,M85*(1-1/MAX(1,$C$31)))),MIN(IF(N$39&lt;=10,01_Supuestos!$I$136,01_Supuestos!$I$137)*N81,N83))</f>
        <v>28.1407213510619</v>
      </c>
      <c r="O85" s="116" t="n">
        <f aca="false">IF(AND($C$31&gt;0,O$39&gt;10),MIN(O83,MAX(01_Supuestos!$I$137*O81,N85*(1-1/MAX(1,$C$31)))),MIN(IF(O$39&lt;=10,01_Supuestos!$I$136,01_Supuestos!$I$137)*O81,O83))</f>
        <v>29.0435983877968</v>
      </c>
      <c r="P85" s="116" t="n">
        <f aca="false">IF(AND($C$31&gt;0,P$39&gt;10),MIN(P83,MAX(01_Supuestos!$I$137*P81,O85*(1-1/MAX(1,$C$31)))),MIN(IF(P$39&lt;=10,01_Supuestos!$I$136,01_Supuestos!$I$137)*P81,P83))</f>
        <v>29.7574168202159</v>
      </c>
      <c r="Q85" s="116" t="n">
        <f aca="false">IF(AND($C$31&gt;0,Q$39&gt;10),MIN(Q83,MAX(01_Supuestos!$I$137*Q81,P85*(1-1/MAX(1,$C$31)))),MIN(IF(Q$39&lt;=10,01_Supuestos!$I$136,01_Supuestos!$I$137)*Q81,Q83))</f>
        <v>30.4771231475587</v>
      </c>
      <c r="R85" s="116" t="n">
        <f aca="false">IF(AND($C$31&gt;0,R$39&gt;10),MIN(R83,MAX(01_Supuestos!$I$137*R81,Q85*(1-1/MAX(1,$C$31)))),MIN(IF(R$39&lt;=10,01_Supuestos!$I$136,01_Supuestos!$I$137)*R81,R83))</f>
        <v>31.1949681403944</v>
      </c>
      <c r="S85" s="116" t="n">
        <f aca="false">IF(AND($C$31&gt;0,S$39&gt;10),MIN(S83,MAX(01_Supuestos!$I$137*S81,R85*(1-1/MAX(1,$C$31)))),MIN(IF(S$39&lt;=10,01_Supuestos!$I$136,01_Supuestos!$I$137)*S81,S83))</f>
        <v>31.9116401651732</v>
      </c>
      <c r="T85" s="116" t="n">
        <f aca="false">IF(AND($C$31&gt;0,T$39&gt;10),MIN(T83,MAX(01_Supuestos!$I$137*T81,S85*(1-1/MAX(1,$C$31)))),MIN(IF(T$39&lt;=10,01_Supuestos!$I$136,01_Supuestos!$I$137)*T81,T83))</f>
        <v>32.6283132742985</v>
      </c>
      <c r="U85" s="116" t="n">
        <f aca="false">IF(AND($C$31&gt;0,U$39&gt;10),MIN(U83,MAX(01_Supuestos!$I$137*U81,T85*(1-1/MAX(1,$C$31)))),MIN(IF(U$39&lt;=10,01_Supuestos!$I$136,01_Supuestos!$I$137)*U81,U83))</f>
        <v>33.3461392686658</v>
      </c>
      <c r="V85" s="116" t="n">
        <f aca="false">IF(AND($C$31&gt;0,V$39&gt;10),MIN(V83,MAX(01_Supuestos!$I$137*V81,U85*(1-1/MAX(1,$C$31)))),MIN(IF(V$39&lt;=10,01_Supuestos!$I$136,01_Supuestos!$I$137)*V81,V83))</f>
        <v>34.0662653209714</v>
      </c>
      <c r="W85" s="116" t="n">
        <f aca="false">IF(AND($C$31&gt;0,W$39&gt;10),MIN(W83,MAX(01_Supuestos!$I$137*W81,V85*(1-1/MAX(1,$C$31)))),MIN(IF(W$39&lt;=10,01_Supuestos!$I$136,01_Supuestos!$I$137)*W81,W83))</f>
        <v>34.7794218188825</v>
      </c>
      <c r="X85" s="116" t="n">
        <f aca="false">IF(AND($C$31&gt;0,X$39&gt;10),MIN(X83,MAX(01_Supuestos!$I$137*X81,W85*(1-1/MAX(1,$C$31)))),MIN(IF(X$39&lt;=10,01_Supuestos!$I$136,01_Supuestos!$I$137)*X81,X83))</f>
        <v>35.4868105612164</v>
      </c>
      <c r="Y85" s="116" t="n">
        <f aca="false">IF(AND($C$31&gt;0,Y$39&gt;10),MIN(Y83,MAX(01_Supuestos!$I$137*Y81,X85*(1-1/MAX(1,$C$31)))),MIN(IF(Y$39&lt;=10,01_Supuestos!$I$136,01_Supuestos!$I$137)*Y81,Y83))</f>
        <v>36.1896434140516</v>
      </c>
      <c r="Z85" s="116" t="n">
        <f aca="false">IF(AND($C$31&gt;0,Z$39&gt;10),MIN(Z83,MAX(01_Supuestos!$I$137*Z81,Y85*(1-1/MAX(1,$C$31)))),MIN(IF(Z$39&lt;=10,01_Supuestos!$I$136,01_Supuestos!$I$137)*Z81,Z83))</f>
        <v>36.8891402324534</v>
      </c>
      <c r="AA85" s="116" t="n">
        <f aca="false">IF(AND($C$31&gt;0,AA$39&gt;10),MIN(AA83,MAX(01_Supuestos!$I$137*AA81,Z85*(1-1/MAX(1,$C$31)))),MIN(IF(AA$39&lt;=10,01_Supuestos!$I$136,01_Supuestos!$I$137)*AA81,AA83))</f>
        <v>37.5865307010827</v>
      </c>
      <c r="AB85" s="116" t="n">
        <f aca="false">IF(AND($C$31&gt;0,AB$39&gt;10),MIN(AB83,MAX(01_Supuestos!$I$137*AB81,AA85*(1-1/MAX(1,$C$31)))),MIN(IF(AB$39&lt;=10,01_Supuestos!$I$136,01_Supuestos!$I$137)*AB81,AB83))</f>
        <v>38.283283498357</v>
      </c>
      <c r="AC85" s="116" t="n">
        <f aca="false">IF(AND($C$31&gt;0,AC$39&gt;10),MIN(AC83,MAX(01_Supuestos!$I$137*AC81,AB85*(1-1/MAX(1,$C$31)))),MIN(IF(AC$39&lt;=10,01_Supuestos!$I$136,01_Supuestos!$I$137)*AC81,AC83))</f>
        <v>38.9808767412639</v>
      </c>
      <c r="AD85" s="116" t="n">
        <f aca="false">IF(AND($C$31&gt;0,AD$39&gt;10),MIN(AD83,MAX(01_Supuestos!$I$137*AD81,AC85*(1-1/MAX(1,$C$31)))),MIN(IF(AD$39&lt;=10,01_Supuestos!$I$136,01_Supuestos!$I$137)*AD81,AD83))</f>
        <v>39.6807999646009</v>
      </c>
      <c r="AE85" s="116" t="n">
        <f aca="false">IF(AND($C$31&gt;0,AE$39&gt;10),MIN(AE83,MAX(01_Supuestos!$I$137*AE81,AD85*(1-1/MAX(1,$C$31)))),MIN(IF(AE$39&lt;=10,01_Supuestos!$I$136,01_Supuestos!$I$137)*AE81,AE83))</f>
        <v>40.3845561363714</v>
      </c>
      <c r="AF85" s="116" t="n">
        <f aca="false">IF(AND($C$31&gt;0,AF$39&gt;10),MIN(AF83,MAX(01_Supuestos!$I$137*AF81,AE85*(1-1/MAX(1,$C$31)))),MIN(IF(AF$39&lt;=10,01_Supuestos!$I$136,01_Supuestos!$I$137)*AF81,AF83))</f>
        <v>41.0936636265457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95.1224351928465</v>
      </c>
      <c r="M87" s="116" t="n">
        <f aca="false">M83-M85-M86</f>
        <v>116.937017361971</v>
      </c>
      <c r="N87" s="116" t="n">
        <f aca="false">N83-N85-N86</f>
        <v>125.839198753567</v>
      </c>
      <c r="O87" s="116" t="n">
        <f aca="false">O83-O85-O86</f>
        <v>128.477859879238</v>
      </c>
      <c r="P87" s="116" t="n">
        <f aca="false">P83-P85-P86</f>
        <v>131.387034986961</v>
      </c>
      <c r="Q87" s="116" t="n">
        <f aca="false">Q83-Q85-Q86</f>
        <v>134.373651051183</v>
      </c>
      <c r="R87" s="116" t="n">
        <f aca="false">R83-R85-R86</f>
        <v>137.447373864918</v>
      </c>
      <c r="S87" s="116" t="n">
        <f aca="false">S83-S85-S86</f>
        <v>140.609475706262</v>
      </c>
      <c r="T87" s="116" t="n">
        <f aca="false">T83-T85-T86</f>
        <v>143.86078826218</v>
      </c>
      <c r="U87" s="116" t="n">
        <f aca="false">U83-U85-U86</f>
        <v>147.202211603151</v>
      </c>
      <c r="V87" s="116" t="n">
        <f aca="false">V83-V85-V86</f>
        <v>150.634697620897</v>
      </c>
      <c r="W87" s="116" t="n">
        <f aca="false">W83-W85-W86</f>
        <v>154.169663270649</v>
      </c>
      <c r="X87" s="116" t="n">
        <f aca="false">X83-X85-X86</f>
        <v>157.808103485375</v>
      </c>
      <c r="Y87" s="116" t="n">
        <f aca="false">Y83-Y85-Y86</f>
        <v>161.551053655611</v>
      </c>
      <c r="Z87" s="116" t="n">
        <f aca="false">Z83-Z85-Z86</f>
        <v>165.399592869811</v>
      </c>
      <c r="AA87" s="116" t="n">
        <f aca="false">AA83-AA85-AA86</f>
        <v>169.354843262534</v>
      </c>
      <c r="AB87" s="116" t="n">
        <f aca="false">AB83-AB85-AB86</f>
        <v>173.417742066423</v>
      </c>
      <c r="AC87" s="116" t="n">
        <f aca="false">AC83-AC85-AC86</f>
        <v>177.589272411506</v>
      </c>
      <c r="AD87" s="116" t="n">
        <f aca="false">AD83-AD85-AD86</f>
        <v>181.870462618683</v>
      </c>
      <c r="AE87" s="116" t="n">
        <f aca="false">AE83-AE85-AE86</f>
        <v>186.262385486328</v>
      </c>
      <c r="AF87" s="116" t="n">
        <f aca="false">AF83-AF85-AF86</f>
        <v>190.766157653476</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0.459950003955903</v>
      </c>
      <c r="M90" s="116" t="n">
        <f aca="false">M83-L83-M73+M185-M228</f>
        <v>1.38581337449456</v>
      </c>
      <c r="N90" s="116" t="n">
        <f aca="false">N83-M83-N73+N185-N228</f>
        <v>-0.566310708336125</v>
      </c>
      <c r="O90" s="116" t="n">
        <f aca="false">O83-N83-O73+O185-O228</f>
        <v>-0.849116883677183</v>
      </c>
      <c r="P90" s="116" t="n">
        <f aca="false">P83-O83-P73+P185-P228</f>
        <v>-0.0802291122570225</v>
      </c>
      <c r="Q90" s="116" t="n">
        <f aca="false">Q83-P83-Q73+Q185-Q228</f>
        <v>0.107693127498429</v>
      </c>
      <c r="R90" s="116" t="n">
        <f aca="false">R83-Q83-R73+R185-R228</f>
        <v>0.105253028571909</v>
      </c>
      <c r="S90" s="116" t="n">
        <f aca="false">S83-R83-S73+S185-S228</f>
        <v>0.108404589159719</v>
      </c>
      <c r="T90" s="116" t="n">
        <f aca="false">T83-S83-T73+T185-T228</f>
        <v>0.111285174646767</v>
      </c>
      <c r="U90" s="116" t="n">
        <f aca="false">U83-T83-U73+U185-U228</f>
        <v>0.114185907055635</v>
      </c>
      <c r="V90" s="116" t="n">
        <f aca="false">V83-U83-V73+V185-V228</f>
        <v>0.117122717492009</v>
      </c>
      <c r="W90" s="116" t="n">
        <f aca="false">W83-V83-W73+W185-W228</f>
        <v>0.121304639660956</v>
      </c>
      <c r="X90" s="116" t="n">
        <f aca="false">X83-W83-X73+X185-X228</f>
        <v>0.124955579965757</v>
      </c>
      <c r="Y90" s="116" t="n">
        <f aca="false">Y83-X83-Y73+Y185-Y228</f>
        <v>0.128320047547319</v>
      </c>
      <c r="Z90" s="116" t="n">
        <f aca="false">Z83-Y83-Z73+Z185-Z228</f>
        <v>0.131722990516039</v>
      </c>
      <c r="AA90" s="116" t="n">
        <f aca="false">AA83-Z83-AA73+AA185-AA228</f>
        <v>0.135165790525491</v>
      </c>
      <c r="AB90" s="116" t="n">
        <f aca="false">AB83-AA83-AB73+AB185-AB228</f>
        <v>0.138623322348607</v>
      </c>
      <c r="AC90" s="116" t="n">
        <f aca="false">AC83-AB83-AC73+AC185-AC228</f>
        <v>0.14210957205205</v>
      </c>
      <c r="AD90" s="116" t="n">
        <f aca="false">AD83-AC83-AD73+AD185-AD228</f>
        <v>0.145633015370706</v>
      </c>
      <c r="AE90" s="116" t="n">
        <f aca="false">AE83-AD83-AE73+AE185-AE228</f>
        <v>0.14919495121363</v>
      </c>
      <c r="AF90" s="116" t="n">
        <f aca="false">AF83-AE83-AF73+AF185-AF228</f>
        <v>0.152796665004487</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0.459950003955903</v>
      </c>
      <c r="M92" s="116" t="n">
        <f aca="false">IF(M90&gt;0,IF($C$20="BC",MIN(M90-M91,MAX(0,L276+M53-M75)),MIN(M90,MAX(0,L276+M53-M75))),0)</f>
        <v>1.38581337449456</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0.107693127498429</v>
      </c>
      <c r="R92" s="116" t="n">
        <f aca="false">IF(R90&gt;0,IF($C$20="BC",MIN(R90-R91,MAX(0,Q276+R53-R75)),MIN(R90,MAX(0,Q276+R53-R75))),0)</f>
        <v>0.105253028571909</v>
      </c>
      <c r="S92" s="116" t="n">
        <f aca="false">IF(S90&gt;0,IF($C$20="BC",MIN(S90-S91,MAX(0,R276+S53-S75)),MIN(S90,MAX(0,R276+S53-S75))),0)</f>
        <v>0.108404589159719</v>
      </c>
      <c r="T92" s="116" t="n">
        <f aca="false">IF(T90&gt;0,IF($C$20="BC",MIN(T90-T91,MAX(0,S276+T53-T75)),MIN(T90,MAX(0,S276+T53-T75))),0)</f>
        <v>0.111285174646767</v>
      </c>
      <c r="U92" s="116" t="n">
        <f aca="false">IF(U90&gt;0,IF($C$20="BC",MIN(U90-U91,MAX(0,T276+U53-U75)),MIN(U90,MAX(0,T276+U53-U75))),0)</f>
        <v>0.114185907055635</v>
      </c>
      <c r="V92" s="116" t="n">
        <f aca="false">IF(V90&gt;0,IF($C$20="BC",MIN(V90-V91,MAX(0,U276+V53-V75)),MIN(V90,MAX(0,U276+V53-V75))),0)</f>
        <v>0.117122717492009</v>
      </c>
      <c r="W92" s="116" t="n">
        <f aca="false">IF(W90&gt;0,IF($C$20="BC",MIN(W90-W91,MAX(0,V276+W53-W75)),MIN(W90,MAX(0,V276+W53-W75))),0)</f>
        <v>0.121304639660956</v>
      </c>
      <c r="X92" s="116" t="n">
        <f aca="false">IF(X90&gt;0,IF($C$20="BC",MIN(X90-X91,MAX(0,W276+X53-X75)),MIN(X90,MAX(0,W276+X53-X75))),0)</f>
        <v>0.124955579965757</v>
      </c>
      <c r="Y92" s="116" t="n">
        <f aca="false">IF(Y90&gt;0,IF($C$20="BC",MIN(Y90-Y91,MAX(0,X276+Y53-Y75)),MIN(Y90,MAX(0,X276+Y53-Y75))),0)</f>
        <v>0.128320047547319</v>
      </c>
      <c r="Z92" s="116" t="n">
        <f aca="false">IF(Z90&gt;0,IF($C$20="BC",MIN(Z90-Z91,MAX(0,Y276+Z53-Z75)),MIN(Z90,MAX(0,Y276+Z53-Z75))),0)</f>
        <v>0.131722990516039</v>
      </c>
      <c r="AA92" s="116" t="n">
        <f aca="false">IF(AA90&gt;0,IF($C$20="BC",MIN(AA90-AA91,MAX(0,Z276+AA53-AA75)),MIN(AA90,MAX(0,Z276+AA53-AA75))),0)</f>
        <v>0.135165790525491</v>
      </c>
      <c r="AB92" s="116" t="n">
        <f aca="false">IF(AB90&gt;0,IF($C$20="BC",MIN(AB90-AB91,MAX(0,AA276+AB53-AB75)),MIN(AB90,MAX(0,AA276+AB53-AB75))),0)</f>
        <v>0.138623322348607</v>
      </c>
      <c r="AC92" s="116" t="n">
        <f aca="false">IF(AC90&gt;0,IF($C$20="BC",MIN(AC90-AC91,MAX(0,AB276+AC53-AC75)),MIN(AC90,MAX(0,AB276+AC53-AC75))),0)</f>
        <v>0.14210957205205</v>
      </c>
      <c r="AD92" s="116" t="n">
        <f aca="false">IF(AD90&gt;0,IF($C$20="BC",MIN(AD90-AD91,MAX(0,AC276+AD53-AD75)),MIN(AD90,MAX(0,AC276+AD53-AD75))),0)</f>
        <v>0.145633015370706</v>
      </c>
      <c r="AE92" s="116" t="n">
        <f aca="false">IF(AE90&gt;0,IF($C$20="BC",MIN(AE90-AE91,MAX(0,AD276+AE53-AE75)),MIN(AE90,MAX(0,AD276+AE53-AE75))),0)</f>
        <v>0.14919495121363</v>
      </c>
      <c r="AF92" s="116" t="n">
        <f aca="false">IF(AF90&gt;0,IF($C$20="BC",MIN(AF90-AF91,MAX(0,AE276+AF53-AF75)),MIN(AF90,MAX(0,AE276+AF53-AF75))),0)</f>
        <v>0.152796665004487</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0.566310708336125</v>
      </c>
      <c r="O94" s="116" t="n">
        <f aca="false">IF(O90&lt;0,-O90-O93,0)</f>
        <v>0.849116883677183</v>
      </c>
      <c r="P94" s="116" t="n">
        <f aca="false">IF(P90&lt;0,-P90-P93,0)</f>
        <v>0.0802291122570225</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8.74504911599173</v>
      </c>
      <c r="M100" s="116" t="n">
        <f aca="false">$C$21*$C$22*M81</f>
        <v>9.06065202075053</v>
      </c>
      <c r="N100" s="116" t="n">
        <f aca="false">$C$21*$C$22*N81</f>
        <v>9.38024045035396</v>
      </c>
      <c r="O100" s="116" t="n">
        <f aca="false">$C$21*$C$22*O81</f>
        <v>9.68119946259894</v>
      </c>
      <c r="P100" s="116" t="n">
        <f aca="false">$C$21*$C$22*P81</f>
        <v>9.91913894007196</v>
      </c>
      <c r="Q100" s="116" t="n">
        <f aca="false">$C$21*$C$22*Q81</f>
        <v>10.1590410491862</v>
      </c>
      <c r="R100" s="116" t="n">
        <f aca="false">$C$21*$C$22*R81</f>
        <v>10.3983227134648</v>
      </c>
      <c r="S100" s="116" t="n">
        <f aca="false">$C$21*$C$22*S81</f>
        <v>10.6372133883911</v>
      </c>
      <c r="T100" s="116" t="n">
        <f aca="false">$C$21*$C$22*T81</f>
        <v>10.8761044247662</v>
      </c>
      <c r="U100" s="116" t="n">
        <f aca="false">$C$21*$C$22*U81</f>
        <v>11.1153797562219</v>
      </c>
      <c r="V100" s="116" t="n">
        <f aca="false">$C$21*$C$22*V81</f>
        <v>11.3554217736571</v>
      </c>
      <c r="W100" s="116" t="n">
        <f aca="false">$C$21*$C$22*W81</f>
        <v>11.5931406062941</v>
      </c>
      <c r="X100" s="116" t="n">
        <f aca="false">$C$21*$C$22*X81</f>
        <v>11.8289368537388</v>
      </c>
      <c r="Y100" s="116" t="n">
        <f aca="false">$C$21*$C$22*Y81</f>
        <v>12.0632144713505</v>
      </c>
      <c r="Z100" s="116" t="n">
        <f aca="false">$C$21*$C$22*Z81</f>
        <v>12.2963800774845</v>
      </c>
      <c r="AA100" s="116" t="n">
        <f aca="false">$C$21*$C$22*AA81</f>
        <v>12.5288435670276</v>
      </c>
      <c r="AB100" s="116" t="n">
        <f aca="false">$C$21*$C$22*AB81</f>
        <v>12.7610944994523</v>
      </c>
      <c r="AC100" s="116" t="n">
        <f aca="false">$C$21*$C$22*AC81</f>
        <v>12.9936255804213</v>
      </c>
      <c r="AD100" s="116" t="n">
        <f aca="false">$C$21*$C$22*AD81</f>
        <v>13.2269333215336</v>
      </c>
      <c r="AE100" s="116" t="n">
        <f aca="false">$C$21*$C$22*AE81</f>
        <v>13.4615187121238</v>
      </c>
      <c r="AF100" s="116" t="n">
        <f aca="false">$C$21*$C$22*AF81</f>
        <v>13.6978878755152</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0.00874504911599173</v>
      </c>
      <c r="N102" s="116" t="n">
        <f aca="false">M104*$C$24</f>
        <v>0.00906065202075053</v>
      </c>
      <c r="O102" s="116" t="n">
        <f aca="false">N104*$C$24</f>
        <v>0.00938024045035396</v>
      </c>
      <c r="P102" s="116" t="n">
        <f aca="false">O104*$C$24</f>
        <v>0.00968119946259894</v>
      </c>
      <c r="Q102" s="116" t="n">
        <f aca="false">P104*$C$24</f>
        <v>0.00991913894007196</v>
      </c>
      <c r="R102" s="116" t="n">
        <f aca="false">Q104*$C$24</f>
        <v>0.0101590410491862</v>
      </c>
      <c r="S102" s="116" t="n">
        <f aca="false">R104*$C$24</f>
        <v>0.0103983227134648</v>
      </c>
      <c r="T102" s="116" t="n">
        <f aca="false">S104*$C$24</f>
        <v>0.0106372133883911</v>
      </c>
      <c r="U102" s="116" t="n">
        <f aca="false">T104*$C$24</f>
        <v>0.0108761044247662</v>
      </c>
      <c r="V102" s="116" t="n">
        <f aca="false">U104*$C$24</f>
        <v>0.0111153797562219</v>
      </c>
      <c r="W102" s="116" t="n">
        <f aca="false">V104*$C$24</f>
        <v>0.0113554217736571</v>
      </c>
      <c r="X102" s="116" t="n">
        <f aca="false">W104*$C$24</f>
        <v>0.0115931406062941</v>
      </c>
      <c r="Y102" s="116" t="n">
        <f aca="false">X104*$C$24</f>
        <v>0.0118289368537388</v>
      </c>
      <c r="Z102" s="116" t="n">
        <f aca="false">Y104*$C$24</f>
        <v>0.0120632144713505</v>
      </c>
      <c r="AA102" s="116" t="n">
        <f aca="false">Z104*$C$24</f>
        <v>0.0122963800774845</v>
      </c>
      <c r="AB102" s="116" t="n">
        <f aca="false">AA104*$C$24</f>
        <v>0.0125288435670276</v>
      </c>
      <c r="AC102" s="116" t="n">
        <f aca="false">AB104*$C$24</f>
        <v>0.0127610944994523</v>
      </c>
      <c r="AD102" s="116" t="n">
        <f aca="false">AC104*$C$24</f>
        <v>0.0129936255804213</v>
      </c>
      <c r="AE102" s="116" t="n">
        <f aca="false">AD104*$C$24</f>
        <v>0.0132269333215336</v>
      </c>
      <c r="AF102" s="116" t="n">
        <f aca="false">AE104*$C$24</f>
        <v>0.0134615187121238</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0.325115313926547</v>
      </c>
      <c r="M103" s="116" t="n">
        <f aca="false">MIN(MAX(0,M100-L104-M101),MAX(0,L276))</f>
        <v>0.315602904758798</v>
      </c>
      <c r="N103" s="116" t="n">
        <f aca="false">MIN(MAX(0,N100-M104-N101),MAX(0,M276))</f>
        <v>0.31958842960343</v>
      </c>
      <c r="O103" s="116" t="n">
        <f aca="false">MIN(MAX(0,O100-N104-O101),MAX(0,N276))</f>
        <v>0.300959012244983</v>
      </c>
      <c r="P103" s="116" t="n">
        <f aca="false">MIN(MAX(0,P100-O104-P101),MAX(0,O276))</f>
        <v>0.237939477473024</v>
      </c>
      <c r="Q103" s="116" t="n">
        <f aca="false">MIN(MAX(0,Q100-P104-Q101),MAX(0,P276))</f>
        <v>0.239902109114256</v>
      </c>
      <c r="R103" s="116" t="n">
        <f aca="false">MIN(MAX(0,R100-Q104-R101),MAX(0,Q276))</f>
        <v>0.239281664278581</v>
      </c>
      <c r="S103" s="116" t="n">
        <f aca="false">MIN(MAX(0,S100-R104-S101),MAX(0,R276))</f>
        <v>0.238890674926282</v>
      </c>
      <c r="T103" s="116" t="n">
        <f aca="false">MIN(MAX(0,T100-S104-T101),MAX(0,S276))</f>
        <v>0.238891036375099</v>
      </c>
      <c r="U103" s="116" t="n">
        <f aca="false">MIN(MAX(0,U100-T104-U101),MAX(0,T276))</f>
        <v>0.239275331455739</v>
      </c>
      <c r="V103" s="116" t="n">
        <f aca="false">MIN(MAX(0,V100-U104-V101),MAX(0,U276))</f>
        <v>0.240042017435202</v>
      </c>
      <c r="W103" s="116" t="n">
        <f aca="false">MIN(MAX(0,W100-V104-W101),MAX(0,V276))</f>
        <v>0.237718832637027</v>
      </c>
      <c r="X103" s="116" t="n">
        <f aca="false">MIN(MAX(0,X100-W104-X101),MAX(0,W276))</f>
        <v>0.235796247444645</v>
      </c>
      <c r="Y103" s="116" t="n">
        <f aca="false">MIN(MAX(0,Y100-X104-Y101),MAX(0,X276))</f>
        <v>0.234277617611742</v>
      </c>
      <c r="Z103" s="116" t="n">
        <f aca="false">MIN(MAX(0,Z100-Y104-Z101),MAX(0,Y276))</f>
        <v>0.233165606133936</v>
      </c>
      <c r="AA103" s="116" t="n">
        <f aca="false">MIN(MAX(0,AA100-Z104-AA101),MAX(0,Z276))</f>
        <v>0.2324634895431</v>
      </c>
      <c r="AB103" s="116" t="n">
        <f aca="false">MIN(MAX(0,AB100-AA104-AB101),MAX(0,AA276))</f>
        <v>0.232250932424764</v>
      </c>
      <c r="AC103" s="116" t="n">
        <f aca="false">MIN(MAX(0,AC100-AB104-AC101),MAX(0,AB276))</f>
        <v>0.232531080968954</v>
      </c>
      <c r="AD103" s="116" t="n">
        <f aca="false">MIN(MAX(0,AD100-AC104-AD101),MAX(0,AC276))</f>
        <v>0.233307741112347</v>
      </c>
      <c r="AE103" s="116" t="n">
        <f aca="false">MIN(MAX(0,AE100-AD104-AE101),MAX(0,AD276))</f>
        <v>0.234585390590173</v>
      </c>
      <c r="AF103" s="116" t="n">
        <f aca="false">MIN(MAX(0,AF100-AE104-AF101),MAX(0,AE276))</f>
        <v>0.236369163391421</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8.74504911599173</v>
      </c>
      <c r="M104" s="136" t="n">
        <f aca="false">L104+M101+M103</f>
        <v>9.06065202075053</v>
      </c>
      <c r="N104" s="136" t="n">
        <f aca="false">M104+N101+N103</f>
        <v>9.38024045035396</v>
      </c>
      <c r="O104" s="136" t="n">
        <f aca="false">N104+O101+O103</f>
        <v>9.68119946259894</v>
      </c>
      <c r="P104" s="136" t="n">
        <f aca="false">O104+P101+P103</f>
        <v>9.91913894007196</v>
      </c>
      <c r="Q104" s="136" t="n">
        <f aca="false">P104+Q101+Q103</f>
        <v>10.1590410491862</v>
      </c>
      <c r="R104" s="136" t="n">
        <f aca="false">Q104+R101+R103</f>
        <v>10.3983227134648</v>
      </c>
      <c r="S104" s="136" t="n">
        <f aca="false">R104+S101+S103</f>
        <v>10.6372133883911</v>
      </c>
      <c r="T104" s="136" t="n">
        <f aca="false">S104+T101+T103</f>
        <v>10.8761044247662</v>
      </c>
      <c r="U104" s="136" t="n">
        <f aca="false">T104+U101+U103</f>
        <v>11.1153797562219</v>
      </c>
      <c r="V104" s="136" t="n">
        <f aca="false">U104+V101+V103</f>
        <v>11.3554217736571</v>
      </c>
      <c r="W104" s="136" t="n">
        <f aca="false">V104+W101+W103</f>
        <v>11.5931406062941</v>
      </c>
      <c r="X104" s="136" t="n">
        <f aca="false">W104+X101+X103</f>
        <v>11.8289368537388</v>
      </c>
      <c r="Y104" s="136" t="n">
        <f aca="false">X104+Y101+Y103</f>
        <v>12.0632144713505</v>
      </c>
      <c r="Z104" s="136" t="n">
        <f aca="false">Y104+Z101+Z103</f>
        <v>12.2963800774845</v>
      </c>
      <c r="AA104" s="136" t="n">
        <f aca="false">Z104+AA101+AA103</f>
        <v>12.5288435670276</v>
      </c>
      <c r="AB104" s="136" t="n">
        <f aca="false">AA104+AB101+AB103</f>
        <v>12.7610944994523</v>
      </c>
      <c r="AC104" s="136" t="n">
        <f aca="false">AB104+AC101+AC103</f>
        <v>12.9936255804213</v>
      </c>
      <c r="AD104" s="136" t="n">
        <f aca="false">AC104+AD101+AD103</f>
        <v>13.2269333215336</v>
      </c>
      <c r="AE104" s="136" t="n">
        <f aca="false">AD104+AE101+AE103</f>
        <v>13.4615187121238</v>
      </c>
      <c r="AF104" s="136" t="n">
        <f aca="false">AE104+AF101+AF103</f>
        <v>13.6978878755152</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68.0985049774728</v>
      </c>
      <c r="M105" s="139" t="n">
        <f aca="false">M104/($C$36*(1+$C$23)^(M$39-1))</f>
        <v>70.556133939364</v>
      </c>
      <c r="N105" s="139" t="n">
        <f aca="false">N104/($C$36*(1+$C$23)^(N$39-1))</f>
        <v>73.0447985512406</v>
      </c>
      <c r="O105" s="139" t="n">
        <f aca="false">O104/($C$36*(1+$C$23)^(O$39-1))</f>
        <v>75.3883941699207</v>
      </c>
      <c r="P105" s="139" t="n">
        <f aca="false">P104/($C$36*(1+$C$23)^(P$39-1))</f>
        <v>77.2412508521552</v>
      </c>
      <c r="Q105" s="139" t="n">
        <f aca="false">Q104/($C$36*(1+$C$23)^(Q$39-1))</f>
        <v>79.1093907282078</v>
      </c>
      <c r="R105" s="139" t="n">
        <f aca="false">R104/($C$36*(1+$C$23)^(R$39-1))</f>
        <v>80.9726991430337</v>
      </c>
      <c r="S105" s="139" t="n">
        <f aca="false">S104/($C$36*(1+$C$23)^(S$39-1))</f>
        <v>82.8329628876696</v>
      </c>
      <c r="T105" s="139" t="n">
        <f aca="false">T104/($C$36*(1+$C$23)^(T$39-1))</f>
        <v>84.6932294469407</v>
      </c>
      <c r="U105" s="139" t="n">
        <f aca="false">U104/($C$36*(1+$C$23)^(U$39-1))</f>
        <v>86.5564885474904</v>
      </c>
      <c r="V105" s="139" t="n">
        <f aca="false">V104/($C$36*(1+$C$23)^(V$39-1))</f>
        <v>88.4257179025573</v>
      </c>
      <c r="W105" s="139" t="n">
        <f aca="false">W104/($C$36*(1+$C$23)^(W$39-1))</f>
        <v>90.2768564030797</v>
      </c>
      <c r="X105" s="139" t="n">
        <f aca="false">X104/($C$36*(1+$C$23)^(X$39-1))</f>
        <v>92.1130235551789</v>
      </c>
      <c r="Y105" s="139" t="n">
        <f aca="false">Y104/($C$36*(1+$C$23)^(Y$39-1))</f>
        <v>93.9373649965402</v>
      </c>
      <c r="Z105" s="139" t="n">
        <f aca="false">Z104/($C$36*(1+$C$23)^(Z$39-1))</f>
        <v>95.7530471018415</v>
      </c>
      <c r="AA105" s="139" t="n">
        <f aca="false">AA104/($C$36*(1+$C$23)^(AA$39-1))</f>
        <v>97.5632617604171</v>
      </c>
      <c r="AB105" s="139" t="n">
        <f aca="false">AB104/($C$36*(1+$C$23)^(AB$39-1))</f>
        <v>99.3718212170848</v>
      </c>
      <c r="AC105" s="139" t="n">
        <f aca="false">AC104/($C$36*(1+$C$23)^(AC$39-1))</f>
        <v>101.182562216335</v>
      </c>
      <c r="AD105" s="139" t="n">
        <f aca="false">AD104/($C$36*(1+$C$23)^(AD$39-1))</f>
        <v>102.999351139838</v>
      </c>
      <c r="AE105" s="139" t="n">
        <f aca="false">AE104/($C$36*(1+$C$23)^(AE$39-1))</f>
        <v>104.826089237802</v>
      </c>
      <c r="AF105" s="139" t="n">
        <f aca="false">AF104/($C$36*(1+$C$23)^(AF$39-1))</f>
        <v>106.666717739281</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5.80581230117013</v>
      </c>
      <c r="M107" s="116" t="n">
        <f aca="false">M87*(1-$C$340)*$C$175+M85*01_Supuestos!$I$126+M55*M88</f>
        <v>6.41106425080116</v>
      </c>
      <c r="N107" s="116" t="n">
        <f aca="false">N87*(1-$C$340)*$C$175+N85*01_Supuestos!$I$126+N55*N88</f>
        <v>6.57688947545673</v>
      </c>
      <c r="O107" s="116" t="n">
        <f aca="false">O87*(1-$C$340)*$C$175+O85*01_Supuestos!$I$126+O55*O88</f>
        <v>6.72740200459442</v>
      </c>
      <c r="P107" s="116" t="n">
        <f aca="false">P87*(1-$C$340)*$C$175+P85*01_Supuestos!$I$126+P55*P88</f>
        <v>6.88199677376538</v>
      </c>
      <c r="Q107" s="116" t="n">
        <f aca="false">Q87*(1-$C$340)*$C$175+Q85*01_Supuestos!$I$126+Q55*Q88</f>
        <v>7.04017835962739</v>
      </c>
      <c r="R107" s="116" t="n">
        <f aca="false">R87*(1-$C$340)*$C$175+R85*01_Supuestos!$I$126+R55*R88</f>
        <v>7.20205257387739</v>
      </c>
      <c r="S107" s="116" t="n">
        <f aca="false">S87*(1-$C$340)*$C$175+S85*01_Supuestos!$I$126+S55*S88</f>
        <v>7.36770218487749</v>
      </c>
      <c r="T107" s="116" t="n">
        <f aca="false">T87*(1-$C$340)*$C$175+T85*01_Supuestos!$I$126+T55*T88</f>
        <v>7.53721047530527</v>
      </c>
      <c r="U107" s="116" t="n">
        <f aca="false">U87*(1-$C$340)*$C$175+U85*01_Supuestos!$I$126+U55*U88</f>
        <v>7.71066278898604</v>
      </c>
      <c r="V107" s="116" t="n">
        <f aca="false">V87*(1-$C$340)*$C$175+V85*01_Supuestos!$I$126+V55*V88</f>
        <v>7.88814652467385</v>
      </c>
      <c r="W107" s="116" t="n">
        <f aca="false">W87*(1-$C$340)*$C$175+W85*01_Supuestos!$I$126+W55*W88</f>
        <v>8.06978197174777</v>
      </c>
      <c r="X107" s="116" t="n">
        <f aca="false">X87*(1-$C$340)*$C$175+X85*01_Supuestos!$I$126+X55*X88</f>
        <v>8.25566059184421</v>
      </c>
      <c r="Y107" s="116" t="n">
        <f aca="false">Y87*(1-$C$340)*$C$175+Y85*01_Supuestos!$I$126+Y55*Y88</f>
        <v>8.44587600218387</v>
      </c>
      <c r="Z107" s="116" t="n">
        <f aca="false">Z87*(1-$C$340)*$C$175+Z85*01_Supuestos!$I$126+Z55*Z88</f>
        <v>8.64052403198032</v>
      </c>
      <c r="AA107" s="116" t="n">
        <f aca="false">AA87*(1-$C$340)*$C$175+AA85*01_Supuestos!$I$126+AA55*AA88</f>
        <v>8.83970276841648</v>
      </c>
      <c r="AB107" s="116" t="n">
        <f aca="false">AB87*(1-$C$340)*$C$175+AB85*01_Supuestos!$I$126+AB55*AB88</f>
        <v>9.04351193160803</v>
      </c>
      <c r="AC107" s="116" t="n">
        <f aca="false">AC87*(1-$C$340)*$C$175+AC85*01_Supuestos!$I$126+AC55*AC88</f>
        <v>9.25205360720974</v>
      </c>
      <c r="AD107" s="116" t="n">
        <f aca="false">AD87*(1-$C$340)*$C$175+AD85*01_Supuestos!$I$126+AD55*AD88</f>
        <v>9.46543229561221</v>
      </c>
      <c r="AE107" s="116" t="n">
        <f aca="false">AE87*(1-$C$340)*$C$175+AE85*01_Supuestos!$I$126+AE55*AE88</f>
        <v>9.68375496229776</v>
      </c>
      <c r="AF107" s="116" t="n">
        <f aca="false">AF87*(1-$C$340)*$C$175+AF85*01_Supuestos!$I$126+AF55*AF88</f>
        <v>9.90713108962955</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2.2844569356236</v>
      </c>
      <c r="M109" s="116" t="n">
        <f aca="false">(M70+L121)*(0.3*$C$5+0.25*01_Supuestos!$I$134)/0.55-L227*$C$5</f>
        <v>2.39646017788854</v>
      </c>
      <c r="N109" s="116" t="n">
        <f aca="false">(N70+M121)*(0.3*$C$5+0.25*01_Supuestos!$I$134)/0.55-M227*$C$5</f>
        <v>2.53718957865114</v>
      </c>
      <c r="O109" s="116" t="n">
        <f aca="false">(O70+N121)*(0.3*$C$5+0.25*01_Supuestos!$I$134)/0.55-N227*$C$5</f>
        <v>2.68109115628</v>
      </c>
      <c r="P109" s="116" t="n">
        <f aca="false">(P70+O121)*(0.3*$C$5+0.25*01_Supuestos!$I$134)/0.55-O227*$C$5</f>
        <v>2.82826707041498</v>
      </c>
      <c r="Q109" s="116" t="n">
        <f aca="false">(Q70+P121)*(0.3*$C$5+0.25*01_Supuestos!$I$134)/0.55-P227*$C$5</f>
        <v>2.97432221999748</v>
      </c>
      <c r="R109" s="116" t="n">
        <f aca="false">(R70+Q121)*(0.3*$C$5+0.25*01_Supuestos!$I$134)/0.55-Q227*$C$5</f>
        <v>3.11902923151637</v>
      </c>
      <c r="S109" s="116" t="n">
        <f aca="false">(S70+R121)*(0.3*$C$5+0.25*01_Supuestos!$I$134)/0.55-R227*$C$5</f>
        <v>3.26267238299619</v>
      </c>
      <c r="T109" s="116" t="n">
        <f aca="false">(T70+S121)*(0.3*$C$5+0.25*01_Supuestos!$I$134)/0.55-S227*$C$5</f>
        <v>3.40568701925533</v>
      </c>
      <c r="U109" s="116" t="n">
        <f aca="false">(U70+T121)*(0.3*$C$5+0.25*01_Supuestos!$I$134)/0.55-T227*$C$5</f>
        <v>3.54849946543351</v>
      </c>
      <c r="V109" s="116" t="n">
        <f aca="false">(V70+U121)*(0.3*$C$5+0.25*01_Supuestos!$I$134)/0.55-U227*$C$5</f>
        <v>3.69153257020959</v>
      </c>
      <c r="W109" s="116" t="n">
        <f aca="false">(W70+V121)*(0.3*$C$5+0.25*01_Supuestos!$I$134)/0.55-V227*$C$5</f>
        <v>3.83520636012818</v>
      </c>
      <c r="X109" s="116" t="n">
        <f aca="false">(X70+W121)*(0.3*$C$5+0.25*01_Supuestos!$I$134)/0.55-W227*$C$5</f>
        <v>3.9799428963872</v>
      </c>
      <c r="Y109" s="116" t="n">
        <f aca="false">(Y70+X121)*(0.3*$C$5+0.25*01_Supuestos!$I$134)/0.55-X227*$C$5</f>
        <v>4.12616507953812</v>
      </c>
      <c r="Z109" s="116" t="n">
        <f aca="false">(Z70+Y121)*(0.3*$C$5+0.25*01_Supuestos!$I$134)/0.55-Y227*$C$5</f>
        <v>4.27429597146978</v>
      </c>
      <c r="AA109" s="116" t="n">
        <f aca="false">(AA70+Z121)*(0.3*$C$5+0.25*01_Supuestos!$I$134)/0.55-Z227*$C$5</f>
        <v>4.42475935090864</v>
      </c>
      <c r="AB109" s="116" t="n">
        <f aca="false">(AB70+AA121)*(0.3*$C$5+0.25*01_Supuestos!$I$134)/0.55-AA227*$C$5</f>
        <v>4.57798016695459</v>
      </c>
      <c r="AC109" s="116" t="n">
        <f aca="false">(AC70+AB121)*(0.3*$C$5+0.25*01_Supuestos!$I$134)/0.55-AB227*$C$5</f>
        <v>4.73438514036019</v>
      </c>
      <c r="AD109" s="116" t="n">
        <f aca="false">(AD70+AC121)*(0.3*$C$5+0.25*01_Supuestos!$I$134)/0.55-AC227*$C$5</f>
        <v>4.89440338605545</v>
      </c>
      <c r="AE109" s="116" t="n">
        <f aca="false">(AE70+AD121)*(0.3*$C$5+0.25*01_Supuestos!$I$134)/0.55-AD227*$C$5</f>
        <v>5.05846704622231</v>
      </c>
      <c r="AF109" s="116" t="n">
        <f aca="false">(AF70+AE121)*(0.3*$C$5+0.25*01_Supuestos!$I$134)/0.55-AE227*$C$5</f>
        <v>5.22701190786455</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1.2287195340969</v>
      </c>
      <c r="F110" s="116" t="n">
        <f aca="false">E120*$C$10</f>
        <v>1.85778093283674</v>
      </c>
      <c r="G110" s="116" t="n">
        <f aca="false">F120*$C$10</f>
        <v>2.16569019411384</v>
      </c>
      <c r="H110" s="116" t="n">
        <f aca="false">G120*$C$10</f>
        <v>2.55048786469948</v>
      </c>
      <c r="I110" s="116" t="n">
        <f aca="false">H120*$C$10</f>
        <v>2.9935373640235</v>
      </c>
      <c r="J110" s="116" t="n">
        <f aca="false">I120*$C$10</f>
        <v>3.4980540840059</v>
      </c>
      <c r="K110" s="116" t="n">
        <f aca="false">J120*$C$10</f>
        <v>4.04923056185656</v>
      </c>
      <c r="L110" s="116" t="n">
        <f aca="false">K120*$C$10</f>
        <v>4.64553908899086</v>
      </c>
      <c r="M110" s="116" t="n">
        <f aca="false">L120*$C$10</f>
        <v>5.24323000577438</v>
      </c>
      <c r="N110" s="116" t="n">
        <f aca="false">M120*$C$10</f>
        <v>5.23268476647823</v>
      </c>
      <c r="O110" s="116" t="n">
        <f aca="false">N120*$C$10</f>
        <v>5.29165998973875</v>
      </c>
      <c r="P110" s="116" t="n">
        <f aca="false">O120*$C$10</f>
        <v>5.36255747390399</v>
      </c>
      <c r="Q110" s="116" t="n">
        <f aca="false">P120*$C$10</f>
        <v>5.41015897921996</v>
      </c>
      <c r="R110" s="116" t="n">
        <f aca="false">Q120*$C$10</f>
        <v>5.45256233692457</v>
      </c>
      <c r="S110" s="116" t="n">
        <f aca="false">R120*$C$10</f>
        <v>5.49656009696118</v>
      </c>
      <c r="T110" s="116" t="n">
        <f aca="false">S120*$C$10</f>
        <v>5.54198905621122</v>
      </c>
      <c r="U110" s="116" t="n">
        <f aca="false">T120*$C$10</f>
        <v>5.58888664223766</v>
      </c>
      <c r="V110" s="116" t="n">
        <f aca="false">U120*$C$10</f>
        <v>5.63728148785122</v>
      </c>
      <c r="W110" s="116" t="n">
        <f aca="false">V120*$C$10</f>
        <v>5.68720288811937</v>
      </c>
      <c r="X110" s="116" t="n">
        <f aca="false">W120*$C$10</f>
        <v>5.73876054871361</v>
      </c>
      <c r="Y110" s="116" t="n">
        <f aca="false">X120*$C$10</f>
        <v>5.79200540238423</v>
      </c>
      <c r="Z110" s="116" t="n">
        <f aca="false">Y120*$C$10</f>
        <v>5.8469809704074</v>
      </c>
      <c r="AA110" s="116" t="n">
        <f aca="false">Z120*$C$10</f>
        <v>5.9037206059126</v>
      </c>
      <c r="AB110" s="116" t="n">
        <f aca="false">AA120*$C$10</f>
        <v>5.9622588326184</v>
      </c>
      <c r="AC110" s="116" t="n">
        <f aca="false">AB120*$C$10</f>
        <v>6.02262963533938</v>
      </c>
      <c r="AD110" s="116" t="n">
        <f aca="false">AC120*$C$10</f>
        <v>6.08486780657335</v>
      </c>
      <c r="AE110" s="116" t="n">
        <f aca="false">AD120*$C$10</f>
        <v>6.14900915462806</v>
      </c>
      <c r="AF110" s="116" t="n">
        <f aca="false">AE120*$C$10</f>
        <v>6.2150907706989</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0.349801964639669</v>
      </c>
      <c r="M112" s="116" t="n">
        <f aca="false">M81*$C$7</f>
        <v>0.362426080830021</v>
      </c>
      <c r="N112" s="116" t="n">
        <f aca="false">N81*$C$7</f>
        <v>0.375209618014158</v>
      </c>
      <c r="O112" s="116" t="n">
        <f aca="false">O81*$C$7</f>
        <v>0.387247978503958</v>
      </c>
      <c r="P112" s="116" t="n">
        <f aca="false">P81*$C$7</f>
        <v>0.396765557602879</v>
      </c>
      <c r="Q112" s="116" t="n">
        <f aca="false">Q81*$C$7</f>
        <v>0.406361641967449</v>
      </c>
      <c r="R112" s="116" t="n">
        <f aca="false">R81*$C$7</f>
        <v>0.415932908538592</v>
      </c>
      <c r="S112" s="116" t="n">
        <f aca="false">S81*$C$7</f>
        <v>0.425488535535643</v>
      </c>
      <c r="T112" s="116" t="n">
        <f aca="false">T81*$C$7</f>
        <v>0.435044176990647</v>
      </c>
      <c r="U112" s="116" t="n">
        <f aca="false">U81*$C$7</f>
        <v>0.444615190248877</v>
      </c>
      <c r="V112" s="116" t="n">
        <f aca="false">V81*$C$7</f>
        <v>0.454216870946285</v>
      </c>
      <c r="W112" s="116" t="n">
        <f aca="false">W81*$C$7</f>
        <v>0.463725624251766</v>
      </c>
      <c r="X112" s="116" t="n">
        <f aca="false">X81*$C$7</f>
        <v>0.473157474149552</v>
      </c>
      <c r="Y112" s="116" t="n">
        <f aca="false">Y81*$C$7</f>
        <v>0.482528578854021</v>
      </c>
      <c r="Z112" s="116" t="n">
        <f aca="false">Z81*$C$7</f>
        <v>0.491855203099379</v>
      </c>
      <c r="AA112" s="116" t="n">
        <f aca="false">AA81*$C$7</f>
        <v>0.501153742681103</v>
      </c>
      <c r="AB112" s="116" t="n">
        <f aca="false">AB81*$C$7</f>
        <v>0.510443779978093</v>
      </c>
      <c r="AC112" s="116" t="n">
        <f aca="false">AC81*$C$7</f>
        <v>0.519745023216852</v>
      </c>
      <c r="AD112" s="116" t="n">
        <f aca="false">AD81*$C$7</f>
        <v>0.529077332861345</v>
      </c>
      <c r="AE112" s="116" t="n">
        <f aca="false">AE81*$C$7</f>
        <v>0.538460748484952</v>
      </c>
      <c r="AF112" s="116" t="n">
        <f aca="false">AF81*$C$7</f>
        <v>0.547915515020609</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-2.47941192401709</v>
      </c>
      <c r="F113" s="136" t="n">
        <f aca="false">F107+F109+F110-F111-F112-F108-F97-F98-F102+F184-F190-F229-F265-F268-F274</f>
        <v>-6.30097445431648</v>
      </c>
      <c r="G113" s="136" t="n">
        <f aca="false">G107+G109+G110-G111-G112-G108-G97-G98-G102+G184-G190-G229-G265-G268-G274</f>
        <v>-4.97538288263142</v>
      </c>
      <c r="H113" s="136" t="n">
        <f aca="false">H107+H109+H110-H111-H112-H108-H97-H98-H102+H184-H190-H229-H265-H268-H274</f>
        <v>-3.78481331510548</v>
      </c>
      <c r="I113" s="136" t="n">
        <f aca="false">I107+I109+I110-I111-I112-I108-I97-I98-I102+I184-I190-I229-I265-I268-I274</f>
        <v>-2.54475988282669</v>
      </c>
      <c r="J113" s="136" t="n">
        <f aca="false">J107+J109+J110-J111-J112-J108-J97-J98-J102+J184-J190-J229-J265-J268-J274</f>
        <v>-1.25005775174904</v>
      </c>
      <c r="K113" s="136" t="n">
        <f aca="false">K107+K109+K110-K111-K112-K108-K97-K98-K102+K184-K190-K229-K265-K268-K274</f>
        <v>0.0861133077987713</v>
      </c>
      <c r="L113" s="136" t="n">
        <f aca="false">L107+L109+L110-L111-L112-L108-L97-L98-L102+L184-L190-L229-L265-L268-L274</f>
        <v>1.46569494305322</v>
      </c>
      <c r="M113" s="136" t="n">
        <f aca="false">M107+M109+M110-M111-M112-M108-M97-M98-M102+M184-M190-M229-M265-M268-M274</f>
        <v>2.6296414003417</v>
      </c>
      <c r="N113" s="136" t="n">
        <f aca="false">N107+N109+N110-N111-N112-N108-N97-N98-N102+N184-N190-N229-N265-N268-N274</f>
        <v>2.71160589989095</v>
      </c>
      <c r="O113" s="136" t="n">
        <f aca="false">O107+O109+O110-O111-O112-O108-O97-O98-O102+O184-O190-O229-O265-O268-O274</f>
        <v>2.79702493008126</v>
      </c>
      <c r="P113" s="136" t="n">
        <f aca="false">P107+P109+P110-P111-P112-P108-P97-P98-P102+P184-P190-P229-P265-P268-P274</f>
        <v>2.69561379103358</v>
      </c>
      <c r="Q113" s="136" t="n">
        <f aca="false">Q107+Q109+Q110-Q111-Q112-Q108-Q97-Q98-Q102+Q184-Q190-Q229-Q265-Q268-Q274</f>
        <v>2.58368309513069</v>
      </c>
      <c r="R113" s="136" t="n">
        <f aca="false">R107+R109+R110-R111-R112-R108-R97-R98-R102+R184-R190-R229-R265-R268-R274</f>
        <v>2.48286296264231</v>
      </c>
      <c r="S113" s="136" t="n">
        <f aca="false">S107+S109+S110-S111-S112-S108-S97-S98-S102+S184-S190-S229-S265-S268-S274</f>
        <v>2.39952764325361</v>
      </c>
      <c r="T113" s="136" t="n">
        <f aca="false">T107+T109+T110-T111-T112-T108-T97-T98-T102+T184-T190-T229-T265-T268-T274</f>
        <v>2.33327812576289</v>
      </c>
      <c r="U113" s="136" t="n">
        <f aca="false">U107+U109+U110-U111-U112-U108-U97-U98-U102+U184-U190-U229-U265-U268-U274</f>
        <v>2.28394953837848</v>
      </c>
      <c r="V113" s="136" t="n">
        <f aca="false">V107+V109+V110-V111-V112-V108-V97-V98-V102+V184-V190-V229-V265-V268-V274</f>
        <v>2.25140430105565</v>
      </c>
      <c r="W113" s="136" t="n">
        <f aca="false">W107+W109+W110-W111-W112-W108-W97-W98-W102+W184-W190-W229-W265-W268-W274</f>
        <v>2.23570991165484</v>
      </c>
      <c r="X113" s="136" t="n">
        <f aca="false">X107+X109+X110-X111-X112-X108-X97-X98-X102+X184-X190-X229-X265-X268-X274</f>
        <v>2.23688288552579</v>
      </c>
      <c r="Y113" s="136" t="n">
        <f aca="false">Y107+Y109+Y110-Y111-Y112-Y108-Y97-Y98-Y102+Y184-Y190-Y229-Y265-Y268-Y274</f>
        <v>2.25491062969021</v>
      </c>
      <c r="Z113" s="136" t="n">
        <f aca="false">Z107+Z109+Z110-Z111-Z112-Z108-Z97-Z98-Z102+Z184-Z190-Z229-Z265-Z268-Z274</f>
        <v>2.28980361885313</v>
      </c>
      <c r="AA113" s="136" t="n">
        <f aca="false">AA107+AA109+AA110-AA111-AA112-AA108-AA97-AA98-AA102+AA184-AA190-AA229-AA265-AA268-AA274</f>
        <v>2.34159106996653</v>
      </c>
      <c r="AB113" s="136" t="n">
        <f aca="false">AB107+AB109+AB110-AB111-AB112-AB108-AB97-AB98-AB102+AB184-AB190-AB229-AB265-AB268-AB274</f>
        <v>2.41032718099686</v>
      </c>
      <c r="AC113" s="136" t="n">
        <f aca="false">AC107+AC109+AC110-AC111-AC112-AC108-AC97-AC98-AC102+AC184-AC190-AC229-AC265-AC268-AC274</f>
        <v>2.49609201750252</v>
      </c>
      <c r="AD113" s="136" t="n">
        <f aca="false">AD107+AD109+AD110-AD111-AD112-AD108-AD97-AD98-AD102+AD184-AD190-AD229-AD265-AD268-AD274</f>
        <v>2.59899194631474</v>
      </c>
      <c r="AE113" s="136" t="n">
        <f aca="false">AE107+AE109+AE110-AE111-AE112-AE108-AE97-AE98-AE102+AE184-AE190-AE229-AE265-AE268-AE274</f>
        <v>2.7191589665411</v>
      </c>
      <c r="AF113" s="136" t="n">
        <f aca="false">AF107+AF109+AF110-AF111-AF112-AF108-AF97-AF98-AF102+AF184-AF190-AF229-AF265-AF268-AF274</f>
        <v>2.85675018551966</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35.1062724027686</v>
      </c>
      <c r="E114" s="116" t="n">
        <f aca="false">D120+E53+E56-E57+(E58-E65)+E113-E92+E94-E95-E103+E60-E245</f>
        <v>53.079455223907</v>
      </c>
      <c r="F114" s="116" t="n">
        <f aca="false">E120+F53+F56-F57+(F58-F65)+F113-F92+F94-F95-F103+F60-F245</f>
        <v>61.8768626889668</v>
      </c>
      <c r="G114" s="116" t="n">
        <f aca="false">F120+G53+G56-G57+(G58-G65)+G113-G92+G94-G95-G103+G60-G245</f>
        <v>72.8710818485565</v>
      </c>
      <c r="H114" s="116" t="n">
        <f aca="false">G120+H53+H56-H57+(H58-H65)+H113-H92+H94-H95-H103+H60-H245</f>
        <v>85.5296389721001</v>
      </c>
      <c r="I114" s="116" t="n">
        <f aca="false">H120+I53+I56-I57+(I58-I65)+I113-I92+I94-I95-I103+I60-I245</f>
        <v>99.9444024001686</v>
      </c>
      <c r="J114" s="116" t="n">
        <f aca="false">I120+J53+J56-J57+(J58-J65)+J113-J92+J94-J95-J103+J60-J245</f>
        <v>115.69230176733</v>
      </c>
      <c r="K114" s="116" t="n">
        <f aca="false">J120+K53+K56-K57+(K58-K65)+K113-K92+K94-K95-K103+K60-K245</f>
        <v>132.81580156468</v>
      </c>
      <c r="L114" s="116" t="n">
        <f aca="false">K120+L53+L56-L57+(L58-L65)+L113-L92+L94-L95-L103+L60-L245</f>
        <v>151.272266536607</v>
      </c>
      <c r="M114" s="116" t="n">
        <f aca="false">L120+M53+M56-M57+(M58-M65)+M113-M92+M94-M95-M103+M60-M245</f>
        <v>152.134920442577</v>
      </c>
      <c r="N114" s="116" t="n">
        <f aca="false">M120+N53+N56-N57+(N58-N65)+N113-N92+N94-N95-N103+N60-N245</f>
        <v>153.901891320998</v>
      </c>
      <c r="O114" s="116" t="n">
        <f aca="false">N120+O53+O56-O57+(O58-O65)+O113-O92+O94-O95-O103+O60-O245</f>
        <v>156.01295275591</v>
      </c>
      <c r="P114" s="116" t="n">
        <f aca="false">O120+P53+P56-P57+(P58-P65)+P113-P92+P94-P95-P103+P60-P245</f>
        <v>157.27158462589</v>
      </c>
      <c r="Q114" s="116" t="n">
        <f aca="false">P120+Q53+Q56-Q57+(Q58-Q65)+Q113-Q92+Q94-Q95-Q103+Q60-Q245</f>
        <v>158.371178435833</v>
      </c>
      <c r="R114" s="116" t="n">
        <f aca="false">Q120+R53+R56-R57+(R58-R65)+R113-R92+R94-R95-R103+R60-R245</f>
        <v>159.527437161533</v>
      </c>
      <c r="S114" s="116" t="n">
        <f aca="false">R120+S53+S56-S57+(S58-S65)+S113-S92+S94-S95-S103+S60-S245</f>
        <v>160.742072106431</v>
      </c>
      <c r="T114" s="116" t="n">
        <f aca="false">S120+T53+T56-T57+(T58-T65)+T113-T92+T94-T95-T103+T60-T245</f>
        <v>162.015753618268</v>
      </c>
      <c r="U114" s="116" t="n">
        <f aca="false">T120+U53+U56-U57+(U58-U65)+U113-U92+U94-U95-U103+U60-U245</f>
        <v>163.349134905556</v>
      </c>
      <c r="V114" s="116" t="n">
        <f aca="false">U120+V53+V56-V57+(V58-V65)+V113-V92+V94-V95-V103+V60-V245</f>
        <v>164.74291539018</v>
      </c>
      <c r="W114" s="116" t="n">
        <f aca="false">V120+W53+W56-W57+(W58-W65)+W113-W92+W94-W95-W103+W60-W245</f>
        <v>166.200297017758</v>
      </c>
      <c r="X114" s="116" t="n">
        <f aca="false">W120+X53+X56-X57+(X58-X65)+X113-X92+X94-X95-X103+X60-X245</f>
        <v>167.722751525075</v>
      </c>
      <c r="Y114" s="116" t="n">
        <f aca="false">X120+Y53+Y56-Y57+(Y58-Y65)+Y113-Y92+Y94-Y95-Y103+Y60-Y245</f>
        <v>169.311509784187</v>
      </c>
      <c r="Z114" s="116" t="n">
        <f aca="false">Y120+Z53+Z56-Z57+(Z58-Z65)+Z113-Z92+Z94-Z95-Z103+Z60-Z245</f>
        <v>170.967535216356</v>
      </c>
      <c r="AA114" s="116" t="n">
        <f aca="false">Z120+AA53+AA56-AA57+(AA58-AA65)+AA113-AA92+AA94-AA95-AA103+AA60-AA245</f>
        <v>172.691843430492</v>
      </c>
      <c r="AB114" s="116" t="n">
        <f aca="false">AA120+AB53+AB56-AB57+(AB58-AB65)+AB113-AB92+AB94-AB95-AB103+AB60-AB245</f>
        <v>174.485459619265</v>
      </c>
      <c r="AC114" s="116" t="n">
        <f aca="false">AB120+AC53+AC56-AC57+(AC58-AC65)+AC113-AC92+AC94-AC95-AC103+AC60-AC245</f>
        <v>176.349457919598</v>
      </c>
      <c r="AD114" s="116" t="n">
        <f aca="false">AC120+AD53+AD56-AD57+(AD58-AD65)+AD113-AD92+AD94-AD95-AD103+AD60-AD245</f>
        <v>178.284967792831</v>
      </c>
      <c r="AE114" s="116" t="n">
        <f aca="false">AD120+AE53+AE56-AE57+(AE58-AE65)+AE113-AE92+AE94-AE95-AE103+AE60-AE245</f>
        <v>180.29318098651</v>
      </c>
      <c r="AF114" s="116" t="n">
        <f aca="false">AE120+AF53+AF56-AF57+(AF58-AF65)+AF113-AF92+AF94-AF95-AF103+AF60-AF245</f>
        <v>182.375351524022</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0.0861133077987713</v>
      </c>
      <c r="L115" s="116" t="n">
        <f aca="false">IF(L113&gt;0,MIN(L113,01_Supuestos!$I$106*L81),0)</f>
        <v>1.46569494305322</v>
      </c>
      <c r="M115" s="116" t="n">
        <f aca="false">IF(M113&gt;0,MIN(M113,01_Supuestos!$I$106*M81),0)</f>
        <v>2.6296414003417</v>
      </c>
      <c r="N115" s="116" t="n">
        <f aca="false">IF(N113&gt;0,MIN(N113,01_Supuestos!$I$106*N81),0)</f>
        <v>2.71160589989095</v>
      </c>
      <c r="O115" s="116" t="n">
        <f aca="false">IF(O113&gt;0,MIN(O113,01_Supuestos!$I$106*O81),0)</f>
        <v>2.79702493008126</v>
      </c>
      <c r="P115" s="116" t="n">
        <f aca="false">IF(P113&gt;0,MIN(P113,01_Supuestos!$I$106*P81),0)</f>
        <v>2.69561379103358</v>
      </c>
      <c r="Q115" s="116" t="n">
        <f aca="false">IF(Q113&gt;0,MIN(Q113,01_Supuestos!$I$106*Q81),0)</f>
        <v>2.58368309513069</v>
      </c>
      <c r="R115" s="116" t="n">
        <f aca="false">IF(R113&gt;0,MIN(R113,01_Supuestos!$I$106*R81),0)</f>
        <v>2.48286296264231</v>
      </c>
      <c r="S115" s="116" t="n">
        <f aca="false">IF(S113&gt;0,MIN(S113,01_Supuestos!$I$106*S81),0)</f>
        <v>2.39952764325361</v>
      </c>
      <c r="T115" s="116" t="n">
        <f aca="false">IF(T113&gt;0,MIN(T113,01_Supuestos!$I$106*T81),0)</f>
        <v>2.33327812576289</v>
      </c>
      <c r="U115" s="116" t="n">
        <f aca="false">IF(U113&gt;0,MIN(U113,01_Supuestos!$I$106*U81),0)</f>
        <v>2.28394953837848</v>
      </c>
      <c r="V115" s="116" t="n">
        <f aca="false">IF(V113&gt;0,MIN(V113,01_Supuestos!$I$106*V81),0)</f>
        <v>2.25140430105565</v>
      </c>
      <c r="W115" s="116" t="n">
        <f aca="false">IF(W113&gt;0,MIN(W113,01_Supuestos!$I$106*W81),0)</f>
        <v>2.23570991165484</v>
      </c>
      <c r="X115" s="116" t="n">
        <f aca="false">IF(X113&gt;0,MIN(X113,01_Supuestos!$I$106*X81),0)</f>
        <v>2.23688288552579</v>
      </c>
      <c r="Y115" s="116" t="n">
        <f aca="false">IF(Y113&gt;0,MIN(Y113,01_Supuestos!$I$106*Y81),0)</f>
        <v>2.25491062969021</v>
      </c>
      <c r="Z115" s="116" t="n">
        <f aca="false">IF(Z113&gt;0,MIN(Z113,01_Supuestos!$I$106*Z81),0)</f>
        <v>2.28980361885313</v>
      </c>
      <c r="AA115" s="116" t="n">
        <f aca="false">IF(AA113&gt;0,MIN(AA113,01_Supuestos!$I$106*AA81),0)</f>
        <v>2.34159106996653</v>
      </c>
      <c r="AB115" s="116" t="n">
        <f aca="false">IF(AB113&gt;0,MIN(AB113,01_Supuestos!$I$106*AB81),0)</f>
        <v>2.41032718099686</v>
      </c>
      <c r="AC115" s="116" t="n">
        <f aca="false">IF(AC113&gt;0,MIN(AC113,01_Supuestos!$I$106*AC81),0)</f>
        <v>2.49609201750252</v>
      </c>
      <c r="AD115" s="116" t="n">
        <f aca="false">IF(AD113&gt;0,MIN(AD113,01_Supuestos!$I$106*AD81),0)</f>
        <v>2.59899194631474</v>
      </c>
      <c r="AE115" s="116" t="n">
        <f aca="false">IF(AE113&gt;0,MIN(AE113,01_Supuestos!$I$106*AE81),0)</f>
        <v>2.7191589665411</v>
      </c>
      <c r="AF115" s="116" t="n">
        <f aca="false">IF(AF113&gt;0,MIN(AF113,01_Supuestos!$I$106*AF81),0)</f>
        <v>2.85675018551966</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35.1062724027686</v>
      </c>
      <c r="E120" s="136" t="n">
        <f aca="false">E114-E115+E118+E119</f>
        <v>53.079455223907</v>
      </c>
      <c r="F120" s="136" t="n">
        <f aca="false">F114-F115+F118+F119</f>
        <v>61.8768626889668</v>
      </c>
      <c r="G120" s="136" t="n">
        <f aca="false">G114-G115+G118+G119</f>
        <v>72.8710818485565</v>
      </c>
      <c r="H120" s="136" t="n">
        <f aca="false">H114-H115+H118+H119</f>
        <v>85.5296389721001</v>
      </c>
      <c r="I120" s="136" t="n">
        <f aca="false">I114-I115+I118+I119</f>
        <v>99.9444024001686</v>
      </c>
      <c r="J120" s="136" t="n">
        <f aca="false">J114-J115+J118+J119</f>
        <v>115.69230176733</v>
      </c>
      <c r="K120" s="136" t="n">
        <f aca="false">K114-K115+K118+K119</f>
        <v>132.729688256882</v>
      </c>
      <c r="L120" s="136" t="n">
        <f aca="false">L114-L115+L118+L119</f>
        <v>149.806571593554</v>
      </c>
      <c r="M120" s="136" t="n">
        <f aca="false">M114-M115+M118+M119</f>
        <v>149.505279042235</v>
      </c>
      <c r="N120" s="136" t="n">
        <f aca="false">N114-N115+N118+N119</f>
        <v>151.190285421107</v>
      </c>
      <c r="O120" s="136" t="n">
        <f aca="false">O114-O115+O118+O119</f>
        <v>153.215927825828</v>
      </c>
      <c r="P120" s="136" t="n">
        <f aca="false">P114-P115+P118+P119</f>
        <v>154.575970834856</v>
      </c>
      <c r="Q120" s="136" t="n">
        <f aca="false">Q114-Q115+Q118+Q119</f>
        <v>155.787495340702</v>
      </c>
      <c r="R120" s="136" t="n">
        <f aca="false">R114-R115+R118+R119</f>
        <v>157.044574198891</v>
      </c>
      <c r="S120" s="136" t="n">
        <f aca="false">S114-S115+S118+S119</f>
        <v>158.342544463178</v>
      </c>
      <c r="T120" s="136" t="n">
        <f aca="false">T114-T115+T118+T119</f>
        <v>159.682475492505</v>
      </c>
      <c r="U120" s="136" t="n">
        <f aca="false">U114-U115+U118+U119</f>
        <v>161.065185367178</v>
      </c>
      <c r="V120" s="136" t="n">
        <f aca="false">V114-V115+V118+V119</f>
        <v>162.491511089125</v>
      </c>
      <c r="W120" s="136" t="n">
        <f aca="false">W114-W115+W118+W119</f>
        <v>163.964587106103</v>
      </c>
      <c r="X120" s="136" t="n">
        <f aca="false">X114-X115+X118+X119</f>
        <v>165.485868639549</v>
      </c>
      <c r="Y120" s="136" t="n">
        <f aca="false">Y114-Y115+Y118+Y119</f>
        <v>167.056599154497</v>
      </c>
      <c r="Z120" s="136" t="n">
        <f aca="false">Z114-Z115+Z118+Z119</f>
        <v>168.677731597503</v>
      </c>
      <c r="AA120" s="136" t="n">
        <f aca="false">AA114-AA115+AA118+AA119</f>
        <v>170.350252360526</v>
      </c>
      <c r="AB120" s="136" t="n">
        <f aca="false">AB114-AB115+AB118+AB119</f>
        <v>172.075132438268</v>
      </c>
      <c r="AC120" s="136" t="n">
        <f aca="false">AC114-AC115+AC118+AC119</f>
        <v>173.853365902096</v>
      </c>
      <c r="AD120" s="136" t="n">
        <f aca="false">AD114-AD115+AD118+AD119</f>
        <v>175.685975846516</v>
      </c>
      <c r="AE120" s="136" t="n">
        <f aca="false">AE114-AE115+AE118+AE119</f>
        <v>177.574022019969</v>
      </c>
      <c r="AF120" s="136" t="n">
        <f aca="false">AF114-AF115+AF118+AF119</f>
        <v>179.518601338502</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0.0861133077987713</v>
      </c>
      <c r="L121" s="116" t="n">
        <f aca="false">K121+L115</f>
        <v>1.55180825085199</v>
      </c>
      <c r="M121" s="116" t="n">
        <f aca="false">L121+M115</f>
        <v>4.18144965119369</v>
      </c>
      <c r="N121" s="116" t="n">
        <f aca="false">M121+N115</f>
        <v>6.89305555108464</v>
      </c>
      <c r="O121" s="116" t="n">
        <f aca="false">N121+O115</f>
        <v>9.6900804811659</v>
      </c>
      <c r="P121" s="116" t="n">
        <f aca="false">O121+P115</f>
        <v>12.3856942721995</v>
      </c>
      <c r="Q121" s="116" t="n">
        <f aca="false">P121+Q115</f>
        <v>14.9693773673302</v>
      </c>
      <c r="R121" s="116" t="n">
        <f aca="false">Q121+R115</f>
        <v>17.4522403299725</v>
      </c>
      <c r="S121" s="116" t="n">
        <f aca="false">R121+S115</f>
        <v>19.8517679732261</v>
      </c>
      <c r="T121" s="116" t="n">
        <f aca="false">S121+T115</f>
        <v>22.185046098989</v>
      </c>
      <c r="U121" s="116" t="n">
        <f aca="false">T121+U115</f>
        <v>24.4689956373675</v>
      </c>
      <c r="V121" s="116" t="n">
        <f aca="false">U121+V115</f>
        <v>26.7203999384231</v>
      </c>
      <c r="W121" s="116" t="n">
        <f aca="false">V121+W115</f>
        <v>28.9561098500779</v>
      </c>
      <c r="X121" s="116" t="n">
        <f aca="false">W121+X115</f>
        <v>31.1929927356037</v>
      </c>
      <c r="Y121" s="116" t="n">
        <f aca="false">X121+Y115</f>
        <v>33.4479033652939</v>
      </c>
      <c r="Z121" s="116" t="n">
        <f aca="false">Y121+Z115</f>
        <v>35.7377069841471</v>
      </c>
      <c r="AA121" s="116" t="n">
        <f aca="false">Z121+AA115</f>
        <v>38.0792980541136</v>
      </c>
      <c r="AB121" s="116" t="n">
        <f aca="false">AA121+AB115</f>
        <v>40.4896252351105</v>
      </c>
      <c r="AC121" s="116" t="n">
        <f aca="false">AB121+AC115</f>
        <v>42.985717252613</v>
      </c>
      <c r="AD121" s="116" t="n">
        <f aca="false">AC121+AD115</f>
        <v>45.5847091989277</v>
      </c>
      <c r="AE121" s="116" t="n">
        <f aca="false">AD121+AE115</f>
        <v>48.3038681654688</v>
      </c>
      <c r="AF121" s="116" t="n">
        <f aca="false">AE121+AF115</f>
        <v>51.1606183509885</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0.340712143088745</v>
      </c>
      <c r="E122" s="87" t="n">
        <f aca="false">E276/(E81+E115)</f>
        <v>0.38179401357329</v>
      </c>
      <c r="F122" s="87" t="n">
        <f aca="false">F276/(F81+F115)</f>
        <v>0.226775753851427</v>
      </c>
      <c r="G122" s="87" t="n">
        <f aca="false">G276/(G81+G115)</f>
        <v>0.255189856037972</v>
      </c>
      <c r="H122" s="87" t="n">
        <f aca="false">H276/(H81+H115)</f>
        <v>0.286722139819811</v>
      </c>
      <c r="I122" s="87" t="n">
        <f aca="false">I276/(I81+I115)</f>
        <v>0.321271559747142</v>
      </c>
      <c r="J122" s="87" t="n">
        <f aca="false">J276/(J81+J115)</f>
        <v>0.357160892975028</v>
      </c>
      <c r="K122" s="87" t="n">
        <f aca="false">K276/(K81+K115)</f>
        <v>0.393992884462478</v>
      </c>
      <c r="L122" s="87" t="n">
        <f aca="false">L276/(L81+L115)</f>
        <v>0.42647413590967</v>
      </c>
      <c r="M122" s="87" t="n">
        <f aca="false">M276/(M81+M115)</f>
        <v>0.409540982206251</v>
      </c>
      <c r="N122" s="87" t="n">
        <f aca="false">N276/(N81+N115)</f>
        <v>0.400057673012544</v>
      </c>
      <c r="O122" s="87" t="n">
        <f aca="false">O276/(O81+O115)</f>
        <v>0.392816025014762</v>
      </c>
      <c r="P122" s="87" t="n">
        <f aca="false">P276/(P81+P115)</f>
        <v>0.386961191485686</v>
      </c>
      <c r="Q122" s="87" t="n">
        <f aca="false">Q276/(Q81+Q115)</f>
        <v>0.380949446767394</v>
      </c>
      <c r="R122" s="87" t="n">
        <f aca="false">R276/(R81+R115)</f>
        <v>0.375331392589315</v>
      </c>
      <c r="S122" s="87" t="n">
        <f aca="false">S276/(S81+S115)</f>
        <v>0.370055998493643</v>
      </c>
      <c r="T122" s="87" t="n">
        <f aca="false">T276/(T81+T115)</f>
        <v>0.36509077828441</v>
      </c>
      <c r="U122" s="87" t="n">
        <f aca="false">U276/(U81+U115)</f>
        <v>0.360406120816997</v>
      </c>
      <c r="V122" s="87" t="n">
        <f aca="false">V276/(V81+V115)</f>
        <v>0.355975474968283</v>
      </c>
      <c r="W122" s="87" t="n">
        <f aca="false">W276/(W81+W115)</f>
        <v>0.351884534369107</v>
      </c>
      <c r="X122" s="87" t="n">
        <f aca="false">X276/(X81+X115)</f>
        <v>0.34810229905051</v>
      </c>
      <c r="Y122" s="87" t="n">
        <f aca="false">Y276/(Y81+Y115)</f>
        <v>0.344600430456925</v>
      </c>
      <c r="Z122" s="87" t="n">
        <f aca="false">Z276/(Z81+Z115)</f>
        <v>0.34135269871033</v>
      </c>
      <c r="AA122" s="87" t="n">
        <f aca="false">AA276/(AA81+AA115)</f>
        <v>0.338335315029449</v>
      </c>
      <c r="AB122" s="87" t="n">
        <f aca="false">AB276/(AB81+AB115)</f>
        <v>0.335524528391638</v>
      </c>
      <c r="AC122" s="87" t="n">
        <f aca="false">AC276/(AC81+AC115)</f>
        <v>0.332898657019908</v>
      </c>
      <c r="AD122" s="87" t="n">
        <f aca="false">AD276/(AD81+AD115)</f>
        <v>0.330437839055693</v>
      </c>
      <c r="AE122" s="87" t="n">
        <f aca="false">AE276/(AE81+AE115)</f>
        <v>0.32812382642991</v>
      </c>
      <c r="AF122" s="87" t="n">
        <f aca="false">AF276/(AF81+AF115)</f>
        <v>0.325939798859183</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2.47941192401709</v>
      </c>
      <c r="F127" s="116" t="n">
        <f aca="false">MAX(0,-F113)</f>
        <v>6.30097445431648</v>
      </c>
      <c r="G127" s="116" t="n">
        <f aca="false">MAX(0,-G113)</f>
        <v>4.97538288263142</v>
      </c>
      <c r="H127" s="116" t="n">
        <f aca="false">MAX(0,-H113)</f>
        <v>3.78481331510548</v>
      </c>
      <c r="I127" s="116" t="n">
        <f aca="false">MAX(0,-I113)</f>
        <v>2.54475988282669</v>
      </c>
      <c r="J127" s="116" t="n">
        <f aca="false">MAX(0,-J113)</f>
        <v>1.25005775174904</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4.73683578096921</v>
      </c>
      <c r="D128" s="116" t="n">
        <f aca="false">IF(AVERAGE(E127:I127)&gt;0,D120/AVERAGE(E127:I127),99)</f>
        <v>8.73927653327555</v>
      </c>
      <c r="E128" s="116" t="n">
        <f aca="false">IF(AVERAGE(F127:J127)&gt;0,E120/AVERAGE(F127:J127),99)</f>
        <v>14.0749597467522</v>
      </c>
      <c r="F128" s="116" t="n">
        <f aca="false">IF(AVERAGE(G127:K127)&gt;0,F120/AVERAGE(G127:K127),99)</f>
        <v>24.642291723214</v>
      </c>
      <c r="G128" s="116" t="n">
        <f aca="false">IF(AVERAGE(H127:L127)&gt;0,G120/AVERAGE(H127:L127),99)</f>
        <v>48.0703363609157</v>
      </c>
      <c r="H128" s="116" t="n">
        <f aca="false">IF(AVERAGE(I127:M127)&gt;0,H120/AVERAGE(I127:M127),99)</f>
        <v>112.692686722036</v>
      </c>
      <c r="I128" s="116" t="n">
        <f aca="false">IF(AVERAGE(J127:N127)&gt;0,I120/AVERAGE(J127:N127),99)</f>
        <v>399.759140169043</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-1.09916285</v>
      </c>
      <c r="E134" s="116" t="n">
        <f aca="false">-E56</f>
        <v>-1.12912053347675</v>
      </c>
      <c r="F134" s="116" t="n">
        <f aca="false">-F56</f>
        <v>-1.15989471361666</v>
      </c>
      <c r="G134" s="116" t="n">
        <f aca="false">-G56</f>
        <v>-1.19150764403628</v>
      </c>
      <c r="H134" s="116" t="n">
        <f aca="false">-H56</f>
        <v>-1.22398218487449</v>
      </c>
      <c r="I134" s="116" t="n">
        <f aca="false">-I56</f>
        <v>-1.25734181932324</v>
      </c>
      <c r="J134" s="116" t="n">
        <f aca="false">-J56</f>
        <v>-1.2916106706089</v>
      </c>
      <c r="K134" s="116" t="n">
        <f aca="false">-K56</f>
        <v>-1.32681351943634</v>
      </c>
      <c r="L134" s="116" t="n">
        <f aca="false">-L56</f>
        <v>-1.36297582190858</v>
      </c>
      <c r="M134" s="116" t="n">
        <f aca="false">-M56</f>
        <v>-1.4001237279347</v>
      </c>
      <c r="N134" s="116" t="n">
        <f aca="false">-N56</f>
        <v>-1.43828410013956</v>
      </c>
      <c r="O134" s="116" t="n">
        <f aca="false">-O56</f>
        <v>-1.47748453328886</v>
      </c>
      <c r="P134" s="116" t="n">
        <f aca="false">-P56</f>
        <v>-1.51775337424365</v>
      </c>
      <c r="Q134" s="116" t="n">
        <f aca="false">-Q56</f>
        <v>-1.55911974245866</v>
      </c>
      <c r="R134" s="116" t="n">
        <f aca="false">-R56</f>
        <v>-1.60161355103937</v>
      </c>
      <c r="S134" s="116" t="n">
        <f aca="false">-S56</f>
        <v>-1.64526552837295</v>
      </c>
      <c r="T134" s="116" t="n">
        <f aca="false">-T56</f>
        <v>-1.69010724034875</v>
      </c>
      <c r="U134" s="116" t="n">
        <f aca="false">-U56</f>
        <v>-1.73617111318446</v>
      </c>
      <c r="V134" s="116" t="n">
        <f aca="false">-V56</f>
        <v>-1.7834904568743</v>
      </c>
      <c r="W134" s="116" t="n">
        <f aca="false">-W56</f>
        <v>-1.83209948927641</v>
      </c>
      <c r="X134" s="116" t="n">
        <f aca="false">-X56</f>
        <v>-1.88203336085664</v>
      </c>
      <c r="Y134" s="116" t="n">
        <f aca="false">-Y56</f>
        <v>-1.93332818010679</v>
      </c>
      <c r="Z134" s="116" t="n">
        <f aca="false">-Z56</f>
        <v>-1.9860210396556</v>
      </c>
      <c r="AA134" s="116" t="n">
        <f aca="false">-AA56</f>
        <v>-2.04015004309141</v>
      </c>
      <c r="AB134" s="116" t="n">
        <f aca="false">-AB56</f>
        <v>-2.09575433251587</v>
      </c>
      <c r="AC134" s="116" t="n">
        <f aca="false">-AC56</f>
        <v>-2.15287411684858</v>
      </c>
      <c r="AD134" s="116" t="n">
        <f aca="false">-AD56</f>
        <v>-2.21155070090329</v>
      </c>
      <c r="AE134" s="116" t="n">
        <f aca="false">-AE56</f>
        <v>-2.27182651525641</v>
      </c>
      <c r="AF134" s="116" t="n">
        <f aca="false">-AF56</f>
        <v>-2.33374514692973</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-18.72585661315</v>
      </c>
      <c r="E140" s="116" t="n">
        <f aca="false">SUM(E133:E139)</f>
        <v>-18.6715257414024</v>
      </c>
      <c r="F140" s="116" t="n">
        <f aca="false">SUM(F133:F139)</f>
        <v>-17.9053316044843</v>
      </c>
      <c r="G140" s="116" t="n">
        <f aca="false">SUM(G133:G139)</f>
        <v>-17.9188812074649</v>
      </c>
      <c r="H140" s="116" t="n">
        <f aca="false">SUM(H133:H139)</f>
        <v>-17.9302774850647</v>
      </c>
      <c r="I140" s="116" t="n">
        <f aca="false">SUM(I133:I139)</f>
        <v>-17.9396725908155</v>
      </c>
      <c r="J140" s="116" t="n">
        <f aca="false">SUM(J133:J139)</f>
        <v>-17.9472093855934</v>
      </c>
      <c r="K140" s="116" t="n">
        <f aca="false">SUM(K133:K139)</f>
        <v>-17.9530220586423</v>
      </c>
      <c r="L140" s="116" t="n">
        <f aca="false">SUM(L133:L139)</f>
        <v>-17.957236709319</v>
      </c>
      <c r="M140" s="116" t="n">
        <f aca="false">SUM(M133:M139)</f>
        <v>2.64369838142713</v>
      </c>
      <c r="N140" s="116" t="n">
        <f aca="false">SUM(N133:N139)</f>
        <v>2.62356292533079</v>
      </c>
      <c r="O140" s="116" t="n">
        <f aca="false">SUM(O133:O139)</f>
        <v>2.60780500492654</v>
      </c>
      <c r="P140" s="116" t="n">
        <f aca="false">SUM(P133:P139)</f>
        <v>2.61185164811787</v>
      </c>
      <c r="Q140" s="116" t="n">
        <f aca="false">SUM(Q133:Q139)</f>
        <v>2.61375189886109</v>
      </c>
      <c r="R140" s="116" t="n">
        <f aca="false">SUM(R133:R139)</f>
        <v>2.61310944843489</v>
      </c>
      <c r="S140" s="116" t="n">
        <f aca="false">SUM(S133:S139)</f>
        <v>2.60997643546055</v>
      </c>
      <c r="T140" s="116" t="n">
        <f aca="false">SUM(T133:T139)</f>
        <v>2.60439989105468</v>
      </c>
      <c r="U140" s="116" t="n">
        <f aca="false">SUM(U133:U139)</f>
        <v>2.59642201469336</v>
      </c>
      <c r="V140" s="116" t="n">
        <f aca="false">SUM(V133:V139)</f>
        <v>2.58608043068876</v>
      </c>
      <c r="W140" s="116" t="n">
        <f aca="false">SUM(W133:W139)</f>
        <v>2.57340842648387</v>
      </c>
      <c r="X140" s="116" t="n">
        <f aca="false">SUM(X133:X139)</f>
        <v>2.55843517389166</v>
      </c>
      <c r="Y140" s="116" t="n">
        <f aca="false">SUM(Y133:Y139)</f>
        <v>2.54118593433099</v>
      </c>
      <c r="Z140" s="116" t="n">
        <f aca="false">SUM(Z133:Z139)</f>
        <v>2.5216822490421</v>
      </c>
      <c r="AA140" s="116" t="n">
        <f aca="false">SUM(AA133:AA139)</f>
        <v>2.49994211519964</v>
      </c>
      <c r="AB140" s="116" t="n">
        <f aca="false">SUM(AB133:AB139)</f>
        <v>2.47598014878043</v>
      </c>
      <c r="AC140" s="116" t="n">
        <f aca="false">SUM(AC133:AC139)</f>
        <v>2.44980773498612</v>
      </c>
      <c r="AD140" s="116" t="n">
        <f aca="false">SUM(AD133:AD139)</f>
        <v>2.42143316696775</v>
      </c>
      <c r="AE140" s="116" t="n">
        <f aca="false">SUM(AE133:AE139)</f>
        <v>2.39086177354934</v>
      </c>
      <c r="AF140" s="116" t="n">
        <f aca="false">SUM(AF133:AF139)</f>
        <v>2.35809603660084</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-1.67904943027041</v>
      </c>
      <c r="M141" s="116" t="n">
        <f aca="false">-M85*01_Supuestos!$I$126</f>
        <v>-1.34323954421633</v>
      </c>
      <c r="N141" s="116" t="n">
        <f aca="false">-N85*01_Supuestos!$I$126</f>
        <v>-1.12562885404247</v>
      </c>
      <c r="O141" s="116" t="n">
        <f aca="false">-O85*01_Supuestos!$I$126</f>
        <v>-1.16174393551187</v>
      </c>
      <c r="P141" s="116" t="n">
        <f aca="false">-P85*01_Supuestos!$I$126</f>
        <v>-1.19029667280864</v>
      </c>
      <c r="Q141" s="116" t="n">
        <f aca="false">-Q85*01_Supuestos!$I$126</f>
        <v>-1.21908492590235</v>
      </c>
      <c r="R141" s="116" t="n">
        <f aca="false">-R85*01_Supuestos!$I$126</f>
        <v>-1.24779872561578</v>
      </c>
      <c r="S141" s="116" t="n">
        <f aca="false">-S85*01_Supuestos!$I$126</f>
        <v>-1.27646560660693</v>
      </c>
      <c r="T141" s="116" t="n">
        <f aca="false">-T85*01_Supuestos!$I$126</f>
        <v>-1.30513253097194</v>
      </c>
      <c r="U141" s="116" t="n">
        <f aca="false">-U85*01_Supuestos!$I$126</f>
        <v>-1.33384557074663</v>
      </c>
      <c r="V141" s="116" t="n">
        <f aca="false">-V85*01_Supuestos!$I$126</f>
        <v>-1.36265061283885</v>
      </c>
      <c r="W141" s="116" t="n">
        <f aca="false">-W85*01_Supuestos!$I$126</f>
        <v>-1.3911768727553</v>
      </c>
      <c r="X141" s="116" t="n">
        <f aca="false">-X85*01_Supuestos!$I$126</f>
        <v>-1.41947242244866</v>
      </c>
      <c r="Y141" s="116" t="n">
        <f aca="false">-Y85*01_Supuestos!$I$126</f>
        <v>-1.44758573656206</v>
      </c>
      <c r="Z141" s="116" t="n">
        <f aca="false">-Z85*01_Supuestos!$I$126</f>
        <v>-1.47556560929814</v>
      </c>
      <c r="AA141" s="116" t="n">
        <f aca="false">-AA85*01_Supuestos!$I$126</f>
        <v>-1.50346122804331</v>
      </c>
      <c r="AB141" s="116" t="n">
        <f aca="false">-AB85*01_Supuestos!$I$126</f>
        <v>-1.53133133993428</v>
      </c>
      <c r="AC141" s="116" t="n">
        <f aca="false">-AC85*01_Supuestos!$I$126</f>
        <v>-1.55923506965055</v>
      </c>
      <c r="AD141" s="116" t="n">
        <f aca="false">-AD85*01_Supuestos!$I$126</f>
        <v>-1.58723199858404</v>
      </c>
      <c r="AE141" s="116" t="n">
        <f aca="false">-AE85*01_Supuestos!$I$126</f>
        <v>-1.61538224545486</v>
      </c>
      <c r="AF141" s="116" t="n">
        <f aca="false">-AF85*01_Supuestos!$I$126</f>
        <v>-1.64374654506183</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1.13335836543253</v>
      </c>
      <c r="M142" s="116" t="n">
        <f aca="false">M85*01_Supuestos!$I$101</f>
        <v>0.906686692346022</v>
      </c>
      <c r="N142" s="116" t="n">
        <f aca="false">N85*01_Supuestos!$I$101</f>
        <v>0.75979947647867</v>
      </c>
      <c r="O142" s="116" t="n">
        <f aca="false">O85*01_Supuestos!$I$101</f>
        <v>0.784177156470514</v>
      </c>
      <c r="P142" s="116" t="n">
        <f aca="false">P85*01_Supuestos!$I$101</f>
        <v>0.803450254145829</v>
      </c>
      <c r="Q142" s="116" t="n">
        <f aca="false">Q85*01_Supuestos!$I$101</f>
        <v>0.822882324984084</v>
      </c>
      <c r="R142" s="116" t="n">
        <f aca="false">R85*01_Supuestos!$I$101</f>
        <v>0.842264139790649</v>
      </c>
      <c r="S142" s="116" t="n">
        <f aca="false">S85*01_Supuestos!$I$101</f>
        <v>0.861614284459678</v>
      </c>
      <c r="T142" s="116" t="n">
        <f aca="false">T85*01_Supuestos!$I$101</f>
        <v>0.880964458406061</v>
      </c>
      <c r="U142" s="116" t="n">
        <f aca="false">U85*01_Supuestos!$I$101</f>
        <v>0.900345760253976</v>
      </c>
      <c r="V142" s="116" t="n">
        <f aca="false">V85*01_Supuestos!$I$101</f>
        <v>0.919789163666227</v>
      </c>
      <c r="W142" s="116" t="n">
        <f aca="false">W85*01_Supuestos!$I$101</f>
        <v>0.939044389109826</v>
      </c>
      <c r="X142" s="116" t="n">
        <f aca="false">X85*01_Supuestos!$I$101</f>
        <v>0.958143885152842</v>
      </c>
      <c r="Y142" s="116" t="n">
        <f aca="false">Y85*01_Supuestos!$I$101</f>
        <v>0.977120372179393</v>
      </c>
      <c r="Z142" s="116" t="n">
        <f aca="false">Z85*01_Supuestos!$I$101</f>
        <v>0.996006786276242</v>
      </c>
      <c r="AA142" s="116" t="n">
        <f aca="false">AA85*01_Supuestos!$I$101</f>
        <v>1.01483632892923</v>
      </c>
      <c r="AB142" s="116" t="n">
        <f aca="false">AB85*01_Supuestos!$I$101</f>
        <v>1.03364865445564</v>
      </c>
      <c r="AC142" s="116" t="n">
        <f aca="false">AC85*01_Supuestos!$I$101</f>
        <v>1.05248367201412</v>
      </c>
      <c r="AD142" s="116" t="n">
        <f aca="false">AD85*01_Supuestos!$I$101</f>
        <v>1.07138159904422</v>
      </c>
      <c r="AE142" s="116" t="n">
        <f aca="false">AE85*01_Supuestos!$I$101</f>
        <v>1.09038301568203</v>
      </c>
      <c r="AF142" s="116" t="n">
        <f aca="false">AF85*01_Supuestos!$I$101</f>
        <v>1.10952891791673</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0.714999999999993</v>
      </c>
      <c r="D143" s="116" t="n">
        <f aca="false">D41*((1+$C$14)^D$39-1)</f>
        <v>1.46449917899995</v>
      </c>
      <c r="E143" s="116" t="n">
        <f aca="false">E41*((1+$C$14)^E$39-1)</f>
        <v>2.24974689696922</v>
      </c>
      <c r="F143" s="116" t="n">
        <f aca="false">F41*((1+$C$14)^F$39-1)</f>
        <v>3.07203276037086</v>
      </c>
      <c r="G143" s="116" t="n">
        <f aca="false">G41*((1+$C$14)^G$39-1)</f>
        <v>3.93268783849619</v>
      </c>
      <c r="H143" s="116" t="n">
        <f aca="false">H41*((1+$C$14)^H$39-1)</f>
        <v>4.83308591511447</v>
      </c>
      <c r="I143" s="116" t="n">
        <f aca="false">I41*((1+$C$14)^I$39-1)</f>
        <v>5.77464477643511</v>
      </c>
      <c r="J143" s="116" t="n">
        <f aca="false">J41*((1+$C$14)^J$39-1)</f>
        <v>6.758827536408</v>
      </c>
      <c r="K143" s="116" t="n">
        <f aca="false">K41*((1+$C$14)^K$39-1)</f>
        <v>7.78714400041525</v>
      </c>
      <c r="L143" s="116" t="n">
        <f aca="false">L41*((1+$C$14)^L$39-1)</f>
        <v>8.86115206843713</v>
      </c>
      <c r="M143" s="116" t="n">
        <f aca="false">M41*((1+$C$14)^M$39-1)</f>
        <v>9.98245917880512</v>
      </c>
      <c r="N143" s="116" t="n">
        <f aca="false">N41*((1+$C$14)^N$39-1)</f>
        <v>11.1527237936849</v>
      </c>
      <c r="O143" s="116" t="n">
        <f aca="false">O41*((1+$C$14)^O$39-1)</f>
        <v>12.3736569274655</v>
      </c>
      <c r="P143" s="116" t="n">
        <f aca="false">P41*((1+$C$14)^P$39-1)</f>
        <v>13.64702371926</v>
      </c>
      <c r="Q143" s="116" t="n">
        <f aca="false">Q41*((1+$C$14)^Q$39-1)</f>
        <v>14.9746450507617</v>
      </c>
      <c r="R143" s="116" t="n">
        <f aca="false">R41*((1+$C$14)^R$39-1)</f>
        <v>16.3583992107272</v>
      </c>
      <c r="S143" s="116" t="n">
        <f aca="false">S41*((1+$C$14)^S$39-1)</f>
        <v>17.8002236074001</v>
      </c>
      <c r="T143" s="116" t="n">
        <f aca="false">T41*((1+$C$14)^T$39-1)</f>
        <v>19.3021165302197</v>
      </c>
      <c r="U143" s="116" t="n">
        <f aca="false">U41*((1+$C$14)^U$39-1)</f>
        <v>20.866138962198</v>
      </c>
      <c r="V143" s="116" t="n">
        <f aca="false">V41*((1+$C$14)^V$39-1)</f>
        <v>22.4944164443885</v>
      </c>
      <c r="W143" s="116" t="n">
        <f aca="false">W41*((1+$C$14)^W$39-1)</f>
        <v>24.1891409939062</v>
      </c>
      <c r="X143" s="116" t="n">
        <f aca="false">X41*((1+$C$14)^X$39-1)</f>
        <v>25.9525730769998</v>
      </c>
      <c r="Y143" s="116" t="n">
        <f aca="false">Y41*((1+$C$14)^Y$39-1)</f>
        <v>27.7870436387196</v>
      </c>
      <c r="Z143" s="116" t="n">
        <f aca="false">Z41*((1+$C$14)^Z$39-1)</f>
        <v>29.6949561907647</v>
      </c>
      <c r="AA143" s="116" t="n">
        <f aca="false">AA41*((1+$C$14)^AA$39-1)</f>
        <v>31.6787889591392</v>
      </c>
      <c r="AB143" s="116" t="n">
        <f aca="false">AB41*((1+$C$14)^AB$39-1)</f>
        <v>33.7410970932892</v>
      </c>
      <c r="AC143" s="116" t="n">
        <f aca="false">AC41*((1+$C$14)^AC$39-1)</f>
        <v>35.8845149384416</v>
      </c>
      <c r="AD143" s="116" t="n">
        <f aca="false">AD41*((1+$C$14)^AD$39-1)</f>
        <v>38.1117583729091</v>
      </c>
      <c r="AE143" s="116" t="n">
        <f aca="false">AE41*((1+$C$14)^AE$39-1)</f>
        <v>40.425627212179</v>
      </c>
      <c r="AF143" s="116" t="n">
        <f aca="false">AF41*((1+$C$14)^AF$39-1)</f>
        <v>42.8290076816476</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0.150149999999999</v>
      </c>
      <c r="D144" s="116" t="n">
        <f aca="false">$C$33*D143</f>
        <v>0.30754482758999</v>
      </c>
      <c r="E144" s="116" t="n">
        <f aca="false">$C$33*E143</f>
        <v>0.472446848363536</v>
      </c>
      <c r="F144" s="116" t="n">
        <f aca="false">$C$33*F143</f>
        <v>0.645126879677881</v>
      </c>
      <c r="G144" s="116" t="n">
        <f aca="false">$C$33*G143</f>
        <v>0.825864446084199</v>
      </c>
      <c r="H144" s="116" t="n">
        <f aca="false">$C$33*H143</f>
        <v>1.01494804217404</v>
      </c>
      <c r="I144" s="116" t="n">
        <f aca="false">$C$33*I143</f>
        <v>1.21267540305137</v>
      </c>
      <c r="J144" s="116" t="n">
        <f aca="false">$C$33*J143</f>
        <v>1.41935378264568</v>
      </c>
      <c r="K144" s="116" t="n">
        <f aca="false">$C$33*K143</f>
        <v>1.6353002400872</v>
      </c>
      <c r="L144" s="116" t="n">
        <f aca="false">$C$33*L143</f>
        <v>1.8608419343718</v>
      </c>
      <c r="M144" s="116" t="n">
        <f aca="false">$C$33*M143</f>
        <v>2.09631642754907</v>
      </c>
      <c r="N144" s="116" t="n">
        <f aca="false">$C$33*N143</f>
        <v>2.34207199667383</v>
      </c>
      <c r="O144" s="116" t="n">
        <f aca="false">$C$33*O143</f>
        <v>2.59846795476776</v>
      </c>
      <c r="P144" s="116" t="n">
        <f aca="false">$C$33*P143</f>
        <v>2.8658749810446</v>
      </c>
      <c r="Q144" s="116" t="n">
        <f aca="false">$C$33*Q143</f>
        <v>3.14467546065995</v>
      </c>
      <c r="R144" s="116" t="n">
        <f aca="false">$C$33*R143</f>
        <v>3.4352638342527</v>
      </c>
      <c r="S144" s="116" t="n">
        <f aca="false">$C$33*S143</f>
        <v>3.73804695755403</v>
      </c>
      <c r="T144" s="116" t="n">
        <f aca="false">$C$33*T143</f>
        <v>4.05344447134613</v>
      </c>
      <c r="U144" s="116" t="n">
        <f aca="false">$C$33*U143</f>
        <v>4.38188918206157</v>
      </c>
      <c r="V144" s="116" t="n">
        <f aca="false">$C$33*V143</f>
        <v>4.72382745332158</v>
      </c>
      <c r="W144" s="116" t="n">
        <f aca="false">$C$33*W143</f>
        <v>5.0797196087203</v>
      </c>
      <c r="X144" s="116" t="n">
        <f aca="false">$C$33*X143</f>
        <v>5.45004034616997</v>
      </c>
      <c r="Y144" s="116" t="n">
        <f aca="false">$C$33*Y143</f>
        <v>5.83527916413112</v>
      </c>
      <c r="Z144" s="116" t="n">
        <f aca="false">$C$33*Z143</f>
        <v>6.23594080006058</v>
      </c>
      <c r="AA144" s="116" t="n">
        <f aca="false">$C$33*AA143</f>
        <v>6.65254568141924</v>
      </c>
      <c r="AB144" s="116" t="n">
        <f aca="false">$C$33*AB143</f>
        <v>7.08563038959073</v>
      </c>
      <c r="AC144" s="116" t="n">
        <f aca="false">$C$33*AC143</f>
        <v>7.53574813707273</v>
      </c>
      <c r="AD144" s="116" t="n">
        <f aca="false">$C$33*AD143</f>
        <v>8.0034692583109</v>
      </c>
      <c r="AE144" s="116" t="n">
        <f aca="false">$C$33*AE143</f>
        <v>8.4893817145576</v>
      </c>
      <c r="AF144" s="116" t="n">
        <f aca="false">$C$33*AF143</f>
        <v>8.994091613146</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-18.7405090044246</v>
      </c>
      <c r="D148" s="136" t="n">
        <f aca="false">D140+D141+D142+D144+D145+D146+D147</f>
        <v>-18.5700042669342</v>
      </c>
      <c r="E148" s="136" t="n">
        <f aca="false">E140+E141+E142+E144+E145+E146+E147</f>
        <v>-18.4036117968988</v>
      </c>
      <c r="F148" s="136" t="n">
        <f aca="false">F140+F141+F142+F144+F145+F146+F147</f>
        <v>-17.6858582797188</v>
      </c>
      <c r="G148" s="136" t="n">
        <f aca="false">G140+G141+G142+G144+G145+G146+G147</f>
        <v>-17.5384846551627</v>
      </c>
      <c r="H148" s="136" t="n">
        <f aca="false">H140+H141+H142+H144+H145+H146+H147</f>
        <v>-17.380679753405</v>
      </c>
      <c r="I148" s="136" t="n">
        <f aca="false">I140+I141+I142+I144+I145+I146+I147</f>
        <v>-17.2122977474121</v>
      </c>
      <c r="J148" s="136" t="n">
        <f aca="false">J140+J141+J142+J144+J145+J146+J147</f>
        <v>-17.0331740583186</v>
      </c>
      <c r="K148" s="136" t="n">
        <f aca="false">K140+K141+K142+K144+K145+K146+K147</f>
        <v>-16.843125687804</v>
      </c>
      <c r="L148" s="136" t="n">
        <f aca="false">L140+L141+L142+L144+L145+L146+L147</f>
        <v>-16.6420858397851</v>
      </c>
      <c r="M148" s="136" t="n">
        <f aca="false">M140+M141+M142+M144+M145+M146+M147</f>
        <v>4.3034619571059</v>
      </c>
      <c r="N148" s="136" t="n">
        <f aca="false">N140+N141+N142+N144+N145+N146+N147</f>
        <v>4.59980554444081</v>
      </c>
      <c r="O148" s="136" t="n">
        <f aca="false">O140+O141+O142+O144+O145+O146+O147</f>
        <v>4.82870618065293</v>
      </c>
      <c r="P148" s="136" t="n">
        <f aca="false">P140+P141+P142+P144+P145+P146+P147</f>
        <v>5.09088021049966</v>
      </c>
      <c r="Q148" s="136" t="n">
        <f aca="false">Q140+Q141+Q142+Q144+Q145+Q146+Q147</f>
        <v>5.36222475860278</v>
      </c>
      <c r="R148" s="136" t="n">
        <f aca="false">R140+R141+R142+R144+R145+R146+R147</f>
        <v>5.64283869686246</v>
      </c>
      <c r="S148" s="136" t="n">
        <f aca="false">S140+S141+S142+S144+S145+S146+S147</f>
        <v>5.93317207086733</v>
      </c>
      <c r="T148" s="136" t="n">
        <f aca="false">T140+T141+T142+T144+T145+T146+T147</f>
        <v>6.23367628983493</v>
      </c>
      <c r="U148" s="136" t="n">
        <f aca="false">U140+U141+U142+U144+U145+U146+U147</f>
        <v>6.54481138626227</v>
      </c>
      <c r="V148" s="136" t="n">
        <f aca="false">V140+V141+V142+V144+V145+V146+V147</f>
        <v>6.86704643483771</v>
      </c>
      <c r="W148" s="136" t="n">
        <f aca="false">W140+W141+W142+W144+W145+W146+W147</f>
        <v>7.20099555155869</v>
      </c>
      <c r="X148" s="136" t="n">
        <f aca="false">X140+X141+X142+X144+X145+X146+X147</f>
        <v>7.54714698276581</v>
      </c>
      <c r="Y148" s="136" t="n">
        <f aca="false">Y140+Y141+Y142+Y144+Y145+Y146+Y147</f>
        <v>7.90599973407944</v>
      </c>
      <c r="Z148" s="136" t="n">
        <f aca="false">Z140+Z141+Z142+Z144+Z145+Z146+Z147</f>
        <v>8.27806422608079</v>
      </c>
      <c r="AA148" s="136" t="n">
        <f aca="false">AA140+AA141+AA142+AA144+AA145+AA146+AA147</f>
        <v>8.6638628975048</v>
      </c>
      <c r="AB148" s="136" t="n">
        <f aca="false">AB140+AB141+AB142+AB144+AB145+AB146+AB147</f>
        <v>9.06392785289252</v>
      </c>
      <c r="AC148" s="136" t="n">
        <f aca="false">AC140+AC141+AC142+AC144+AC145+AC146+AC147</f>
        <v>9.47880447442241</v>
      </c>
      <c r="AD148" s="136" t="n">
        <f aca="false">AD140+AD141+AD142+AD144+AD145+AD146+AD147</f>
        <v>9.90905202573884</v>
      </c>
      <c r="AE148" s="136" t="n">
        <f aca="false">AE140+AE141+AE142+AE144+AE145+AE146+AE147</f>
        <v>10.3552442583341</v>
      </c>
      <c r="AF148" s="136" t="n">
        <f aca="false">AF140+AF141+AF142+AF144+AF145+AF146+AF147</f>
        <v>10.8179700226017</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-18.7405090044246</v>
      </c>
      <c r="D149" s="138" t="n">
        <f aca="false">C149+D148</f>
        <v>-37.3105132713588</v>
      </c>
      <c r="E149" s="138" t="n">
        <f aca="false">D149+E148</f>
        <v>-55.7141250682576</v>
      </c>
      <c r="F149" s="138" t="n">
        <f aca="false">E149+F148</f>
        <v>-73.3999833479764</v>
      </c>
      <c r="G149" s="138" t="n">
        <f aca="false">F149+G148</f>
        <v>-90.938468003139</v>
      </c>
      <c r="H149" s="138" t="n">
        <f aca="false">G149+H148</f>
        <v>-108.319147756544</v>
      </c>
      <c r="I149" s="138" t="n">
        <f aca="false">H149+I148</f>
        <v>-125.531445503956</v>
      </c>
      <c r="J149" s="138" t="n">
        <f aca="false">I149+J148</f>
        <v>-142.564619562275</v>
      </c>
      <c r="K149" s="138" t="n">
        <f aca="false">J149+K148</f>
        <v>-159.407745250079</v>
      </c>
      <c r="L149" s="138" t="n">
        <f aca="false">K149+L148</f>
        <v>-176.049831089864</v>
      </c>
      <c r="M149" s="138" t="n">
        <f aca="false">L149+M148</f>
        <v>-171.746369132758</v>
      </c>
      <c r="N149" s="138" t="n">
        <f aca="false">M149+N148</f>
        <v>-167.146563588317</v>
      </c>
      <c r="O149" s="138" t="n">
        <f aca="false">N149+O148</f>
        <v>-162.317857407664</v>
      </c>
      <c r="P149" s="138" t="n">
        <f aca="false">O149+P148</f>
        <v>-157.226977197165</v>
      </c>
      <c r="Q149" s="138" t="n">
        <f aca="false">P149+Q148</f>
        <v>-151.864752438562</v>
      </c>
      <c r="R149" s="138" t="n">
        <f aca="false">Q149+R148</f>
        <v>-146.221913741699</v>
      </c>
      <c r="S149" s="138" t="n">
        <f aca="false">R149+S148</f>
        <v>-140.288741670832</v>
      </c>
      <c r="T149" s="138" t="n">
        <f aca="false">S149+T148</f>
        <v>-134.055065380997</v>
      </c>
      <c r="U149" s="138" t="n">
        <f aca="false">T149+U148</f>
        <v>-127.510253994735</v>
      </c>
      <c r="V149" s="138" t="n">
        <f aca="false">U149+V148</f>
        <v>-120.643207559897</v>
      </c>
      <c r="W149" s="138" t="n">
        <f aca="false">V149+W148</f>
        <v>-113.442212008338</v>
      </c>
      <c r="X149" s="138" t="n">
        <f aca="false">W149+X148</f>
        <v>-105.895065025573</v>
      </c>
      <c r="Y149" s="138" t="n">
        <f aca="false">X149+Y148</f>
        <v>-97.9890652914931</v>
      </c>
      <c r="Z149" s="138" t="n">
        <f aca="false">Y149+Z148</f>
        <v>-89.7110010654123</v>
      </c>
      <c r="AA149" s="138" t="n">
        <f aca="false">Z149+AA148</f>
        <v>-81.0471381679075</v>
      </c>
      <c r="AB149" s="138" t="n">
        <f aca="false">AA149+AB148</f>
        <v>-71.983210315015</v>
      </c>
      <c r="AC149" s="138" t="n">
        <f aca="false">AB149+AC148</f>
        <v>-62.5044058405926</v>
      </c>
      <c r="AD149" s="138" t="n">
        <f aca="false">AC149+AD148</f>
        <v>-52.5953538148538</v>
      </c>
      <c r="AE149" s="138" t="n">
        <f aca="false">AD149+AE148</f>
        <v>-42.2401095565197</v>
      </c>
      <c r="AF149" s="138" t="n">
        <f aca="false">AE149+AF148</f>
        <v>-31.4221395339179</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35.1062724027686</v>
      </c>
      <c r="E153" s="116" t="n">
        <f aca="false">E120</f>
        <v>53.079455223907</v>
      </c>
      <c r="F153" s="116" t="n">
        <f aca="false">F120</f>
        <v>61.8768626889668</v>
      </c>
      <c r="G153" s="116" t="n">
        <f aca="false">G120</f>
        <v>72.8710818485565</v>
      </c>
      <c r="H153" s="116" t="n">
        <f aca="false">H120</f>
        <v>85.5296389721001</v>
      </c>
      <c r="I153" s="116" t="n">
        <f aca="false">I120</f>
        <v>99.9444024001686</v>
      </c>
      <c r="J153" s="116" t="n">
        <f aca="false">J120</f>
        <v>115.69230176733</v>
      </c>
      <c r="K153" s="116" t="n">
        <f aca="false">K120</f>
        <v>132.729688256882</v>
      </c>
      <c r="L153" s="116" t="n">
        <f aca="false">L120</f>
        <v>149.806571593554</v>
      </c>
      <c r="M153" s="116" t="n">
        <f aca="false">M120</f>
        <v>149.505279042235</v>
      </c>
      <c r="N153" s="116" t="n">
        <f aca="false">N120</f>
        <v>151.190285421107</v>
      </c>
      <c r="O153" s="116" t="n">
        <f aca="false">O120</f>
        <v>153.215927825828</v>
      </c>
      <c r="P153" s="116" t="n">
        <f aca="false">P120</f>
        <v>154.575970834856</v>
      </c>
      <c r="Q153" s="116" t="n">
        <f aca="false">Q120</f>
        <v>155.787495340702</v>
      </c>
      <c r="R153" s="116" t="n">
        <f aca="false">R120</f>
        <v>157.044574198891</v>
      </c>
      <c r="S153" s="116" t="n">
        <f aca="false">S120</f>
        <v>158.342544463178</v>
      </c>
      <c r="T153" s="116" t="n">
        <f aca="false">T120</f>
        <v>159.682475492505</v>
      </c>
      <c r="U153" s="116" t="n">
        <f aca="false">U120</f>
        <v>161.065185367178</v>
      </c>
      <c r="V153" s="116" t="n">
        <f aca="false">V120</f>
        <v>162.491511089125</v>
      </c>
      <c r="W153" s="116" t="n">
        <f aca="false">W120</f>
        <v>163.964587106103</v>
      </c>
      <c r="X153" s="116" t="n">
        <f aca="false">X120</f>
        <v>165.485868639549</v>
      </c>
      <c r="Y153" s="116" t="n">
        <f aca="false">Y120</f>
        <v>167.056599154497</v>
      </c>
      <c r="Z153" s="116" t="n">
        <f aca="false">Z120</f>
        <v>168.677731597503</v>
      </c>
      <c r="AA153" s="116" t="n">
        <f aca="false">AA120</f>
        <v>170.350252360526</v>
      </c>
      <c r="AB153" s="116" t="n">
        <f aca="false">AB120</f>
        <v>172.075132438268</v>
      </c>
      <c r="AC153" s="116" t="n">
        <f aca="false">AC120</f>
        <v>173.853365902096</v>
      </c>
      <c r="AD153" s="116" t="n">
        <f aca="false">AD120</f>
        <v>175.685975846516</v>
      </c>
      <c r="AE153" s="116" t="n">
        <f aca="false">AE120</f>
        <v>177.574022019969</v>
      </c>
      <c r="AF153" s="116" t="n">
        <f aca="false">AF120</f>
        <v>179.518601338502</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8.74504911599173</v>
      </c>
      <c r="M154" s="116" t="n">
        <f aca="false">M104</f>
        <v>9.06065202075053</v>
      </c>
      <c r="N154" s="116" t="n">
        <f aca="false">N104</f>
        <v>9.38024045035396</v>
      </c>
      <c r="O154" s="116" t="n">
        <f aca="false">O104</f>
        <v>9.68119946259894</v>
      </c>
      <c r="P154" s="116" t="n">
        <f aca="false">P104</f>
        <v>9.91913894007196</v>
      </c>
      <c r="Q154" s="116" t="n">
        <f aca="false">Q104</f>
        <v>10.1590410491862</v>
      </c>
      <c r="R154" s="116" t="n">
        <f aca="false">R104</f>
        <v>10.3983227134648</v>
      </c>
      <c r="S154" s="116" t="n">
        <f aca="false">S104</f>
        <v>10.6372133883911</v>
      </c>
      <c r="T154" s="116" t="n">
        <f aca="false">T104</f>
        <v>10.8761044247662</v>
      </c>
      <c r="U154" s="116" t="n">
        <f aca="false">U104</f>
        <v>11.1153797562219</v>
      </c>
      <c r="V154" s="116" t="n">
        <f aca="false">V104</f>
        <v>11.3554217736571</v>
      </c>
      <c r="W154" s="116" t="n">
        <f aca="false">W104</f>
        <v>11.5931406062941</v>
      </c>
      <c r="X154" s="116" t="n">
        <f aca="false">X104</f>
        <v>11.8289368537388</v>
      </c>
      <c r="Y154" s="116" t="n">
        <f aca="false">Y104</f>
        <v>12.0632144713505</v>
      </c>
      <c r="Z154" s="116" t="n">
        <f aca="false">Z104</f>
        <v>12.2963800774845</v>
      </c>
      <c r="AA154" s="116" t="n">
        <f aca="false">AA104</f>
        <v>12.5288435670276</v>
      </c>
      <c r="AB154" s="116" t="n">
        <f aca="false">AB104</f>
        <v>12.7610944994523</v>
      </c>
      <c r="AC154" s="116" t="n">
        <f aca="false">AC104</f>
        <v>12.9936255804213</v>
      </c>
      <c r="AD154" s="116" t="n">
        <f aca="false">AD104</f>
        <v>13.2269333215336</v>
      </c>
      <c r="AE154" s="116" t="n">
        <f aca="false">AE104</f>
        <v>13.4615187121238</v>
      </c>
      <c r="AF154" s="116" t="n">
        <f aca="false">AF104</f>
        <v>13.6978878755152</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89.3267245539904</v>
      </c>
      <c r="L155" s="116" t="n">
        <f aca="false">L70+L121-L227</f>
        <v>98.1157960655903</v>
      </c>
      <c r="M155" s="116" t="n">
        <f aca="false">M70+M121-M227</f>
        <v>104.018341234087</v>
      </c>
      <c r="N155" s="116" t="n">
        <f aca="false">N70+N121-N227</f>
        <v>110.054241919747</v>
      </c>
      <c r="O155" s="116" t="n">
        <f aca="false">O70+O121-O227</f>
        <v>116.22780461885</v>
      </c>
      <c r="P155" s="116" t="n">
        <f aca="false">P70+P121-P227</f>
        <v>122.353066770129</v>
      </c>
      <c r="Q155" s="116" t="n">
        <f aca="false">Q70+Q121-Q227</f>
        <v>128.420392402716</v>
      </c>
      <c r="R155" s="116" t="n">
        <f aca="false">R70+R121-R227</f>
        <v>134.441791988335</v>
      </c>
      <c r="S155" s="116" t="n">
        <f aca="false">S70+S121-S227</f>
        <v>140.435666923862</v>
      </c>
      <c r="T155" s="116" t="n">
        <f aca="false">T70+T121-T227</f>
        <v>146.420036632719</v>
      </c>
      <c r="U155" s="116" t="n">
        <f aca="false">U70+U121-U227</f>
        <v>152.41277307595</v>
      </c>
      <c r="V155" s="116" t="n">
        <f aca="false">V70+V121-V227</f>
        <v>158.431628425307</v>
      </c>
      <c r="W155" s="116" t="n">
        <f aca="false">W70+W121-W227</f>
        <v>164.494440532463</v>
      </c>
      <c r="X155" s="116" t="n">
        <f aca="false">X70+X121-X227</f>
        <v>170.619082348061</v>
      </c>
      <c r="Y155" s="116" t="n">
        <f aca="false">Y70+Y121-Y227</f>
        <v>176.823433225534</v>
      </c>
      <c r="Z155" s="116" t="n">
        <f aca="false">Z70+Z121-Z227</f>
        <v>183.125402411805</v>
      </c>
      <c r="AA155" s="116" t="n">
        <f aca="false">AA70+AA121-AA227</f>
        <v>189.542948223793</v>
      </c>
      <c r="AB155" s="116" t="n">
        <f aca="false">AB70+AB121-AB227</f>
        <v>196.094103475229</v>
      </c>
      <c r="AC155" s="116" t="n">
        <f aca="false">AC70+AC121-AC227</f>
        <v>202.797001801972</v>
      </c>
      <c r="AD155" s="116" t="n">
        <f aca="false">AD70+AD121-AD227</f>
        <v>209.669904433276</v>
      </c>
      <c r="AE155" s="116" t="n">
        <f aca="false">AE70+AE121-AE227</f>
        <v>216.731226306716</v>
      </c>
      <c r="AF155" s="116" t="n">
        <f aca="false">AF70+AF121-AF227</f>
        <v>223.999561672097</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79.95786565556</v>
      </c>
      <c r="E156" s="136" t="n">
        <f aca="false">SUM(E152:E155)+E187</f>
        <v>120.998453406298</v>
      </c>
      <c r="F156" s="136" t="n">
        <f aca="false">SUM(F152:F155)+F187</f>
        <v>209.03255280708</v>
      </c>
      <c r="G156" s="136" t="n">
        <f aca="false">SUM(G152:G155)+G187</f>
        <v>251.056101244349</v>
      </c>
      <c r="H156" s="136" t="n">
        <f aca="false">SUM(H152:H155)+H187</f>
        <v>286.77511256783</v>
      </c>
      <c r="I156" s="136" t="n">
        <f aca="false">SUM(I152:I155)+I187</f>
        <v>324.640631772061</v>
      </c>
      <c r="J156" s="136" t="n">
        <f aca="false">SUM(J152:J155)+J187</f>
        <v>364.238284524064</v>
      </c>
      <c r="K156" s="136" t="n">
        <f aca="false">SUM(K152:K155)+K187</f>
        <v>405.619428550285</v>
      </c>
      <c r="L156" s="136" t="n">
        <f aca="false">SUM(L152:L155)+L187</f>
        <v>448.838789597043</v>
      </c>
      <c r="M156" s="136" t="n">
        <f aca="false">SUM(M152:M155)+M187</f>
        <v>469.98197152118</v>
      </c>
      <c r="N156" s="136" t="n">
        <f aca="false">SUM(N152:N155)+N187</f>
        <v>482.79261409747</v>
      </c>
      <c r="O156" s="136" t="n">
        <f aca="false">SUM(O152:O155)+O187</f>
        <v>496.172638678583</v>
      </c>
      <c r="P156" s="136" t="n">
        <f aca="false">SUM(P152:P155)+P187</f>
        <v>508.887980572102</v>
      </c>
      <c r="Q156" s="136" t="n">
        <f aca="false">SUM(Q152:Q155)+Q187</f>
        <v>521.513648312272</v>
      </c>
      <c r="R156" s="136" t="n">
        <f aca="false">SUM(R152:R155)+R187</f>
        <v>534.25578296931</v>
      </c>
      <c r="S156" s="136" t="n">
        <f aca="false">SUM(S152:S155)+S187</f>
        <v>547.131054007629</v>
      </c>
      <c r="T156" s="136" t="n">
        <f aca="false">SUM(T152:T155)+T187</f>
        <v>560.161705254528</v>
      </c>
      <c r="U156" s="136" t="n">
        <f aca="false">SUM(U152:U155)+U187</f>
        <v>573.369637944093</v>
      </c>
      <c r="V156" s="136" t="n">
        <f aca="false">SUM(V152:V155)+V187</f>
        <v>586.776715926961</v>
      </c>
      <c r="W156" s="136" t="n">
        <f aca="false">SUM(W152:W155)+W187</f>
        <v>600.403780440426</v>
      </c>
      <c r="X156" s="136" t="n">
        <f aca="false">SUM(X152:X155)+X187</f>
        <v>614.273587117414</v>
      </c>
      <c r="Y156" s="136" t="n">
        <f aca="false">SUM(Y152:Y155)+Y187</f>
        <v>628.408759210795</v>
      </c>
      <c r="Z156" s="136" t="n">
        <f aca="false">SUM(Z152:Z155)+Z187</f>
        <v>642.831733230473</v>
      </c>
      <c r="AA156" s="136" t="n">
        <f aca="false">SUM(AA152:AA155)+AA187</f>
        <v>657.565104335331</v>
      </c>
      <c r="AB156" s="136" t="n">
        <f aca="false">SUM(AB152:AB155)+AB187</f>
        <v>672.631680981166</v>
      </c>
      <c r="AC156" s="136" t="n">
        <f aca="false">SUM(AC152:AC155)+AC187</f>
        <v>688.054474915774</v>
      </c>
      <c r="AD156" s="136" t="n">
        <f aca="false">SUM(AD152:AD155)+AD187</f>
        <v>703.85673631013</v>
      </c>
      <c r="AE156" s="136" t="n">
        <f aca="false">SUM(AE152:AE155)+AE187</f>
        <v>720.061989969915</v>
      </c>
      <c r="AF156" s="136" t="n">
        <f aca="false">SUM(AF152:AF155)+AF187</f>
        <v>736.694063944637</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336.883465390406</v>
      </c>
      <c r="L157" s="116" t="n">
        <f aca="false">L69+L80+L121</f>
        <v>351.267659582722</v>
      </c>
      <c r="M157" s="116" t="n">
        <f aca="false">M69+M80+M121</f>
        <v>365.055722230363</v>
      </c>
      <c r="N157" s="116" t="n">
        <f aca="false">N69+N80+N121</f>
        <v>377.921223914049</v>
      </c>
      <c r="O157" s="116" t="n">
        <f aca="false">O69+O80+O121</f>
        <v>390.045003434039</v>
      </c>
      <c r="P157" s="116" t="n">
        <f aca="false">P69+P80+P121</f>
        <v>399.461171393912</v>
      </c>
      <c r="Q157" s="116" t="n">
        <f aca="false">Q69+Q80+Q121</f>
        <v>408.945325062579</v>
      </c>
      <c r="R157" s="116" t="n">
        <f aca="false">R69+R80+R121</f>
        <v>418.415771501234</v>
      </c>
      <c r="S157" s="116" t="n">
        <f aca="false">S69+S80+S121</f>
        <v>427.888063178897</v>
      </c>
      <c r="T157" s="116" t="n">
        <f aca="false">T69+T80+T121</f>
        <v>437.37745511641</v>
      </c>
      <c r="U157" s="116" t="n">
        <f aca="false">U69+U80+U121</f>
        <v>446.899139787255</v>
      </c>
      <c r="V157" s="116" t="n">
        <f aca="false">V69+V80+V121</f>
        <v>456.468275247341</v>
      </c>
      <c r="W157" s="116" t="n">
        <f aca="false">W69+W80+W121</f>
        <v>465.961334163421</v>
      </c>
      <c r="X157" s="116" t="n">
        <f aca="false">X69+X80+X121</f>
        <v>475.394357035078</v>
      </c>
      <c r="Y157" s="116" t="n">
        <f aca="false">Y69+Y80+Y121</f>
        <v>484.783489483712</v>
      </c>
      <c r="Z157" s="116" t="n">
        <f aca="false">Z69+Z80+Z121</f>
        <v>494.145006718232</v>
      </c>
      <c r="AA157" s="116" t="n">
        <f aca="false">AA69+AA80+AA121</f>
        <v>503.495333751069</v>
      </c>
      <c r="AB157" s="116" t="n">
        <f aca="false">AB69+AB80+AB121</f>
        <v>512.85410715909</v>
      </c>
      <c r="AC157" s="116" t="n">
        <f aca="false">AC69+AC80+AC121</f>
        <v>522.241115234354</v>
      </c>
      <c r="AD157" s="116" t="n">
        <f aca="false">AD69+AD80+AD121</f>
        <v>531.67632480766</v>
      </c>
      <c r="AE157" s="116" t="n">
        <f aca="false">AE69+AE80+AE121</f>
        <v>541.179907451493</v>
      </c>
      <c r="AF157" s="116" t="n">
        <f aca="false">AF69+AF80+AF121</f>
        <v>550.772265206129</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187.652378758606</v>
      </c>
      <c r="M159" s="116" t="n">
        <f aca="false">M72</f>
        <v>201.492891786311</v>
      </c>
      <c r="N159" s="116" t="n">
        <f aca="false">N72</f>
        <v>206.829349576801</v>
      </c>
      <c r="O159" s="116" t="n">
        <f aca="false">O72</f>
        <v>212.558326925522</v>
      </c>
      <c r="P159" s="116" t="n">
        <f aca="false">P72</f>
        <v>217.63065329352</v>
      </c>
      <c r="Q159" s="116" t="n">
        <f aca="false">Q72</f>
        <v>222.629875658643</v>
      </c>
      <c r="R159" s="116" t="n">
        <f aca="false">R72</f>
        <v>227.748997179024</v>
      </c>
      <c r="S159" s="116" t="n">
        <f aca="false">S72</f>
        <v>232.985127753442</v>
      </c>
      <c r="T159" s="116" t="n">
        <f aca="false">T72</f>
        <v>238.341302051136</v>
      </c>
      <c r="U159" s="116" t="n">
        <f aca="false">U72</f>
        <v>243.820327184285</v>
      </c>
      <c r="V159" s="116" t="n">
        <f aca="false">V72</f>
        <v>249.425059360922</v>
      </c>
      <c r="W159" s="116" t="n">
        <f aca="false">W72</f>
        <v>255.157212277955</v>
      </c>
      <c r="X159" s="116" t="n">
        <f aca="false">X72</f>
        <v>261.020343778487</v>
      </c>
      <c r="Y159" s="116" t="n">
        <f aca="false">Y72</f>
        <v>267.017836814289</v>
      </c>
      <c r="Z159" s="116" t="n">
        <f aca="false">Z72</f>
        <v>273.15282060804</v>
      </c>
      <c r="AA159" s="116" t="n">
        <f aca="false">AA72</f>
        <v>279.428495857819</v>
      </c>
      <c r="AB159" s="116" t="n">
        <f aca="false">AB72</f>
        <v>285.848162919702</v>
      </c>
      <c r="AC159" s="116" t="n">
        <f aca="false">AC72</f>
        <v>292.415184410719</v>
      </c>
      <c r="AD159" s="116" t="n">
        <f aca="false">AD72</f>
        <v>299.132992472867</v>
      </c>
      <c r="AE159" s="116" t="n">
        <f aca="false">AE72</f>
        <v>306.005097743956</v>
      </c>
      <c r="AF159" s="116" t="n">
        <f aca="false">AF72</f>
        <v>313.035091206367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507.967503268409</v>
      </c>
      <c r="L160" s="136" t="n">
        <f aca="false">SUM(L157:L159)</f>
        <v>538.920038341328</v>
      </c>
      <c r="M160" s="136" t="n">
        <f aca="false">SUM(M157:M159)</f>
        <v>566.548614016674</v>
      </c>
      <c r="N160" s="136" t="n">
        <f aca="false">SUM(N157:N159)</f>
        <v>584.750573490851</v>
      </c>
      <c r="O160" s="136" t="n">
        <f aca="false">SUM(O157:O159)</f>
        <v>602.603330359561</v>
      </c>
      <c r="P160" s="136" t="n">
        <f aca="false">SUM(P157:P159)</f>
        <v>617.091824687432</v>
      </c>
      <c r="Q160" s="136" t="n">
        <f aca="false">SUM(Q157:Q159)</f>
        <v>631.575200721223</v>
      </c>
      <c r="R160" s="136" t="n">
        <f aca="false">SUM(R157:R159)</f>
        <v>646.164768680258</v>
      </c>
      <c r="S160" s="136" t="n">
        <f aca="false">SUM(S157:S159)</f>
        <v>660.873190932339</v>
      </c>
      <c r="T160" s="136" t="n">
        <f aca="false">SUM(T157:T159)</f>
        <v>675.718757167546</v>
      </c>
      <c r="U160" s="136" t="n">
        <f aca="false">SUM(U157:U159)</f>
        <v>690.71946697154</v>
      </c>
      <c r="V160" s="136" t="n">
        <f aca="false">SUM(V157:V159)</f>
        <v>705.893334608262</v>
      </c>
      <c r="W160" s="136" t="n">
        <f aca="false">SUM(W157:W159)</f>
        <v>721.118546441375</v>
      </c>
      <c r="X160" s="136" t="n">
        <f aca="false">SUM(X157:X159)</f>
        <v>736.414700813564</v>
      </c>
      <c r="Y160" s="136" t="n">
        <f aca="false">SUM(Y157:Y159)</f>
        <v>751.801326298001</v>
      </c>
      <c r="Z160" s="136" t="n">
        <f aca="false">SUM(Z157:Z159)</f>
        <v>767.297827326271</v>
      </c>
      <c r="AA160" s="136" t="n">
        <f aca="false">SUM(AA157:AA159)</f>
        <v>782.923829608888</v>
      </c>
      <c r="AB160" s="136" t="n">
        <f aca="false">SUM(AB157:AB159)</f>
        <v>798.702270078792</v>
      </c>
      <c r="AC160" s="136" t="n">
        <f aca="false">SUM(AC157:AC159)</f>
        <v>814.656299645073</v>
      </c>
      <c r="AD160" s="136" t="n">
        <f aca="false">SUM(AD157:AD159)</f>
        <v>830.809317280528</v>
      </c>
      <c r="AE160" s="136" t="n">
        <f aca="false">SUM(AE157:AE159)</f>
        <v>847.18500519545</v>
      </c>
      <c r="AF160" s="136" t="n">
        <f aca="false">SUM(AF157:AF159)</f>
        <v>863.807356412496</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-58.2779755721606</v>
      </c>
      <c r="E161" s="138" t="n">
        <f aca="false">E156-E160</f>
        <v>-72.8145849714785</v>
      </c>
      <c r="F161" s="138" t="n">
        <f aca="false">F156-F160</f>
        <v>-150.523489326504</v>
      </c>
      <c r="G161" s="138" t="n">
        <f aca="false">G156-G160</f>
        <v>-143.42725062885</v>
      </c>
      <c r="H161" s="138" t="n">
        <f aca="false">H156-H160</f>
        <v>-135.105017541343</v>
      </c>
      <c r="I161" s="138" t="n">
        <f aca="false">I156-I160</f>
        <v>-125.505499048839</v>
      </c>
      <c r="J161" s="138" t="n">
        <f aca="false">J156-J160</f>
        <v>-114.572239620286</v>
      </c>
      <c r="K161" s="138" t="n">
        <f aca="false">K156-K160</f>
        <v>-102.348074718123</v>
      </c>
      <c r="L161" s="138" t="n">
        <f aca="false">L156-L160</f>
        <v>-90.081248744285</v>
      </c>
      <c r="M161" s="138" t="n">
        <f aca="false">M156-M160</f>
        <v>-96.5666424954936</v>
      </c>
      <c r="N161" s="138" t="n">
        <f aca="false">N156-N160</f>
        <v>-101.957959393381</v>
      </c>
      <c r="O161" s="138" t="n">
        <f aca="false">O156-O160</f>
        <v>-106.430691680978</v>
      </c>
      <c r="P161" s="138" t="n">
        <f aca="false">P156-P160</f>
        <v>-108.203844115329</v>
      </c>
      <c r="Q161" s="138" t="n">
        <f aca="false">Q156-Q160</f>
        <v>-110.061552408951</v>
      </c>
      <c r="R161" s="138" t="n">
        <f aca="false">R156-R160</f>
        <v>-111.908985710948</v>
      </c>
      <c r="S161" s="138" t="n">
        <f aca="false">S156-S160</f>
        <v>-113.74213692471</v>
      </c>
      <c r="T161" s="138" t="n">
        <f aca="false">T156-T160</f>
        <v>-115.557051913017</v>
      </c>
      <c r="U161" s="138" t="n">
        <f aca="false">U156-U160</f>
        <v>-117.349829027447</v>
      </c>
      <c r="V161" s="138" t="n">
        <f aca="false">V156-V160</f>
        <v>-119.116618681301</v>
      </c>
      <c r="W161" s="138" t="n">
        <f aca="false">W156-W160</f>
        <v>-120.714766000949</v>
      </c>
      <c r="X161" s="138" t="n">
        <f aca="false">X156-X160</f>
        <v>-122.141113696151</v>
      </c>
      <c r="Y161" s="138" t="n">
        <f aca="false">Y156-Y160</f>
        <v>-123.392567087206</v>
      </c>
      <c r="Z161" s="138" t="n">
        <f aca="false">Z156-Z160</f>
        <v>-124.466094095799</v>
      </c>
      <c r="AA161" s="138" t="n">
        <f aca="false">AA156-AA160</f>
        <v>-125.358725273557</v>
      </c>
      <c r="AB161" s="138" t="n">
        <f aca="false">AB156-AB160</f>
        <v>-126.070589097626</v>
      </c>
      <c r="AC161" s="138" t="n">
        <f aca="false">AC156-AC160</f>
        <v>-126.601824729298</v>
      </c>
      <c r="AD161" s="138" t="n">
        <f aca="false">AD156-AD160</f>
        <v>-126.952580970397</v>
      </c>
      <c r="AE161" s="138" t="n">
        <f aca="false">AE156-AE160</f>
        <v>-127.123015225534</v>
      </c>
      <c r="AF161" s="138" t="n">
        <f aca="false">AF156-AF160</f>
        <v>-127.113292467859</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-58.2779755721606</v>
      </c>
      <c r="E163" s="116" t="n">
        <f aca="false">D163+E53+E56+E58+E118+E119+E60+E113+E101-E115-E162</f>
        <v>-72.8145849714785</v>
      </c>
      <c r="F163" s="116" t="n">
        <f aca="false">E163+F53+F56+F58+F118+F119+F60+F113+F101-F115-F162</f>
        <v>-150.523489326504</v>
      </c>
      <c r="G163" s="116" t="n">
        <f aca="false">F163+G53+G56+G58+G118+G119+G60+G113+G101-G115-G162</f>
        <v>-143.42725062885</v>
      </c>
      <c r="H163" s="116" t="n">
        <f aca="false">G163+H53+H56+H58+H118+H119+H60+H113+H101-H115-H162</f>
        <v>-135.105017541343</v>
      </c>
      <c r="I163" s="116" t="n">
        <f aca="false">H163+I53+I56+I58+I118+I119+I60+I113+I101-I115-I162</f>
        <v>-125.505499048839</v>
      </c>
      <c r="J163" s="116" t="n">
        <f aca="false">I163+J53+J56+J58+J118+J119+J60+J113+J101-J115-J162</f>
        <v>-114.572239620286</v>
      </c>
      <c r="K163" s="116" t="n">
        <f aca="false">J163+K53+K56+K58+K118+K119+K60+K113+K101-K115-K162</f>
        <v>-102.348074718123</v>
      </c>
      <c r="L163" s="116" t="n">
        <f aca="false">K163+L53+L56+L58+L118+L119+L60+L113+L101-L115-L162</f>
        <v>-90.0812487442851</v>
      </c>
      <c r="M163" s="116" t="n">
        <f aca="false">L163+M53+M56+M58+M118+M119+M60+M113+M101-M115-M162</f>
        <v>-96.5666424954936</v>
      </c>
      <c r="N163" s="116" t="n">
        <f aca="false">M163+N53+N56+N58+N118+N119+N60+N113+N101-N115-N162</f>
        <v>-101.957959393381</v>
      </c>
      <c r="O163" s="116" t="n">
        <f aca="false">N163+O53+O56+O58+O118+O119+O60+O113+O101-O115-O162</f>
        <v>-106.430691680978</v>
      </c>
      <c r="P163" s="116" t="n">
        <f aca="false">O163+P53+P56+P58+P118+P119+P60+P113+P101-P115-P162</f>
        <v>-108.20384411533</v>
      </c>
      <c r="Q163" s="116" t="n">
        <f aca="false">P163+Q53+Q56+Q58+Q118+Q119+Q60+Q113+Q101-Q115-Q162</f>
        <v>-110.061552408951</v>
      </c>
      <c r="R163" s="116" t="n">
        <f aca="false">Q163+R53+R56+R58+R118+R119+R60+R113+R101-R115-R162</f>
        <v>-111.908985710948</v>
      </c>
      <c r="S163" s="116" t="n">
        <f aca="false">R163+S53+S56+S58+S118+S119+S60+S113+S101-S115-S162</f>
        <v>-113.74213692471</v>
      </c>
      <c r="T163" s="116" t="n">
        <f aca="false">S163+T53+T56+T58+T118+T119+T60+T113+T101-T115-T162</f>
        <v>-115.557051913018</v>
      </c>
      <c r="U163" s="116" t="n">
        <f aca="false">T163+U53+U56+U58+U118+U119+U60+U113+U101-U115-U162</f>
        <v>-117.349829027447</v>
      </c>
      <c r="V163" s="116" t="n">
        <f aca="false">U163+V53+V56+V58+V118+V119+V60+V113+V101-V115-V162</f>
        <v>-119.116618681301</v>
      </c>
      <c r="W163" s="116" t="n">
        <f aca="false">V163+W53+W56+W58+W118+W119+W60+W113+W101-W115-W162</f>
        <v>-120.714766000949</v>
      </c>
      <c r="X163" s="116" t="n">
        <f aca="false">W163+X53+X56+X58+X118+X119+X60+X113+X101-X115-X162</f>
        <v>-122.141113696151</v>
      </c>
      <c r="Y163" s="116" t="n">
        <f aca="false">X163+Y53+Y56+Y58+Y118+Y119+Y60+Y113+Y101-Y115-Y162</f>
        <v>-123.392567087206</v>
      </c>
      <c r="Z163" s="116" t="n">
        <f aca="false">Y163+Z53+Z56+Z58+Z118+Z119+Z60+Z113+Z101-Z115-Z162</f>
        <v>-124.466094095799</v>
      </c>
      <c r="AA163" s="116" t="n">
        <f aca="false">Z163+AA53+AA56+AA58+AA118+AA119+AA60+AA113+AA101-AA115-AA162</f>
        <v>-125.358725273557</v>
      </c>
      <c r="AB163" s="116" t="n">
        <f aca="false">AA163+AB53+AB56+AB58+AB118+AB119+AB60+AB113+AB101-AB115-AB162</f>
        <v>-126.070589097626</v>
      </c>
      <c r="AC163" s="116" t="n">
        <f aca="false">AB163+AC53+AC56+AC58+AC118+AC119+AC60+AC113+AC101-AC115-AC162</f>
        <v>-126.601824729298</v>
      </c>
      <c r="AD163" s="116" t="n">
        <f aca="false">AC163+AD53+AD56+AD58+AD118+AD119+AD60+AD113+AD101-AD115-AD162</f>
        <v>-126.952580970397</v>
      </c>
      <c r="AE163" s="116" t="n">
        <f aca="false">AD163+AE53+AE56+AE58+AE118+AE119+AE60+AE113+AE101-AE115-AE162</f>
        <v>-127.123015225535</v>
      </c>
      <c r="AF163" s="116" t="n">
        <f aca="false">AE163+AF53+AF56+AF58+AF118+AF119+AF60+AF113+AF101-AF115-AF162</f>
        <v>-127.113292467859</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-18.7405090044246</v>
      </c>
      <c r="D192" s="142" t="n">
        <f aca="false">D149-SUM($C$191:D191)</f>
        <v>-37.8667132713588</v>
      </c>
      <c r="E192" s="142" t="n">
        <f aca="false">E149-SUM($C$191:E191)</f>
        <v>-57.3827250682576</v>
      </c>
      <c r="F192" s="142" t="n">
        <f aca="false">F149-SUM($C$191:F191)</f>
        <v>-76.7371833479764</v>
      </c>
      <c r="G192" s="142" t="n">
        <f aca="false">G149-SUM($C$191:G191)</f>
        <v>-96.500468003139</v>
      </c>
      <c r="H192" s="142" t="n">
        <f aca="false">H149-SUM($C$191:H191)</f>
        <v>-116.662147756544</v>
      </c>
      <c r="I192" s="142" t="n">
        <f aca="false">I149-SUM($C$191:I191)</f>
        <v>-137.211645503956</v>
      </c>
      <c r="J192" s="142" t="n">
        <f aca="false">J149-SUM($C$191:J191)</f>
        <v>-158.138219562275</v>
      </c>
      <c r="K192" s="142" t="n">
        <f aca="false">K149-SUM($C$191:K191)</f>
        <v>-179.430945250079</v>
      </c>
      <c r="L192" s="142" t="n">
        <f aca="false">L149-SUM($C$191:L191)</f>
        <v>-201.078831089864</v>
      </c>
      <c r="M192" s="142" t="n">
        <f aca="false">M149-SUM($C$191:M191)</f>
        <v>-202.337369132758</v>
      </c>
      <c r="N192" s="142" t="n">
        <f aca="false">N149-SUM($C$191:N191)</f>
        <v>-203.299563588317</v>
      </c>
      <c r="O192" s="142" t="n">
        <f aca="false">O149-SUM($C$191:O191)</f>
        <v>-204.032857407664</v>
      </c>
      <c r="P192" s="142" t="n">
        <f aca="false">P149-SUM($C$191:P191)</f>
        <v>-204.503977197165</v>
      </c>
      <c r="Q192" s="142" t="n">
        <f aca="false">Q149-SUM($C$191:Q191)</f>
        <v>-204.703752438562</v>
      </c>
      <c r="R192" s="142" t="n">
        <f aca="false">R149-SUM($C$191:R191)</f>
        <v>-204.622913741699</v>
      </c>
      <c r="S192" s="142" t="n">
        <f aca="false">S149-SUM($C$191:S191)</f>
        <v>-204.251741670832</v>
      </c>
      <c r="T192" s="142" t="n">
        <f aca="false">T149-SUM($C$191:T191)</f>
        <v>-203.580065380997</v>
      </c>
      <c r="U192" s="142" t="n">
        <f aca="false">U149-SUM($C$191:U191)</f>
        <v>-202.597253994735</v>
      </c>
      <c r="V192" s="142" t="n">
        <f aca="false">V149-SUM($C$191:V191)</f>
        <v>-201.292207559897</v>
      </c>
      <c r="W192" s="142" t="n">
        <f aca="false">W149-SUM($C$191:W191)</f>
        <v>-199.653212008338</v>
      </c>
      <c r="X192" s="142" t="n">
        <f aca="false">X149-SUM($C$191:X191)</f>
        <v>-197.668065025573</v>
      </c>
      <c r="Y192" s="142" t="n">
        <f aca="false">Y149-SUM($C$191:Y191)</f>
        <v>-195.324065291493</v>
      </c>
      <c r="Z192" s="142" t="n">
        <f aca="false">Z149-SUM($C$191:Z191)</f>
        <v>-192.608001065412</v>
      </c>
      <c r="AA192" s="142" t="n">
        <f aca="false">AA149-SUM($C$191:AA191)</f>
        <v>-189.506138167908</v>
      </c>
      <c r="AB192" s="142" t="n">
        <f aca="false">AB149-SUM($C$191:AB191)</f>
        <v>-186.004210315015</v>
      </c>
      <c r="AC192" s="142" t="n">
        <f aca="false">AC149-SUM($C$191:AC191)</f>
        <v>-182.087405840593</v>
      </c>
      <c r="AD192" s="142" t="n">
        <f aca="false">AD149-SUM($C$191:AD191)</f>
        <v>-177.740353814854</v>
      </c>
      <c r="AE192" s="142" t="n">
        <f aca="false">AE149-SUM($C$191:AE191)</f>
        <v>-172.94710955652</v>
      </c>
      <c r="AF192" s="142" t="n">
        <f aca="false">AF149-SUM($C$191:AF191)</f>
        <v>-167.691139533918</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4.25" hidden="false" customHeight="true" outlineLevel="0" collapsed="false">
      <c r="B196" s="7" t="s">
        <v>1394</v>
      </c>
    </row>
    <row r="197" customFormat="false" ht="14.25" hidden="false" customHeight="true" outlineLevel="0" collapsed="false">
      <c r="B197" s="103" t="s">
        <v>1395</v>
      </c>
      <c r="C197" s="150" t="n">
        <v>0</v>
      </c>
    </row>
    <row r="198" customFormat="false" ht="14.25" hidden="false" customHeight="true" outlineLevel="0" collapsed="false">
      <c r="B198" s="103" t="s">
        <v>1396</v>
      </c>
      <c r="C198" s="153" t="n">
        <v>16</v>
      </c>
    </row>
    <row r="199" customFormat="false" ht="14.25" hidden="false" customHeight="true" outlineLevel="0" collapsed="false">
      <c r="B199" s="83" t="s">
        <v>1397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0.349801964639669</v>
      </c>
      <c r="M221" s="116" t="n">
        <f aca="false">M112</f>
        <v>0.362426080830021</v>
      </c>
      <c r="N221" s="116" t="n">
        <f aca="false">N112</f>
        <v>0.375209618014158</v>
      </c>
      <c r="O221" s="116" t="n">
        <f aca="false">O112</f>
        <v>0.387247978503958</v>
      </c>
      <c r="P221" s="116" t="n">
        <f aca="false">P112</f>
        <v>0.396765557602879</v>
      </c>
      <c r="Q221" s="116" t="n">
        <f aca="false">Q112</f>
        <v>0.406361641967449</v>
      </c>
      <c r="R221" s="116" t="n">
        <f aca="false">R112</f>
        <v>0.415932908538592</v>
      </c>
      <c r="S221" s="116" t="n">
        <f aca="false">S112</f>
        <v>0.425488535535643</v>
      </c>
      <c r="T221" s="116" t="n">
        <f aca="false">T112</f>
        <v>0.435044176990647</v>
      </c>
      <c r="U221" s="116" t="n">
        <f aca="false">U112</f>
        <v>0.444615190248877</v>
      </c>
      <c r="V221" s="116" t="n">
        <f aca="false">V112</f>
        <v>0.454216870946285</v>
      </c>
      <c r="W221" s="116" t="n">
        <f aca="false">W112</f>
        <v>0.463725624251766</v>
      </c>
      <c r="X221" s="116" t="n">
        <f aca="false">X112</f>
        <v>0.473157474149552</v>
      </c>
      <c r="Y221" s="116" t="n">
        <f aca="false">Y112</f>
        <v>0.482528578854021</v>
      </c>
      <c r="Z221" s="116" t="n">
        <f aca="false">Z112</f>
        <v>0.491855203099379</v>
      </c>
      <c r="AA221" s="116" t="n">
        <f aca="false">AA112</f>
        <v>0.501153742681103</v>
      </c>
      <c r="AB221" s="116" t="n">
        <f aca="false">AB112</f>
        <v>0.510443779978093</v>
      </c>
      <c r="AC221" s="116" t="n">
        <f aca="false">AC112</f>
        <v>0.519745023216852</v>
      </c>
      <c r="AD221" s="116" t="n">
        <f aca="false">AD112</f>
        <v>0.529077332861345</v>
      </c>
      <c r="AE221" s="116" t="n">
        <f aca="false">AE112</f>
        <v>0.538460748484952</v>
      </c>
      <c r="AF221" s="116" t="n">
        <f aca="false">AF112</f>
        <v>0.547915515020609</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7.39832452716162</v>
      </c>
      <c r="M222" s="87" t="n">
        <f aca="false">IF(M221&gt;0,M220/M221,0)</f>
        <v>7.53599323148319</v>
      </c>
      <c r="N222" s="87" t="n">
        <f aca="false">IF(N221&gt;0,N220/N221,0)</f>
        <v>7.48625352436786</v>
      </c>
      <c r="O222" s="87" t="n">
        <f aca="false">IF(O221&gt;0,O220/O221,0)</f>
        <v>7.31736549302647</v>
      </c>
      <c r="P222" s="87" t="n">
        <f aca="false">IF(P221&gt;0,P220/P221,0)</f>
        <v>6.6812385304001</v>
      </c>
      <c r="Q222" s="87" t="n">
        <f aca="false">IF(Q221&gt;0,Q220/Q221,0)</f>
        <v>6.102745652011</v>
      </c>
      <c r="R222" s="87" t="n">
        <f aca="false">IF(R221&gt;0,R220/R221,0)</f>
        <v>5.57778445970524</v>
      </c>
      <c r="S222" s="87" t="n">
        <f aca="false">IF(S221&gt;0,S220/S221,0)</f>
        <v>5.1008691471187</v>
      </c>
      <c r="T222" s="87" t="n">
        <f aca="false">IF(T221&gt;0,T220/T221,0)</f>
        <v>4.66708510111974</v>
      </c>
      <c r="U222" s="87" t="n">
        <f aca="false">IF(U221&gt;0,U220/U221,0)</f>
        <v>4.2721040172589</v>
      </c>
      <c r="V222" s="87" t="n">
        <f aca="false">IF(V221&gt;0,V220/V221,0)</f>
        <v>3.91209946342112</v>
      </c>
      <c r="W222" s="87" t="n">
        <f aca="false">IF(W221&gt;0,W220/W221,0)</f>
        <v>3.5847517808786</v>
      </c>
      <c r="X222" s="87" t="n">
        <f aca="false">IF(X221&gt;0,X220/X221,0)</f>
        <v>3.28671096356716</v>
      </c>
      <c r="Y222" s="87" t="n">
        <f aca="false">IF(Y221&gt;0,Y220/Y221,0)</f>
        <v>3.01502704576493</v>
      </c>
      <c r="Z222" s="87" t="n">
        <f aca="false">IF(Z221&gt;0,Z220/Z221,0)</f>
        <v>2.76709466718541</v>
      </c>
      <c r="AA222" s="87" t="n">
        <f aca="false">IF(AA221&gt;0,AA220/AA221,0)</f>
        <v>2.54060614262808</v>
      </c>
      <c r="AB222" s="87" t="n">
        <f aca="false">IF(AB221&gt;0,AB220/AB221,0)</f>
        <v>2.33349803933218</v>
      </c>
      <c r="AC222" s="87" t="n">
        <f aca="false">IF(AC221&gt;0,AC220/AC221,0)</f>
        <v>2.14393715840548</v>
      </c>
      <c r="AD222" s="87" t="n">
        <f aca="false">IF(AD221&gt;0,AD220/AD221,0)</f>
        <v>1.97029052985812</v>
      </c>
      <c r="AE222" s="87" t="n">
        <f aca="false">IF(AE221&gt;0,AE220/AE221,0)</f>
        <v>1.81109991195983</v>
      </c>
      <c r="AF222" s="87" t="n">
        <f aca="false">IF(AF221&gt;0,AF220/AF221,0)</f>
        <v>1.66506003242592</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2.23814649000332</v>
      </c>
      <c r="M223" s="88" t="n">
        <f aca="false">M220-M221</f>
        <v>2.368814411218</v>
      </c>
      <c r="N223" s="88" t="n">
        <f aca="false">N220-N221</f>
        <v>2.43370470722105</v>
      </c>
      <c r="O223" s="88" t="n">
        <f aca="false">O220-O221</f>
        <v>2.44638701664516</v>
      </c>
      <c r="P223" s="88" t="n">
        <f aca="false">P220-P221</f>
        <v>2.25411977338916</v>
      </c>
      <c r="Q223" s="88" t="n">
        <f aca="false">Q220-Q221</f>
        <v>2.07356010169345</v>
      </c>
      <c r="R223" s="88" t="n">
        <f aca="false">R220-R221</f>
        <v>1.90405120498797</v>
      </c>
      <c r="S223" s="88" t="n">
        <f aca="false">S220-S221</f>
        <v>1.74487280783084</v>
      </c>
      <c r="T223" s="88" t="n">
        <f aca="false">T220-T221</f>
        <v>1.5953440197713</v>
      </c>
      <c r="U223" s="88" t="n">
        <f aca="false">U220-U221</f>
        <v>1.45482715014768</v>
      </c>
      <c r="V223" s="88" t="n">
        <f aca="false">V220-V221</f>
        <v>1.3227247061595</v>
      </c>
      <c r="W223" s="88" t="n">
        <f aca="false">W220-W221</f>
        <v>1.19861563312379</v>
      </c>
      <c r="X223" s="88" t="n">
        <f aca="false">X220-X221</f>
        <v>1.08197438363152</v>
      </c>
      <c r="Y223" s="88" t="n">
        <f aca="false">Y220-Y221</f>
        <v>0.972308136745371</v>
      </c>
      <c r="Z223" s="88" t="n">
        <f aca="false">Z220-Z221</f>
        <v>0.86915470642431</v>
      </c>
      <c r="AA223" s="88" t="n">
        <f aca="false">AA220-AA221</f>
        <v>0.772080534375558</v>
      </c>
      <c r="AB223" s="88" t="n">
        <f aca="false">AB220-AB221</f>
        <v>0.680675779790095</v>
      </c>
      <c r="AC223" s="88" t="n">
        <f aca="false">AC220-AC221</f>
        <v>0.594555644954074</v>
      </c>
      <c r="AD223" s="88" t="n">
        <f aca="false">AD220-AD221</f>
        <v>0.513358725637955</v>
      </c>
      <c r="AE223" s="88" t="n">
        <f aca="false">AE220-AE221</f>
        <v>0.436745465689971</v>
      </c>
      <c r="AF223" s="88" t="n">
        <f aca="false">AF220-AF221</f>
        <v>0.364396710186271</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0.0353763959009156</v>
      </c>
      <c r="F233" s="1" t="n">
        <f aca="false">IF(E81&gt;0,(F107+F109+F110+F184-F108-F229)/E81,0)</f>
        <v>0.0462426200348871</v>
      </c>
      <c r="G233" s="1" t="n">
        <f aca="false">IF(F81&gt;0,(G107+G109+G110+G184-G108-G229)/F81,0)</f>
        <v>0.0269499761828544</v>
      </c>
      <c r="H233" s="1" t="n">
        <f aca="false">IF(G81&gt;0,(H107+H109+H110+H184-H108-H229)/G81,0)</f>
        <v>0.0298603240777257</v>
      </c>
      <c r="I233" s="1" t="n">
        <f aca="false">IF(H81&gt;0,(I107+I109+I110+I184-I108-I229)/H81,0)</f>
        <v>0.0327638075303723</v>
      </c>
      <c r="J233" s="1" t="n">
        <f aca="false">IF(I81&gt;0,(J107+J109+J110+J184-J108-J229)/I81,0)</f>
        <v>0.0356714979165366</v>
      </c>
      <c r="K233" s="1" t="n">
        <f aca="false">IF(J81&gt;0,(K107+K109+K110+K184-K108-K229)/J81,0)</f>
        <v>0.0385371032878171</v>
      </c>
      <c r="L233" s="1" t="n">
        <f aca="false">IF(K81&gt;0,(L107+L109+L110+L184-L108-L229)/K81,0)</f>
        <v>0.0413668124121217</v>
      </c>
      <c r="M233" s="1" t="n">
        <f aca="false">IF(L81&gt;0,(M107+M109+M110+M184-M108-M229)/L81,0)</f>
        <v>0.0436666980237373</v>
      </c>
      <c r="N233" s="1" t="n">
        <f aca="false">IF(M81&gt;0,(N107+N109+N110+N184-N108-N229)/M81,0)</f>
        <v>0.0430401056730529</v>
      </c>
      <c r="O233" s="1" t="n">
        <f aca="false">IF(N81&gt;0,(O107+O109+O110+O184-O108-O229)/N81,0)</f>
        <v>0.04259230978975</v>
      </c>
      <c r="P233" s="1" t="n">
        <f aca="false">IF(O81&gt;0,(P107+P109+P110+P184-P108-P229)/O81,0)</f>
        <v>0.0423066713309728</v>
      </c>
      <c r="Q233" s="1" t="n">
        <f aca="false">IF(P81&gt;0,(Q107+Q109+Q110+Q184-Q108-Q229)/P81,0)</f>
        <v>0.0422545479495192</v>
      </c>
      <c r="R233" s="1" t="n">
        <f aca="false">IF(Q81&gt;0,(R107+R109+R110+R184-R108-R229)/Q81,0)</f>
        <v>0.0421913964183813</v>
      </c>
      <c r="S233" s="1" t="n">
        <f aca="false">IF(R81&gt;0,(S107+S109+S110+S184-S108-S229)/R81,0)</f>
        <v>0.0421457299259973</v>
      </c>
      <c r="T233" s="1" t="n">
        <f aca="false">IF(S81&gt;0,(T107+T109+T110+T184-T108-T229)/S81,0)</f>
        <v>0.0421163256617298</v>
      </c>
      <c r="U233" s="1" t="n">
        <f aca="false">IF(T81&gt;0,(U107+U109+U110+U184-U108-U229)/T81,0)</f>
        <v>0.0421018943998093</v>
      </c>
      <c r="V233" s="1" t="n">
        <f aca="false">IF(U81&gt;0,(V107+V109+V110+V184-V108-V229)/U81,0)</f>
        <v>0.0421012668997284</v>
      </c>
      <c r="W233" s="1" t="n">
        <f aca="false">IF(V81&gt;0,(W107+W109+W110+W184-W108-W229)/V81,0)</f>
        <v>0.0421134449290089</v>
      </c>
      <c r="X233" s="1" t="n">
        <f aca="false">IF(W81&gt;0,(X107+X109+X110+X184-X108-X229)/W81,0)</f>
        <v>0.0421502440931551</v>
      </c>
      <c r="Y233" s="1" t="n">
        <f aca="false">IF(X81&gt;0,(Y107+Y109+Y110+Y184-Y108-Y229)/X81,0)</f>
        <v>0.0422100100490311</v>
      </c>
      <c r="Z233" s="1" t="n">
        <f aca="false">IF(Y81&gt;0,(Z107+Z109+Z110+Z184-Z108-Z229)/Y81,0)</f>
        <v>0.0422912126525165</v>
      </c>
      <c r="AA233" s="1" t="n">
        <f aca="false">IF(Z81&gt;0,(AA107+AA109+AA110+AA184-AA108-AA229)/Z81,0)</f>
        <v>0.0423924225418897</v>
      </c>
      <c r="AB233" s="1" t="n">
        <f aca="false">IF(AA81&gt;0,(AB107+AB109+AB110+AB184-AB108-AB229)/AA81,0)</f>
        <v>0.0425123136091546</v>
      </c>
      <c r="AC233" s="1" t="n">
        <f aca="false">IF(AB81&gt;0,(AC107+AC109+AC110+AC184-AC108-AC229)/AB81,0)</f>
        <v>0.0426493902486912</v>
      </c>
      <c r="AD233" s="1" t="n">
        <f aca="false">IF(AC81&gt;0,(AD107+AD109+AD110+AD184-AD108-AD229)/AC81,0)</f>
        <v>0.0428022475992209</v>
      </c>
      <c r="AE233" s="1" t="n">
        <f aca="false">IF(AD81&gt;0,(AE107+AE109+AE110+AE184-AE108-AE229)/AD81,0)</f>
        <v>0.0429695568564197</v>
      </c>
      <c r="AF233" s="1" t="n">
        <f aca="false">IF(AE81&gt;0,(AF107+AF109+AF110+AF184-AF108-AF229)/AE81,0)</f>
        <v>0.0431500530276708</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0.230361445332038</v>
      </c>
      <c r="F234" s="1" t="n">
        <f aca="false">(F232+E232)/2*F233</f>
        <v>0.558680736779772</v>
      </c>
      <c r="G234" s="1" t="n">
        <f aca="false">(G232+F232)/2*G233</f>
        <v>0.52150476664191</v>
      </c>
      <c r="H234" s="1" t="n">
        <f aca="false">(H232+G232)/2*H233</f>
        <v>0.780887911453483</v>
      </c>
      <c r="I234" s="1" t="n">
        <f aca="false">(I232+H232)/2*I233</f>
        <v>1.06525883585915</v>
      </c>
      <c r="J234" s="1" t="n">
        <f aca="false">(J232+I232)/2*J233</f>
        <v>1.37210078933657</v>
      </c>
      <c r="K234" s="1" t="n">
        <f aca="false">(K232+J232)/2*K233</f>
        <v>1.69689242637657</v>
      </c>
      <c r="L234" s="1" t="n">
        <f aca="false">(L232+K232)/2*L233</f>
        <v>2.03695961977928</v>
      </c>
      <c r="M234" s="1" t="n">
        <f aca="false">(M232+L232)/2*M233</f>
        <v>2.32271417466357</v>
      </c>
      <c r="N234" s="1" t="n">
        <f aca="false">(N232+M232)/2*N233</f>
        <v>2.38448848780943</v>
      </c>
      <c r="O234" s="1" t="n">
        <f aca="false">(O232+N232)/2*O233</f>
        <v>2.40329208657752</v>
      </c>
      <c r="P234" s="1" t="n">
        <f aca="false">(P232+O232)/2*P233</f>
        <v>2.32031798846094</v>
      </c>
      <c r="Q234" s="1" t="n">
        <f aca="false">(Q232+P232)/2*Q233</f>
        <v>2.16799933555655</v>
      </c>
      <c r="R234" s="1" t="n">
        <f aca="false">(R232+Q232)/2*R233</f>
        <v>2.02514730791506</v>
      </c>
      <c r="S234" s="1" t="n">
        <f aca="false">(S232+R232)/2*S233</f>
        <v>1.89248886900643</v>
      </c>
      <c r="T234" s="1" t="n">
        <f aca="false">(T232+S232)/2*T233</f>
        <v>1.76920135655411</v>
      </c>
      <c r="U234" s="1" t="n">
        <f aca="false">(U232+T232)/2*U233</f>
        <v>1.65453310284593</v>
      </c>
      <c r="V234" s="1" t="n">
        <f aca="false">(V232+U232)/2*V233</f>
        <v>1.54780420536635</v>
      </c>
      <c r="W234" s="1" t="n">
        <f aca="false">(W232+V232)/2*W233</f>
        <v>1.44840048245215</v>
      </c>
      <c r="X234" s="1" t="n">
        <f aca="false">(X232+W232)/2*X233</f>
        <v>1.35617277167016</v>
      </c>
      <c r="Y234" s="1" t="n">
        <f aca="false">(Y232+X232)/2*Y233</f>
        <v>1.27050803729657</v>
      </c>
      <c r="Z234" s="1" t="n">
        <f aca="false">(Z232+Y232)/2*Z233</f>
        <v>1.19085568419951</v>
      </c>
      <c r="AA234" s="1" t="n">
        <f aca="false">(AA232+Z232)/2*AA233</f>
        <v>1.11671992636031</v>
      </c>
      <c r="AB234" s="1" t="n">
        <f aca="false">(AB232+AA232)/2*AB233</f>
        <v>1.04765383155021</v>
      </c>
      <c r="AC234" s="1" t="n">
        <f aca="false">(AC232+AB232)/2*AC233</f>
        <v>0.983247669886018</v>
      </c>
      <c r="AD234" s="1" t="n">
        <f aca="false">(AD232+AC232)/2*AD233</f>
        <v>0.923131793812723</v>
      </c>
      <c r="AE234" s="1" t="n">
        <f aca="false">(AE232+AD232)/2*AE233</f>
        <v>0.866971943515908</v>
      </c>
      <c r="AF234" s="1" t="n">
        <f aca="false">(AF232+AE232)/2*AF233</f>
        <v>0.814465207500311</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0.188732772245702</v>
      </c>
      <c r="F236" s="1" t="n">
        <f aca="false">MAX(0,F234-F235)</f>
        <v>0.479494296804114</v>
      </c>
      <c r="G236" s="1" t="n">
        <f aca="false">MAX(0,G234-G235)</f>
        <v>0.407182773399103</v>
      </c>
      <c r="H236" s="1" t="n">
        <f aca="false">MAX(0,H234-H235)</f>
        <v>0.633696362706307</v>
      </c>
      <c r="I236" s="1" t="n">
        <f aca="false">MAX(0,I234-I235)</f>
        <v>0.88731758834275</v>
      </c>
      <c r="J236" s="1" t="n">
        <f aca="false">MAX(0,J234-J235)</f>
        <v>1.16539298383395</v>
      </c>
      <c r="K236" s="1" t="n">
        <f aca="false">MAX(0,K234-K235)</f>
        <v>1.46327330494252</v>
      </c>
      <c r="L236" s="1" t="n">
        <f aca="false">MAX(0,L234-L235)</f>
        <v>1.77816477431498</v>
      </c>
      <c r="M236" s="1" t="n">
        <f aca="false">MAX(0,M234-M235)</f>
        <v>2.04959012545877</v>
      </c>
      <c r="N236" s="1" t="n">
        <f aca="false">MAX(0,N234-N235)</f>
        <v>2.10359705528591</v>
      </c>
      <c r="O236" s="1" t="n">
        <f aca="false">MAX(0,O234-O235)</f>
        <v>2.11992858706261</v>
      </c>
      <c r="P236" s="1" t="n">
        <f aca="false">MAX(0,P234-P235)</f>
        <v>2.05522945536173</v>
      </c>
      <c r="Q236" s="1" t="n">
        <f aca="false">MAX(0,Q234-Q235)</f>
        <v>1.92000716119046</v>
      </c>
      <c r="R236" s="1" t="n">
        <f aca="false">MAX(0,R234-R235)</f>
        <v>1.79314889656241</v>
      </c>
      <c r="S236" s="1" t="n">
        <f aca="false">MAX(0,S234-S235)</f>
        <v>1.67545273466978</v>
      </c>
      <c r="T236" s="1" t="n">
        <f aca="false">MAX(0,T234-T235)</f>
        <v>1.56616253687791</v>
      </c>
      <c r="U236" s="1" t="n">
        <f aca="false">MAX(0,U234-U235)</f>
        <v>1.46458886880628</v>
      </c>
      <c r="V236" s="1" t="n">
        <f aca="false">MAX(0,V234-V235)</f>
        <v>1.37011004765577</v>
      </c>
      <c r="W236" s="1" t="n">
        <f aca="false">MAX(0,W234-W235)</f>
        <v>1.2821663567146</v>
      </c>
      <c r="X236" s="1" t="n">
        <f aca="false">MAX(0,X234-X235)</f>
        <v>1.20065958589205</v>
      </c>
      <c r="Y236" s="1" t="n">
        <f aca="false">MAX(0,Y234-Y235)</f>
        <v>1.12502436573663</v>
      </c>
      <c r="Z236" s="1" t="n">
        <f aca="false">MAX(0,Z234-Z235)</f>
        <v>1.05475469324714</v>
      </c>
      <c r="AA236" s="1" t="n">
        <f aca="false">MAX(0,AA234-AA235)</f>
        <v>0.98939649865464</v>
      </c>
      <c r="AB236" s="1" t="n">
        <f aca="false">MAX(0,AB234-AB235)</f>
        <v>0.928541875573396</v>
      </c>
      <c r="AC236" s="1" t="n">
        <f aca="false">MAX(0,AC234-AC235)</f>
        <v>0.871817603068926</v>
      </c>
      <c r="AD236" s="1" t="n">
        <f aca="false">MAX(0,AD234-AD235)</f>
        <v>0.818888187962793</v>
      </c>
      <c r="AE236" s="1" t="n">
        <f aca="false">MAX(0,AE234-AE235)</f>
        <v>0.769451322098416</v>
      </c>
      <c r="AF236" s="1" t="n">
        <f aca="false">MAX(0,AF234-AF235)</f>
        <v>0.723233984979623</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0.739832452716162</v>
      </c>
      <c r="M238" s="1" t="n">
        <f aca="false">IF(M112&gt;0,M235/M112,0)</f>
        <v>0.753599323148319</v>
      </c>
      <c r="N238" s="1" t="n">
        <f aca="false">IF(N112&gt;0,N235/N112,0)</f>
        <v>0.748625352436786</v>
      </c>
      <c r="O238" s="1" t="n">
        <f aca="false">IF(O112&gt;0,O235/O112,0)</f>
        <v>0.731736549302647</v>
      </c>
      <c r="P238" s="1" t="n">
        <f aca="false">IF(P112&gt;0,P235/P112,0)</f>
        <v>0.66812385304001</v>
      </c>
      <c r="Q238" s="1" t="n">
        <f aca="false">IF(Q112&gt;0,Q235/Q112,0)</f>
        <v>0.6102745652011</v>
      </c>
      <c r="R238" s="1" t="n">
        <f aca="false">IF(R112&gt;0,R235/R112,0)</f>
        <v>0.557778445970524</v>
      </c>
      <c r="S238" s="1" t="n">
        <f aca="false">IF(S112&gt;0,S235/S112,0)</f>
        <v>0.51008691471187</v>
      </c>
      <c r="T238" s="1" t="n">
        <f aca="false">IF(T112&gt;0,T235/T112,0)</f>
        <v>0.466708510111974</v>
      </c>
      <c r="U238" s="1" t="n">
        <f aca="false">IF(U112&gt;0,U235/U112,0)</f>
        <v>0.427210401725889</v>
      </c>
      <c r="V238" s="1" t="n">
        <f aca="false">IF(V112&gt;0,V235/V112,0)</f>
        <v>0.391209946342112</v>
      </c>
      <c r="W238" s="1" t="n">
        <f aca="false">IF(W112&gt;0,W235/W112,0)</f>
        <v>0.35847517808786</v>
      </c>
      <c r="X238" s="1" t="n">
        <f aca="false">IF(X112&gt;0,X235/X112,0)</f>
        <v>0.328671096356716</v>
      </c>
      <c r="Y238" s="1" t="n">
        <f aca="false">IF(Y112&gt;0,Y235/Y112,0)</f>
        <v>0.301502704576493</v>
      </c>
      <c r="Z238" s="1" t="n">
        <f aca="false">IF(Z112&gt;0,Z235/Z112,0)</f>
        <v>0.276709466718541</v>
      </c>
      <c r="AA238" s="1" t="n">
        <f aca="false">IF(AA112&gt;0,AA235/AA112,0)</f>
        <v>0.254060614262808</v>
      </c>
      <c r="AB238" s="1" t="n">
        <f aca="false">IF(AB112&gt;0,AB235/AB112,0)</f>
        <v>0.233349803933218</v>
      </c>
      <c r="AC238" s="1" t="n">
        <f aca="false">IF(AC112&gt;0,AC235/AC112,0)</f>
        <v>0.214393715840548</v>
      </c>
      <c r="AD238" s="1" t="n">
        <f aca="false">IF(AD112&gt;0,AD235/AD112,0)</f>
        <v>0.197029052985812</v>
      </c>
      <c r="AE238" s="1" t="n">
        <f aca="false">IF(AE112&gt;0,AE235/AE112,0)</f>
        <v>0.181109991195983</v>
      </c>
      <c r="AF238" s="1" t="n">
        <f aca="false">IF(AF112&gt;0,AF235/AF112,0)</f>
        <v>0.166506003242592</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0.188732772245702</v>
      </c>
      <c r="F243" s="1" t="n">
        <f aca="false">F236</f>
        <v>0.479494296804114</v>
      </c>
      <c r="G243" s="1" t="n">
        <f aca="false">G236</f>
        <v>0.407182773399103</v>
      </c>
      <c r="H243" s="1" t="n">
        <f aca="false">H236</f>
        <v>0.633696362706307</v>
      </c>
      <c r="I243" s="1" t="n">
        <f aca="false">I236</f>
        <v>0.88731758834275</v>
      </c>
      <c r="J243" s="1" t="n">
        <f aca="false">J236</f>
        <v>1.16539298383395</v>
      </c>
      <c r="K243" s="1" t="n">
        <f aca="false">K236</f>
        <v>1.46327330494252</v>
      </c>
      <c r="L243" s="1" t="n">
        <f aca="false">L236</f>
        <v>1.77816477431498</v>
      </c>
      <c r="M243" s="1" t="n">
        <f aca="false">M236</f>
        <v>2.04959012545877</v>
      </c>
      <c r="N243" s="1" t="n">
        <f aca="false">N236</f>
        <v>2.10359705528591</v>
      </c>
      <c r="O243" s="1" t="n">
        <f aca="false">O236</f>
        <v>2.11992858706261</v>
      </c>
      <c r="P243" s="1" t="n">
        <f aca="false">P236</f>
        <v>2.05522945536173</v>
      </c>
      <c r="Q243" s="1" t="n">
        <f aca="false">Q236</f>
        <v>1.92000716119046</v>
      </c>
      <c r="R243" s="1" t="n">
        <f aca="false">R236</f>
        <v>1.79314889656241</v>
      </c>
      <c r="S243" s="1" t="n">
        <f aca="false">S236</f>
        <v>1.67545273466978</v>
      </c>
      <c r="T243" s="1" t="n">
        <f aca="false">T236</f>
        <v>1.56616253687791</v>
      </c>
      <c r="U243" s="1" t="n">
        <f aca="false">U236</f>
        <v>1.46458886880628</v>
      </c>
      <c r="V243" s="1" t="n">
        <f aca="false">V236</f>
        <v>1.37011004765577</v>
      </c>
      <c r="W243" s="1" t="n">
        <f aca="false">W236</f>
        <v>1.2821663567146</v>
      </c>
      <c r="X243" s="1" t="n">
        <f aca="false">X236</f>
        <v>1.20065958589205</v>
      </c>
      <c r="Y243" s="1" t="n">
        <f aca="false">Y236</f>
        <v>1.12502436573663</v>
      </c>
      <c r="Z243" s="1" t="n">
        <f aca="false">Z236</f>
        <v>1.05475469324714</v>
      </c>
      <c r="AA243" s="1" t="n">
        <f aca="false">AA236</f>
        <v>0.98939649865464</v>
      </c>
      <c r="AB243" s="1" t="n">
        <f aca="false">AB236</f>
        <v>0.928541875573396</v>
      </c>
      <c r="AC243" s="1" t="n">
        <f aca="false">AC236</f>
        <v>0.871817603068926</v>
      </c>
      <c r="AD243" s="1" t="n">
        <f aca="false">AD236</f>
        <v>0.818888187962793</v>
      </c>
      <c r="AE243" s="1" t="n">
        <f aca="false">AE236</f>
        <v>0.769451322098416</v>
      </c>
      <c r="AF243" s="1" t="n">
        <f aca="false">AF236</f>
        <v>0.723233984979623</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0.2838554109739</v>
      </c>
      <c r="F247" s="1" t="n">
        <f aca="false">MAX(0,E248+F243-F244-F245-F246)</f>
        <v>0.763349707778015</v>
      </c>
      <c r="G247" s="1" t="n">
        <f aca="false">MAX(0,F248+G243-G244-G245-G246)</f>
        <v>1.17053248117712</v>
      </c>
      <c r="H247" s="1" t="n">
        <f aca="false">MAX(0,G248+H243-H244-H245-H246)</f>
        <v>1.80422884388342</v>
      </c>
      <c r="I247" s="1" t="n">
        <f aca="false">MAX(0,H248+I243-I244-I245-I246)</f>
        <v>2.69154643222617</v>
      </c>
      <c r="J247" s="1" t="n">
        <f aca="false">MAX(0,I248+J243-J244-J245-J246)</f>
        <v>3.85693941606012</v>
      </c>
      <c r="K247" s="1" t="n">
        <f aca="false">MAX(0,J248+K243-K244-K245-K246)</f>
        <v>5.32021272100265</v>
      </c>
      <c r="L247" s="1" t="n">
        <f aca="false">MAX(0,K248+L243-L244-L245-L246)</f>
        <v>7.09837749531763</v>
      </c>
      <c r="M247" s="1" t="n">
        <f aca="false">MAX(0,L248+M243-M244-M245-M246)</f>
        <v>9.1479676207764</v>
      </c>
      <c r="N247" s="1" t="n">
        <f aca="false">MAX(0,M248+N243-N244-N245-N246)</f>
        <v>11.2515646760623</v>
      </c>
      <c r="O247" s="1" t="n">
        <f aca="false">MAX(0,N248+O243-O244-O245-O246)</f>
        <v>13.3714932631249</v>
      </c>
      <c r="P247" s="1" t="n">
        <f aca="false">MAX(0,O248+P243-P244-P245-P246)</f>
        <v>15.4267227184867</v>
      </c>
      <c r="Q247" s="1" t="n">
        <f aca="false">MAX(0,P248+Q243-Q244-Q245-Q246)</f>
        <v>17.3467298796771</v>
      </c>
      <c r="R247" s="1" t="n">
        <f aca="false">MAX(0,Q248+R243-R244-R245-R246)</f>
        <v>19.1398787762395</v>
      </c>
      <c r="S247" s="1" t="n">
        <f aca="false">MAX(0,R248+S243-S244-S245-S246)</f>
        <v>20.8153315109093</v>
      </c>
      <c r="T247" s="1" t="n">
        <f aca="false">MAX(0,S248+T243-T244-T245-T246)</f>
        <v>22.3814940477872</v>
      </c>
      <c r="U247" s="1" t="n">
        <f aca="false">MAX(0,T248+U243-U244-U245-U246)</f>
        <v>23.8460829165935</v>
      </c>
      <c r="V247" s="1" t="n">
        <f aca="false">MAX(0,U248+V243-V244-V245-V246)</f>
        <v>25.2161929642493</v>
      </c>
      <c r="W247" s="1" t="n">
        <f aca="false">MAX(0,V248+W243-W244-W245-W246)</f>
        <v>26.4983593209639</v>
      </c>
      <c r="X247" s="1" t="n">
        <f aca="false">MAX(0,W248+X243-X244-X245-X246)</f>
        <v>27.6990189068559</v>
      </c>
      <c r="Y247" s="1" t="n">
        <f aca="false">MAX(0,X248+Y243-Y244-Y245-Y246)</f>
        <v>28.8240432725925</v>
      </c>
      <c r="Z247" s="1" t="n">
        <f aca="false">MAX(0,Y248+Z243-Z244-Z245-Z246)</f>
        <v>29.8787979658397</v>
      </c>
      <c r="AA247" s="1" t="n">
        <f aca="false">MAX(0,Z248+AA243-AA244-AA245-AA246)</f>
        <v>30.8681944644943</v>
      </c>
      <c r="AB247" s="1" t="n">
        <f aca="false">MAX(0,AA248+AB243-AB244-AB245-AB246)</f>
        <v>31.7967363400677</v>
      </c>
      <c r="AC247" s="1" t="n">
        <f aca="false">MAX(0,AB248+AC243-AC244-AC245-AC246)</f>
        <v>32.6685539431367</v>
      </c>
      <c r="AD247" s="1" t="n">
        <f aca="false">MAX(0,AC248+AD243-AD244-AD245-AD246)</f>
        <v>33.4874421310994</v>
      </c>
      <c r="AE247" s="1" t="n">
        <f aca="false">MAX(0,AD248+AE243-AE244-AE245-AE246)</f>
        <v>34.2568934531979</v>
      </c>
      <c r="AF247" s="1" t="n">
        <f aca="false">MAX(0,AE248+AF243-AF244-AF245-AF246)</f>
        <v>34.9801274381775</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0.2838554109739</v>
      </c>
      <c r="F248" s="1" t="n">
        <f aca="false">MIN(F247,MAX(0,F276))</f>
        <v>0.763349707778015</v>
      </c>
      <c r="G248" s="1" t="n">
        <f aca="false">MIN(G247,MAX(0,G276))</f>
        <v>1.17053248117712</v>
      </c>
      <c r="H248" s="1" t="n">
        <f aca="false">MIN(H247,MAX(0,H276))</f>
        <v>1.80422884388342</v>
      </c>
      <c r="I248" s="1" t="n">
        <f aca="false">MIN(I247,MAX(0,I276))</f>
        <v>2.69154643222617</v>
      </c>
      <c r="J248" s="1" t="n">
        <f aca="false">MIN(J247,MAX(0,J276))</f>
        <v>3.85693941606012</v>
      </c>
      <c r="K248" s="1" t="n">
        <f aca="false">MIN(K247,MAX(0,K276))</f>
        <v>5.32021272100265</v>
      </c>
      <c r="L248" s="1" t="n">
        <f aca="false">MIN(L247,MAX(0,L276))</f>
        <v>7.09837749531763</v>
      </c>
      <c r="M248" s="1" t="n">
        <f aca="false">MIN(M247,MAX(0,M276))</f>
        <v>9.1479676207764</v>
      </c>
      <c r="N248" s="1" t="n">
        <f aca="false">MIN(N247,MAX(0,N276))</f>
        <v>11.2515646760623</v>
      </c>
      <c r="O248" s="1" t="n">
        <f aca="false">MIN(O247,MAX(0,O276))</f>
        <v>13.3714932631249</v>
      </c>
      <c r="P248" s="1" t="n">
        <f aca="false">MIN(P247,MAX(0,P276))</f>
        <v>15.4267227184867</v>
      </c>
      <c r="Q248" s="1" t="n">
        <f aca="false">MIN(Q247,MAX(0,Q276))</f>
        <v>17.3467298796771</v>
      </c>
      <c r="R248" s="1" t="n">
        <f aca="false">MIN(R247,MAX(0,R276))</f>
        <v>19.1398787762395</v>
      </c>
      <c r="S248" s="1" t="n">
        <f aca="false">MIN(S247,MAX(0,S276))</f>
        <v>20.8153315109093</v>
      </c>
      <c r="T248" s="1" t="n">
        <f aca="false">MIN(T247,MAX(0,T276))</f>
        <v>22.3814940477872</v>
      </c>
      <c r="U248" s="1" t="n">
        <f aca="false">MIN(U247,MAX(0,U276))</f>
        <v>23.8460829165935</v>
      </c>
      <c r="V248" s="1" t="n">
        <f aca="false">MIN(V247,MAX(0,V276))</f>
        <v>25.2161929642493</v>
      </c>
      <c r="W248" s="1" t="n">
        <f aca="false">MIN(W247,MAX(0,W276))</f>
        <v>26.4983593209639</v>
      </c>
      <c r="X248" s="1" t="n">
        <f aca="false">MIN(X247,MAX(0,X276))</f>
        <v>27.6990189068559</v>
      </c>
      <c r="Y248" s="1" t="n">
        <f aca="false">MIN(Y247,MAX(0,Y276))</f>
        <v>28.8240432725925</v>
      </c>
      <c r="Z248" s="1" t="n">
        <f aca="false">MIN(Z247,MAX(0,Z276))</f>
        <v>29.8787979658397</v>
      </c>
      <c r="AA248" s="1" t="n">
        <f aca="false">MIN(AA247,MAX(0,AA276))</f>
        <v>30.8681944644943</v>
      </c>
      <c r="AB248" s="1" t="n">
        <f aca="false">MIN(AB247,MAX(0,AB276))</f>
        <v>31.7967363400677</v>
      </c>
      <c r="AC248" s="1" t="n">
        <f aca="false">MIN(AC247,MAX(0,AC276))</f>
        <v>32.6685539431367</v>
      </c>
      <c r="AD248" s="1" t="n">
        <f aca="false">MIN(AD247,MAX(0,AD276))</f>
        <v>33.4874421310994</v>
      </c>
      <c r="AE248" s="1" t="n">
        <f aca="false">MIN(AE247,MAX(0,AE276))</f>
        <v>34.2568934531979</v>
      </c>
      <c r="AF248" s="1" t="n">
        <f aca="false">MIN(AF247,MAX(0,AF276))</f>
        <v>34.9801274381775</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35.0111497640404</v>
      </c>
      <c r="E250" s="1" t="n">
        <f aca="false">E120-E248</f>
        <v>52.7955998129331</v>
      </c>
      <c r="F250" s="1" t="n">
        <f aca="false">F120-F248</f>
        <v>61.1135129811888</v>
      </c>
      <c r="G250" s="1" t="n">
        <f aca="false">G120-G248</f>
        <v>71.7005493673793</v>
      </c>
      <c r="H250" s="1" t="n">
        <f aca="false">H120-H248</f>
        <v>83.7254101282166</v>
      </c>
      <c r="I250" s="1" t="n">
        <f aca="false">I120-I248</f>
        <v>97.2528559679424</v>
      </c>
      <c r="J250" s="1" t="n">
        <f aca="false">J120-J248</f>
        <v>111.83536235127</v>
      </c>
      <c r="K250" s="1" t="n">
        <f aca="false">K120-K248</f>
        <v>127.409475535879</v>
      </c>
      <c r="L250" s="1" t="n">
        <f aca="false">L120-L248</f>
        <v>142.708194098236</v>
      </c>
      <c r="M250" s="1" t="n">
        <f aca="false">M120-M248</f>
        <v>140.357311421459</v>
      </c>
      <c r="N250" s="1" t="n">
        <f aca="false">N120-N248</f>
        <v>139.938720745045</v>
      </c>
      <c r="O250" s="1" t="n">
        <f aca="false">O120-O248</f>
        <v>139.844434562703</v>
      </c>
      <c r="P250" s="1" t="n">
        <f aca="false">P120-P248</f>
        <v>139.149248116369</v>
      </c>
      <c r="Q250" s="1" t="n">
        <f aca="false">Q120-Q248</f>
        <v>138.440765461025</v>
      </c>
      <c r="R250" s="1" t="n">
        <f aca="false">R120-R248</f>
        <v>137.904695422651</v>
      </c>
      <c r="S250" s="1" t="n">
        <f aca="false">S120-S248</f>
        <v>137.527212952268</v>
      </c>
      <c r="T250" s="1" t="n">
        <f aca="false">T120-T248</f>
        <v>137.300981444717</v>
      </c>
      <c r="U250" s="1" t="n">
        <f aca="false">U120-U248</f>
        <v>137.219102450584</v>
      </c>
      <c r="V250" s="1" t="n">
        <f aca="false">V120-V248</f>
        <v>137.275318124876</v>
      </c>
      <c r="W250" s="1" t="n">
        <f aca="false">W120-W248</f>
        <v>137.466227785139</v>
      </c>
      <c r="X250" s="1" t="n">
        <f aca="false">X120-X248</f>
        <v>137.786849732694</v>
      </c>
      <c r="Y250" s="1" t="n">
        <f aca="false">Y120-Y248</f>
        <v>138.232555881905</v>
      </c>
      <c r="Z250" s="1" t="n">
        <f aca="false">Z120-Z248</f>
        <v>138.798933631663</v>
      </c>
      <c r="AA250" s="1" t="n">
        <f aca="false">AA120-AA248</f>
        <v>139.482057896031</v>
      </c>
      <c r="AB250" s="1" t="n">
        <f aca="false">AB120-AB248</f>
        <v>140.2783960982</v>
      </c>
      <c r="AC250" s="1" t="n">
        <f aca="false">AC120-AC248</f>
        <v>141.184811958959</v>
      </c>
      <c r="AD250" s="1" t="n">
        <f aca="false">AD120-AD248</f>
        <v>142.198533715416</v>
      </c>
      <c r="AE250" s="1" t="n">
        <f aca="false">AE120-AE248</f>
        <v>143.317128566771</v>
      </c>
      <c r="AF250" s="1" t="n">
        <f aca="false">AF120-AF248</f>
        <v>144.538473900325</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0.00270956248606722</v>
      </c>
      <c r="E252" s="1" t="n">
        <f aca="false">IF(E120&gt;0,E248/E120,0)</f>
        <v>0.00534774537109514</v>
      </c>
      <c r="F252" s="1" t="n">
        <f aca="false">IF(F120&gt;0,F248/F120,0)</f>
        <v>0.0123365935925857</v>
      </c>
      <c r="G252" s="1" t="n">
        <f aca="false">IF(G120&gt;0,G248/G120,0)</f>
        <v>0.0160630589183479</v>
      </c>
      <c r="H252" s="1" t="n">
        <f aca="false">IF(H120&gt;0,H248/H120,0)</f>
        <v>0.0210947791381648</v>
      </c>
      <c r="I252" s="1" t="n">
        <f aca="false">IF(I120&gt;0,I248/I120,0)</f>
        <v>0.0269304369988572</v>
      </c>
      <c r="J252" s="1" t="n">
        <f aca="false">IF(J120&gt;0,J248/J120,0)</f>
        <v>0.0333379088940321</v>
      </c>
      <c r="K252" s="1" t="n">
        <f aca="false">IF(K120&gt;0,K248/K120,0)</f>
        <v>0.0400830649937642</v>
      </c>
      <c r="L252" s="1" t="n">
        <f aca="false">IF(L120&gt;0,L248/L120,0)</f>
        <v>0.0473836188880721</v>
      </c>
      <c r="M252" s="1" t="n">
        <f aca="false">IF(M120&gt;0,M248/M120,0)</f>
        <v>0.0611882582299459</v>
      </c>
      <c r="N252" s="1" t="n">
        <f aca="false">IF(N120&gt;0,N248/N120,0)</f>
        <v>0.074419891759074</v>
      </c>
      <c r="O252" s="1" t="n">
        <f aca="false">IF(O120&gt;0,O248/O120,0)</f>
        <v>0.0872722141416346</v>
      </c>
      <c r="P252" s="1" t="n">
        <f aca="false">IF(P120&gt;0,P248/P120,0)</f>
        <v>0.0998002641365783</v>
      </c>
      <c r="Q252" s="1" t="n">
        <f aca="false">IF(Q120&gt;0,Q248/Q120,0)</f>
        <v>0.111348666603442</v>
      </c>
      <c r="R252" s="1" t="n">
        <f aca="false">IF(R120&gt;0,R248/R120,0)</f>
        <v>0.121875453984164</v>
      </c>
      <c r="S252" s="1" t="n">
        <f aca="false">IF(S120&gt;0,S248/S120,0)</f>
        <v>0.131457604028524</v>
      </c>
      <c r="T252" s="1" t="n">
        <f aca="false">IF(T120&gt;0,T248/T120,0)</f>
        <v>0.14016249421708</v>
      </c>
      <c r="U252" s="1" t="n">
        <f aca="false">IF(U120&gt;0,U248/U120,0)</f>
        <v>0.14805237309498</v>
      </c>
      <c r="V252" s="1" t="n">
        <f aca="false">IF(V120&gt;0,V248/V120,0)</f>
        <v>0.155184678850198</v>
      </c>
      <c r="W252" s="1" t="n">
        <f aca="false">IF(W120&gt;0,W248/W120,0)</f>
        <v>0.161610258584779</v>
      </c>
      <c r="X252" s="1" t="n">
        <f aca="false">IF(X120&gt;0,X248/X120,0)</f>
        <v>0.167379965036097</v>
      </c>
      <c r="Y252" s="1" t="n">
        <f aca="false">IF(Y120&gt;0,Y248/Y120,0)</f>
        <v>0.172540584559222</v>
      </c>
      <c r="Z252" s="1" t="n">
        <f aca="false">IF(Z120&gt;0,Z248/Z120,0)</f>
        <v>0.177135403012985</v>
      </c>
      <c r="AA252" s="1" t="n">
        <f aca="false">IF(AA120&gt;0,AA248/AA120,0)</f>
        <v>0.181204277873129</v>
      </c>
      <c r="AB252" s="1" t="n">
        <f aca="false">IF(AB120&gt;0,AB248/AB120,0)</f>
        <v>0.184784029449896</v>
      </c>
      <c r="AC252" s="1" t="n">
        <f aca="false">IF(AC120&gt;0,AC248/AC120,0)</f>
        <v>0.187908665291725</v>
      </c>
      <c r="AD252" s="1" t="n">
        <f aca="false">IF(AD120&gt;0,AD248/AD120,0)</f>
        <v>0.190609648662879</v>
      </c>
      <c r="AE252" s="1" t="n">
        <f aca="false">IF(AE120&gt;0,AE248/AE120,0)</f>
        <v>0.192916131895383</v>
      </c>
      <c r="AF252" s="1" t="n">
        <f aca="false">IF(AF120&gt;0,AF248/AF120,0)</f>
        <v>0.194855169198977</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0.349801964639669</v>
      </c>
      <c r="M254" s="116" t="n">
        <f aca="false">M112</f>
        <v>0.362426080830021</v>
      </c>
      <c r="N254" s="116" t="n">
        <f aca="false">N112</f>
        <v>0.375209618014158</v>
      </c>
      <c r="O254" s="116" t="n">
        <f aca="false">O112</f>
        <v>0.387247978503958</v>
      </c>
      <c r="P254" s="116" t="n">
        <f aca="false">P112</f>
        <v>0.396765557602879</v>
      </c>
      <c r="Q254" s="116" t="n">
        <f aca="false">Q112</f>
        <v>0.406361641967449</v>
      </c>
      <c r="R254" s="116" t="n">
        <f aca="false">R112</f>
        <v>0.415932908538592</v>
      </c>
      <c r="S254" s="116" t="n">
        <f aca="false">S112</f>
        <v>0.425488535535643</v>
      </c>
      <c r="T254" s="116" t="n">
        <f aca="false">T112</f>
        <v>0.435044176990647</v>
      </c>
      <c r="U254" s="116" t="n">
        <f aca="false">U112</f>
        <v>0.444615190248877</v>
      </c>
      <c r="V254" s="116" t="n">
        <f aca="false">V112</f>
        <v>0.454216870946285</v>
      </c>
      <c r="W254" s="116" t="n">
        <f aca="false">W112</f>
        <v>0.463725624251766</v>
      </c>
      <c r="X254" s="116" t="n">
        <f aca="false">X112</f>
        <v>0.473157474149552</v>
      </c>
      <c r="Y254" s="116" t="n">
        <f aca="false">Y112</f>
        <v>0.482528578854021</v>
      </c>
      <c r="Z254" s="116" t="n">
        <f aca="false">Z112</f>
        <v>0.491855203099379</v>
      </c>
      <c r="AA254" s="116" t="n">
        <f aca="false">AA112</f>
        <v>0.501153742681103</v>
      </c>
      <c r="AB254" s="116" t="n">
        <f aca="false">AB112</f>
        <v>0.510443779978093</v>
      </c>
      <c r="AC254" s="116" t="n">
        <f aca="false">AC112</f>
        <v>0.519745023216852</v>
      </c>
      <c r="AD254" s="116" t="n">
        <f aca="false">AD112</f>
        <v>0.529077332861345</v>
      </c>
      <c r="AE254" s="116" t="n">
        <f aca="false">AE112</f>
        <v>0.538460748484952</v>
      </c>
      <c r="AF254" s="116" t="n">
        <f aca="false">AF112</f>
        <v>0.547915515020609</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0.0910071191753705</v>
      </c>
      <c r="M256" s="1" t="n">
        <f aca="false">MIN(M254-M255,MAX(0,M107-M108+M109+M110+M184-M229-M235))</f>
        <v>0.0893020316252191</v>
      </c>
      <c r="N256" s="1" t="n">
        <f aca="false">MIN(N254-N255,MAX(0,N107-N108+N109+N110+N184-N229-N235))</f>
        <v>0.0943181854906372</v>
      </c>
      <c r="O256" s="1" t="n">
        <f aca="false">MIN(O254-O255,MAX(0,O107-O108+O109+O110+O184-O229-O235))</f>
        <v>0.103884478989046</v>
      </c>
      <c r="P256" s="1" t="n">
        <f aca="false">MIN(P254-P255,MAX(0,P107-P108+P109+P110+P184-P229-P235))</f>
        <v>0.131677024503675</v>
      </c>
      <c r="Q256" s="1" t="n">
        <f aca="false">MIN(Q254-Q255,MAX(0,Q107-Q108+Q109+Q110+Q184-Q229-Q235))</f>
        <v>0.158369467601359</v>
      </c>
      <c r="R256" s="1" t="n">
        <f aca="false">MIN(R254-R255,MAX(0,R107-R108+R109+R110+R184-R229-R235))</f>
        <v>0.183934497185936</v>
      </c>
      <c r="S256" s="1" t="n">
        <f aca="false">MIN(S254-S255,MAX(0,S107-S108+S109+S110+S184-S229-S235))</f>
        <v>0.208452401198995</v>
      </c>
      <c r="T256" s="1" t="n">
        <f aca="false">MIN(T254-T255,MAX(0,T107-T108+T109+T110+T184-T229-T235))</f>
        <v>0.232005357314452</v>
      </c>
      <c r="U256" s="1" t="n">
        <f aca="false">MIN(U254-U255,MAX(0,U107-U108+U109+U110+U184-U229-U235))</f>
        <v>0.254670956209221</v>
      </c>
      <c r="V256" s="1" t="n">
        <f aca="false">MIN(V254-V255,MAX(0,V107-V108+V109+V110+V184-V229-V235))</f>
        <v>0.276522713235707</v>
      </c>
      <c r="W256" s="1" t="n">
        <f aca="false">MIN(W254-W255,MAX(0,W107-W108+W109+W110+W184-W229-W235))</f>
        <v>0.29749149851421</v>
      </c>
      <c r="X256" s="1" t="n">
        <f aca="false">MIN(X254-X255,MAX(0,X107-X108+X109+X110+X184-X229-X235))</f>
        <v>0.317644288371444</v>
      </c>
      <c r="Y256" s="1" t="n">
        <f aca="false">MIN(Y254-Y255,MAX(0,Y107-Y108+Y109+Y110+Y184-Y229-Y235))</f>
        <v>0.337044907294082</v>
      </c>
      <c r="Z256" s="1" t="n">
        <f aca="false">MIN(Z254-Z255,MAX(0,Z107-Z108+Z109+Z110+Z184-Z229-Z235))</f>
        <v>0.35575421214701</v>
      </c>
      <c r="AA256" s="1" t="n">
        <f aca="false">MIN(AA254-AA255,MAX(0,AA107-AA108+AA109+AA110+AA184-AA229-AA235))</f>
        <v>0.373830314975437</v>
      </c>
      <c r="AB256" s="1" t="n">
        <f aca="false">MIN(AB254-AB255,MAX(0,AB107-AB108+AB109+AB110+AB184-AB229-AB235))</f>
        <v>0.391331824001275</v>
      </c>
      <c r="AC256" s="1" t="n">
        <f aca="false">MIN(AC254-AC255,MAX(0,AC107-AC108+AC109+AC110+AC184-AC229-AC235))</f>
        <v>0.408314956399759</v>
      </c>
      <c r="AD256" s="1" t="n">
        <f aca="false">MIN(AD254-AD255,MAX(0,AD107-AD108+AD109+AD110+AD184-AD229-AD235))</f>
        <v>0.424833727011415</v>
      </c>
      <c r="AE256" s="1" t="n">
        <f aca="false">MIN(AE254-AE255,MAX(0,AE107-AE108+AE109+AE110+AE184-AE229-AE235))</f>
        <v>0.44094012706746</v>
      </c>
      <c r="AF256" s="1" t="n">
        <f aca="false">MIN(AF254-AF255,MAX(0,AF107-AF108+AF109+AF110+AF184-AF229-AF235))</f>
        <v>0.456684292499921</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187.652378758606</v>
      </c>
      <c r="M261" s="1" t="n">
        <f aca="false">(M83-M326)+M181</f>
        <v>201.492891786311</v>
      </c>
      <c r="N261" s="1" t="n">
        <f aca="false">(N83-N326)+N181</f>
        <v>206.829349576801</v>
      </c>
      <c r="O261" s="1" t="n">
        <f aca="false">(O83-O326)+O181</f>
        <v>212.558326925522</v>
      </c>
      <c r="P261" s="1" t="n">
        <f aca="false">(P83-P326)+P181</f>
        <v>217.63065329352</v>
      </c>
      <c r="Q261" s="1" t="n">
        <f aca="false">(Q83-Q326)+Q181</f>
        <v>222.629875658643</v>
      </c>
      <c r="R261" s="1" t="n">
        <f aca="false">(R83-R326)+R181</f>
        <v>227.748997179024</v>
      </c>
      <c r="S261" s="1" t="n">
        <f aca="false">(S83-S326)+S181</f>
        <v>232.985127753442</v>
      </c>
      <c r="T261" s="1" t="n">
        <f aca="false">(T83-T326)+T181</f>
        <v>238.341302051136</v>
      </c>
      <c r="U261" s="1" t="n">
        <f aca="false">(U83-U326)+U181</f>
        <v>243.820327184285</v>
      </c>
      <c r="V261" s="1" t="n">
        <f aca="false">(V83-V326)+V181</f>
        <v>249.425059360922</v>
      </c>
      <c r="W261" s="1" t="n">
        <f aca="false">(W83-W326)+W181</f>
        <v>255.157212277955</v>
      </c>
      <c r="X261" s="1" t="n">
        <f aca="false">(X83-X326)+X181</f>
        <v>261.020343778487</v>
      </c>
      <c r="Y261" s="1" t="n">
        <f aca="false">(Y83-Y326)+Y181</f>
        <v>267.017836814289</v>
      </c>
      <c r="Z261" s="1" t="n">
        <f aca="false">(Z83-Z326)+Z181</f>
        <v>273.15282060804</v>
      </c>
      <c r="AA261" s="1" t="n">
        <f aca="false">(AA83-AA326)+AA181</f>
        <v>279.428495857819</v>
      </c>
      <c r="AB261" s="1" t="n">
        <f aca="false">(AB83-AB326)+AB181</f>
        <v>285.848162919702</v>
      </c>
      <c r="AC261" s="1" t="n">
        <f aca="false">(AC83-AC326)+AC181</f>
        <v>292.415184410719</v>
      </c>
      <c r="AD261" s="1" t="n">
        <f aca="false">(AD83-AD326)+AD181</f>
        <v>299.132992472867</v>
      </c>
      <c r="AE261" s="1" t="n">
        <f aca="false">(AE83-AE326)+AE181</f>
        <v>306.005097743956</v>
      </c>
      <c r="AF261" s="1" t="n">
        <f aca="false">(AF83-AF326)+AF181</f>
        <v>313.035091206367</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9.38261893793028</v>
      </c>
      <c r="M262" s="1" t="n">
        <f aca="false">$C$260*M261</f>
        <v>10.0746445893155</v>
      </c>
      <c r="N262" s="1" t="n">
        <f aca="false">$C$260*N261</f>
        <v>10.3414674788401</v>
      </c>
      <c r="O262" s="1" t="n">
        <f aca="false">$C$260*O261</f>
        <v>10.6279163462761</v>
      </c>
      <c r="P262" s="1" t="n">
        <f aca="false">$C$260*P261</f>
        <v>10.881532664676</v>
      </c>
      <c r="Q262" s="1" t="n">
        <f aca="false">$C$260*Q261</f>
        <v>11.1314937829322</v>
      </c>
      <c r="R262" s="1" t="n">
        <f aca="false">$C$260*R261</f>
        <v>11.3874498589512</v>
      </c>
      <c r="S262" s="1" t="n">
        <f aca="false">$C$260*S261</f>
        <v>11.6492563876721</v>
      </c>
      <c r="T262" s="1" t="n">
        <f aca="false">$C$260*T261</f>
        <v>11.9170651025568</v>
      </c>
      <c r="U262" s="1" t="n">
        <f aca="false">$C$260*U261</f>
        <v>12.1910163592142</v>
      </c>
      <c r="V262" s="1" t="n">
        <f aca="false">$C$260*V261</f>
        <v>12.4712529680461</v>
      </c>
      <c r="W262" s="1" t="n">
        <f aca="false">$C$260*W261</f>
        <v>12.7578606138977</v>
      </c>
      <c r="X262" s="1" t="n">
        <f aca="false">$C$260*X261</f>
        <v>13.0510171889243</v>
      </c>
      <c r="Y262" s="1" t="n">
        <f aca="false">$C$260*Y261</f>
        <v>13.3508918407145</v>
      </c>
      <c r="Z262" s="1" t="n">
        <f aca="false">$C$260*Z261</f>
        <v>13.657641030402</v>
      </c>
      <c r="AA262" s="1" t="n">
        <f aca="false">$C$260*AA261</f>
        <v>13.9714247928909</v>
      </c>
      <c r="AB262" s="1" t="n">
        <f aca="false">$C$260*AB261</f>
        <v>14.2924081459851</v>
      </c>
      <c r="AC262" s="1" t="n">
        <f aca="false">$C$260*AC261</f>
        <v>14.6207592205359</v>
      </c>
      <c r="AD262" s="1" t="n">
        <f aca="false">$C$260*AD261</f>
        <v>14.9566496236434</v>
      </c>
      <c r="AE262" s="1" t="n">
        <f aca="false">$C$260*AE261</f>
        <v>15.3002548871978</v>
      </c>
      <c r="AF262" s="1" t="n">
        <f aca="false">$C$260*AF261</f>
        <v>15.6517545603184</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43.9318641466078</v>
      </c>
      <c r="M263" s="1" t="n">
        <f aca="false">MAX(0,(M70+L121-L227)*0.25/0.55)</f>
        <v>46.0857726517026</v>
      </c>
      <c r="N263" s="1" t="n">
        <f aca="false">MAX(0,(N70+M121-M227)*0.25/0.55)</f>
        <v>48.7921072817527</v>
      </c>
      <c r="O263" s="1" t="n">
        <f aca="false">MAX(0,(O70+N121-N227)*0.25/0.55)</f>
        <v>51.5594453130769</v>
      </c>
      <c r="P263" s="1" t="n">
        <f aca="false">MAX(0,(P70+O121-O227)*0.25/0.55)</f>
        <v>54.3897513541342</v>
      </c>
      <c r="Q263" s="1" t="n">
        <f aca="false">MAX(0,(Q70+P121-P227)*0.25/0.55)</f>
        <v>57.1985042307207</v>
      </c>
      <c r="R263" s="1" t="n">
        <f aca="false">MAX(0,(R70+Q121-Q227)*0.25/0.55)</f>
        <v>59.9813313753147</v>
      </c>
      <c r="S263" s="1" t="n">
        <f aca="false">MAX(0,(S70+R121-R227)*0.25/0.55)</f>
        <v>62.7436996730037</v>
      </c>
      <c r="T263" s="1" t="n">
        <f aca="false">MAX(0,(T70+S121-S227)*0.25/0.55)</f>
        <v>65.4939811395255</v>
      </c>
      <c r="U263" s="1" t="n">
        <f aca="false">MAX(0,(U70+T121-T227)*0.25/0.55)</f>
        <v>68.2403743352598</v>
      </c>
      <c r="V263" s="1" t="n">
        <f aca="false">MAX(0,(V70+U121-U227)*0.25/0.55)</f>
        <v>70.991010965569</v>
      </c>
      <c r="W263" s="1" t="n">
        <f aca="false">MAX(0,(W70+V121-V227)*0.25/0.55)</f>
        <v>73.7539684640035</v>
      </c>
      <c r="X263" s="1" t="n">
        <f aca="false">MAX(0,(X70+W121-W227)*0.25/0.55)</f>
        <v>76.5373633920616</v>
      </c>
      <c r="Y263" s="1" t="n">
        <f aca="false">MAX(0,(Y70+X121-X227)*0.25/0.55)</f>
        <v>79.3493284526561</v>
      </c>
      <c r="Z263" s="1" t="n">
        <f aca="false">MAX(0,(Z70+Y121-Y227)*0.25/0.55)</f>
        <v>82.1979994513419</v>
      </c>
      <c r="AA263" s="1" t="n">
        <f aca="false">MAX(0,(AA70+Z121-Z227)*0.25/0.55)</f>
        <v>85.0915259790122</v>
      </c>
      <c r="AB263" s="1" t="n">
        <f aca="false">MAX(0,(AB70+AA121-AA227)*0.25/0.55)</f>
        <v>88.038080133742</v>
      </c>
      <c r="AC263" s="1" t="n">
        <f aca="false">MAX(0,(AC70+AB121-AB227)*0.25/0.55)</f>
        <v>91.0458680838497</v>
      </c>
      <c r="AD263" s="1" t="n">
        <f aca="false">MAX(0,(AD70+AC121-AC227)*0.25/0.55)</f>
        <v>94.1231420395279</v>
      </c>
      <c r="AE263" s="1" t="n">
        <f aca="false">MAX(0,(AE70+AD121-AD227)*0.25/0.55)</f>
        <v>97.2782124273521</v>
      </c>
      <c r="AF263" s="1" t="n">
        <f aca="false">MAX(0,(AF70+AE121-AE227)*0.25/0.55)</f>
        <v>100.519459766626</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0.213572064837016</v>
      </c>
      <c r="M266" s="1" t="n">
        <f aca="false">IF(M263&gt;0,M262/M263,0)</f>
        <v>0.218606394330319</v>
      </c>
      <c r="N266" s="1" t="n">
        <f aca="false">IF(N263&gt;0,N262/N263,0)</f>
        <v>0.211949597075664</v>
      </c>
      <c r="O266" s="1" t="n">
        <f aca="false">IF(O263&gt;0,O262/O263,0)</f>
        <v>0.206129377105238</v>
      </c>
      <c r="P266" s="1" t="n">
        <f aca="false">IF(P263&gt;0,P262/P263,0)</f>
        <v>0.20006586523674</v>
      </c>
      <c r="Q266" s="1" t="n">
        <f aca="false">IF(Q263&gt;0,Q262/Q263,0)</f>
        <v>0.194611623724131</v>
      </c>
      <c r="R266" s="1" t="n">
        <f aca="false">IF(R263&gt;0,R262/R263,0)</f>
        <v>0.189849901591842</v>
      </c>
      <c r="S266" s="1" t="n">
        <f aca="false">IF(S263&gt;0,S262/S263,0)</f>
        <v>0.185664161475712</v>
      </c>
      <c r="T266" s="1" t="n">
        <f aca="false">IF(T263&gt;0,T262/T263,0)</f>
        <v>0.181956645407907</v>
      </c>
      <c r="U266" s="1" t="n">
        <f aca="false">IF(U263&gt;0,U262/U263,0)</f>
        <v>0.178648146027463</v>
      </c>
      <c r="V266" s="1" t="n">
        <f aca="false">IF(V263&gt;0,V262/V263,0)</f>
        <v>0.175673691618432</v>
      </c>
      <c r="W266" s="1" t="n">
        <f aca="false">IF(W263&gt;0,W262/W263,0)</f>
        <v>0.172978632602317</v>
      </c>
      <c r="X266" s="1" t="n">
        <f aca="false">IF(X263&gt;0,X262/X263,0)</f>
        <v>0.170518249003048</v>
      </c>
      <c r="Y266" s="1" t="n">
        <f aca="false">IF(Y263&gt;0,Y262/Y263,0)</f>
        <v>0.168254629258523</v>
      </c>
      <c r="Z266" s="1" t="n">
        <f aca="false">IF(Z263&gt;0,Z262/Z263,0)</f>
        <v>0.16615539455418</v>
      </c>
      <c r="AA266" s="1" t="n">
        <f aca="false">IF(AA263&gt;0,AA262/AA263,0)</f>
        <v>0.164192904430189</v>
      </c>
      <c r="AB266" s="1" t="n">
        <f aca="false">IF(AB263&gt;0,AB262/AB263,0)</f>
        <v>0.162343478234338</v>
      </c>
      <c r="AC266" s="1" t="n">
        <f aca="false">IF(AC263&gt;0,AC262/AC263,0)</f>
        <v>0.160586740818054</v>
      </c>
      <c r="AD266" s="1" t="n">
        <f aca="false">IF(AD263&gt;0,AD262/AD263,0)</f>
        <v>0.158905124707399</v>
      </c>
      <c r="AE266" s="1" t="n">
        <f aca="false">IF(AE263&gt;0,AE262/AE263,0)</f>
        <v>0.157283470834994</v>
      </c>
      <c r="AF266" s="1" t="n">
        <f aca="false">IF(AF263&gt;0,AF262/AF263,0)</f>
        <v>0.155708701545519</v>
      </c>
    </row>
    <row r="267" customFormat="false" ht="14.25" hidden="false" customHeight="true" outlineLevel="0" collapsed="false">
      <c r="B267" s="1" t="s">
        <v>1262</v>
      </c>
      <c r="C267" s="1" t="n">
        <f aca="false">C120-C264</f>
        <v>17.9458778419531</v>
      </c>
      <c r="D267" s="1" t="n">
        <f aca="false">D120-D264</f>
        <v>33.1304297560563</v>
      </c>
      <c r="E267" s="1" t="n">
        <f aca="false">E120-E264</f>
        <v>50.0573322259453</v>
      </c>
      <c r="F267" s="1" t="n">
        <f aca="false">F120-F264</f>
        <v>61.8768626889668</v>
      </c>
      <c r="G267" s="1" t="n">
        <f aca="false">G120-G264</f>
        <v>72.8710818485565</v>
      </c>
      <c r="H267" s="1" t="n">
        <f aca="false">H120-H264</f>
        <v>85.5296389721001</v>
      </c>
      <c r="I267" s="1" t="n">
        <f aca="false">I120-I264</f>
        <v>99.9444024001686</v>
      </c>
      <c r="J267" s="1" t="n">
        <f aca="false">J120-J264</f>
        <v>115.69230176733</v>
      </c>
      <c r="K267" s="1" t="n">
        <f aca="false">K120-K264</f>
        <v>132.729688256882</v>
      </c>
      <c r="L267" s="1" t="n">
        <f aca="false">L120-L264</f>
        <v>149.806571593554</v>
      </c>
      <c r="M267" s="1" t="n">
        <f aca="false">M120-M264</f>
        <v>149.505279042235</v>
      </c>
      <c r="N267" s="1" t="n">
        <f aca="false">N120-N264</f>
        <v>151.190285421107</v>
      </c>
      <c r="O267" s="1" t="n">
        <f aca="false">O120-O264</f>
        <v>153.215927825828</v>
      </c>
      <c r="P267" s="1" t="n">
        <f aca="false">P120-P264</f>
        <v>154.575970834856</v>
      </c>
      <c r="Q267" s="1" t="n">
        <f aca="false">Q120-Q264</f>
        <v>155.787495340702</v>
      </c>
      <c r="R267" s="1" t="n">
        <f aca="false">R120-R264</f>
        <v>157.044574198891</v>
      </c>
      <c r="S267" s="1" t="n">
        <f aca="false">S120-S264</f>
        <v>158.342544463178</v>
      </c>
      <c r="T267" s="1" t="n">
        <f aca="false">T120-T264</f>
        <v>159.682475492505</v>
      </c>
      <c r="U267" s="1" t="n">
        <f aca="false">U120-U264</f>
        <v>161.065185367178</v>
      </c>
      <c r="V267" s="1" t="n">
        <f aca="false">V120-V264</f>
        <v>162.491511089125</v>
      </c>
      <c r="W267" s="1" t="n">
        <f aca="false">W120-W264</f>
        <v>163.964587106103</v>
      </c>
      <c r="X267" s="1" t="n">
        <f aca="false">X120-X264</f>
        <v>165.485868639549</v>
      </c>
      <c r="Y267" s="1" t="n">
        <f aca="false">Y120-Y264</f>
        <v>167.056599154497</v>
      </c>
      <c r="Z267" s="1" t="n">
        <f aca="false">Z120-Z264</f>
        <v>168.677731597503</v>
      </c>
      <c r="AA267" s="1" t="n">
        <f aca="false">AA120-AA264</f>
        <v>170.350252360526</v>
      </c>
      <c r="AB267" s="1" t="n">
        <f aca="false">AB120-AB264</f>
        <v>172.075132438268</v>
      </c>
      <c r="AC267" s="1" t="n">
        <f aca="false">AC120-AC264</f>
        <v>173.853365902096</v>
      </c>
      <c r="AD267" s="1" t="n">
        <f aca="false">AD120-AD264</f>
        <v>175.685975846516</v>
      </c>
      <c r="AE267" s="1" t="n">
        <f aca="false">AE120-AE264</f>
        <v>177.574022019969</v>
      </c>
      <c r="AF267" s="1" t="n">
        <f aca="false">AF120-AF264</f>
        <v>179.518601338502</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9.38261893793028</v>
      </c>
      <c r="M270" s="1" t="n">
        <f aca="false">01_Supuestos!$C$173*M261</f>
        <v>10.0746445893155</v>
      </c>
      <c r="N270" s="1" t="n">
        <f aca="false">01_Supuestos!$C$173*N261</f>
        <v>10.3414674788401</v>
      </c>
      <c r="O270" s="1" t="n">
        <f aca="false">01_Supuestos!$C$173*O261</f>
        <v>10.6279163462761</v>
      </c>
      <c r="P270" s="1" t="n">
        <f aca="false">01_Supuestos!$C$173*P261</f>
        <v>10.881532664676</v>
      </c>
      <c r="Q270" s="1" t="n">
        <f aca="false">01_Supuestos!$C$173*Q261</f>
        <v>11.1314937829322</v>
      </c>
      <c r="R270" s="1" t="n">
        <f aca="false">01_Supuestos!$C$173*R261</f>
        <v>11.3874498589512</v>
      </c>
      <c r="S270" s="1" t="n">
        <f aca="false">01_Supuestos!$C$173*S261</f>
        <v>11.6492563876721</v>
      </c>
      <c r="T270" s="1" t="n">
        <f aca="false">01_Supuestos!$C$173*T261</f>
        <v>11.9170651025568</v>
      </c>
      <c r="U270" s="1" t="n">
        <f aca="false">01_Supuestos!$C$173*U261</f>
        <v>12.1910163592142</v>
      </c>
      <c r="V270" s="1" t="n">
        <f aca="false">01_Supuestos!$C$173*V261</f>
        <v>12.4712529680461</v>
      </c>
      <c r="W270" s="1" t="n">
        <f aca="false">01_Supuestos!$C$173*W261</f>
        <v>12.7578606138977</v>
      </c>
      <c r="X270" s="1" t="n">
        <f aca="false">01_Supuestos!$C$173*X261</f>
        <v>13.0510171889243</v>
      </c>
      <c r="Y270" s="1" t="n">
        <f aca="false">01_Supuestos!$C$173*Y261</f>
        <v>13.3508918407145</v>
      </c>
      <c r="Z270" s="1" t="n">
        <f aca="false">01_Supuestos!$C$173*Z261</f>
        <v>13.657641030402</v>
      </c>
      <c r="AA270" s="1" t="n">
        <f aca="false">01_Supuestos!$C$173*AA261</f>
        <v>13.9714247928909</v>
      </c>
      <c r="AB270" s="1" t="n">
        <f aca="false">01_Supuestos!$C$173*AB261</f>
        <v>14.2924081459851</v>
      </c>
      <c r="AC270" s="1" t="n">
        <f aca="false">01_Supuestos!$C$173*AC261</f>
        <v>14.6207592205359</v>
      </c>
      <c r="AD270" s="1" t="n">
        <f aca="false">01_Supuestos!$C$173*AD261</f>
        <v>14.9566496236434</v>
      </c>
      <c r="AE270" s="1" t="n">
        <f aca="false">01_Supuestos!$C$173*AE261</f>
        <v>15.3002548871978</v>
      </c>
      <c r="AF270" s="1" t="n">
        <f aca="false">01_Supuestos!$C$173*AF261</f>
        <v>15.6517545603184</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9.38261893793028</v>
      </c>
      <c r="M271" s="1" t="n">
        <f aca="false">MIN(M270,M263)</f>
        <v>10.0746445893155</v>
      </c>
      <c r="N271" s="1" t="n">
        <f aca="false">MIN(N270,N263)</f>
        <v>10.3414674788401</v>
      </c>
      <c r="O271" s="1" t="n">
        <f aca="false">MIN(O270,O263)</f>
        <v>10.6279163462761</v>
      </c>
      <c r="P271" s="1" t="n">
        <f aca="false">MIN(P270,P263)</f>
        <v>10.881532664676</v>
      </c>
      <c r="Q271" s="1" t="n">
        <f aca="false">MIN(Q270,Q263)</f>
        <v>11.1314937829322</v>
      </c>
      <c r="R271" s="1" t="n">
        <f aca="false">MIN(R270,R263)</f>
        <v>11.3874498589512</v>
      </c>
      <c r="S271" s="1" t="n">
        <f aca="false">MIN(S270,S263)</f>
        <v>11.6492563876721</v>
      </c>
      <c r="T271" s="1" t="n">
        <f aca="false">MIN(T270,T263)</f>
        <v>11.9170651025568</v>
      </c>
      <c r="U271" s="1" t="n">
        <f aca="false">MIN(U270,U263)</f>
        <v>12.1910163592142</v>
      </c>
      <c r="V271" s="1" t="n">
        <f aca="false">MIN(V270,V263)</f>
        <v>12.4712529680461</v>
      </c>
      <c r="W271" s="1" t="n">
        <f aca="false">MIN(W270,W263)</f>
        <v>12.7578606138977</v>
      </c>
      <c r="X271" s="1" t="n">
        <f aca="false">MIN(X270,X263)</f>
        <v>13.0510171889243</v>
      </c>
      <c r="Y271" s="1" t="n">
        <f aca="false">MIN(Y270,Y263)</f>
        <v>13.3508918407145</v>
      </c>
      <c r="Z271" s="1" t="n">
        <f aca="false">MIN(Z270,Z263)</f>
        <v>13.657641030402</v>
      </c>
      <c r="AA271" s="1" t="n">
        <f aca="false">MIN(AA270,AA263)</f>
        <v>13.9714247928909</v>
      </c>
      <c r="AB271" s="1" t="n">
        <f aca="false">MIN(AB270,AB263)</f>
        <v>14.2924081459851</v>
      </c>
      <c r="AC271" s="1" t="n">
        <f aca="false">MIN(AC270,AC263)</f>
        <v>14.6207592205359</v>
      </c>
      <c r="AD271" s="1" t="n">
        <f aca="false">MIN(AD270,AD263)</f>
        <v>14.9566496236434</v>
      </c>
      <c r="AE271" s="1" t="n">
        <f aca="false">MIN(AE270,AE263)</f>
        <v>15.3002548871978</v>
      </c>
      <c r="AF271" s="1" t="n">
        <f aca="false">MIN(AF270,AF263)</f>
        <v>15.6517545603184</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0.0938261893793028</v>
      </c>
      <c r="M274" s="1" t="n">
        <f aca="false">IF(01_Supuestos!$C$174="Sí",01_Supuestos!$C$172*M271,01_Supuestos!$I$134*(M271+MIN(MIN(M270-M271,MAX(0,L120)),M264))+$C$10*MAX(0,MIN(M270-M271,MAX(0,L120))-M264))</f>
        <v>0.100746445893155</v>
      </c>
      <c r="N274" s="1" t="n">
        <f aca="false">IF(01_Supuestos!$C$174="Sí",01_Supuestos!$C$172*N271,01_Supuestos!$I$134*(N271+MIN(MIN(N270-N271,MAX(0,M120)),N264))+$C$10*MAX(0,MIN(N270-N271,MAX(0,M120))-N264))</f>
        <v>0.103414674788401</v>
      </c>
      <c r="O274" s="1" t="n">
        <f aca="false">IF(01_Supuestos!$C$174="Sí",01_Supuestos!$C$172*O271,01_Supuestos!$I$134*(O271+MIN(MIN(O270-O271,MAX(0,N120)),O264))+$C$10*MAX(0,MIN(O270-O271,MAX(0,N120))-O264))</f>
        <v>0.106279163462761</v>
      </c>
      <c r="P274" s="1" t="n">
        <f aca="false">IF(01_Supuestos!$C$174="Sí",01_Supuestos!$C$172*P271,01_Supuestos!$I$134*(P271+MIN(MIN(P270-P271,MAX(0,O120)),P264))+$C$10*MAX(0,MIN(P270-P271,MAX(0,O120))-P264))</f>
        <v>0.10881532664676</v>
      </c>
      <c r="Q274" s="1" t="n">
        <f aca="false">IF(01_Supuestos!$C$174="Sí",01_Supuestos!$C$172*Q271,01_Supuestos!$I$134*(Q271+MIN(MIN(Q270-Q271,MAX(0,P120)),Q264))+$C$10*MAX(0,MIN(Q270-Q271,MAX(0,P120))-Q264))</f>
        <v>0.111314937829322</v>
      </c>
      <c r="R274" s="1" t="n">
        <f aca="false">IF(01_Supuestos!$C$174="Sí",01_Supuestos!$C$172*R271,01_Supuestos!$I$134*(R271+MIN(MIN(R270-R271,MAX(0,Q120)),R264))+$C$10*MAX(0,MIN(R270-R271,MAX(0,Q120))-R264))</f>
        <v>0.113874498589512</v>
      </c>
      <c r="S274" s="1" t="n">
        <f aca="false">IF(01_Supuestos!$C$174="Sí",01_Supuestos!$C$172*S271,01_Supuestos!$I$134*(S271+MIN(MIN(S270-S271,MAX(0,R120)),S264))+$C$10*MAX(0,MIN(S270-S271,MAX(0,R120))-S264))</f>
        <v>0.116492563876721</v>
      </c>
      <c r="T274" s="1" t="n">
        <f aca="false">IF(01_Supuestos!$C$174="Sí",01_Supuestos!$C$172*T271,01_Supuestos!$I$134*(T271+MIN(MIN(T270-T271,MAX(0,S120)),T264))+$C$10*MAX(0,MIN(T270-T271,MAX(0,S120))-T264))</f>
        <v>0.119170651025568</v>
      </c>
      <c r="U274" s="1" t="n">
        <f aca="false">IF(01_Supuestos!$C$174="Sí",01_Supuestos!$C$172*U271,01_Supuestos!$I$134*(U271+MIN(MIN(U270-U271,MAX(0,T120)),U264))+$C$10*MAX(0,MIN(U270-U271,MAX(0,T120))-U264))</f>
        <v>0.121910163592142</v>
      </c>
      <c r="V274" s="1" t="n">
        <f aca="false">IF(01_Supuestos!$C$174="Sí",01_Supuestos!$C$172*V271,01_Supuestos!$I$134*(V271+MIN(MIN(V270-V271,MAX(0,U120)),V264))+$C$10*MAX(0,MIN(V270-V271,MAX(0,U120))-V264))</f>
        <v>0.124712529680461</v>
      </c>
      <c r="W274" s="1" t="n">
        <f aca="false">IF(01_Supuestos!$C$174="Sí",01_Supuestos!$C$172*W271,01_Supuestos!$I$134*(W271+MIN(MIN(W270-W271,MAX(0,V120)),W264))+$C$10*MAX(0,MIN(W270-W271,MAX(0,V120))-W264))</f>
        <v>0.127578606138977</v>
      </c>
      <c r="X274" s="1" t="n">
        <f aca="false">IF(01_Supuestos!$C$174="Sí",01_Supuestos!$C$172*X271,01_Supuestos!$I$134*(X271+MIN(MIN(X270-X271,MAX(0,W120)),X264))+$C$10*MAX(0,MIN(X270-X271,MAX(0,W120))-X264))</f>
        <v>0.130510171889243</v>
      </c>
      <c r="Y274" s="1" t="n">
        <f aca="false">IF(01_Supuestos!$C$174="Sí",01_Supuestos!$C$172*Y271,01_Supuestos!$I$134*(Y271+MIN(MIN(Y270-Y271,MAX(0,X120)),Y264))+$C$10*MAX(0,MIN(Y270-Y271,MAX(0,X120))-Y264))</f>
        <v>0.133508918407145</v>
      </c>
      <c r="Z274" s="1" t="n">
        <f aca="false">IF(01_Supuestos!$C$174="Sí",01_Supuestos!$C$172*Z271,01_Supuestos!$I$134*(Z271+MIN(MIN(Z270-Z271,MAX(0,Y120)),Z264))+$C$10*MAX(0,MIN(Z270-Z271,MAX(0,Y120))-Z264))</f>
        <v>0.13657641030402</v>
      </c>
      <c r="AA274" s="1" t="n">
        <f aca="false">IF(01_Supuestos!$C$174="Sí",01_Supuestos!$C$172*AA271,01_Supuestos!$I$134*(AA271+MIN(MIN(AA270-AA271,MAX(0,Z120)),AA264))+$C$10*MAX(0,MIN(AA270-AA271,MAX(0,Z120))-AA264))</f>
        <v>0.139714247928909</v>
      </c>
      <c r="AB274" s="1" t="n">
        <f aca="false">IF(01_Supuestos!$C$174="Sí",01_Supuestos!$C$172*AB271,01_Supuestos!$I$134*(AB271+MIN(MIN(AB270-AB271,MAX(0,AA120)),AB264))+$C$10*MAX(0,MIN(AB270-AB271,MAX(0,AA120))-AB264))</f>
        <v>0.142924081459851</v>
      </c>
      <c r="AC274" s="1" t="n">
        <f aca="false">IF(01_Supuestos!$C$174="Sí",01_Supuestos!$C$172*AC271,01_Supuestos!$I$134*(AC271+MIN(MIN(AC270-AC271,MAX(0,AB120)),AC264))+$C$10*MAX(0,MIN(AC270-AC271,MAX(0,AB120))-AC264))</f>
        <v>0.146207592205359</v>
      </c>
      <c r="AD274" s="1" t="n">
        <f aca="false">IF(01_Supuestos!$C$174="Sí",01_Supuestos!$C$172*AD271,01_Supuestos!$I$134*(AD271+MIN(MIN(AD270-AD271,MAX(0,AC120)),AD264))+$C$10*MAX(0,MIN(AD270-AD271,MAX(0,AC120))-AD264))</f>
        <v>0.149566496236434</v>
      </c>
      <c r="AE274" s="1" t="n">
        <f aca="false">IF(01_Supuestos!$C$174="Sí",01_Supuestos!$C$172*AE271,01_Supuestos!$I$134*(AE271+MIN(MIN(AE270-AE271,MAX(0,AD120)),AE264))+$C$10*MAX(0,MIN(AE270-AE271,MAX(0,AD120))-AE264))</f>
        <v>0.153002548871978</v>
      </c>
      <c r="AF274" s="1" t="n">
        <f aca="false">IF(01_Supuestos!$C$174="Sí",01_Supuestos!$C$172*AF271,01_Supuestos!$I$134*(AF271+MIN(MIN(AF270-AF271,MAX(0,AE120)),AF264))+$C$10*MAX(0,MIN(AF270-AF271,MAX(0,AE120))-AF264))</f>
        <v>0.156517545603184</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33.1304297560563</v>
      </c>
      <c r="E276" s="1" t="n">
        <f aca="false">E120-MAX(E264,E272)</f>
        <v>50.0573322259453</v>
      </c>
      <c r="F276" s="1" t="n">
        <f aca="false">F120-MAX(F264,F272)</f>
        <v>61.8768626889668</v>
      </c>
      <c r="G276" s="1" t="n">
        <f aca="false">G120-MAX(G264,G272)</f>
        <v>72.8710818485565</v>
      </c>
      <c r="H276" s="1" t="n">
        <f aca="false">H120-MAX(H264,H272)</f>
        <v>85.5296389721001</v>
      </c>
      <c r="I276" s="1" t="n">
        <f aca="false">I120-MAX(I264,I272)</f>
        <v>99.9444024001686</v>
      </c>
      <c r="J276" s="1" t="n">
        <f aca="false">J120-MAX(J264,J272)</f>
        <v>115.69230176733</v>
      </c>
      <c r="K276" s="1" t="n">
        <f aca="false">K120-MAX(K264,K272)</f>
        <v>132.729688256882</v>
      </c>
      <c r="L276" s="1" t="n">
        <f aca="false">L120-MAX(L264,L272)</f>
        <v>149.806571593554</v>
      </c>
      <c r="M276" s="1" t="n">
        <f aca="false">M120-MAX(M264,M272)</f>
        <v>149.505279042235</v>
      </c>
      <c r="N276" s="1" t="n">
        <f aca="false">N120-MAX(N264,N272)</f>
        <v>151.190285421107</v>
      </c>
      <c r="O276" s="1" t="n">
        <f aca="false">O120-MAX(O264,O272)</f>
        <v>153.215927825828</v>
      </c>
      <c r="P276" s="1" t="n">
        <f aca="false">P120-MAX(P264,P272)</f>
        <v>154.575970834856</v>
      </c>
      <c r="Q276" s="1" t="n">
        <f aca="false">Q120-MAX(Q264,Q272)</f>
        <v>155.787495340702</v>
      </c>
      <c r="R276" s="1" t="n">
        <f aca="false">R120-MAX(R264,R272)</f>
        <v>157.044574198891</v>
      </c>
      <c r="S276" s="1" t="n">
        <f aca="false">S120-MAX(S264,S272)</f>
        <v>158.342544463178</v>
      </c>
      <c r="T276" s="1" t="n">
        <f aca="false">T120-MAX(T264,T272)</f>
        <v>159.682475492505</v>
      </c>
      <c r="U276" s="1" t="n">
        <f aca="false">U120-MAX(U264,U272)</f>
        <v>161.065185367178</v>
      </c>
      <c r="V276" s="1" t="n">
        <f aca="false">V120-MAX(V264,V272)</f>
        <v>162.491511089125</v>
      </c>
      <c r="W276" s="1" t="n">
        <f aca="false">W120-MAX(W264,W272)</f>
        <v>163.964587106103</v>
      </c>
      <c r="X276" s="1" t="n">
        <f aca="false">X120-MAX(X264,X272)</f>
        <v>165.485868639549</v>
      </c>
      <c r="Y276" s="1" t="n">
        <f aca="false">Y120-MAX(Y264,Y272)</f>
        <v>167.056599154497</v>
      </c>
      <c r="Z276" s="1" t="n">
        <f aca="false">Z120-MAX(Z264,Z272)</f>
        <v>168.677731597503</v>
      </c>
      <c r="AA276" s="1" t="n">
        <f aca="false">AA120-MAX(AA264,AA272)</f>
        <v>170.350252360526</v>
      </c>
      <c r="AB276" s="1" t="n">
        <f aca="false">AB120-MAX(AB264,AB272)</f>
        <v>172.075132438268</v>
      </c>
      <c r="AC276" s="1" t="n">
        <f aca="false">AC120-MAX(AC264,AC272)</f>
        <v>173.853365902096</v>
      </c>
      <c r="AD276" s="1" t="n">
        <f aca="false">AD120-MAX(AD264,AD272)</f>
        <v>175.685975846516</v>
      </c>
      <c r="AE276" s="1" t="n">
        <f aca="false">AE120-MAX(AE264,AE272)</f>
        <v>177.574022019969</v>
      </c>
      <c r="AF276" s="1" t="n">
        <f aca="false">AF120-MAX(AF264,AF272)</f>
        <v>179.518601338502</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39.9514227809955</v>
      </c>
      <c r="M284" s="1" t="n">
        <f aca="false">$C$279*M87</f>
        <v>49.1135472920277</v>
      </c>
      <c r="N284" s="1" t="n">
        <f aca="false">$C$279*N87</f>
        <v>52.852463476498</v>
      </c>
      <c r="O284" s="1" t="n">
        <f aca="false">$C$279*O87</f>
        <v>53.96070114928</v>
      </c>
      <c r="P284" s="1" t="n">
        <f aca="false">$C$279*P87</f>
        <v>55.1825546945236</v>
      </c>
      <c r="Q284" s="1" t="n">
        <f aca="false">$C$279*Q87</f>
        <v>56.4369334414969</v>
      </c>
      <c r="R284" s="1" t="n">
        <f aca="false">$C$279*R87</f>
        <v>57.7278970232658</v>
      </c>
      <c r="S284" s="1" t="n">
        <f aca="false">$C$279*S87</f>
        <v>59.05597979663</v>
      </c>
      <c r="T284" s="1" t="n">
        <f aca="false">$C$279*T87</f>
        <v>60.4215310701154</v>
      </c>
      <c r="U284" s="1" t="n">
        <f aca="false">$C$279*U87</f>
        <v>61.8249288733235</v>
      </c>
      <c r="V284" s="1" t="n">
        <f aca="false">$C$279*V87</f>
        <v>63.2665730007769</v>
      </c>
      <c r="W284" s="1" t="n">
        <f aca="false">$C$279*W87</f>
        <v>64.7512585736727</v>
      </c>
      <c r="X284" s="1" t="n">
        <f aca="false">$C$279*X87</f>
        <v>66.2794034638573</v>
      </c>
      <c r="Y284" s="1" t="n">
        <f aca="false">$C$279*Y87</f>
        <v>67.8514425353566</v>
      </c>
      <c r="Z284" s="1" t="n">
        <f aca="false">$C$279*Z87</f>
        <v>69.4678290053208</v>
      </c>
      <c r="AA284" s="1" t="n">
        <f aca="false">$C$279*AA87</f>
        <v>71.1290341702643</v>
      </c>
      <c r="AB284" s="1" t="n">
        <f aca="false">$C$279*AB87</f>
        <v>72.8354516678977</v>
      </c>
      <c r="AC284" s="1" t="n">
        <f aca="false">$C$279*AC87</f>
        <v>74.5874944128325</v>
      </c>
      <c r="AD284" s="1" t="n">
        <f aca="false">$C$279*AD87</f>
        <v>76.3855942998467</v>
      </c>
      <c r="AE284" s="1" t="n">
        <f aca="false">$C$279*AE87</f>
        <v>78.2302019042576</v>
      </c>
      <c r="AF284" s="1" t="n">
        <f aca="false">$C$279*AF87</f>
        <v>80.1217862144597</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1.99557356791073</v>
      </c>
      <c r="N285" s="1" t="n">
        <f aca="false">MAX(M284*(1-$C$340)/$C$280,M284-N341-N284)</f>
        <v>2.45322168723678</v>
      </c>
      <c r="O285" s="1" t="n">
        <f aca="false">MAX(N284*(1-$C$340)/$C$280,N284-O341-O284)</f>
        <v>2.63998055065108</v>
      </c>
      <c r="P285" s="1" t="n">
        <f aca="false">MAX(O284*(1-$C$340)/$C$280,O284-P341-P284)</f>
        <v>2.69533702240654</v>
      </c>
      <c r="Q285" s="1" t="n">
        <f aca="false">MAX(P284*(1-$C$340)/$C$280,P284-Q341-Q284)</f>
        <v>2.75636860699145</v>
      </c>
      <c r="R285" s="1" t="n">
        <f aca="false">MAX(Q284*(1-$C$340)/$C$280,Q284-R341-R284)</f>
        <v>2.81902482540277</v>
      </c>
      <c r="S285" s="1" t="n">
        <f aca="false">MAX(R284*(1-$C$340)/$C$280,R284-S341-S284)</f>
        <v>2.88350845631212</v>
      </c>
      <c r="T285" s="1" t="n">
        <f aca="false">MAX(S284*(1-$C$340)/$C$280,S284-T341-T284)</f>
        <v>2.94984619084167</v>
      </c>
      <c r="U285" s="1" t="n">
        <f aca="false">MAX(T284*(1-$C$340)/$C$280,T284-U341-U284)</f>
        <v>3.01805547695226</v>
      </c>
      <c r="V285" s="1" t="n">
        <f aca="false">MAX(U284*(1-$C$340)/$C$280,U284-V341-V284)</f>
        <v>3.08815519722251</v>
      </c>
      <c r="W285" s="1" t="n">
        <f aca="false">MAX(V284*(1-$C$340)/$C$280,V284-W341-W284)</f>
        <v>3.16016532138881</v>
      </c>
      <c r="X285" s="1" t="n">
        <f aca="false">MAX(W284*(1-$C$340)/$C$280,W284-X341-X284)</f>
        <v>3.23432536575495</v>
      </c>
      <c r="Y285" s="1" t="n">
        <f aca="false">MAX(X284*(1-$C$340)/$C$280,X284-Y341-Y284)</f>
        <v>3.31065620301967</v>
      </c>
      <c r="Z285" s="1" t="n">
        <f aca="false">MAX(Y284*(1-$C$340)/$C$280,Y284-Z341-Z284)</f>
        <v>3.38917955464106</v>
      </c>
      <c r="AA285" s="1" t="n">
        <f aca="false">MAX(Z284*(1-$C$340)/$C$280,Z284-AA341-AA284)</f>
        <v>3.46991805881577</v>
      </c>
      <c r="AB285" s="1" t="n">
        <f aca="false">MAX(AA284*(1-$C$340)/$C$280,AA284-AB341-AB284)</f>
        <v>3.5528952568047</v>
      </c>
      <c r="AC285" s="1" t="n">
        <f aca="false">MAX(AB284*(1-$C$340)/$C$280,AB284-AC341-AC284)</f>
        <v>3.63813081081149</v>
      </c>
      <c r="AD285" s="1" t="n">
        <f aca="false">MAX(AC284*(1-$C$340)/$C$280,AC284-AD341-AD284)</f>
        <v>3.72564534592099</v>
      </c>
      <c r="AE285" s="1" t="n">
        <f aca="false">MAX(AD284*(1-$C$340)/$C$280,AD284-AE341-AE284)</f>
        <v>3.81546043527734</v>
      </c>
      <c r="AF285" s="1" t="n">
        <f aca="false">MAX(AE284*(1-$C$340)/$C$280,AE284-AF341-AF284)</f>
        <v>3.90759858511767</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7.45416979233936</v>
      </c>
      <c r="M286" s="1" t="n">
        <f aca="false">M284-L284+M285+M341</f>
        <v>11.1976495017238</v>
      </c>
      <c r="N286" s="1" t="n">
        <f aca="false">N284-M284+N285+N341</f>
        <v>6.24125141899916</v>
      </c>
      <c r="O286" s="1" t="n">
        <f aca="false">O284-N284+O285+O341</f>
        <v>3.8010706869096</v>
      </c>
      <c r="P286" s="1" t="n">
        <f aca="false">P284-O284+P285+P341</f>
        <v>3.97115126879937</v>
      </c>
      <c r="Q286" s="1" t="n">
        <f aca="false">Q284-P284+Q285+Q341</f>
        <v>4.06592990865933</v>
      </c>
      <c r="R286" s="1" t="n">
        <f aca="false">R284-Q284+R285+R341</f>
        <v>4.16642534061309</v>
      </c>
      <c r="S286" s="1" t="n">
        <f aca="false">S284-R284+S285+S341</f>
        <v>4.26931912669959</v>
      </c>
      <c r="T286" s="1" t="n">
        <f aca="false">T284-S284+T285+T341</f>
        <v>4.37445344412373</v>
      </c>
      <c r="U286" s="1" t="n">
        <f aca="false">U284-T284+U285+U341</f>
        <v>4.48187481123052</v>
      </c>
      <c r="V286" s="1" t="n">
        <f aca="false">V284-U284+V285+V341</f>
        <v>4.59162425354924</v>
      </c>
      <c r="W286" s="1" t="n">
        <f aca="false">W284-V284+W285+W341</f>
        <v>4.70811746728536</v>
      </c>
      <c r="X286" s="1" t="n">
        <f aca="false">X284-W284+X285+X341</f>
        <v>4.82722151451325</v>
      </c>
      <c r="Y286" s="1" t="n">
        <f aca="false">Y284-X284+Y285+Y341</f>
        <v>4.94897467798281</v>
      </c>
      <c r="Z286" s="1" t="n">
        <f aca="false">Z284-Y284+Z285+Z341</f>
        <v>5.07341746714059</v>
      </c>
      <c r="AA286" s="1" t="n">
        <f aca="false">AA284-Z284+AA285+AA341</f>
        <v>5.20059105276465</v>
      </c>
      <c r="AB286" s="1" t="n">
        <f aca="false">AB284-AA284+AB285+AB341</f>
        <v>5.33044178860829</v>
      </c>
      <c r="AC286" s="1" t="n">
        <f aca="false">AC284-AB284+AC285+AC341</f>
        <v>5.46300900741427</v>
      </c>
      <c r="AD286" s="1" t="n">
        <f aca="false">AD284-AC284+AD285+AD341</f>
        <v>5.59833272734802</v>
      </c>
      <c r="AE286" s="1" t="n">
        <f aca="false">AE284-AD284+AE285+AE341</f>
        <v>5.73645363398807</v>
      </c>
      <c r="AF286" s="1" t="n">
        <f aca="false">AF284-AE284+AF285+AF341</f>
        <v>5.87741309722402</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1.71619326840322</v>
      </c>
      <c r="M287" s="1" t="n">
        <f aca="false">M284*(1-$C$340)*$C$175</f>
        <v>2.10977065102363</v>
      </c>
      <c r="N287" s="1" t="n">
        <f aca="false">N284*(1-$C$340)*$C$175</f>
        <v>2.27038327355992</v>
      </c>
      <c r="O287" s="1" t="n">
        <f aca="false">O284*(1-$C$340)*$C$175</f>
        <v>2.31798983926962</v>
      </c>
      <c r="P287" s="1" t="n">
        <f aca="false">P284*(1-$C$340)*$C$175</f>
        <v>2.37047700201265</v>
      </c>
      <c r="Q287" s="1" t="n">
        <f aca="false">Q284*(1-$C$340)*$C$175</f>
        <v>2.42436134984638</v>
      </c>
      <c r="R287" s="1" t="n">
        <f aca="false">R284*(1-$C$340)*$C$175</f>
        <v>2.47981727242843</v>
      </c>
      <c r="S287" s="1" t="n">
        <f aca="false">S284*(1-$C$340)*$C$175</f>
        <v>2.53686772412383</v>
      </c>
      <c r="T287" s="1" t="n">
        <f aca="false">T284*(1-$C$340)*$C$175</f>
        <v>2.59552771017895</v>
      </c>
      <c r="U287" s="1" t="n">
        <f aca="false">U284*(1-$C$340)*$C$175</f>
        <v>2.65581346961136</v>
      </c>
      <c r="V287" s="1" t="n">
        <f aca="false">V284*(1-$C$340)*$C$175</f>
        <v>2.71774217639438</v>
      </c>
      <c r="W287" s="1" t="n">
        <f aca="false">W284*(1-$C$340)*$C$175</f>
        <v>2.78151981454926</v>
      </c>
      <c r="X287" s="1" t="n">
        <f aca="false">X284*(1-$C$340)*$C$175</f>
        <v>2.84716433459692</v>
      </c>
      <c r="Y287" s="1" t="n">
        <f aca="false">Y284*(1-$C$340)*$C$175</f>
        <v>2.91469441699131</v>
      </c>
      <c r="Z287" s="1" t="n">
        <f aca="false">Z284*(1-$C$340)*$C$175</f>
        <v>2.98412953058156</v>
      </c>
      <c r="AA287" s="1" t="n">
        <f aca="false">AA284*(1-$C$340)*$C$175</f>
        <v>3.05548992085204</v>
      </c>
      <c r="AB287" s="1" t="n">
        <f aca="false">AB284*(1-$C$340)*$C$175</f>
        <v>3.12879249729788</v>
      </c>
      <c r="AC287" s="1" t="n">
        <f aca="false">AC284*(1-$C$340)*$C$175</f>
        <v>3.20405499749205</v>
      </c>
      <c r="AD287" s="1" t="n">
        <f aca="false">AD284*(1-$C$340)*$C$175</f>
        <v>3.28129597433852</v>
      </c>
      <c r="AE287" s="1" t="n">
        <f aca="false">AE284*(1-$C$340)*$C$175</f>
        <v>3.36053478320119</v>
      </c>
      <c r="AF287" s="1" t="n">
        <f aca="false">AF284*(1-$C$340)*$C$175</f>
        <v>3.44179157041455</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55.171012411851</v>
      </c>
      <c r="M289" s="1" t="n">
        <f aca="false">(1-$C$279)*M87</f>
        <v>67.823470069943</v>
      </c>
      <c r="N289" s="1" t="n">
        <f aca="false">(1-$C$279)*N87</f>
        <v>72.9867352770687</v>
      </c>
      <c r="O289" s="1" t="n">
        <f aca="false">(1-$C$279)*O87</f>
        <v>74.5171587299581</v>
      </c>
      <c r="P289" s="1" t="n">
        <f aca="false">(1-$C$279)*P87</f>
        <v>76.2044802924373</v>
      </c>
      <c r="Q289" s="1" t="n">
        <f aca="false">(1-$C$279)*Q87</f>
        <v>77.9367176096863</v>
      </c>
      <c r="R289" s="1" t="n">
        <f aca="false">(1-$C$279)*R87</f>
        <v>79.7194768416527</v>
      </c>
      <c r="S289" s="1" t="n">
        <f aca="false">(1-$C$279)*S87</f>
        <v>81.5534959096319</v>
      </c>
      <c r="T289" s="1" t="n">
        <f aca="false">(1-$C$279)*T87</f>
        <v>83.4392571920641</v>
      </c>
      <c r="U289" s="1" t="n">
        <f aca="false">(1-$C$279)*U87</f>
        <v>85.3772827298278</v>
      </c>
      <c r="V289" s="1" t="n">
        <f aca="false">(1-$C$279)*V87</f>
        <v>87.3681246201205</v>
      </c>
      <c r="W289" s="1" t="n">
        <f aca="false">(1-$C$279)*W87</f>
        <v>89.4184046969766</v>
      </c>
      <c r="X289" s="1" t="n">
        <f aca="false">(1-$C$279)*X87</f>
        <v>91.5287000215173</v>
      </c>
      <c r="Y289" s="1" t="n">
        <f aca="false">(1-$C$279)*Y87</f>
        <v>93.6996111202544</v>
      </c>
      <c r="Z289" s="1" t="n">
        <f aca="false">(1-$C$279)*Z87</f>
        <v>95.9317638644906</v>
      </c>
      <c r="AA289" s="1" t="n">
        <f aca="false">(1-$C$279)*AA87</f>
        <v>98.2258090922698</v>
      </c>
      <c r="AB289" s="1" t="n">
        <f aca="false">(1-$C$279)*AB87</f>
        <v>100.582290398525</v>
      </c>
      <c r="AC289" s="1" t="n">
        <f aca="false">(1-$C$279)*AC87</f>
        <v>103.001777998674</v>
      </c>
      <c r="AD289" s="1" t="n">
        <f aca="false">(1-$C$279)*AD87</f>
        <v>105.484868318836</v>
      </c>
      <c r="AE289" s="1" t="n">
        <f aca="false">(1-$C$279)*AE87</f>
        <v>108.03218358207</v>
      </c>
      <c r="AF289" s="1" t="n">
        <f aca="false">(1-$C$279)*AF87</f>
        <v>110.644371439016</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11.0231682798878</v>
      </c>
      <c r="N290" s="1" t="n">
        <f aca="false">MAX(M289*(1-$C$340)/$C$281+IF(AND(01_Supuestos!$C$189&gt;0,N$39=01_Supuestos!$C$189),01_Supuestos!$C$190*M289*(1-$C$340)*(1-1/$C$281),0),M289-N342-N289)</f>
        <v>13.5511293199746</v>
      </c>
      <c r="O290" s="1" t="n">
        <f aca="false">MAX(N289*(1-$C$340)/$C$281+IF(AND(01_Supuestos!$C$189&gt;0,O$39=01_Supuestos!$C$189),01_Supuestos!$C$190*N289*(1-$C$340)*(1-1/$C$281),0),N289-O342-O289)</f>
        <v>14.5827497083583</v>
      </c>
      <c r="P290" s="1" t="n">
        <f aca="false">MAX(O289*(1-$C$340)/$C$281+IF(AND(01_Supuestos!$C$189&gt;0,P$39=01_Supuestos!$C$189),01_Supuestos!$C$190*O289*(1-$C$340)*(1-1/$C$281),0),O289-P342-P289)</f>
        <v>14.8885283142456</v>
      </c>
      <c r="Q290" s="1" t="n">
        <f aca="false">MAX(P289*(1-$C$340)/$C$281+IF(AND(01_Supuestos!$C$189&gt;0,Q$39=01_Supuestos!$C$189),01_Supuestos!$C$190*P289*(1-$C$340)*(1-1/$C$281),0),P289-Q342-Q289)</f>
        <v>15.225655162429</v>
      </c>
      <c r="R290" s="1" t="n">
        <f aca="false">MAX(Q289*(1-$C$340)/$C$281+IF(AND(01_Supuestos!$C$189&gt;0,R$39=01_Supuestos!$C$189),01_Supuestos!$C$190*Q289*(1-$C$340)*(1-1/$C$281),0),Q289-R342-R289)</f>
        <v>15.5717561784153</v>
      </c>
      <c r="S290" s="1" t="n">
        <f aca="false">MAX(R289*(1-$C$340)/$C$281+IF(AND(01_Supuestos!$C$189&gt;0,S$39=01_Supuestos!$C$189),01_Supuestos!$C$190*R289*(1-$C$340)*(1-1/$C$281),0),R289-S342-S289)</f>
        <v>15.9279514729622</v>
      </c>
      <c r="T290" s="1" t="n">
        <f aca="false">MAX(S289*(1-$C$340)/$C$281+IF(AND(01_Supuestos!$C$189&gt;0,T$39=01_Supuestos!$C$189),01_Supuestos!$C$190*S289*(1-$C$340)*(1-1/$C$281),0),S289-T342-T289)</f>
        <v>16.2943884827444</v>
      </c>
      <c r="U290" s="1" t="n">
        <f aca="false">MAX(T289*(1-$C$340)/$C$281+IF(AND(01_Supuestos!$C$189&gt;0,U$39=01_Supuestos!$C$189),01_Supuestos!$C$190*T289*(1-$C$340)*(1-1/$C$281),0),T289-U342-U289)</f>
        <v>16.6711635869744</v>
      </c>
      <c r="V290" s="1" t="n">
        <f aca="false">MAX(U289*(1-$C$340)/$C$281+IF(AND(01_Supuestos!$C$189&gt;0,V$39=01_Supuestos!$C$189),01_Supuestos!$C$190*U289*(1-$C$340)*(1-1/$C$281),0),U289-V342-V289)</f>
        <v>17.0583810894196</v>
      </c>
      <c r="W290" s="1" t="n">
        <f aca="false">MAX(V289*(1-$C$340)/$C$281+IF(AND(01_Supuestos!$C$189&gt;0,W$39=01_Supuestos!$C$189),01_Supuestos!$C$190*V289*(1-$C$340)*(1-1/$C$281),0),V289-W342-W289)</f>
        <v>17.4561512991001</v>
      </c>
      <c r="X290" s="1" t="n">
        <f aca="false">MAX(W289*(1-$C$340)/$C$281+IF(AND(01_Supuestos!$C$189&gt;0,X$39=01_Supuestos!$C$189),01_Supuestos!$C$190*W289*(1-$C$340)*(1-1/$C$281),0),W289-X342-X289)</f>
        <v>17.8657972584559</v>
      </c>
      <c r="Y290" s="1" t="n">
        <f aca="false">MAX(X289*(1-$C$340)/$C$281+IF(AND(01_Supuestos!$C$189&gt;0,Y$39=01_Supuestos!$C$189),01_Supuestos!$C$190*X289*(1-$C$340)*(1-1/$C$281),0),X289-Y342-Y289)</f>
        <v>18.2874342642992</v>
      </c>
      <c r="Z290" s="1" t="n">
        <f aca="false">MAX(Y289*(1-$C$340)/$C$281+IF(AND(01_Supuestos!$C$189&gt;0,Z$39=01_Supuestos!$C$189),01_Supuestos!$C$190*Y289*(1-$C$340)*(1-1/$C$281),0),Y289-Z342-Z289)</f>
        <v>18.7211823018268</v>
      </c>
      <c r="AA290" s="1" t="n">
        <f aca="false">MAX(Z289*(1-$C$340)/$C$281+IF(AND(01_Supuestos!$C$189&gt;0,AA$39=01_Supuestos!$C$189),01_Supuestos!$C$190*Z289*(1-$C$340)*(1-1/$C$281),0),Z289-AA342-AA289)</f>
        <v>19.1671664201252</v>
      </c>
      <c r="AB290" s="1" t="n">
        <f aca="false">MAX(AA289*(1-$C$340)/$C$281+IF(AND(01_Supuestos!$C$189&gt;0,AB$39=01_Supuestos!$C$189),01_Supuestos!$C$190*AA289*(1-$C$340)*(1-1/$C$281),0),AA289-AB342-AB289)</f>
        <v>19.6255166566355</v>
      </c>
      <c r="AC290" s="1" t="n">
        <f aca="false">MAX(AB289*(1-$C$340)/$C$281+IF(AND(01_Supuestos!$C$189&gt;0,AC$39=01_Supuestos!$C$189),01_Supuestos!$C$190*AB289*(1-$C$340)*(1-1/$C$281),0),AB289-AC342-AC289)</f>
        <v>20.0963416216254</v>
      </c>
      <c r="AD290" s="1" t="n">
        <f aca="false">MAX(AC289*(1-$C$340)/$C$281+IF(AND(01_Supuestos!$C$189&gt;0,AD$39=01_Supuestos!$C$189),01_Supuestos!$C$190*AC289*(1-$C$340)*(1-1/$C$281),0),AC289-AD342-AD289)</f>
        <v>20.579755244135</v>
      </c>
      <c r="AE290" s="1" t="n">
        <f aca="false">MAX(AD289*(1-$C$340)/$C$281+IF(AND(01_Supuestos!$C$189&gt;0,AE$39=01_Supuestos!$C$189),01_Supuestos!$C$190*AD289*(1-$C$340)*(1-1/$C$281),0),AD289-AE342-AE289)</f>
        <v>21.0758766901034</v>
      </c>
      <c r="AF290" s="1" t="n">
        <f aca="false">MAX(AE289*(1-$C$340)/$C$281+IF(AND(01_Supuestos!$C$189&gt;0,AF$39=01_Supuestos!$C$189),01_Supuestos!$C$190*AE289*(1-$C$340)*(1-1/$C$281),0),AE289-AF342-AF289)</f>
        <v>21.5848302796976</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17.3797207157696</v>
      </c>
      <c r="M291" s="1" t="n">
        <f aca="false">M289-L289+M290+M342</f>
        <v>23.7307969503917</v>
      </c>
      <c r="N291" s="1" t="n">
        <f aca="false">N289-M289+N290+N342</f>
        <v>18.7822179971703</v>
      </c>
      <c r="O291" s="1" t="n">
        <f aca="false">O289-N289+O290+O342</f>
        <v>16.1861598965249</v>
      </c>
      <c r="P291" s="1" t="n">
        <f aca="false">P289-O289+P290+P342</f>
        <v>16.6503670354548</v>
      </c>
      <c r="Q291" s="1" t="n">
        <f aca="false">Q289-P289+Q290+Q342</f>
        <v>17.0340969599703</v>
      </c>
      <c r="R291" s="1" t="n">
        <f aca="false">R289-Q289+R290+R342</f>
        <v>17.4324521279915</v>
      </c>
      <c r="S291" s="1" t="n">
        <f aca="false">S289-R289+S290+S342</f>
        <v>17.841690017783</v>
      </c>
      <c r="T291" s="1" t="n">
        <f aca="false">T289-S289+T290+T342</f>
        <v>18.2617032610863</v>
      </c>
      <c r="U291" s="1" t="n">
        <f aca="false">U289-T289+U290+U342</f>
        <v>18.6926283819301</v>
      </c>
      <c r="V291" s="1" t="n">
        <f aca="false">V289-U289+V290+V342</f>
        <v>19.1346002624422</v>
      </c>
      <c r="W291" s="1" t="n">
        <f aca="false">W289-V289+W290+W342</f>
        <v>19.5937995005763</v>
      </c>
      <c r="X291" s="1" t="n">
        <f aca="false">X289-W289+X290+X342</f>
        <v>20.0655109876936</v>
      </c>
      <c r="Y291" s="1" t="n">
        <f aca="false">Y289-X289+Y290+Y342</f>
        <v>20.5498740630578</v>
      </c>
      <c r="Z291" s="1" t="n">
        <f aca="false">Z289-Y289+Z290+Z342</f>
        <v>21.0470346571833</v>
      </c>
      <c r="AA291" s="1" t="n">
        <f aca="false">AA289-Z289+AA290+AA342</f>
        <v>21.5571434117689</v>
      </c>
      <c r="AB291" s="1" t="n">
        <f aca="false">AB289-AA289+AB290+AB342</f>
        <v>22.0802237719833</v>
      </c>
      <c r="AC291" s="1" t="n">
        <f aca="false">AC289-AB289+AC290+AC342</f>
        <v>22.6164115121721</v>
      </c>
      <c r="AD291" s="1" t="n">
        <f aca="false">AD289-AC289+AD290+AD342</f>
        <v>23.1658473422961</v>
      </c>
      <c r="AE291" s="1" t="n">
        <f aca="false">AE289-AD289+AE290+AE342</f>
        <v>23.7286768216564</v>
      </c>
      <c r="AF291" s="1" t="n">
        <f aca="false">AF289-AE289+AF290+AF342</f>
        <v>24.3050503202254</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2.36998118017588</v>
      </c>
      <c r="M292" s="1" t="n">
        <f aca="false">M289*(1-$C$340)*$C$175</f>
        <v>2.91349280379454</v>
      </c>
      <c r="N292" s="1" t="n">
        <f aca="false">N289*(1-$C$340)*$C$175</f>
        <v>3.13529118729704</v>
      </c>
      <c r="O292" s="1" t="n">
        <f aca="false">O289*(1-$C$340)*$C$175</f>
        <v>3.20103358756281</v>
      </c>
      <c r="P292" s="1" t="n">
        <f aca="false">P289*(1-$C$340)*$C$175</f>
        <v>3.27351585992223</v>
      </c>
      <c r="Q292" s="1" t="n">
        <f aca="false">Q289*(1-$C$340)*$C$175</f>
        <v>3.34792757835929</v>
      </c>
      <c r="R292" s="1" t="n">
        <f aca="false">R289*(1-$C$340)*$C$175</f>
        <v>3.42450956668688</v>
      </c>
      <c r="S292" s="1" t="n">
        <f aca="false">S289*(1-$C$340)*$C$175</f>
        <v>3.50329352379006</v>
      </c>
      <c r="T292" s="1" t="n">
        <f aca="false">T289*(1-$C$340)*$C$175</f>
        <v>3.5843001711995</v>
      </c>
      <c r="U292" s="1" t="n">
        <f aca="false">U289*(1-$C$340)*$C$175</f>
        <v>3.66755193422521</v>
      </c>
      <c r="V292" s="1" t="n">
        <f aca="false">V289*(1-$C$340)*$C$175</f>
        <v>3.75307252930652</v>
      </c>
      <c r="W292" s="1" t="n">
        <f aca="false">W289*(1-$C$340)*$C$175</f>
        <v>3.84114641056802</v>
      </c>
      <c r="X292" s="1" t="n">
        <f aca="false">X289*(1-$C$340)*$C$175</f>
        <v>3.93179836682432</v>
      </c>
      <c r="Y292" s="1" t="n">
        <f aca="false">Y289*(1-$C$340)*$C$175</f>
        <v>4.02505419489277</v>
      </c>
      <c r="Z292" s="1" t="n">
        <f aca="false">Z289*(1-$C$340)*$C$175</f>
        <v>4.12094078032692</v>
      </c>
      <c r="AA292" s="1" t="n">
        <f aca="false">AA289*(1-$C$340)*$C$175</f>
        <v>4.21948608117663</v>
      </c>
      <c r="AB292" s="1" t="n">
        <f aca="false">AB289*(1-$C$340)*$C$175</f>
        <v>4.32071344864945</v>
      </c>
      <c r="AC292" s="1" t="n">
        <f aca="false">AC289*(1-$C$340)*$C$175</f>
        <v>4.42464737748902</v>
      </c>
      <c r="AD292" s="1" t="n">
        <f aca="false">AD289*(1-$C$340)*$C$175</f>
        <v>4.53131348837224</v>
      </c>
      <c r="AE292" s="1" t="n">
        <f aca="false">AE289*(1-$C$340)*$C$175</f>
        <v>4.64073851013498</v>
      </c>
      <c r="AF292" s="1" t="n">
        <f aca="false">AF289*(1-$C$340)*$C$175</f>
        <v>4.7529502639058</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41.9762357567603</v>
      </c>
      <c r="M294" s="116" t="n">
        <f aca="false">M85</f>
        <v>33.5809886054082</v>
      </c>
      <c r="N294" s="116" t="n">
        <f aca="false">N85</f>
        <v>28.1407213510619</v>
      </c>
      <c r="O294" s="116" t="n">
        <f aca="false">O85</f>
        <v>29.0435983877968</v>
      </c>
      <c r="P294" s="116" t="n">
        <f aca="false">P85</f>
        <v>29.7574168202159</v>
      </c>
      <c r="Q294" s="116" t="n">
        <f aca="false">Q85</f>
        <v>30.4771231475587</v>
      </c>
      <c r="R294" s="116" t="n">
        <f aca="false">R85</f>
        <v>31.1949681403944</v>
      </c>
      <c r="S294" s="116" t="n">
        <f aca="false">S85</f>
        <v>31.9116401651732</v>
      </c>
      <c r="T294" s="116" t="n">
        <f aca="false">T85</f>
        <v>32.6283132742985</v>
      </c>
      <c r="U294" s="116" t="n">
        <f aca="false">U85</f>
        <v>33.3461392686658</v>
      </c>
      <c r="V294" s="116" t="n">
        <f aca="false">V85</f>
        <v>34.0662653209714</v>
      </c>
      <c r="W294" s="116" t="n">
        <f aca="false">W85</f>
        <v>34.7794218188825</v>
      </c>
      <c r="X294" s="116" t="n">
        <f aca="false">X85</f>
        <v>35.4868105612164</v>
      </c>
      <c r="Y294" s="116" t="n">
        <f aca="false">Y85</f>
        <v>36.1896434140516</v>
      </c>
      <c r="Z294" s="116" t="n">
        <f aca="false">Z85</f>
        <v>36.8891402324534</v>
      </c>
      <c r="AA294" s="116" t="n">
        <f aca="false">AA85</f>
        <v>37.5865307010827</v>
      </c>
      <c r="AB294" s="116" t="n">
        <f aca="false">AB85</f>
        <v>38.283283498357</v>
      </c>
      <c r="AC294" s="116" t="n">
        <f aca="false">AC85</f>
        <v>38.9808767412639</v>
      </c>
      <c r="AD294" s="116" t="n">
        <f aca="false">AD85</f>
        <v>39.6807999646009</v>
      </c>
      <c r="AE294" s="116" t="n">
        <f aca="false">AE85</f>
        <v>40.3845561363714</v>
      </c>
      <c r="AF294" s="116" t="n">
        <f aca="false">AF85</f>
        <v>41.0936636265457</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8.39524715135206</v>
      </c>
      <c r="N295" s="1" t="n">
        <f aca="false">MAX(M294/$C$282,M294-N294)</f>
        <v>5.44026725434637</v>
      </c>
      <c r="O295" s="1" t="n">
        <f aca="false">MAX(N294/$C$282,N294-O294)</f>
        <v>2.81407213510619</v>
      </c>
      <c r="P295" s="1" t="n">
        <f aca="false">MAX(O294/$C$282,O294-P294)</f>
        <v>2.90435983877968</v>
      </c>
      <c r="Q295" s="1" t="n">
        <f aca="false">MAX(P294/$C$282,P294-Q294)</f>
        <v>2.97574168202159</v>
      </c>
      <c r="R295" s="1" t="n">
        <f aca="false">MAX(Q294/$C$282,Q294-R294)</f>
        <v>3.04771231475587</v>
      </c>
      <c r="S295" s="1" t="n">
        <f aca="false">MAX(R294/$C$282,R294-S294)</f>
        <v>3.11949681403944</v>
      </c>
      <c r="T295" s="1" t="n">
        <f aca="false">MAX(S294/$C$282,S294-T294)</f>
        <v>3.19116401651732</v>
      </c>
      <c r="U295" s="1" t="n">
        <f aca="false">MAX(T294/$C$282,T294-U294)</f>
        <v>3.26283132742985</v>
      </c>
      <c r="V295" s="1" t="n">
        <f aca="false">MAX(U294/$C$282,U294-V294)</f>
        <v>3.33461392686658</v>
      </c>
      <c r="W295" s="1" t="n">
        <f aca="false">MAX(V294/$C$282,V294-W294)</f>
        <v>3.40662653209714</v>
      </c>
      <c r="X295" s="1" t="n">
        <f aca="false">MAX(W294/$C$282,W294-X294)</f>
        <v>3.47794218188824</v>
      </c>
      <c r="Y295" s="1" t="n">
        <f aca="false">MAX(X294/$C$282,X294-Y294)</f>
        <v>3.54868105612164</v>
      </c>
      <c r="Z295" s="1" t="n">
        <f aca="false">MAX(Y294/$C$282,Y294-Z294)</f>
        <v>3.61896434140516</v>
      </c>
      <c r="AA295" s="1" t="n">
        <f aca="false">MAX(Z294/$C$282,Z294-AA294)</f>
        <v>3.68891402324534</v>
      </c>
      <c r="AB295" s="1" t="n">
        <f aca="false">MAX(AA294/$C$282,AA294-AB294)</f>
        <v>3.75865307010827</v>
      </c>
      <c r="AC295" s="1" t="n">
        <f aca="false">MAX(AB294/$C$282,AB294-AC294)</f>
        <v>3.8283283498357</v>
      </c>
      <c r="AD295" s="1" t="n">
        <f aca="false">MAX(AC294/$C$282,AC294-AD294)</f>
        <v>3.89808767412639</v>
      </c>
      <c r="AE295" s="1" t="n">
        <f aca="false">MAX(AD294/$C$282,AD294-AE294)</f>
        <v>3.96807999646009</v>
      </c>
      <c r="AF295" s="1" t="n">
        <f aca="false">MAX(AE294/$C$282,AE294-AF294)</f>
        <v>4.03845561363714</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5.60212173183871</v>
      </c>
      <c r="M296" s="1" t="n">
        <f aca="false">M294-L294+M295</f>
        <v>0</v>
      </c>
      <c r="N296" s="1" t="n">
        <f aca="false">N294-M294+N295</f>
        <v>0</v>
      </c>
      <c r="O296" s="1" t="n">
        <f aca="false">O294-N294+O295</f>
        <v>3.71694917184113</v>
      </c>
      <c r="P296" s="1" t="n">
        <f aca="false">P294-O294+P295</f>
        <v>3.61817827119876</v>
      </c>
      <c r="Q296" s="1" t="n">
        <f aca="false">Q294-P294+Q295</f>
        <v>3.69544800936436</v>
      </c>
      <c r="R296" s="1" t="n">
        <f aca="false">R294-Q294+R295</f>
        <v>3.76555730759161</v>
      </c>
      <c r="S296" s="1" t="n">
        <f aca="false">S294-R294+S295</f>
        <v>3.83616883881828</v>
      </c>
      <c r="T296" s="1" t="n">
        <f aca="false">T294-S294+T295</f>
        <v>3.90783712564263</v>
      </c>
      <c r="U296" s="1" t="n">
        <f aca="false">U294-T294+U295</f>
        <v>3.98065732179707</v>
      </c>
      <c r="V296" s="1" t="n">
        <f aca="false">V294-U294+V295</f>
        <v>4.05473997917218</v>
      </c>
      <c r="W296" s="1" t="n">
        <f aca="false">W294-V294+W295</f>
        <v>4.11978303000822</v>
      </c>
      <c r="X296" s="1" t="n">
        <f aca="false">X294-W294+X295</f>
        <v>4.18533092422218</v>
      </c>
      <c r="Y296" s="1" t="n">
        <f aca="false">Y294-X294+Y295</f>
        <v>4.25151390895686</v>
      </c>
      <c r="Z296" s="1" t="n">
        <f aca="false">Z294-Y294+Z295</f>
        <v>4.31846115980697</v>
      </c>
      <c r="AA296" s="1" t="n">
        <f aca="false">AA294-Z294+AA295</f>
        <v>4.38630449187464</v>
      </c>
      <c r="AB296" s="1" t="n">
        <f aca="false">AB294-AA294+AB295</f>
        <v>4.45540586738256</v>
      </c>
      <c r="AC296" s="1" t="n">
        <f aca="false">AC294-AB294+AC295</f>
        <v>4.52592159274256</v>
      </c>
      <c r="AD296" s="1" t="n">
        <f aca="false">AD294-AC294+AD295</f>
        <v>4.59801089746343</v>
      </c>
      <c r="AE296" s="1" t="n">
        <f aca="false">AE294-AD294+AE295</f>
        <v>4.67183616823061</v>
      </c>
      <c r="AF296" s="1" t="n">
        <f aca="false">AF294-AE294+AF295</f>
        <v>4.7475631038114</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1.67904943027041</v>
      </c>
      <c r="M297" s="1" t="n">
        <f aca="false">M294*01_Supuestos!$I$126</f>
        <v>1.34323954421633</v>
      </c>
      <c r="N297" s="1" t="n">
        <f aca="false">N294*01_Supuestos!$I$126</f>
        <v>1.12562885404247</v>
      </c>
      <c r="O297" s="1" t="n">
        <f aca="false">O294*01_Supuestos!$I$126</f>
        <v>1.16174393551187</v>
      </c>
      <c r="P297" s="1" t="n">
        <f aca="false">P294*01_Supuestos!$I$126</f>
        <v>1.19029667280864</v>
      </c>
      <c r="Q297" s="1" t="n">
        <f aca="false">Q294*01_Supuestos!$I$126</f>
        <v>1.21908492590235</v>
      </c>
      <c r="R297" s="1" t="n">
        <f aca="false">R294*01_Supuestos!$I$126</f>
        <v>1.24779872561578</v>
      </c>
      <c r="S297" s="1" t="n">
        <f aca="false">S294*01_Supuestos!$I$126</f>
        <v>1.27646560660693</v>
      </c>
      <c r="T297" s="1" t="n">
        <f aca="false">T294*01_Supuestos!$I$126</f>
        <v>1.30513253097194</v>
      </c>
      <c r="U297" s="1" t="n">
        <f aca="false">U294*01_Supuestos!$I$126</f>
        <v>1.33384557074663</v>
      </c>
      <c r="V297" s="1" t="n">
        <f aca="false">V294*01_Supuestos!$I$126</f>
        <v>1.36265061283885</v>
      </c>
      <c r="W297" s="1" t="n">
        <f aca="false">W294*01_Supuestos!$I$126</f>
        <v>1.3911768727553</v>
      </c>
      <c r="X297" s="1" t="n">
        <f aca="false">X294*01_Supuestos!$I$126</f>
        <v>1.41947242244866</v>
      </c>
      <c r="Y297" s="1" t="n">
        <f aca="false">Y294*01_Supuestos!$I$126</f>
        <v>1.44758573656206</v>
      </c>
      <c r="Z297" s="1" t="n">
        <f aca="false">Z294*01_Supuestos!$I$126</f>
        <v>1.47556560929814</v>
      </c>
      <c r="AA297" s="1" t="n">
        <f aca="false">AA294*01_Supuestos!$I$126</f>
        <v>1.50346122804331</v>
      </c>
      <c r="AB297" s="1" t="n">
        <f aca="false">AB294*01_Supuestos!$I$126</f>
        <v>1.53133133993428</v>
      </c>
      <c r="AC297" s="1" t="n">
        <f aca="false">AC294*01_Supuestos!$I$126</f>
        <v>1.55923506965055</v>
      </c>
      <c r="AD297" s="1" t="n">
        <f aca="false">AD294*01_Supuestos!$I$126</f>
        <v>1.58723199858404</v>
      </c>
      <c r="AE297" s="1" t="n">
        <f aca="false">AE294*01_Supuestos!$I$126</f>
        <v>1.61538224545486</v>
      </c>
      <c r="AF297" s="1" t="n">
        <f aca="false">AF294*01_Supuestos!$I$126</f>
        <v>1.64374654506183</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34.9284464521155</v>
      </c>
      <c r="N299" s="1" t="n">
        <f aca="false">N286+N291+N296</f>
        <v>25.0234694161694</v>
      </c>
      <c r="O299" s="1" t="n">
        <f aca="false">O286+O291+O296</f>
        <v>23.7041797552756</v>
      </c>
      <c r="P299" s="1" t="n">
        <f aca="false">P286+P291+P296</f>
        <v>24.2396965754529</v>
      </c>
      <c r="Q299" s="1" t="n">
        <f aca="false">Q286+Q291+Q296</f>
        <v>24.795474877994</v>
      </c>
      <c r="R299" s="1" t="n">
        <f aca="false">R286+R291+R296</f>
        <v>25.3644347761962</v>
      </c>
      <c r="S299" s="1" t="n">
        <f aca="false">S286+S291+S296</f>
        <v>25.9471779833009</v>
      </c>
      <c r="T299" s="1" t="n">
        <f aca="false">T286+T291+T296</f>
        <v>26.5439938308527</v>
      </c>
      <c r="U299" s="1" t="n">
        <f aca="false">U286+U291+U296</f>
        <v>27.1551605149577</v>
      </c>
      <c r="V299" s="1" t="n">
        <f aca="false">V286+V291+V296</f>
        <v>27.7809644951636</v>
      </c>
      <c r="W299" s="1" t="n">
        <f aca="false">W286+W291+W296</f>
        <v>28.4216999978699</v>
      </c>
      <c r="X299" s="1" t="n">
        <f aca="false">X286+X291+X296</f>
        <v>29.078063426429</v>
      </c>
      <c r="Y299" s="1" t="n">
        <f aca="false">Y286+Y291+Y296</f>
        <v>29.7503626499974</v>
      </c>
      <c r="Z299" s="1" t="n">
        <f aca="false">Z286+Z291+Z296</f>
        <v>30.4389132841309</v>
      </c>
      <c r="AA299" s="1" t="n">
        <f aca="false">AA286+AA291+AA296</f>
        <v>31.1440389564082</v>
      </c>
      <c r="AB299" s="1" t="n">
        <f aca="false">AB286+AB291+AB296</f>
        <v>31.8660714279742</v>
      </c>
      <c r="AC299" s="1" t="n">
        <f aca="false">AC286+AC291+AC296</f>
        <v>32.6053421123289</v>
      </c>
      <c r="AD299" s="1" t="n">
        <f aca="false">AD286+AD291+AD296</f>
        <v>33.3621909671076</v>
      </c>
      <c r="AE299" s="1" t="n">
        <f aca="false">AE286+AE291+AE296</f>
        <v>34.136966623875</v>
      </c>
      <c r="AF299" s="1" t="n">
        <f aca="false">AF286+AF291+AF296</f>
        <v>34.9300265212608</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21.4139889991506</v>
      </c>
      <c r="N300" s="1" t="n">
        <f aca="false">N285+N290+N295</f>
        <v>21.4446182615578</v>
      </c>
      <c r="O300" s="1" t="n">
        <f aca="false">O285+O290+O295</f>
        <v>20.0368023941156</v>
      </c>
      <c r="P300" s="1" t="n">
        <f aca="false">P285+P290+P295</f>
        <v>20.4882251754319</v>
      </c>
      <c r="Q300" s="1" t="n">
        <f aca="false">Q285+Q290+Q295</f>
        <v>20.957765451442</v>
      </c>
      <c r="R300" s="1" t="n">
        <f aca="false">R285+R290+R295</f>
        <v>21.438493318574</v>
      </c>
      <c r="S300" s="1" t="n">
        <f aca="false">S285+S290+S295</f>
        <v>21.9309567433138</v>
      </c>
      <c r="T300" s="1" t="n">
        <f aca="false">T285+T290+T295</f>
        <v>22.4353986901034</v>
      </c>
      <c r="U300" s="1" t="n">
        <f aca="false">U285+U290+U295</f>
        <v>22.9520503913565</v>
      </c>
      <c r="V300" s="1" t="n">
        <f aca="false">V285+V290+V295</f>
        <v>23.4811502135087</v>
      </c>
      <c r="W300" s="1" t="n">
        <f aca="false">W285+W290+W295</f>
        <v>24.022943152586</v>
      </c>
      <c r="X300" s="1" t="n">
        <f aca="false">X285+X290+X295</f>
        <v>24.5780648060991</v>
      </c>
      <c r="Y300" s="1" t="n">
        <f aca="false">Y285+Y290+Y295</f>
        <v>25.1467715234405</v>
      </c>
      <c r="Z300" s="1" t="n">
        <f aca="false">Z285+Z290+Z295</f>
        <v>25.7293261978731</v>
      </c>
      <c r="AA300" s="1" t="n">
        <f aca="false">AA285+AA290+AA295</f>
        <v>26.3259985021863</v>
      </c>
      <c r="AB300" s="1" t="n">
        <f aca="false">AB285+AB290+AB295</f>
        <v>26.9370649835485</v>
      </c>
      <c r="AC300" s="1" t="n">
        <f aca="false">AC285+AC290+AC295</f>
        <v>27.5628007822726</v>
      </c>
      <c r="AD300" s="1" t="n">
        <f aca="false">AD285+AD290+AD295</f>
        <v>28.2034882641823</v>
      </c>
      <c r="AE300" s="1" t="n">
        <f aca="false">AE285+AE290+AE295</f>
        <v>28.8594171218409</v>
      </c>
      <c r="AF300" s="1" t="n">
        <f aca="false">AF285+AF290+AF295</f>
        <v>29.5308844784524</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5.76522387884952</v>
      </c>
      <c r="M302" s="1" t="n">
        <f aca="false">M287+M292+M297</f>
        <v>6.3665029990345</v>
      </c>
      <c r="N302" s="1" t="n">
        <f aca="false">N287+N292+N297</f>
        <v>6.53130331489944</v>
      </c>
      <c r="O302" s="1" t="n">
        <f aca="false">O287+O292+O297</f>
        <v>6.68076736234431</v>
      </c>
      <c r="P302" s="1" t="n">
        <f aca="false">P287+P292+P297</f>
        <v>6.83428953474352</v>
      </c>
      <c r="Q302" s="1" t="n">
        <f aca="false">Q287+Q292+Q297</f>
        <v>6.99137385410802</v>
      </c>
      <c r="R302" s="1" t="n">
        <f aca="false">R287+R292+R297</f>
        <v>7.15212556473108</v>
      </c>
      <c r="S302" s="1" t="n">
        <f aca="false">S287+S292+S297</f>
        <v>7.31662685452082</v>
      </c>
      <c r="T302" s="1" t="n">
        <f aca="false">T287+T292+T297</f>
        <v>7.48496041235039</v>
      </c>
      <c r="U302" s="1" t="n">
        <f aca="false">U287+U292+U297</f>
        <v>7.6572109745832</v>
      </c>
      <c r="V302" s="1" t="n">
        <f aca="false">V287+V292+V297</f>
        <v>7.83346531853975</v>
      </c>
      <c r="W302" s="1" t="n">
        <f aca="false">W287+W292+W297</f>
        <v>8.01384309787258</v>
      </c>
      <c r="X302" s="1" t="n">
        <f aca="false">X287+X292+X297</f>
        <v>8.19843512386989</v>
      </c>
      <c r="Y302" s="1" t="n">
        <f aca="false">Y287+Y292+Y297</f>
        <v>8.38733434844615</v>
      </c>
      <c r="Z302" s="1" t="n">
        <f aca="false">Z287+Z292+Z297</f>
        <v>8.58063592020663</v>
      </c>
      <c r="AA302" s="1" t="n">
        <f aca="false">AA287+AA292+AA297</f>
        <v>8.77843723007199</v>
      </c>
      <c r="AB302" s="1" t="n">
        <f aca="false">AB287+AB292+AB297</f>
        <v>8.98083728588161</v>
      </c>
      <c r="AC302" s="1" t="n">
        <f aca="false">AC287+AC292+AC297</f>
        <v>9.18793744463162</v>
      </c>
      <c r="AD302" s="1" t="n">
        <f aca="false">AD287+AD292+AD297</f>
        <v>9.39984146129479</v>
      </c>
      <c r="AE302" s="1" t="n">
        <f aca="false">AE287+AE292+AE297</f>
        <v>9.61665553879104</v>
      </c>
      <c r="AF302" s="1" t="n">
        <f aca="false">AF287+AF292+AF297</f>
        <v>9.83848837938217</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349.801964639669</v>
      </c>
      <c r="M307" s="116" t="n">
        <f aca="false">M81</f>
        <v>362.426080830021</v>
      </c>
      <c r="N307" s="116" t="n">
        <f aca="false">N81</f>
        <v>375.209618014158</v>
      </c>
      <c r="O307" s="116" t="n">
        <f aca="false">O81</f>
        <v>387.247978503958</v>
      </c>
      <c r="P307" s="116" t="n">
        <f aca="false">P81</f>
        <v>396.765557602879</v>
      </c>
      <c r="Q307" s="116" t="n">
        <f aca="false">Q81</f>
        <v>406.361641967449</v>
      </c>
      <c r="R307" s="116" t="n">
        <f aca="false">R81</f>
        <v>415.932908538592</v>
      </c>
      <c r="S307" s="116" t="n">
        <f aca="false">S81</f>
        <v>425.488535535643</v>
      </c>
      <c r="T307" s="116" t="n">
        <f aca="false">T81</f>
        <v>435.044176990647</v>
      </c>
      <c r="U307" s="116" t="n">
        <f aca="false">U81</f>
        <v>444.615190248877</v>
      </c>
      <c r="V307" s="116" t="n">
        <f aca="false">V81</f>
        <v>454.216870946285</v>
      </c>
      <c r="W307" s="116" t="n">
        <f aca="false">W81</f>
        <v>463.725624251766</v>
      </c>
      <c r="X307" s="116" t="n">
        <f aca="false">X81</f>
        <v>473.157474149552</v>
      </c>
      <c r="Y307" s="116" t="n">
        <f aca="false">Y81</f>
        <v>482.528578854021</v>
      </c>
      <c r="Z307" s="116" t="n">
        <f aca="false">Z81</f>
        <v>491.855203099379</v>
      </c>
      <c r="AA307" s="116" t="n">
        <f aca="false">AA81</f>
        <v>501.153742681103</v>
      </c>
      <c r="AB307" s="116" t="n">
        <f aca="false">AB81</f>
        <v>510.443779978093</v>
      </c>
      <c r="AC307" s="116" t="n">
        <f aca="false">AC81</f>
        <v>519.745023216852</v>
      </c>
      <c r="AD307" s="116" t="n">
        <f aca="false">AD81</f>
        <v>529.077332861345</v>
      </c>
      <c r="AE307" s="116" t="n">
        <f aca="false">AE81</f>
        <v>538.460748484952</v>
      </c>
      <c r="AF307" s="116" t="n">
        <f aca="false">AF81</f>
        <v>547.915515020609</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212.703293690062</v>
      </c>
      <c r="M309" s="1" t="n">
        <f aca="false">M307-M308</f>
        <v>211.908074862642</v>
      </c>
      <c r="N309" s="1" t="n">
        <f aca="false">N307-N308</f>
        <v>221.22969790953</v>
      </c>
      <c r="O309" s="1" t="n">
        <f aca="false">O307-O308</f>
        <v>229.726520236923</v>
      </c>
      <c r="P309" s="1" t="n">
        <f aca="false">P307-P308</f>
        <v>235.621105795702</v>
      </c>
      <c r="Q309" s="1" t="n">
        <f aca="false">Q307-Q308</f>
        <v>241.510867768707</v>
      </c>
      <c r="R309" s="1" t="n">
        <f aca="false">R307-R308</f>
        <v>247.290566533279</v>
      </c>
      <c r="S309" s="1" t="n">
        <f aca="false">S307-S308</f>
        <v>252.967419664208</v>
      </c>
      <c r="T309" s="1" t="n">
        <f aca="false">T307-T308</f>
        <v>258.555075454169</v>
      </c>
      <c r="U309" s="1" t="n">
        <f aca="false">U307-U308</f>
        <v>264.06683937706</v>
      </c>
      <c r="V309" s="1" t="n">
        <f aca="false">V307-V308</f>
        <v>269.515908004416</v>
      </c>
      <c r="W309" s="1" t="n">
        <f aca="false">W307-W308</f>
        <v>274.776539162234</v>
      </c>
      <c r="X309" s="1" t="n">
        <f aca="false">X307-X308</f>
        <v>279.862560102961</v>
      </c>
      <c r="Y309" s="1" t="n">
        <f aca="false">Y307-Y308</f>
        <v>284.787881784359</v>
      </c>
      <c r="Z309" s="1" t="n">
        <f aca="false">Z307-Z308</f>
        <v>289.566469997114</v>
      </c>
      <c r="AA309" s="1" t="n">
        <f aca="false">AA307-AA308</f>
        <v>294.212368717486</v>
      </c>
      <c r="AB309" s="1" t="n">
        <f aca="false">AB307-AB308</f>
        <v>298.742754413313</v>
      </c>
      <c r="AC309" s="1" t="n">
        <f aca="false">AC307-AC308</f>
        <v>303.174874064082</v>
      </c>
      <c r="AD309" s="1" t="n">
        <f aca="false">AD307-AD308</f>
        <v>307.526070278062</v>
      </c>
      <c r="AE309" s="1" t="n">
        <f aca="false">AE307-AE308</f>
        <v>311.813806862253</v>
      </c>
      <c r="AF309" s="1" t="n">
        <f aca="false">AF307-AF308</f>
        <v>316.055693740588</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39.1932249696859</v>
      </c>
      <c r="M310" s="1" t="n">
        <f aca="false">IF(M307&gt;0,100*M308/M307,0)</f>
        <v>41.5306772687731</v>
      </c>
      <c r="N310" s="1" t="n">
        <f aca="false">IF(N307&gt;0,100*N308/N307,0)</f>
        <v>41.0383723422618</v>
      </c>
      <c r="O310" s="1" t="n">
        <f aca="false">IF(O307&gt;0,100*O308/O307,0)</f>
        <v>40.6771544361787</v>
      </c>
      <c r="P310" s="1" t="n">
        <f aca="false">IF(P307&gt;0,100*P308/P307,0)</f>
        <v>40.6145263164364</v>
      </c>
      <c r="Q310" s="1" t="n">
        <f aca="false">IF(Q307&gt;0,100*Q308/Q307,0)</f>
        <v>40.5675037143262</v>
      </c>
      <c r="R310" s="1" t="n">
        <f aca="false">IF(R307&gt;0,100*R308/R307,0)</f>
        <v>40.5455636097295</v>
      </c>
      <c r="S310" s="1" t="n">
        <f aca="false">IF(S307&gt;0,100*S308/S307,0)</f>
        <v>40.5465956102084</v>
      </c>
      <c r="T310" s="1" t="n">
        <f aca="false">IF(T307&gt;0,100*T308/T307,0)</f>
        <v>40.5680873049066</v>
      </c>
      <c r="U310" s="1" t="n">
        <f aca="false">IF(U307&gt;0,100*U308/U307,0)</f>
        <v>40.6077783286607</v>
      </c>
      <c r="V310" s="1" t="n">
        <f aca="false">IF(V307&gt;0,100*V308/V307,0)</f>
        <v>40.6636069147047</v>
      </c>
      <c r="W310" s="1" t="n">
        <f aca="false">IF(W307&gt;0,100*W308/W307,0)</f>
        <v>40.7458797202346</v>
      </c>
      <c r="X310" s="1" t="n">
        <f aca="false">IF(X307&gt;0,100*X308/X307,0)</f>
        <v>40.8521316067166</v>
      </c>
      <c r="Y310" s="1" t="n">
        <f aca="false">IF(Y307&gt;0,100*Y308/Y307,0)</f>
        <v>40.9801006065352</v>
      </c>
      <c r="Z310" s="1" t="n">
        <f aca="false">IF(Z307&gt;0,100*Z308/Z307,0)</f>
        <v>41.1277001498737</v>
      </c>
      <c r="AA310" s="1" t="n">
        <f aca="false">IF(AA307&gt;0,100*AA308/AA307,0)</f>
        <v>41.2929918185404</v>
      </c>
      <c r="AB310" s="1" t="n">
        <f aca="false">IF(AB307&gt;0,100*AB308/AB307,0)</f>
        <v>41.4739162016756</v>
      </c>
      <c r="AC310" s="1" t="n">
        <f aca="false">IF(AC307&gt;0,100*AC308/AC307,0)</f>
        <v>41.6685373555585</v>
      </c>
      <c r="AD310" s="1" t="n">
        <f aca="false">IF(AD307&gt;0,100*AD308/AD307,0)</f>
        <v>41.8750244666681</v>
      </c>
      <c r="AE310" s="1" t="n">
        <f aca="false">IF(AE307&gt;0,100*AE308/AE307,0)</f>
        <v>42.0916366254007</v>
      </c>
      <c r="AF310" s="1" t="n">
        <f aca="false">IF(AF307&gt;0,100*AF308/AF307,0)</f>
        <v>42.3167103182505</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5.76522387884952</v>
      </c>
      <c r="M314" s="1" t="n">
        <f aca="false">M302</f>
        <v>6.3665029990345</v>
      </c>
      <c r="N314" s="1" t="n">
        <f aca="false">N302</f>
        <v>6.53130331489944</v>
      </c>
      <c r="O314" s="1" t="n">
        <f aca="false">O302</f>
        <v>6.68076736234431</v>
      </c>
      <c r="P314" s="1" t="n">
        <f aca="false">P302</f>
        <v>6.83428953474352</v>
      </c>
      <c r="Q314" s="1" t="n">
        <f aca="false">Q302</f>
        <v>6.99137385410802</v>
      </c>
      <c r="R314" s="1" t="n">
        <f aca="false">R302</f>
        <v>7.15212556473108</v>
      </c>
      <c r="S314" s="1" t="n">
        <f aca="false">S302</f>
        <v>7.31662685452082</v>
      </c>
      <c r="T314" s="1" t="n">
        <f aca="false">T302</f>
        <v>7.48496041235039</v>
      </c>
      <c r="U314" s="1" t="n">
        <f aca="false">U302</f>
        <v>7.6572109745832</v>
      </c>
      <c r="V314" s="1" t="n">
        <f aca="false">V302</f>
        <v>7.83346531853975</v>
      </c>
      <c r="W314" s="1" t="n">
        <f aca="false">W302</f>
        <v>8.01384309787258</v>
      </c>
      <c r="X314" s="1" t="n">
        <f aca="false">X302</f>
        <v>8.19843512386989</v>
      </c>
      <c r="Y314" s="1" t="n">
        <f aca="false">Y302</f>
        <v>8.38733434844615</v>
      </c>
      <c r="Z314" s="1" t="n">
        <f aca="false">Z302</f>
        <v>8.58063592020663</v>
      </c>
      <c r="AA314" s="1" t="n">
        <f aca="false">AA302</f>
        <v>8.77843723007199</v>
      </c>
      <c r="AB314" s="1" t="n">
        <f aca="false">AB302</f>
        <v>8.98083728588161</v>
      </c>
      <c r="AC314" s="1" t="n">
        <f aca="false">AC302</f>
        <v>9.18793744463162</v>
      </c>
      <c r="AD314" s="1" t="n">
        <f aca="false">AD302</f>
        <v>9.39984146129479</v>
      </c>
      <c r="AE314" s="1" t="n">
        <f aca="false">AE302</f>
        <v>9.61665553879104</v>
      </c>
      <c r="AF314" s="1" t="n">
        <f aca="false">AF302</f>
        <v>9.83848837938217</v>
      </c>
    </row>
    <row r="315" customFormat="false" ht="14.25" hidden="false" customHeight="true" outlineLevel="0" collapsed="false">
      <c r="B315" s="84" t="s">
        <v>1307</v>
      </c>
      <c r="C315" s="116" t="n">
        <f aca="false">C56</f>
        <v>1.07</v>
      </c>
      <c r="D315" s="116" t="n">
        <f aca="false">D56</f>
        <v>1.09916285</v>
      </c>
      <c r="E315" s="116" t="n">
        <f aca="false">E56</f>
        <v>1.12912053347675</v>
      </c>
      <c r="F315" s="116" t="n">
        <f aca="false">F56</f>
        <v>1.15989471361666</v>
      </c>
      <c r="G315" s="116" t="n">
        <f aca="false">G56</f>
        <v>1.19150764403628</v>
      </c>
      <c r="H315" s="116" t="n">
        <f aca="false">H56</f>
        <v>1.22398218487449</v>
      </c>
      <c r="I315" s="116" t="n">
        <f aca="false">I56</f>
        <v>1.25734181932324</v>
      </c>
      <c r="J315" s="116" t="n">
        <f aca="false">J56</f>
        <v>1.2916106706089</v>
      </c>
      <c r="K315" s="116" t="n">
        <f aca="false">K56</f>
        <v>1.32681351943634</v>
      </c>
      <c r="L315" s="116" t="n">
        <f aca="false">L56</f>
        <v>1.36297582190858</v>
      </c>
      <c r="M315" s="116" t="n">
        <f aca="false">M56</f>
        <v>1.4001237279347</v>
      </c>
      <c r="N315" s="116" t="n">
        <f aca="false">N56</f>
        <v>1.43828410013956</v>
      </c>
      <c r="O315" s="116" t="n">
        <f aca="false">O56</f>
        <v>1.47748453328886</v>
      </c>
      <c r="P315" s="116" t="n">
        <f aca="false">P56</f>
        <v>1.51775337424365</v>
      </c>
      <c r="Q315" s="116" t="n">
        <f aca="false">Q56</f>
        <v>1.55911974245866</v>
      </c>
      <c r="R315" s="116" t="n">
        <f aca="false">R56</f>
        <v>1.60161355103937</v>
      </c>
      <c r="S315" s="116" t="n">
        <f aca="false">S56</f>
        <v>1.64526552837295</v>
      </c>
      <c r="T315" s="116" t="n">
        <f aca="false">T56</f>
        <v>1.69010724034875</v>
      </c>
      <c r="U315" s="116" t="n">
        <f aca="false">U56</f>
        <v>1.73617111318446</v>
      </c>
      <c r="V315" s="116" t="n">
        <f aca="false">V56</f>
        <v>1.7834904568743</v>
      </c>
      <c r="W315" s="116" t="n">
        <f aca="false">W56</f>
        <v>1.83209948927641</v>
      </c>
      <c r="X315" s="116" t="n">
        <f aca="false">X56</f>
        <v>1.88203336085664</v>
      </c>
      <c r="Y315" s="116" t="n">
        <f aca="false">Y56</f>
        <v>1.93332818010679</v>
      </c>
      <c r="Z315" s="116" t="n">
        <f aca="false">Z56</f>
        <v>1.9860210396556</v>
      </c>
      <c r="AA315" s="116" t="n">
        <f aca="false">AA56</f>
        <v>2.04015004309141</v>
      </c>
      <c r="AB315" s="116" t="n">
        <f aca="false">AB56</f>
        <v>2.09575433251587</v>
      </c>
      <c r="AC315" s="116" t="n">
        <f aca="false">AC56</f>
        <v>2.15287411684858</v>
      </c>
      <c r="AD315" s="116" t="n">
        <f aca="false">AD56</f>
        <v>2.21155070090329</v>
      </c>
      <c r="AE315" s="116" t="n">
        <f aca="false">AE56</f>
        <v>2.27182651525641</v>
      </c>
      <c r="AF315" s="116" t="n">
        <f aca="false">AF56</f>
        <v>2.33374514692973</v>
      </c>
    </row>
    <row r="316" customFormat="false" ht="14.25" hidden="false" customHeight="true" outlineLevel="0" collapsed="false">
      <c r="B316" s="84" t="s">
        <v>1308</v>
      </c>
      <c r="C316" s="1" t="n">
        <f aca="false">IF(C313&gt;0,100*(C314+C315)/C313,0)</f>
        <v>57.066429452404</v>
      </c>
      <c r="D316" s="1" t="n">
        <f aca="false">IF(D313&gt;0,100*(D314+D315)/D313,0)</f>
        <v>48.8826177122297</v>
      </c>
      <c r="E316" s="1" t="n">
        <f aca="false">IF(E313&gt;0,100*(E314+E315)/E313,0)</f>
        <v>47.7386360915165</v>
      </c>
      <c r="F316" s="1" t="n">
        <f aca="false">IF(F313&gt;0,100*(F314+F315)/F313,0)</f>
        <v>27.0622978507244</v>
      </c>
      <c r="G316" s="1" t="n">
        <f aca="false">IF(G313&gt;0,100*(G314+G315)/G313,0)</f>
        <v>32.2787720286399</v>
      </c>
      <c r="H316" s="1" t="n">
        <f aca="false">IF(H313&gt;0,100*(H314+H315)/H313,0)</f>
        <v>37.5907584083188</v>
      </c>
      <c r="I316" s="1" t="n">
        <f aca="false">IF(I313&gt;0,100*(I314+I315)/I313,0)</f>
        <v>42.9740457828583</v>
      </c>
      <c r="J316" s="1" t="n">
        <f aca="false">IF(J313&gt;0,100*(J314+J315)/J313,0)</f>
        <v>48.4056765354989</v>
      </c>
      <c r="K316" s="1" t="n">
        <f aca="false">IF(K313&gt;0,100*(K314+K315)/K313,0)</f>
        <v>53.8642724987049</v>
      </c>
      <c r="L316" s="1" t="n">
        <f aca="false">IF(L313&gt;0,100*(L314+L315)/L313,0)</f>
        <v>59.3300238928301</v>
      </c>
      <c r="M316" s="1" t="n">
        <f aca="false">IF(M313&gt;0,100*(M314+M315)/M313,0)</f>
        <v>63.8013539824498</v>
      </c>
      <c r="N316" s="1" t="n">
        <f aca="false">IF(N313&gt;0,100*(N314+N315)/N313,0)</f>
        <v>64.2731159499429</v>
      </c>
      <c r="O316" s="1" t="n">
        <f aca="false">IF(O313&gt;0,100*(O314+O315)/O313,0)</f>
        <v>64.3338842234415</v>
      </c>
      <c r="P316" s="1" t="n">
        <f aca="false">IF(P313&gt;0,100*(P314+P315)/P313,0)</f>
        <v>63.4061231778781</v>
      </c>
      <c r="Q316" s="1" t="n">
        <f aca="false">IF(Q313&gt;0,100*(Q314+Q315)/Q313,0)</f>
        <v>62.6232218823752</v>
      </c>
      <c r="R316" s="1" t="n">
        <f aca="false">IF(R313&gt;0,100*(R314+R315)/R313,0)</f>
        <v>61.985943858955</v>
      </c>
      <c r="S316" s="1" t="n">
        <f aca="false">IF(S313&gt;0,100*(S314+S315)/S313,0)</f>
        <v>61.475927030817</v>
      </c>
      <c r="T316" s="1" t="n">
        <f aca="false">IF(T313&gt;0,100*(T314+T315)/T313,0)</f>
        <v>61.0780107273059</v>
      </c>
      <c r="U316" s="1" t="n">
        <f aca="false">IF(U313&gt;0,100*(U314+U315)/U313,0)</f>
        <v>60.779576760158</v>
      </c>
      <c r="V316" s="1" t="n">
        <f aca="false">IF(V313&gt;0,100*(V314+V315)/V313,0)</f>
        <v>60.5700396205597</v>
      </c>
      <c r="W316" s="1" t="n">
        <f aca="false">IF(W313&gt;0,100*(W314+W315)/W313,0)</f>
        <v>60.4406435724451</v>
      </c>
      <c r="X316" s="1" t="n">
        <f aca="false">IF(X313&gt;0,100*(X314+X315)/X313,0)</f>
        <v>60.3837649321087</v>
      </c>
      <c r="Y316" s="1" t="n">
        <f aca="false">IF(Y313&gt;0,100*(Y314+Y315)/Y313,0)</f>
        <v>60.3928779889849</v>
      </c>
      <c r="Z316" s="1" t="n">
        <f aca="false">IF(Z313&gt;0,100*(Z314+Z315)/Z313,0)</f>
        <v>60.4623646204847</v>
      </c>
      <c r="AA316" s="1" t="n">
        <f aca="false">IF(AA313&gt;0,100*(AA314+AA315)/AA313,0)</f>
        <v>60.5873618480673</v>
      </c>
      <c r="AB316" s="1" t="n">
        <f aca="false">IF(AB313&gt;0,100*(AB314+AB315)/AB313,0)</f>
        <v>60.7636351335105</v>
      </c>
      <c r="AC316" s="1" t="n">
        <f aca="false">IF(AC313&gt;0,100*(AC314+AC315)/AC313,0)</f>
        <v>60.9874823927911</v>
      </c>
      <c r="AD316" s="1" t="n">
        <f aca="false">IF(AD313&gt;0,100*(AD314+AD315)/AD313,0)</f>
        <v>61.2556520283345</v>
      </c>
      <c r="AE316" s="1" t="n">
        <f aca="false">IF(AE313&gt;0,100*(AE314+AE315)/AE313,0)</f>
        <v>61.5652753480887</v>
      </c>
      <c r="AF316" s="1" t="n">
        <f aca="false">IF(AF313&gt;0,100*(AF314+AF315)/AF313,0)</f>
        <v>61.9138104941705</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11.5864804771797</v>
      </c>
      <c r="M317" s="1" t="n">
        <f aca="false">$C$329*M291</f>
        <v>15.8205313002611</v>
      </c>
      <c r="N317" s="1" t="n">
        <f aca="false">$C$329*N291</f>
        <v>12.5214786647802</v>
      </c>
      <c r="O317" s="1" t="n">
        <f aca="false">$C$329*O291</f>
        <v>10.7907732643499</v>
      </c>
      <c r="P317" s="1" t="n">
        <f aca="false">$C$329*P291</f>
        <v>11.1002446903032</v>
      </c>
      <c r="Q317" s="1" t="n">
        <f aca="false">$C$329*Q291</f>
        <v>11.3560646399802</v>
      </c>
      <c r="R317" s="1" t="n">
        <f aca="false">$C$329*R291</f>
        <v>11.6216347519943</v>
      </c>
      <c r="S317" s="1" t="n">
        <f aca="false">$C$329*S291</f>
        <v>11.8944600118553</v>
      </c>
      <c r="T317" s="1" t="n">
        <f aca="false">$C$329*T291</f>
        <v>12.1744688407242</v>
      </c>
      <c r="U317" s="1" t="n">
        <f aca="false">$C$329*U291</f>
        <v>12.4617522546201</v>
      </c>
      <c r="V317" s="1" t="n">
        <f aca="false">$C$329*V291</f>
        <v>12.7564001749615</v>
      </c>
      <c r="W317" s="1" t="n">
        <f aca="false">$C$329*W291</f>
        <v>13.0625330003842</v>
      </c>
      <c r="X317" s="1" t="n">
        <f aca="false">$C$329*X291</f>
        <v>13.377007325129</v>
      </c>
      <c r="Y317" s="1" t="n">
        <f aca="false">$C$329*Y291</f>
        <v>13.6999160420385</v>
      </c>
      <c r="Z317" s="1" t="n">
        <f aca="false">$C$329*Z291</f>
        <v>14.0313564381222</v>
      </c>
      <c r="AA317" s="1" t="n">
        <f aca="false">$C$329*AA291</f>
        <v>14.3714289411793</v>
      </c>
      <c r="AB317" s="1" t="n">
        <f aca="false">$C$329*AB291</f>
        <v>14.7201491813222</v>
      </c>
      <c r="AC317" s="1" t="n">
        <f aca="false">$C$329*AC291</f>
        <v>15.0776076747814</v>
      </c>
      <c r="AD317" s="1" t="n">
        <f aca="false">$C$329*AD291</f>
        <v>15.4438982281974</v>
      </c>
      <c r="AE317" s="1" t="n">
        <f aca="false">$C$329*AE291</f>
        <v>15.8191178811042</v>
      </c>
      <c r="AF317" s="1" t="n">
        <f aca="false">$C$329*AF291</f>
        <v>16.2033668801503</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7.38555952819978</v>
      </c>
      <c r="N318" s="1" t="n">
        <f aca="false">$C$329*(N290+(1-$C$279)*N332)</f>
        <v>9.0793018600297</v>
      </c>
      <c r="O318" s="1" t="n">
        <f aca="false">$C$329*(O290+(1-$C$279)*O332)</f>
        <v>9.77049096242359</v>
      </c>
      <c r="P318" s="1" t="n">
        <f aca="false">$C$329*(P290+(1-$C$279)*P332)</f>
        <v>9.9753636486504</v>
      </c>
      <c r="Q318" s="1" t="n">
        <f aca="false">$C$329*(Q290+(1-$C$279)*Q332)</f>
        <v>10.2012397618143</v>
      </c>
      <c r="R318" s="1" t="n">
        <f aca="false">$C$329*(R290+(1-$C$279)*R332)</f>
        <v>10.43312859735</v>
      </c>
      <c r="S318" s="1" t="n">
        <f aca="false">$C$329*(S290+(1-$C$279)*S332)</f>
        <v>10.6717806332026</v>
      </c>
      <c r="T318" s="1" t="n">
        <f aca="false">$C$329*(T290+(1-$C$279)*T332)</f>
        <v>10.9172946524361</v>
      </c>
      <c r="U318" s="1" t="n">
        <f aca="false">$C$329*(U290+(1-$C$279)*U332)</f>
        <v>11.1697352294443</v>
      </c>
      <c r="V318" s="1" t="n">
        <f aca="false">$C$329*(V290+(1-$C$279)*V332)</f>
        <v>11.4291722480996</v>
      </c>
      <c r="W318" s="1" t="n">
        <f aca="false">$C$329*(W290+(1-$C$279)*W332)</f>
        <v>11.6956796158135</v>
      </c>
      <c r="X318" s="1" t="n">
        <f aca="false">$C$329*(X290+(1-$C$279)*X332)</f>
        <v>11.9701437754353</v>
      </c>
      <c r="Y318" s="1" t="n">
        <f aca="false">$C$329*(Y290+(1-$C$279)*Y332)</f>
        <v>12.2526419762138</v>
      </c>
      <c r="Z318" s="1" t="n">
        <f aca="false">$C$329*(Z290+(1-$C$279)*Z332)</f>
        <v>12.5432546086314</v>
      </c>
      <c r="AA318" s="1" t="n">
        <f aca="false">$C$329*(AA290+(1-$C$279)*AA332)</f>
        <v>12.8420654559931</v>
      </c>
      <c r="AB318" s="1" t="n">
        <f aca="false">$C$329*(AB290+(1-$C$279)*AB332)</f>
        <v>13.1491616438185</v>
      </c>
      <c r="AC318" s="1" t="n">
        <f aca="false">$C$329*(AC290+(1-$C$279)*AC332)</f>
        <v>13.4646159413493</v>
      </c>
      <c r="AD318" s="1" t="n">
        <f aca="false">$C$329*(AD290+(1-$C$279)*AD332)</f>
        <v>13.7885046814224</v>
      </c>
      <c r="AE318" s="1" t="n">
        <f aca="false">$C$329*(AE290+(1-$C$279)*AE332)</f>
        <v>14.1209077056148</v>
      </c>
      <c r="AF318" s="1" t="n">
        <f aca="false">$C$329*(AF290+(1-$C$279)*AF332)</f>
        <v>14.4619083088531</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4.51899406330172</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5.90480743779631</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5.33849672946016</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4.48937984578299</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4.40915073352595</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4.51684386102439</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4.62209688959632</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4.73050147875603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4.8417866534028</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4.95597256045844</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5.07309527795045</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5.1943999176114</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5.31935549757713</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5.44767554512446</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5.57939853564051</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5.714564326166</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5.85318764851459</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5.99529722056663</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6.14093023593736</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6.29012518715101</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6.4429218521555</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3.47594414315392</v>
      </c>
      <c r="M320" s="1" t="n">
        <f aca="false">01_Supuestos!$C$185*M317</f>
        <v>4.74615939007833</v>
      </c>
      <c r="N320" s="1" t="n">
        <f aca="false">01_Supuestos!$C$185*N317</f>
        <v>3.75644359943405</v>
      </c>
      <c r="O320" s="1" t="n">
        <f aca="false">01_Supuestos!$C$185*O317</f>
        <v>3.23723197930497</v>
      </c>
      <c r="P320" s="1" t="n">
        <f aca="false">01_Supuestos!$C$185*P317</f>
        <v>3.33007340709096</v>
      </c>
      <c r="Q320" s="1" t="n">
        <f aca="false">01_Supuestos!$C$185*Q317</f>
        <v>3.40681939199407</v>
      </c>
      <c r="R320" s="1" t="n">
        <f aca="false">01_Supuestos!$C$185*R317</f>
        <v>3.48649042559829</v>
      </c>
      <c r="S320" s="1" t="n">
        <f aca="false">01_Supuestos!$C$185*S317</f>
        <v>3.5683380035566</v>
      </c>
      <c r="T320" s="1" t="n">
        <f aca="false">01_Supuestos!$C$185*T317</f>
        <v>3.65234065221727</v>
      </c>
      <c r="U320" s="1" t="n">
        <f aca="false">01_Supuestos!$C$185*U317</f>
        <v>3.73852567638602</v>
      </c>
      <c r="V320" s="1" t="n">
        <f aca="false">01_Supuestos!$C$185*V317</f>
        <v>3.82692005248844</v>
      </c>
      <c r="W320" s="1" t="n">
        <f aca="false">01_Supuestos!$C$185*W317</f>
        <v>3.91875990011526</v>
      </c>
      <c r="X320" s="1" t="n">
        <f aca="false">01_Supuestos!$C$185*X317</f>
        <v>4.01310219753871</v>
      </c>
      <c r="Y320" s="1" t="n">
        <f aca="false">01_Supuestos!$C$185*Y317</f>
        <v>4.10997481261156</v>
      </c>
      <c r="Z320" s="1" t="n">
        <f aca="false">01_Supuestos!$C$185*Z317</f>
        <v>4.20940693143666</v>
      </c>
      <c r="AA320" s="1" t="n">
        <f aca="false">01_Supuestos!$C$185*AA317</f>
        <v>4.31142868235378</v>
      </c>
      <c r="AB320" s="1" t="n">
        <f aca="false">01_Supuestos!$C$185*AB317</f>
        <v>4.41604475439666</v>
      </c>
      <c r="AC320" s="1" t="n">
        <f aca="false">01_Supuestos!$C$185*AC317</f>
        <v>4.52328230243441</v>
      </c>
      <c r="AD320" s="1" t="n">
        <f aca="false">01_Supuestos!$C$185*AD317</f>
        <v>4.63316946845922</v>
      </c>
      <c r="AE320" s="1" t="n">
        <f aca="false">01_Supuestos!$C$185*AE317</f>
        <v>4.74573536433127</v>
      </c>
      <c r="AF320" s="1" t="n">
        <f aca="false">01_Supuestos!$C$185*AF317</f>
        <v>4.86101006404508</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4.51899406330172</v>
      </c>
      <c r="M321" s="1" t="n">
        <f aca="false">L321+M320-M323</f>
        <v>5.90480743779631</v>
      </c>
      <c r="N321" s="1" t="n">
        <f aca="false">M321+N320-N323</f>
        <v>5.33849672946016</v>
      </c>
      <c r="O321" s="1" t="n">
        <f aca="false">N321+O320-O323</f>
        <v>4.48937984578299</v>
      </c>
      <c r="P321" s="1" t="n">
        <f aca="false">O321+P320-P323</f>
        <v>4.40915073352595</v>
      </c>
      <c r="Q321" s="1" t="n">
        <f aca="false">P321+Q320-Q323</f>
        <v>4.51684386102439</v>
      </c>
      <c r="R321" s="1" t="n">
        <f aca="false">Q321+R320-R323</f>
        <v>4.62209688959632</v>
      </c>
      <c r="S321" s="1" t="n">
        <f aca="false">R321+S320-S323</f>
        <v>4.73050147875603</v>
      </c>
      <c r="T321" s="1" t="n">
        <f aca="false">S321+T320-T323</f>
        <v>4.8417866534028</v>
      </c>
      <c r="U321" s="1" t="n">
        <f aca="false">T321+U320-U323</f>
        <v>4.95597256045844</v>
      </c>
      <c r="V321" s="1" t="n">
        <f aca="false">U321+V320-V323</f>
        <v>5.07309527795045</v>
      </c>
      <c r="W321" s="1" t="n">
        <f aca="false">V321+W320-W323</f>
        <v>5.1943999176114</v>
      </c>
      <c r="X321" s="1" t="n">
        <f aca="false">W321+X320-X323</f>
        <v>5.31935549757713</v>
      </c>
      <c r="Y321" s="1" t="n">
        <f aca="false">X321+Y320-Y323</f>
        <v>5.44767554512446</v>
      </c>
      <c r="Z321" s="1" t="n">
        <f aca="false">Y321+Z320-Z323</f>
        <v>5.57939853564051</v>
      </c>
      <c r="AA321" s="1" t="n">
        <f aca="false">Z321+AA320-AA323</f>
        <v>5.714564326166</v>
      </c>
      <c r="AB321" s="1" t="n">
        <f aca="false">AA321+AB320-AB323</f>
        <v>5.85318764851459</v>
      </c>
      <c r="AC321" s="1" t="n">
        <f aca="false">AB321+AC320-AC323</f>
        <v>5.99529722056663</v>
      </c>
      <c r="AD321" s="1" t="n">
        <f aca="false">AC321+AD320-AD323</f>
        <v>6.14093023593736</v>
      </c>
      <c r="AE321" s="1" t="n">
        <f aca="false">AD321+AE320-AE323</f>
        <v>6.29012518715101</v>
      </c>
      <c r="AF321" s="1" t="n">
        <f aca="false">AE321+AF320-AF323</f>
        <v>6.4429218521555</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3.36034601558375</v>
      </c>
      <c r="N323" s="1" t="n">
        <f aca="false">MAX(0,MIN(N318,M321+N320,M321+N320-N319))</f>
        <v>4.3227543077702</v>
      </c>
      <c r="O323" s="1" t="n">
        <f aca="false">MAX(0,MIN(O318,N321+O320,N321+O320-O319))</f>
        <v>4.08634886298215</v>
      </c>
      <c r="P323" s="1" t="n">
        <f aca="false">MAX(0,MIN(P318,O321+P320,O321+P320-P319))</f>
        <v>3.410302519348</v>
      </c>
      <c r="Q323" s="1" t="n">
        <f aca="false">MAX(0,MIN(Q318,P321+Q320,P321+Q320-Q319))</f>
        <v>3.29912626449563</v>
      </c>
      <c r="R323" s="1" t="n">
        <f aca="false">MAX(0,MIN(R318,Q321+R320,Q321+R320-R319))</f>
        <v>3.38123739702637</v>
      </c>
      <c r="S323" s="1" t="n">
        <f aca="false">MAX(0,MIN(S318,R321+S320,R321+S320-S319))</f>
        <v>3.45993341439688</v>
      </c>
      <c r="T323" s="1" t="n">
        <f aca="false">MAX(0,MIN(T318,S321+T320,S321+T320-T319))</f>
        <v>3.5410554775705</v>
      </c>
      <c r="U323" s="1" t="n">
        <f aca="false">MAX(0,MIN(U318,T321+U320,T321+U320-U319))</f>
        <v>3.62433976933038</v>
      </c>
      <c r="V323" s="1" t="n">
        <f aca="false">MAX(0,MIN(V318,U321+V320,U321+V320-V319))</f>
        <v>3.70979733499644</v>
      </c>
      <c r="W323" s="1" t="n">
        <f aca="false">MAX(0,MIN(W318,V321+W320,V321+W320-W319))</f>
        <v>3.7974552604543</v>
      </c>
      <c r="X323" s="1" t="n">
        <f aca="false">MAX(0,MIN(X318,W321+X320,W321+X320-X319))</f>
        <v>3.88814661757298</v>
      </c>
      <c r="Y323" s="1" t="n">
        <f aca="false">MAX(0,MIN(Y318,X321+Y320,X321+Y320-Y319))</f>
        <v>3.98165476506423</v>
      </c>
      <c r="Z323" s="1" t="n">
        <f aca="false">MAX(0,MIN(Z318,Y321+Z320,Y321+Z320-Z319))</f>
        <v>4.07768394092061</v>
      </c>
      <c r="AA323" s="1" t="n">
        <f aca="false">MAX(0,MIN(AA318,Z321+AA320,Z321+AA320-AA319))</f>
        <v>4.17626289182829</v>
      </c>
      <c r="AB323" s="1" t="n">
        <f aca="false">MAX(0,MIN(AB318,AA321+AB320,AA321+AB320-AB319))</f>
        <v>4.27742143204808</v>
      </c>
      <c r="AC323" s="1" t="n">
        <f aca="false">MAX(0,MIN(AC318,AB321+AC320,AB321+AC320-AC319))</f>
        <v>4.38117273038237</v>
      </c>
      <c r="AD323" s="1" t="n">
        <f aca="false">MAX(0,MIN(AD318,AC321+AD320,AC321+AD320-AD319))</f>
        <v>4.4875364530885</v>
      </c>
      <c r="AE323" s="1" t="n">
        <f aca="false">MAX(0,MIN(AE318,AD321+AE320,AD321+AE320-AE319))</f>
        <v>4.59654041311762</v>
      </c>
      <c r="AF323" s="1" t="n">
        <f aca="false">MAX(0,MIN(AF318,AE321+AF320,AE321+AF320-AF319))</f>
        <v>4.70821339904059</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4.51899406330172</v>
      </c>
      <c r="M326" s="1" t="n">
        <f aca="false">IF(01_Supuestos!$C$184="Sí",M321,$C$172*M83)</f>
        <v>5.90480743779631</v>
      </c>
      <c r="N326" s="1" t="n">
        <f aca="false">IF(01_Supuestos!$C$184="Sí",N321,$C$172*N83)</f>
        <v>5.33849672946016</v>
      </c>
      <c r="O326" s="1" t="n">
        <f aca="false">IF(01_Supuestos!$C$184="Sí",O321,$C$172*O83)</f>
        <v>4.48937984578299</v>
      </c>
      <c r="P326" s="1" t="n">
        <f aca="false">IF(01_Supuestos!$C$184="Sí",P321,$C$172*P83)</f>
        <v>4.40915073352595</v>
      </c>
      <c r="Q326" s="1" t="n">
        <f aca="false">IF(01_Supuestos!$C$184="Sí",Q321,$C$172*Q83)</f>
        <v>4.51684386102439</v>
      </c>
      <c r="R326" s="1" t="n">
        <f aca="false">IF(01_Supuestos!$C$184="Sí",R321,$C$172*R83)</f>
        <v>4.62209688959632</v>
      </c>
      <c r="S326" s="1" t="n">
        <f aca="false">IF(01_Supuestos!$C$184="Sí",S321,$C$172*S83)</f>
        <v>4.73050147875603</v>
      </c>
      <c r="T326" s="1" t="n">
        <f aca="false">IF(01_Supuestos!$C$184="Sí",T321,$C$172*T83)</f>
        <v>4.8417866534028</v>
      </c>
      <c r="U326" s="1" t="n">
        <f aca="false">IF(01_Supuestos!$C$184="Sí",U321,$C$172*U83)</f>
        <v>4.95597256045844</v>
      </c>
      <c r="V326" s="1" t="n">
        <f aca="false">IF(01_Supuestos!$C$184="Sí",V321,$C$172*V83)</f>
        <v>5.07309527795045</v>
      </c>
      <c r="W326" s="1" t="n">
        <f aca="false">IF(01_Supuestos!$C$184="Sí",W321,$C$172*W83)</f>
        <v>5.1943999176114</v>
      </c>
      <c r="X326" s="1" t="n">
        <f aca="false">IF(01_Supuestos!$C$184="Sí",X321,$C$172*X83)</f>
        <v>5.31935549757713</v>
      </c>
      <c r="Y326" s="1" t="n">
        <f aca="false">IF(01_Supuestos!$C$184="Sí",Y321,$C$172*Y83)</f>
        <v>5.44767554512446</v>
      </c>
      <c r="Z326" s="1" t="n">
        <f aca="false">IF(01_Supuestos!$C$184="Sí",Z321,$C$172*Z83)</f>
        <v>5.57939853564051</v>
      </c>
      <c r="AA326" s="1" t="n">
        <f aca="false">IF(01_Supuestos!$C$184="Sí",AA321,$C$172*AA83)</f>
        <v>5.714564326166</v>
      </c>
      <c r="AB326" s="1" t="n">
        <f aca="false">IF(01_Supuestos!$C$184="Sí",AB321,$C$172*AB83)</f>
        <v>5.85318764851459</v>
      </c>
      <c r="AC326" s="1" t="n">
        <f aca="false">IF(01_Supuestos!$C$184="Sí",AC321,$C$172*AC83)</f>
        <v>5.99529722056663</v>
      </c>
      <c r="AD326" s="1" t="n">
        <f aca="false">IF(01_Supuestos!$C$184="Sí",AD321,$C$172*AD83)</f>
        <v>6.14093023593736</v>
      </c>
      <c r="AE326" s="1" t="n">
        <f aca="false">IF(01_Supuestos!$C$184="Sí",AE321,$C$172*AE83)</f>
        <v>6.29012518715101</v>
      </c>
      <c r="AF326" s="1" t="n">
        <f aca="false">IF(01_Supuestos!$C$184="Sí",AF321,$C$172*AF83)</f>
        <v>6.4429218521555</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0.114204979146108</v>
      </c>
      <c r="N327" s="1" t="n">
        <f aca="false">IF(01_Supuestos!$C$184="Sí",MAX(0.001,IF(M299&gt;0,M320/M299,$C$328*(1-$C$279))),$C$172)</f>
        <v>0.135882350123559</v>
      </c>
      <c r="O327" s="1" t="n">
        <f aca="false">IF(01_Supuestos!$C$184="Sí",MAX(0.001,IF(N299&gt;0,N320/N299,$C$328*(1-$C$279))),$C$172)</f>
        <v>0.150116817814509</v>
      </c>
      <c r="P327" s="1" t="n">
        <f aca="false">IF(01_Supuestos!$C$184="Sí",MAX(0.001,IF(O299&gt;0,O320/O299,$C$328*(1-$C$279))),$C$172)</f>
        <v>0.136567981374023</v>
      </c>
      <c r="Q327" s="1" t="n">
        <f aca="false">IF(01_Supuestos!$C$184="Sí",MAX(0.001,IF(P299&gt;0,P320/P299,$C$328*(1-$C$279))),$C$172)</f>
        <v>0.137380985637554</v>
      </c>
      <c r="R327" s="1" t="n">
        <f aca="false">IF(01_Supuestos!$C$184="Sí",MAX(0.001,IF(Q299&gt;0,Q320/Q299,$C$328*(1-$C$279))),$C$172)</f>
        <v>0.137396819732524</v>
      </c>
      <c r="S327" s="1" t="n">
        <f aca="false">IF(01_Supuestos!$C$184="Sí",MAX(0.001,IF(R299&gt;0,R320/R299,$C$328*(1-$C$279))),$C$172)</f>
        <v>0.137455869068696</v>
      </c>
      <c r="T327" s="1" t="n">
        <f aca="false">IF(01_Supuestos!$C$184="Sí",MAX(0.001,IF(S299&gt;0,S320/S299,$C$328*(1-$C$279))),$C$172)</f>
        <v>0.137523163630863</v>
      </c>
      <c r="U327" s="1" t="n">
        <f aca="false">IF(01_Supuestos!$C$184="Sí",MAX(0.001,IF(T299&gt;0,T320/T299,$C$328*(1-$C$279))),$C$172)</f>
        <v>0.137595746724898</v>
      </c>
      <c r="V327" s="1" t="n">
        <f aca="false">IF(01_Supuestos!$C$184="Sí",MAX(0.001,IF(U299&gt;0,U320/U299,$C$328*(1-$C$279))),$C$172)</f>
        <v>0.137672751900205</v>
      </c>
      <c r="W327" s="1" t="n">
        <f aca="false">IF(01_Supuestos!$C$184="Sí",MAX(0.001,IF(V299&gt;0,V320/V299,$C$328*(1-$C$279))),$C$172)</f>
        <v>0.137753318577354</v>
      </c>
      <c r="X327" s="1" t="n">
        <f aca="false">IF(01_Supuestos!$C$184="Sí",MAX(0.001,IF(W299&gt;0,W320/W299,$C$328*(1-$C$279))),$C$172)</f>
        <v>0.137879152211478</v>
      </c>
      <c r="Y327" s="1" t="n">
        <f aca="false">IF(01_Supuestos!$C$184="Sí",MAX(0.001,IF(X299&gt;0,X320/X299,$C$328*(1-$C$279))),$C$172)</f>
        <v>0.138011329664107</v>
      </c>
      <c r="Z327" s="1" t="n">
        <f aca="false">IF(01_Supuestos!$C$184="Sí",MAX(0.001,IF(Y299&gt;0,Y320/Y299,$C$328*(1-$C$279))),$C$172)</f>
        <v>0.1381487298479</v>
      </c>
      <c r="AA327" s="1" t="n">
        <f aca="false">IF(01_Supuestos!$C$184="Sí",MAX(0.001,IF(Z299&gt;0,Z320/Z299,$C$328*(1-$C$279))),$C$172)</f>
        <v>0.138290315825145</v>
      </c>
      <c r="AB327" s="1" t="n">
        <f aca="false">IF(01_Supuestos!$C$184="Sí",MAX(0.001,IF(AA299&gt;0,AA320/AA299,$C$328*(1-$C$279))),$C$172)</f>
        <v>0.138435117178874</v>
      </c>
      <c r="AC327" s="1" t="n">
        <f aca="false">IF(01_Supuestos!$C$184="Sí",MAX(0.001,IF(AB299&gt;0,AB320/AB299,$C$328*(1-$C$279))),$C$172)</f>
        <v>0.138581398851694</v>
      </c>
      <c r="AD327" s="1" t="n">
        <f aca="false">IF(01_Supuestos!$C$184="Sí",MAX(0.001,IF(AC299&gt;0,AC320/AC299,$C$328*(1-$C$279))),$C$172)</f>
        <v>0.138728257684008</v>
      </c>
      <c r="AE327" s="1" t="n">
        <f aca="false">IF(01_Supuestos!$C$184="Sí",MAX(0.001,IF(AD299&gt;0,AD320/AD299,$C$328*(1-$C$279))),$C$172)</f>
        <v>0.138874856061676</v>
      </c>
      <c r="AF327" s="1" t="n">
        <f aca="false">IF(01_Supuestos!$C$184="Sí",MAX(0.001,IF(AE299&gt;0,AE320/AE299,$C$328*(1-$C$279))),$C$172)</f>
        <v>0.139020417854355</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0.0951224351928465</v>
      </c>
      <c r="N330" s="1" t="n">
        <f aca="false">N343</f>
        <v>0.116937017361971</v>
      </c>
      <c r="O330" s="1" t="n">
        <f aca="false">O343</f>
        <v>0.125839198753567</v>
      </c>
      <c r="P330" s="1" t="n">
        <f aca="false">P343</f>
        <v>0.128477859879238</v>
      </c>
      <c r="Q330" s="1" t="n">
        <f aca="false">Q343</f>
        <v>0.131387034986961</v>
      </c>
      <c r="R330" s="1" t="n">
        <f aca="false">R343</f>
        <v>0.134373651051183</v>
      </c>
      <c r="S330" s="1" t="n">
        <f aca="false">S343</f>
        <v>0.137447373864918</v>
      </c>
      <c r="T330" s="1" t="n">
        <f aca="false">T343</f>
        <v>0.140609475706262</v>
      </c>
      <c r="U330" s="1" t="n">
        <f aca="false">U343</f>
        <v>0.14386078826218</v>
      </c>
      <c r="V330" s="1" t="n">
        <f aca="false">V343</f>
        <v>0.147202211603151</v>
      </c>
      <c r="W330" s="1" t="n">
        <f aca="false">W343</f>
        <v>0.150634697620897</v>
      </c>
      <c r="X330" s="1" t="n">
        <f aca="false">X343</f>
        <v>0.154169663270649</v>
      </c>
      <c r="Y330" s="1" t="n">
        <f aca="false">Y343</f>
        <v>0.157808103485375</v>
      </c>
      <c r="Z330" s="1" t="n">
        <f aca="false">Z343</f>
        <v>0.161551053655611</v>
      </c>
      <c r="AA330" s="1" t="n">
        <f aca="false">AA343</f>
        <v>0.165399592869811</v>
      </c>
      <c r="AB330" s="1" t="n">
        <f aca="false">AB343</f>
        <v>0.169354843262534</v>
      </c>
      <c r="AC330" s="1" t="n">
        <f aca="false">AC343</f>
        <v>0.173417742066423</v>
      </c>
      <c r="AD330" s="1" t="n">
        <f aca="false">AD343</f>
        <v>0.177589272411506</v>
      </c>
      <c r="AE330" s="1" t="n">
        <f aca="false">AE343</f>
        <v>0.181870462618683</v>
      </c>
      <c r="AF330" s="1" t="n">
        <f aca="false">AF343</f>
        <v>0.186262385486328</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0.0951224351928465</v>
      </c>
      <c r="N331" s="1" t="n">
        <f aca="false">N330*$C$338</f>
        <v>0.116937017361971</v>
      </c>
      <c r="O331" s="1" t="n">
        <f aca="false">O330*$C$338</f>
        <v>0.125839198753567</v>
      </c>
      <c r="P331" s="1" t="n">
        <f aca="false">P330*$C$338</f>
        <v>0.128477859879238</v>
      </c>
      <c r="Q331" s="1" t="n">
        <f aca="false">Q330*$C$338</f>
        <v>0.131387034986961</v>
      </c>
      <c r="R331" s="1" t="n">
        <f aca="false">R330*$C$338</f>
        <v>0.134373651051183</v>
      </c>
      <c r="S331" s="1" t="n">
        <f aca="false">S330*$C$338</f>
        <v>0.137447373864918</v>
      </c>
      <c r="T331" s="1" t="n">
        <f aca="false">T330*$C$338</f>
        <v>0.140609475706262</v>
      </c>
      <c r="U331" s="1" t="n">
        <f aca="false">U330*$C$338</f>
        <v>0.14386078826218</v>
      </c>
      <c r="V331" s="1" t="n">
        <f aca="false">V330*$C$338</f>
        <v>0.147202211603151</v>
      </c>
      <c r="W331" s="1" t="n">
        <f aca="false">W330*$C$338</f>
        <v>0.150634697620897</v>
      </c>
      <c r="X331" s="1" t="n">
        <f aca="false">X330*$C$338</f>
        <v>0.154169663270649</v>
      </c>
      <c r="Y331" s="1" t="n">
        <f aca="false">Y330*$C$338</f>
        <v>0.157808103485375</v>
      </c>
      <c r="Z331" s="1" t="n">
        <f aca="false">Z330*$C$338</f>
        <v>0.161551053655611</v>
      </c>
      <c r="AA331" s="1" t="n">
        <f aca="false">AA330*$C$338</f>
        <v>0.165399592869811</v>
      </c>
      <c r="AB331" s="1" t="n">
        <f aca="false">AB330*$C$338</f>
        <v>0.169354843262534</v>
      </c>
      <c r="AC331" s="1" t="n">
        <f aca="false">AC330*$C$338</f>
        <v>0.173417742066423</v>
      </c>
      <c r="AD331" s="1" t="n">
        <f aca="false">AD330*$C$338</f>
        <v>0.177589272411506</v>
      </c>
      <c r="AE331" s="1" t="n">
        <f aca="false">AE330*$C$338</f>
        <v>0.181870462618683</v>
      </c>
      <c r="AF331" s="1" t="n">
        <f aca="false">AF330*$C$338</f>
        <v>0.186262385486328</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0.0951224351928465</v>
      </c>
      <c r="N332" s="1" t="n">
        <f aca="false">IF($C$339&lt;=0,N331,IF($C$339=1,M331,L331))</f>
        <v>0.116937017361971</v>
      </c>
      <c r="O332" s="1" t="n">
        <f aca="false">IF($C$339&lt;=0,O331,IF($C$339=1,N331,M331))</f>
        <v>0.125839198753567</v>
      </c>
      <c r="P332" s="1" t="n">
        <f aca="false">IF($C$339&lt;=0,P331,IF($C$339=1,O331,N331))</f>
        <v>0.128477859879238</v>
      </c>
      <c r="Q332" s="1" t="n">
        <f aca="false">IF($C$339&lt;=0,Q331,IF($C$339=1,P331,O331))</f>
        <v>0.131387034986961</v>
      </c>
      <c r="R332" s="1" t="n">
        <f aca="false">IF($C$339&lt;=0,R331,IF($C$339=1,Q331,P331))</f>
        <v>0.134373651051183</v>
      </c>
      <c r="S332" s="1" t="n">
        <f aca="false">IF($C$339&lt;=0,S331,IF($C$339=1,R331,Q331))</f>
        <v>0.137447373864918</v>
      </c>
      <c r="T332" s="1" t="n">
        <f aca="false">IF($C$339&lt;=0,T331,IF($C$339=1,S331,R331))</f>
        <v>0.140609475706262</v>
      </c>
      <c r="U332" s="1" t="n">
        <f aca="false">IF($C$339&lt;=0,U331,IF($C$339=1,T331,S331))</f>
        <v>0.14386078826218</v>
      </c>
      <c r="V332" s="1" t="n">
        <f aca="false">IF($C$339&lt;=0,V331,IF($C$339=1,U331,T331))</f>
        <v>0.147202211603151</v>
      </c>
      <c r="W332" s="1" t="n">
        <f aca="false">IF($C$339&lt;=0,W331,IF($C$339=1,V331,U331))</f>
        <v>0.150634697620897</v>
      </c>
      <c r="X332" s="1" t="n">
        <f aca="false">IF($C$339&lt;=0,X331,IF($C$339=1,W331,V331))</f>
        <v>0.154169663270649</v>
      </c>
      <c r="Y332" s="1" t="n">
        <f aca="false">IF($C$339&lt;=0,Y331,IF($C$339=1,X331,W331))</f>
        <v>0.157808103485375</v>
      </c>
      <c r="Z332" s="1" t="n">
        <f aca="false">IF($C$339&lt;=0,Z331,IF($C$339=1,Y331,X331))</f>
        <v>0.161551053655611</v>
      </c>
      <c r="AA332" s="1" t="n">
        <f aca="false">IF($C$339&lt;=0,AA331,IF($C$339=1,Z331,Y331))</f>
        <v>0.165399592869811</v>
      </c>
      <c r="AB332" s="1" t="n">
        <f aca="false">IF($C$339&lt;=0,AB331,IF($C$339=1,AA331,Z331))</f>
        <v>0.169354843262534</v>
      </c>
      <c r="AC332" s="1" t="n">
        <f aca="false">IF($C$339&lt;=0,AC331,IF($C$339=1,AB331,AA331))</f>
        <v>0.173417742066423</v>
      </c>
      <c r="AD332" s="1" t="n">
        <f aca="false">IF($C$339&lt;=0,AD331,IF($C$339=1,AC331,AB331))</f>
        <v>0.177589272411506</v>
      </c>
      <c r="AE332" s="1" t="n">
        <f aca="false">IF($C$339&lt;=0,AE331,IF($C$339=1,AD331,AC331))</f>
        <v>0.181870462618683</v>
      </c>
      <c r="AF332" s="1" t="n">
        <f aca="false">IF($C$339&lt;=0,AF331,IF($C$339=1,AE331,AD331))</f>
        <v>0.186262385486328</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0.0399514227809955</v>
      </c>
      <c r="N341" s="1" t="n">
        <f aca="false">M284*$C$340</f>
        <v>0.0491135472920277</v>
      </c>
      <c r="O341" s="1" t="n">
        <f aca="false">N284*$C$340</f>
        <v>0.052852463476498</v>
      </c>
      <c r="P341" s="1" t="n">
        <f aca="false">O284*$C$340</f>
        <v>0.05396070114928</v>
      </c>
      <c r="Q341" s="1" t="n">
        <f aca="false">P284*$C$340</f>
        <v>0.0551825546945236</v>
      </c>
      <c r="R341" s="1" t="n">
        <f aca="false">Q284*$C$340</f>
        <v>0.0564369334414969</v>
      </c>
      <c r="S341" s="1" t="n">
        <f aca="false">R284*$C$340</f>
        <v>0.0577278970232658</v>
      </c>
      <c r="T341" s="1" t="n">
        <f aca="false">S284*$C$340</f>
        <v>0.05905597979663</v>
      </c>
      <c r="U341" s="1" t="n">
        <f aca="false">T284*$C$340</f>
        <v>0.0604215310701154</v>
      </c>
      <c r="V341" s="1" t="n">
        <f aca="false">U284*$C$340</f>
        <v>0.0618249288733235</v>
      </c>
      <c r="W341" s="1" t="n">
        <f aca="false">V284*$C$340</f>
        <v>0.0632665730007769</v>
      </c>
      <c r="X341" s="1" t="n">
        <f aca="false">W284*$C$340</f>
        <v>0.0647512585736727</v>
      </c>
      <c r="Y341" s="1" t="n">
        <f aca="false">X284*$C$340</f>
        <v>0.0662794034638573</v>
      </c>
      <c r="Z341" s="1" t="n">
        <f aca="false">Y284*$C$340</f>
        <v>0.0678514425353566</v>
      </c>
      <c r="AA341" s="1" t="n">
        <f aca="false">Z284*$C$340</f>
        <v>0.0694678290053208</v>
      </c>
      <c r="AB341" s="1" t="n">
        <f aca="false">AA284*$C$340</f>
        <v>0.0711290341702643</v>
      </c>
      <c r="AC341" s="1" t="n">
        <f aca="false">AB284*$C$340</f>
        <v>0.0728354516678977</v>
      </c>
      <c r="AD341" s="1" t="n">
        <f aca="false">AC284*$C$340</f>
        <v>0.0745874944128325</v>
      </c>
      <c r="AE341" s="1" t="n">
        <f aca="false">AD284*$C$340</f>
        <v>0.0763855942998468</v>
      </c>
      <c r="AF341" s="1" t="n">
        <f aca="false">AE284*$C$340</f>
        <v>0.0782302019042576</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0.055171012411851</v>
      </c>
      <c r="N342" s="1" t="n">
        <f aca="false">M289*$C$340</f>
        <v>0.067823470069943</v>
      </c>
      <c r="O342" s="1" t="n">
        <f aca="false">N289*$C$340</f>
        <v>0.0729867352770687</v>
      </c>
      <c r="P342" s="1" t="n">
        <f aca="false">O289*$C$340</f>
        <v>0.0745171587299581</v>
      </c>
      <c r="Q342" s="1" t="n">
        <f aca="false">P289*$C$340</f>
        <v>0.0762044802924373</v>
      </c>
      <c r="R342" s="1" t="n">
        <f aca="false">Q289*$C$340</f>
        <v>0.0779367176096863</v>
      </c>
      <c r="S342" s="1" t="n">
        <f aca="false">R289*$C$340</f>
        <v>0.0797194768416527</v>
      </c>
      <c r="T342" s="1" t="n">
        <f aca="false">S289*$C$340</f>
        <v>0.0815534959096319</v>
      </c>
      <c r="U342" s="1" t="n">
        <f aca="false">T289*$C$340</f>
        <v>0.0834392571920641</v>
      </c>
      <c r="V342" s="1" t="n">
        <f aca="false">U289*$C$340</f>
        <v>0.0853772827298278</v>
      </c>
      <c r="W342" s="1" t="n">
        <f aca="false">V289*$C$340</f>
        <v>0.0873681246201205</v>
      </c>
      <c r="X342" s="1" t="n">
        <f aca="false">W289*$C$340</f>
        <v>0.0894184046969766</v>
      </c>
      <c r="Y342" s="1" t="n">
        <f aca="false">X289*$C$340</f>
        <v>0.0915287000215173</v>
      </c>
      <c r="Z342" s="1" t="n">
        <f aca="false">Y289*$C$340</f>
        <v>0.0936996111202544</v>
      </c>
      <c r="AA342" s="1" t="n">
        <f aca="false">Z289*$C$340</f>
        <v>0.0959317638644906</v>
      </c>
      <c r="AB342" s="1" t="n">
        <f aca="false">AA289*$C$340</f>
        <v>0.0982258090922698</v>
      </c>
      <c r="AC342" s="1" t="n">
        <f aca="false">AB289*$C$340</f>
        <v>0.100582290398525</v>
      </c>
      <c r="AD342" s="1" t="n">
        <f aca="false">AC289*$C$340</f>
        <v>0.103001777998674</v>
      </c>
      <c r="AE342" s="1" t="n">
        <f aca="false">AD289*$C$340</f>
        <v>0.105484868318836</v>
      </c>
      <c r="AF342" s="1" t="n">
        <f aca="false">AE289*$C$340</f>
        <v>0.10803218358207</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0.0951224351928465</v>
      </c>
      <c r="N343" s="1" t="n">
        <f aca="false">N341+N342</f>
        <v>0.116937017361971</v>
      </c>
      <c r="O343" s="1" t="n">
        <f aca="false">O341+O342</f>
        <v>0.125839198753567</v>
      </c>
      <c r="P343" s="1" t="n">
        <f aca="false">P341+P342</f>
        <v>0.128477859879238</v>
      </c>
      <c r="Q343" s="1" t="n">
        <f aca="false">Q341+Q342</f>
        <v>0.131387034986961</v>
      </c>
      <c r="R343" s="1" t="n">
        <f aca="false">R341+R342</f>
        <v>0.134373651051183</v>
      </c>
      <c r="S343" s="1" t="n">
        <f aca="false">S341+S342</f>
        <v>0.137447373864918</v>
      </c>
      <c r="T343" s="1" t="n">
        <f aca="false">T341+T342</f>
        <v>0.140609475706262</v>
      </c>
      <c r="U343" s="1" t="n">
        <f aca="false">U341+U342</f>
        <v>0.14386078826218</v>
      </c>
      <c r="V343" s="1" t="n">
        <f aca="false">V341+V342</f>
        <v>0.147202211603151</v>
      </c>
      <c r="W343" s="1" t="n">
        <f aca="false">W341+W342</f>
        <v>0.150634697620897</v>
      </c>
      <c r="X343" s="1" t="n">
        <f aca="false">X341+X342</f>
        <v>0.154169663270649</v>
      </c>
      <c r="Y343" s="1" t="n">
        <f aca="false">Y341+Y342</f>
        <v>0.157808103485375</v>
      </c>
      <c r="Z343" s="1" t="n">
        <f aca="false">Z341+Z342</f>
        <v>0.161551053655611</v>
      </c>
      <c r="AA343" s="1" t="n">
        <f aca="false">AA341+AA342</f>
        <v>0.165399592869811</v>
      </c>
      <c r="AB343" s="1" t="n">
        <f aca="false">AB341+AB342</f>
        <v>0.169354843262534</v>
      </c>
      <c r="AC343" s="1" t="n">
        <f aca="false">AC341+AC342</f>
        <v>0.173417742066423</v>
      </c>
      <c r="AD343" s="1" t="n">
        <f aca="false">AD341+AD342</f>
        <v>0.177589272411506</v>
      </c>
      <c r="AE343" s="1" t="n">
        <f aca="false">AE341+AE342</f>
        <v>0.181870462618683</v>
      </c>
      <c r="AF343" s="1" t="n">
        <f aca="false">AF341+AF342</f>
        <v>0.186262385486328</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1398</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52" t="n">
        <v>0.0049</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11.02124075</v>
      </c>
      <c r="E54" s="116" t="n">
        <f aca="false">01_Supuestos!$I$132*(1+01_Supuestos!$I$133)^(E$39-1)*(1+$C$14)^(E$39-1)</f>
        <v>11.3521259504169</v>
      </c>
      <c r="F54" s="116" t="n">
        <f aca="false">01_Supuestos!$I$132*(1+01_Supuestos!$I$133)^(F$39-1)*(1+$C$14)^(F$39-1)</f>
        <v>11.6929451517633</v>
      </c>
      <c r="G54" s="116" t="n">
        <f aca="false">01_Supuestos!$I$132*(1+01_Supuestos!$I$133)^(G$39-1)*(1+$C$14)^(G$39-1)</f>
        <v>12.0439965975821</v>
      </c>
      <c r="H54" s="116" t="n">
        <f aca="false">01_Supuestos!$I$132*(1+01_Supuestos!$I$133)^(H$39-1)*(1+$C$14)^(H$39-1)</f>
        <v>12.405587485433</v>
      </c>
      <c r="I54" s="116" t="n">
        <f aca="false">01_Supuestos!$I$132*(1+01_Supuestos!$I$133)^(I$39-1)*(1+$C$14)^(I$39-1)</f>
        <v>12.7780342357144</v>
      </c>
      <c r="J54" s="116" t="n">
        <f aca="false">01_Supuestos!$I$132*(1+01_Supuestos!$I$133)^(J$39-1)*(1+$C$14)^(J$39-1)</f>
        <v>13.1616627685561</v>
      </c>
      <c r="K54" s="116" t="n">
        <f aca="false">01_Supuestos!$I$132*(1+01_Supuestos!$I$133)^(K$39-1)*(1+$C$14)^(K$39-1)</f>
        <v>13.5568087890251</v>
      </c>
      <c r="L54" s="116" t="n">
        <f aca="false">01_Supuestos!$I$132*(1+01_Supuestos!$I$133)^(L$39-1)*(1+$C$14)^(L$39-1)</f>
        <v>13.9638180808936</v>
      </c>
      <c r="M54" s="116" t="n">
        <f aca="false">01_Supuestos!$I$132*(1+01_Supuestos!$I$133)^(M$39-1)*(1+$C$14)^(M$39-1)</f>
        <v>14.3830468092272</v>
      </c>
      <c r="N54" s="116" t="n">
        <f aca="false">01_Supuestos!$I$132*(1+01_Supuestos!$I$133)^(N$39-1)*(1+$C$14)^(N$39-1)</f>
        <v>14.8148618320572</v>
      </c>
      <c r="O54" s="116" t="n">
        <f aca="false">01_Supuestos!$I$132*(1+01_Supuestos!$I$133)^(O$39-1)*(1+$C$14)^(O$39-1)</f>
        <v>15.2596410214102</v>
      </c>
      <c r="P54" s="116" t="n">
        <f aca="false">01_Supuestos!$I$132*(1+01_Supuestos!$I$133)^(P$39-1)*(1+$C$14)^(P$39-1)</f>
        <v>15.7177735939755</v>
      </c>
      <c r="Q54" s="116" t="n">
        <f aca="false">01_Supuestos!$I$132*(1+01_Supuestos!$I$133)^(Q$39-1)*(1+$C$14)^(Q$39-1)</f>
        <v>16.1896604517006</v>
      </c>
      <c r="R54" s="116" t="n">
        <f aca="false">01_Supuestos!$I$132*(1+01_Supuestos!$I$133)^(R$39-1)*(1+$C$14)^(R$39-1)</f>
        <v>16.6757145326118</v>
      </c>
      <c r="S54" s="116" t="n">
        <f aca="false">01_Supuestos!$I$132*(1+01_Supuestos!$I$133)^(S$39-1)*(1+$C$14)^(S$39-1)</f>
        <v>17.1763611721671</v>
      </c>
      <c r="T54" s="116" t="n">
        <f aca="false">01_Supuestos!$I$132*(1+01_Supuestos!$I$133)^(T$39-1)*(1+$C$14)^(T$39-1)</f>
        <v>17.6920384754585</v>
      </c>
      <c r="U54" s="116" t="n">
        <f aca="false">01_Supuestos!$I$132*(1+01_Supuestos!$I$133)^(U$39-1)*(1+$C$14)^(U$39-1)</f>
        <v>18.2231977005879</v>
      </c>
      <c r="V54" s="116" t="n">
        <f aca="false">01_Supuestos!$I$132*(1+01_Supuestos!$I$133)^(V$39-1)*(1+$C$14)^(V$39-1)</f>
        <v>18.7703036535538</v>
      </c>
      <c r="W54" s="116" t="n">
        <f aca="false">01_Supuestos!$I$132*(1+01_Supuestos!$I$133)^(W$39-1)*(1+$C$14)^(W$39-1)</f>
        <v>19.3338350949926</v>
      </c>
      <c r="X54" s="116" t="n">
        <f aca="false">01_Supuestos!$I$132*(1+01_Supuestos!$I$133)^(X$39-1)*(1+$C$14)^(X$39-1)</f>
        <v>19.9142851591321</v>
      </c>
      <c r="Y54" s="116" t="n">
        <f aca="false">01_Supuestos!$I$132*(1+01_Supuestos!$I$133)^(Y$39-1)*(1+$C$14)^(Y$39-1)</f>
        <v>20.5121617853221</v>
      </c>
      <c r="Z54" s="116" t="n">
        <f aca="false">01_Supuestos!$I$132*(1+01_Supuestos!$I$133)^(Z$39-1)*(1+$C$14)^(Z$39-1)</f>
        <v>21.1279881625219</v>
      </c>
      <c r="AA54" s="116" t="n">
        <f aca="false">01_Supuestos!$I$132*(1+01_Supuestos!$I$133)^(AA$39-1)*(1+$C$14)^(AA$39-1)</f>
        <v>21.7623031871312</v>
      </c>
      <c r="AB54" s="116" t="n">
        <f aca="false">01_Supuestos!$I$132*(1+01_Supuestos!$I$133)^(AB$39-1)*(1+$C$14)^(AB$39-1)</f>
        <v>22.4156619345669</v>
      </c>
      <c r="AC54" s="116" t="n">
        <f aca="false">01_Supuestos!$I$132*(1+01_Supuestos!$I$133)^(AC$39-1)*(1+$C$14)^(AC$39-1)</f>
        <v>23.0886361449974</v>
      </c>
      <c r="AD54" s="116" t="n">
        <f aca="false">01_Supuestos!$I$132*(1+01_Supuestos!$I$133)^(AD$39-1)*(1+$C$14)^(AD$39-1)</f>
        <v>23.7818147236606</v>
      </c>
      <c r="AE54" s="116" t="n">
        <f aca="false">01_Supuestos!$I$132*(1+01_Supuestos!$I$133)^(AE$39-1)*(1+$C$14)^(AE$39-1)</f>
        <v>24.4958042562017</v>
      </c>
      <c r="AF54" s="116" t="n">
        <f aca="false">01_Supuestos!$I$132*(1+01_Supuestos!$I$133)^(AF$39-1)*(1+$C$14)^(AF$39-1)</f>
        <v>25.2312295394835</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(IF($C$11="Libro",C55*C54,IF(C$39&lt;=20,01_Supuestos!$I$26+(01_Supuestos!$I$27-01_Supuestos!$I$26)*(C$39-1)/19,01_Supuestos!$I$27*IF($C$6="Sí",(1+01_Supuestos!$I$9)^(C$39-20),1))*C55/0.1))*(1-IF(C$39&gt;=$C$198,$C$197,0))</f>
        <v>1.07</v>
      </c>
      <c r="D56" s="116" t="n">
        <f aca="false">(IF($C$11="Libro",D55*D54,IF(D$39&lt;=20,01_Supuestos!$I$26+(01_Supuestos!$I$27-01_Supuestos!$I$26)*(D$39-1)/19,01_Supuestos!$I$27*IF($C$6="Sí",(1+01_Supuestos!$I$9)^(D$39-20),1))*D55/0.1))*(1-IF(D$39&gt;=$C$198,$C$197,0))</f>
        <v>1.102124075</v>
      </c>
      <c r="E56" s="116" t="n">
        <f aca="false">(IF($C$11="Libro",E55*E54,IF(E$39&lt;=20,01_Supuestos!$I$26+(01_Supuestos!$I$27-01_Supuestos!$I$26)*(E$39-1)/19,01_Supuestos!$I$27*IF($C$6="Sí",(1+01_Supuestos!$I$9)^(E$39-20),1))*E55/0.1))*(1-IF(E$39&gt;=$C$198,$C$197,0))</f>
        <v>1.13521259504169</v>
      </c>
      <c r="F56" s="116" t="n">
        <f aca="false">(IF($C$11="Libro",F55*F54,IF(F$39&lt;=20,01_Supuestos!$I$26+(01_Supuestos!$I$27-01_Supuestos!$I$26)*(F$39-1)/19,01_Supuestos!$I$27*IF($C$6="Sí",(1+01_Supuestos!$I$9)^(F$39-20),1))*F55/0.1))*(1-IF(F$39&gt;=$C$198,$C$197,0))</f>
        <v>1.16929451517633</v>
      </c>
      <c r="G56" s="116" t="n">
        <f aca="false">(IF($C$11="Libro",G55*G54,IF(G$39&lt;=20,01_Supuestos!$I$26+(01_Supuestos!$I$27-01_Supuestos!$I$26)*(G$39-1)/19,01_Supuestos!$I$27*IF($C$6="Sí",(1+01_Supuestos!$I$9)^(G$39-20),1))*G55/0.1))*(1-IF(G$39&gt;=$C$198,$C$197,0))</f>
        <v>1.20439965975821</v>
      </c>
      <c r="H56" s="116" t="n">
        <f aca="false">(IF($C$11="Libro",H55*H54,IF(H$39&lt;=20,01_Supuestos!$I$26+(01_Supuestos!$I$27-01_Supuestos!$I$26)*(H$39-1)/19,01_Supuestos!$I$27*IF($C$6="Sí",(1+01_Supuestos!$I$9)^(H$39-20),1))*H55/0.1))*(1-IF(H$39&gt;=$C$198,$C$197,0))</f>
        <v>1.2405587485433</v>
      </c>
      <c r="I56" s="116" t="n">
        <f aca="false">(IF($C$11="Libro",I55*I54,IF(I$39&lt;=20,01_Supuestos!$I$26+(01_Supuestos!$I$27-01_Supuestos!$I$26)*(I$39-1)/19,01_Supuestos!$I$27*IF($C$6="Sí",(1+01_Supuestos!$I$9)^(I$39-20),1))*I55/0.1))*(1-IF(I$39&gt;=$C$198,$C$197,0))</f>
        <v>1.27780342357144</v>
      </c>
      <c r="J56" s="116" t="n">
        <f aca="false">(IF($C$11="Libro",J55*J54,IF(J$39&lt;=20,01_Supuestos!$I$26+(01_Supuestos!$I$27-01_Supuestos!$I$26)*(J$39-1)/19,01_Supuestos!$I$27*IF($C$6="Sí",(1+01_Supuestos!$I$9)^(J$39-20),1))*J55/0.1))*(1-IF(J$39&gt;=$C$198,$C$197,0))</f>
        <v>1.31616627685561</v>
      </c>
      <c r="K56" s="116" t="n">
        <f aca="false">(IF($C$11="Libro",K55*K54,IF(K$39&lt;=20,01_Supuestos!$I$26+(01_Supuestos!$I$27-01_Supuestos!$I$26)*(K$39-1)/19,01_Supuestos!$I$27*IF($C$6="Sí",(1+01_Supuestos!$I$9)^(K$39-20),1))*K55/0.1))*(1-IF(K$39&gt;=$C$198,$C$197,0))</f>
        <v>1.35568087890251</v>
      </c>
      <c r="L56" s="116" t="n">
        <f aca="false">(IF($C$11="Libro",L55*L54,IF(L$39&lt;=20,01_Supuestos!$I$26+(01_Supuestos!$I$27-01_Supuestos!$I$26)*(L$39-1)/19,01_Supuestos!$I$27*IF($C$6="Sí",(1+01_Supuestos!$I$9)^(L$39-20),1))*L55/0.1))*(1-IF(L$39&gt;=$C$198,$C$197,0))</f>
        <v>1.39638180808936</v>
      </c>
      <c r="M56" s="116" t="n">
        <f aca="false">(IF($C$11="Libro",M55*M54,IF(M$39&lt;=20,01_Supuestos!$I$26+(01_Supuestos!$I$27-01_Supuestos!$I$26)*(M$39-1)/19,01_Supuestos!$I$27*IF($C$6="Sí",(1+01_Supuestos!$I$9)^(M$39-20),1))*M55/0.1))*(1-IF(M$39&gt;=$C$198,$C$197,0))</f>
        <v>1.43830468092272</v>
      </c>
      <c r="N56" s="116" t="n">
        <f aca="false">(IF($C$11="Libro",N55*N54,IF(N$39&lt;=20,01_Supuestos!$I$26+(01_Supuestos!$I$27-01_Supuestos!$I$26)*(N$39-1)/19,01_Supuestos!$I$27*IF($C$6="Sí",(1+01_Supuestos!$I$9)^(N$39-20),1))*N55/0.1))*(1-IF(N$39&gt;=$C$198,$C$197,0))</f>
        <v>1.48148618320572</v>
      </c>
      <c r="O56" s="116" t="n">
        <f aca="false">(IF($C$11="Libro",O55*O54,IF(O$39&lt;=20,01_Supuestos!$I$26+(01_Supuestos!$I$27-01_Supuestos!$I$26)*(O$39-1)/19,01_Supuestos!$I$27*IF($C$6="Sí",(1+01_Supuestos!$I$9)^(O$39-20),1))*O55/0.1))*(1-IF(O$39&gt;=$C$198,$C$197,0))</f>
        <v>1.52596410214102</v>
      </c>
      <c r="P56" s="116" t="n">
        <f aca="false">(IF($C$11="Libro",P55*P54,IF(P$39&lt;=20,01_Supuestos!$I$26+(01_Supuestos!$I$27-01_Supuestos!$I$26)*(P$39-1)/19,01_Supuestos!$I$27*IF($C$6="Sí",(1+01_Supuestos!$I$9)^(P$39-20),1))*P55/0.1))*(1-IF(P$39&gt;=$C$198,$C$197,0))</f>
        <v>1.57177735939755</v>
      </c>
      <c r="Q56" s="116" t="n">
        <f aca="false">(IF($C$11="Libro",Q55*Q54,IF(Q$39&lt;=20,01_Supuestos!$I$26+(01_Supuestos!$I$27-01_Supuestos!$I$26)*(Q$39-1)/19,01_Supuestos!$I$27*IF($C$6="Sí",(1+01_Supuestos!$I$9)^(Q$39-20),1))*Q55/0.1))*(1-IF(Q$39&gt;=$C$198,$C$197,0))</f>
        <v>1.61896604517006</v>
      </c>
      <c r="R56" s="116" t="n">
        <f aca="false">(IF($C$11="Libro",R55*R54,IF(R$39&lt;=20,01_Supuestos!$I$26+(01_Supuestos!$I$27-01_Supuestos!$I$26)*(R$39-1)/19,01_Supuestos!$I$27*IF($C$6="Sí",(1+01_Supuestos!$I$9)^(R$39-20),1))*R55/0.1))*(1-IF(R$39&gt;=$C$198,$C$197,0))</f>
        <v>1.66757145326118</v>
      </c>
      <c r="S56" s="116" t="n">
        <f aca="false">(IF($C$11="Libro",S55*S54,IF(S$39&lt;=20,01_Supuestos!$I$26+(01_Supuestos!$I$27-01_Supuestos!$I$26)*(S$39-1)/19,01_Supuestos!$I$27*IF($C$6="Sí",(1+01_Supuestos!$I$9)^(S$39-20),1))*S55/0.1))*(1-IF(S$39&gt;=$C$198,$C$197,0))</f>
        <v>1.71763611721671</v>
      </c>
      <c r="T56" s="116" t="n">
        <f aca="false">(IF($C$11="Libro",T55*T54,IF(T$39&lt;=20,01_Supuestos!$I$26+(01_Supuestos!$I$27-01_Supuestos!$I$26)*(T$39-1)/19,01_Supuestos!$I$27*IF($C$6="Sí",(1+01_Supuestos!$I$9)^(T$39-20),1))*T55/0.1))*(1-IF(T$39&gt;=$C$198,$C$197,0))</f>
        <v>1.76920384754585</v>
      </c>
      <c r="U56" s="116" t="n">
        <f aca="false">(IF($C$11="Libro",U55*U54,IF(U$39&lt;=20,01_Supuestos!$I$26+(01_Supuestos!$I$27-01_Supuestos!$I$26)*(U$39-1)/19,01_Supuestos!$I$27*IF($C$6="Sí",(1+01_Supuestos!$I$9)^(U$39-20),1))*U55/0.1))*(1-IF(U$39&gt;=$C$198,$C$197,0))</f>
        <v>1.82231977005879</v>
      </c>
      <c r="V56" s="116" t="n">
        <f aca="false">(IF($C$11="Libro",V55*V54,IF(V$39&lt;=20,01_Supuestos!$I$26+(01_Supuestos!$I$27-01_Supuestos!$I$26)*(V$39-1)/19,01_Supuestos!$I$27*IF($C$6="Sí",(1+01_Supuestos!$I$9)^(V$39-20),1))*V55/0.1))*(1-IF(V$39&gt;=$C$198,$C$197,0))</f>
        <v>1.87703036535538</v>
      </c>
      <c r="W56" s="116" t="n">
        <f aca="false">(IF($C$11="Libro",W55*W54,IF(W$39&lt;=20,01_Supuestos!$I$26+(01_Supuestos!$I$27-01_Supuestos!$I$26)*(W$39-1)/19,01_Supuestos!$I$27*IF($C$6="Sí",(1+01_Supuestos!$I$9)^(W$39-20),1))*W55/0.1))*(1-IF(W$39&gt;=$C$198,$C$197,0))</f>
        <v>1.93338350949926</v>
      </c>
      <c r="X56" s="116" t="n">
        <f aca="false">(IF($C$11="Libro",X55*X54,IF(X$39&lt;=20,01_Supuestos!$I$26+(01_Supuestos!$I$27-01_Supuestos!$I$26)*(X$39-1)/19,01_Supuestos!$I$27*IF($C$6="Sí",(1+01_Supuestos!$I$9)^(X$39-20),1))*X55/0.1))*(1-IF(X$39&gt;=$C$198,$C$197,0))</f>
        <v>1.99142851591321</v>
      </c>
      <c r="Y56" s="116" t="n">
        <f aca="false">(IF($C$11="Libro",Y55*Y54,IF(Y$39&lt;=20,01_Supuestos!$I$26+(01_Supuestos!$I$27-01_Supuestos!$I$26)*(Y$39-1)/19,01_Supuestos!$I$27*IF($C$6="Sí",(1+01_Supuestos!$I$9)^(Y$39-20),1))*Y55/0.1))*(1-IF(Y$39&gt;=$C$198,$C$197,0))</f>
        <v>2.05121617853221</v>
      </c>
      <c r="Z56" s="116" t="n">
        <f aca="false">(IF($C$11="Libro",Z55*Z54,IF(Z$39&lt;=20,01_Supuestos!$I$26+(01_Supuestos!$I$27-01_Supuestos!$I$26)*(Z$39-1)/19,01_Supuestos!$I$27*IF($C$6="Sí",(1+01_Supuestos!$I$9)^(Z$39-20),1))*Z55/0.1))*(1-IF(Z$39&gt;=$C$198,$C$197,0))</f>
        <v>2.11279881625219</v>
      </c>
      <c r="AA56" s="116" t="n">
        <f aca="false">(IF($C$11="Libro",AA55*AA54,IF(AA$39&lt;=20,01_Supuestos!$I$26+(01_Supuestos!$I$27-01_Supuestos!$I$26)*(AA$39-1)/19,01_Supuestos!$I$27*IF($C$6="Sí",(1+01_Supuestos!$I$9)^(AA$39-20),1))*AA55/0.1))*(1-IF(AA$39&gt;=$C$198,$C$197,0))</f>
        <v>2.17623031871312</v>
      </c>
      <c r="AB56" s="116" t="n">
        <f aca="false">(IF($C$11="Libro",AB55*AB54,IF(AB$39&lt;=20,01_Supuestos!$I$26+(01_Supuestos!$I$27-01_Supuestos!$I$26)*(AB$39-1)/19,01_Supuestos!$I$27*IF($C$6="Sí",(1+01_Supuestos!$I$9)^(AB$39-20),1))*AB55/0.1))*(1-IF(AB$39&gt;=$C$198,$C$197,0))</f>
        <v>2.24156619345669</v>
      </c>
      <c r="AC56" s="116" t="n">
        <f aca="false">(IF($C$11="Libro",AC55*AC54,IF(AC$39&lt;=20,01_Supuestos!$I$26+(01_Supuestos!$I$27-01_Supuestos!$I$26)*(AC$39-1)/19,01_Supuestos!$I$27*IF($C$6="Sí",(1+01_Supuestos!$I$9)^(AC$39-20),1))*AC55/0.1))*(1-IF(AC$39&gt;=$C$198,$C$197,0))</f>
        <v>2.30886361449974</v>
      </c>
      <c r="AD56" s="116" t="n">
        <f aca="false">(IF($C$11="Libro",AD55*AD54,IF(AD$39&lt;=20,01_Supuestos!$I$26+(01_Supuestos!$I$27-01_Supuestos!$I$26)*(AD$39-1)/19,01_Supuestos!$I$27*IF($C$6="Sí",(1+01_Supuestos!$I$9)^(AD$39-20),1))*AD55/0.1))*(1-IF(AD$39&gt;=$C$198,$C$197,0))</f>
        <v>2.37818147236606</v>
      </c>
      <c r="AE56" s="116" t="n">
        <f aca="false">(IF($C$11="Libro",AE55*AE54,IF(AE$39&lt;=20,01_Supuestos!$I$26+(01_Supuestos!$I$27-01_Supuestos!$I$26)*(AE$39-1)/19,01_Supuestos!$I$27*IF($C$6="Sí",(1+01_Supuestos!$I$9)^(AE$39-20),1))*AE55/0.1))*(1-IF(AE$39&gt;=$C$198,$C$197,0))</f>
        <v>2.44958042562017</v>
      </c>
      <c r="AF56" s="116" t="n">
        <f aca="false">(IF($C$11="Libro",AF55*AF54,IF(AF$39&lt;=20,01_Supuestos!$I$26+(01_Supuestos!$I$27-01_Supuestos!$I$26)*(AF$39-1)/19,01_Supuestos!$I$27*IF($C$6="Sí",(1+01_Supuestos!$I$9)^(AF$39-20),1))*AF55/0.1))*(1-IF(AF$39&gt;=$C$198,$C$197,0))</f>
        <v>2.52312295394835</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187.65242720882</v>
      </c>
      <c r="M72" s="116" t="n">
        <f aca="false">IF($C$173="Sí",(M83-M326)+M181,$C$15*L83)</f>
        <v>201.492907975142</v>
      </c>
      <c r="N72" s="116" t="n">
        <f aca="false">IF($C$173="Sí",(N83-N326)+N181,$C$15*M83)</f>
        <v>206.829439447592</v>
      </c>
      <c r="O72" s="116" t="n">
        <f aca="false">IF($C$173="Sí",(O83-O326)+O181,$C$15*N83)</f>
        <v>212.558444661513</v>
      </c>
      <c r="P72" s="116" t="n">
        <f aca="false">IF($C$173="Sí",(P83-P326)+P181,$C$15*O83)</f>
        <v>217.630797648154</v>
      </c>
      <c r="Q72" s="116" t="n">
        <f aca="false">IF($C$173="Sí",(Q83-Q326)+Q181,$C$15*P83)</f>
        <v>222.630061257388</v>
      </c>
      <c r="R72" s="116" t="n">
        <f aca="false">IF($C$173="Sí",(R83-R326)+R181,$C$15*Q83)</f>
        <v>227.749230981644</v>
      </c>
      <c r="S72" s="116" t="n">
        <f aca="false">IF($C$173="Sí",(S83-S326)+S181,$C$15*R83)</f>
        <v>232.985417436661</v>
      </c>
      <c r="T72" s="116" t="n">
        <f aca="false">IF($C$173="Sí",(T83-T326)+T181,$C$15*S83)</f>
        <v>238.341656042921</v>
      </c>
      <c r="U72" s="116" t="n">
        <f aca="false">IF($C$173="Sí",(U83-U326)+U181,$C$15*T83)</f>
        <v>243.820754708148</v>
      </c>
      <c r="V72" s="116" t="n">
        <f aca="false">IF($C$173="Sí",(V83-V326)+V181,$C$15*U83)</f>
        <v>249.425570483057</v>
      </c>
      <c r="W72" s="116" t="n">
        <f aca="false">IF($C$173="Sí",(W83-W326)+W181,$C$15*V83)</f>
        <v>255.157817955889</v>
      </c>
      <c r="X72" s="116" t="n">
        <f aca="false">IF($C$173="Sí",(X83-X326)+X181,$C$15*W83)</f>
        <v>261.021055912005</v>
      </c>
      <c r="Y72" s="116" t="n">
        <f aca="false">IF($C$173="Sí",(Y83-Y326)+Y181,$C$15*X83)</f>
        <v>267.018668298716</v>
      </c>
      <c r="Z72" s="116" t="n">
        <f aca="false">IF($C$173="Sí",(Z83-Z326)+Z181,$C$15*Y83)</f>
        <v>273.153785389987</v>
      </c>
      <c r="AA72" s="116" t="n">
        <f aca="false">IF($C$173="Sí",(AA83-AA326)+AA181,$C$15*Z83)</f>
        <v>279.42960899349</v>
      </c>
      <c r="AB72" s="116" t="n">
        <f aca="false">IF($C$173="Sí",(AB83-AB326)+AB181,$C$15*AA83)</f>
        <v>285.849440635866</v>
      </c>
      <c r="AC72" s="116" t="n">
        <f aca="false">IF($C$173="Sí",(AC83-AC326)+AC181,$C$15*AB83)</f>
        <v>292.416644168455</v>
      </c>
      <c r="AD72" s="116" t="n">
        <f aca="false">IF($C$173="Sí",(AD83-AD326)+AD181,$C$15*AC83)</f>
        <v>299.134653034204</v>
      </c>
      <c r="AE72" s="116" t="n">
        <f aca="false">IF($C$173="Sí",(AE83-AE326)+AE181,$C$15*AD83)</f>
        <v>306.00697924151</v>
      </c>
      <c r="AF72" s="116" t="n">
        <f aca="false">IF($C$173="Sí",(AF83-AF326)+AF181,$C$15*AE83)</f>
        <v>313.037215216114</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16.5683893308174</v>
      </c>
      <c r="M73" s="116" t="n">
        <f aca="false">M72-L72</f>
        <v>13.8404807663225</v>
      </c>
      <c r="N73" s="116" t="n">
        <f aca="false">N72-M72</f>
        <v>5.33653147244979</v>
      </c>
      <c r="O73" s="116" t="n">
        <f aca="false">O72-N72</f>
        <v>5.72900521392043</v>
      </c>
      <c r="P73" s="116" t="n">
        <f aca="false">P72-O72</f>
        <v>5.07235298664145</v>
      </c>
      <c r="Q73" s="116" t="n">
        <f aca="false">Q72-P72</f>
        <v>4.99926360923448</v>
      </c>
      <c r="R73" s="116" t="n">
        <f aca="false">R72-Q72</f>
        <v>5.11916972425522</v>
      </c>
      <c r="S73" s="116" t="n">
        <f aca="false">S72-R72</f>
        <v>5.23618645501759</v>
      </c>
      <c r="T73" s="116" t="n">
        <f aca="false">T72-S72</f>
        <v>5.35623860625972</v>
      </c>
      <c r="U73" s="116" t="n">
        <f aca="false">U72-T72</f>
        <v>5.47909866522701</v>
      </c>
      <c r="V73" s="116" t="n">
        <f aca="false">V72-U72</f>
        <v>5.60481577490867</v>
      </c>
      <c r="W73" s="116" t="n">
        <f aca="false">W72-V72</f>
        <v>5.73224747283223</v>
      </c>
      <c r="X73" s="116" t="n">
        <f aca="false">X72-W72</f>
        <v>5.8632379561156</v>
      </c>
      <c r="Y73" s="116" t="n">
        <f aca="false">Y72-X72</f>
        <v>5.99761238671113</v>
      </c>
      <c r="Z73" s="116" t="n">
        <f aca="false">Z72-Y72</f>
        <v>6.13511709127107</v>
      </c>
      <c r="AA73" s="116" t="n">
        <f aca="false">AA72-Z72</f>
        <v>6.27582360350363</v>
      </c>
      <c r="AB73" s="116" t="n">
        <f aca="false">AB72-AA72</f>
        <v>6.41983164237558</v>
      </c>
      <c r="AC73" s="116" t="n">
        <f aca="false">AC72-AB72</f>
        <v>6.5672035325893</v>
      </c>
      <c r="AD73" s="116" t="n">
        <f aca="false">AD72-AC72</f>
        <v>6.7180088657488</v>
      </c>
      <c r="AE73" s="116" t="n">
        <f aca="false">AE72-AD72</f>
        <v>6.87232620730589</v>
      </c>
      <c r="AF73" s="116" t="n">
        <f aca="false">AF72-AE72</f>
        <v>7.03023597460452</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17.4902722629254</v>
      </c>
      <c r="N75" s="116" t="n">
        <f aca="false">$C$19*M81</f>
        <v>18.1217064977272</v>
      </c>
      <c r="O75" s="116" t="n">
        <f aca="false">$C$19*N81</f>
        <v>18.7611753547292</v>
      </c>
      <c r="P75" s="116" t="n">
        <f aca="false">$C$19*O81</f>
        <v>19.363458434958</v>
      </c>
      <c r="Q75" s="116" t="n">
        <f aca="false">$C$19*P81</f>
        <v>19.8397860973112</v>
      </c>
      <c r="R75" s="116" t="n">
        <f aca="false">$C$19*Q81</f>
        <v>20.3201336393328</v>
      </c>
      <c r="S75" s="116" t="n">
        <f aca="false">$C$19*R81</f>
        <v>20.7993466537513</v>
      </c>
      <c r="T75" s="116" t="n">
        <f aca="false">$C$19*S81</f>
        <v>21.2778965649169</v>
      </c>
      <c r="U75" s="116" t="n">
        <f aca="false">$C$19*T81</f>
        <v>21.7565793505372</v>
      </c>
      <c r="V75" s="116" t="n">
        <f aca="false">$C$19*U81</f>
        <v>22.2361769684358</v>
      </c>
      <c r="W75" s="116" t="n">
        <f aca="false">$C$19*V81</f>
        <v>22.7174691444815</v>
      </c>
      <c r="X75" s="116" t="n">
        <f aca="false">$C$19*W81</f>
        <v>23.1942919753995</v>
      </c>
      <c r="Y75" s="116" t="n">
        <f aca="false">$C$19*X81</f>
        <v>23.6674634352967</v>
      </c>
      <c r="Z75" s="116" t="n">
        <f aca="false">$C$19*Y81</f>
        <v>24.1378091905767</v>
      </c>
      <c r="AA75" s="116" t="n">
        <f aca="false">$C$19*Z81</f>
        <v>24.606161260438</v>
      </c>
      <c r="AB75" s="116" t="n">
        <f aca="false">$C$19*AA81</f>
        <v>25.0733592918702</v>
      </c>
      <c r="AC75" s="116" t="n">
        <f aca="false">$C$19*AB81</f>
        <v>25.5404033856688</v>
      </c>
      <c r="AD75" s="116" t="n">
        <f aca="false">$C$19*AC81</f>
        <v>26.0083011116116</v>
      </c>
      <c r="AE75" s="116" t="n">
        <f aca="false">$C$19*AD81</f>
        <v>26.4780688820573</v>
      </c>
      <c r="AF75" s="116" t="n">
        <f aca="false">$C$19*AE81</f>
        <v>26.9507333518684</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650.060198846129</v>
      </c>
      <c r="F76" s="116" t="n">
        <f aca="false">(IF($C$173="Sí",(MAX(0,F74-E96)+MAX(0,E276+F53-F75))/F327,F73+MAX(0,F74-E96)+MAX(0,E276+F53-F75)))+IF($C$173="Sí",MAX(0,$C$226*(F70+E121)*0.3/0.55-E227)/F327,0)</f>
        <v>763.210467362728</v>
      </c>
      <c r="G76" s="116" t="n">
        <f aca="false">(IF($C$173="Sí",(MAX(0,G74-F96)+MAX(0,F276+G53-G75))/G327,G73+MAX(0,G74-F96)+MAX(0,F276+G53-G75)))+IF($C$173="Sí",MAX(0,$C$226*(G70+F121)*0.3/0.55-F227)/G327,0)</f>
        <v>16919.7206113194</v>
      </c>
      <c r="H76" s="116" t="n">
        <f aca="false">(IF($C$173="Sí",(MAX(0,H74-G96)+MAX(0,G276+H53-H75))/H327,H73+MAX(0,H74-G96)+MAX(0,G276+H53-H75)))+IF($C$173="Sí",MAX(0,$C$226*(H70+G121)*0.3/0.55-G227)/H327,0)</f>
        <v>841.436443096556</v>
      </c>
      <c r="I76" s="116" t="n">
        <f aca="false">(IF($C$173="Sí",(MAX(0,I74-H96)+MAX(0,H276+I53-I75))/I327,I73+MAX(0,I74-H96)+MAX(0,H276+I53-I75)))+IF($C$173="Sí",MAX(0,$C$226*(I70+H121)*0.3/0.55-H227)/I327,0)</f>
        <v>916.82895538342</v>
      </c>
      <c r="J76" s="116" t="n">
        <f aca="false">(IF($C$173="Sí",(MAX(0,J74-I96)+MAX(0,I276+J53-J75))/J327,J73+MAX(0,J74-I96)+MAX(0,I276+J53-J75)))+IF($C$173="Sí",MAX(0,$C$226*(J70+I121)*0.3/0.55-I227)/J327,0)</f>
        <v>1009.42315675949</v>
      </c>
      <c r="K76" s="116" t="n">
        <f aca="false">(IF($C$173="Sí",(MAX(0,K74-J96)+MAX(0,J276+K53-K75))/K327,K73+MAX(0,K74-J96)+MAX(0,J276+K53-K75)))+IF($C$173="Sí",MAX(0,$C$226*(K70+J121)*0.3/0.55-J227)/K327,0)</f>
        <v>1113.35129555931</v>
      </c>
      <c r="L76" s="116" t="n">
        <f aca="false">(IF($C$173="Sí",(MAX(0,L74-K96)+MAX(0,K276+L53-L75))/L327,L73+MAX(0,L74-K96)+MAX(0,K276+L53-L75)))+IF($C$173="Sí",MAX(0,$C$226*(L70+K121)*0.3/0.55-K227)/L327,0)</f>
        <v>1227.34272079773</v>
      </c>
      <c r="M76" s="116" t="n">
        <f aca="false">(IF($C$173="Sí",(MAX(0,M74-L96)+MAX(0,L276+M53-M75))/M327,M73+MAX(0,M74-L96)+MAX(0,L276+M53-M75)))+IF($C$173="Sí",MAX(0,$C$226*(M70+L121)*0.3/0.55-L227)/M327,0)</f>
        <v>1160.01796027954</v>
      </c>
      <c r="N76" s="116" t="n">
        <f aca="false">(IF($C$173="Sí",(MAX(0,N74-M96)+MAX(0,M276+N53-N75))/N327,N73+MAX(0,N74-M96)+MAX(0,M276+N53-N75)))+IF($C$173="Sí",MAX(0,$C$226*(N70+M121)*0.3/0.55-M227)/N327,0)</f>
        <v>968.362607669023</v>
      </c>
      <c r="O76" s="116" t="n">
        <f aca="false">(IF($C$173="Sí",(MAX(0,O74-N96)+MAX(0,N276+O53-O75))/O327,O73+MAX(0,O74-N96)+MAX(0,N276+O53-O75)))+IF($C$173="Sí",MAX(0,$C$226*(O70+N121)*0.3/0.55-N227)/O327,0)</f>
        <v>883.785943183414</v>
      </c>
      <c r="P76" s="116" t="n">
        <f aca="false">(IF($C$173="Sí",(MAX(0,P74-O96)+MAX(0,O276+P53-P75))/P327,P73+MAX(0,P74-O96)+MAX(0,O276+P53-P75)))+IF($C$173="Sí",MAX(0,$C$226*(P70+O121)*0.3/0.55-O227)/P327,0)</f>
        <v>982.27309698519</v>
      </c>
      <c r="Q76" s="116" t="n">
        <f aca="false">(IF($C$173="Sí",(MAX(0,Q74-P96)+MAX(0,P276+Q53-Q75))/Q327,Q73+MAX(0,Q74-P96)+MAX(0,P276+Q53-Q75)))+IF($C$173="Sí",MAX(0,$C$226*(Q70+P121)*0.3/0.55-P227)/Q327,0)</f>
        <v>983.291203042355</v>
      </c>
      <c r="R76" s="116" t="n">
        <f aca="false">(IF($C$173="Sí",(MAX(0,R74-Q96)+MAX(0,Q276+R53-R75))/R327,R73+MAX(0,R74-Q96)+MAX(0,Q276+R53-R75)))+IF($C$173="Sí",MAX(0,$C$226*(R70+Q121)*0.3/0.55-Q227)/R327,0)</f>
        <v>988.941208270443</v>
      </c>
      <c r="S76" s="116" t="n">
        <f aca="false">(IF($C$173="Sí",(MAX(0,S74-R96)+MAX(0,R276+S53-S75))/S327,S73+MAX(0,S74-R96)+MAX(0,R276+S53-S75)))+IF($C$173="Sí",MAX(0,$C$226*(S70+R121)*0.3/0.55-R227)/S327,0)</f>
        <v>994.662053847066</v>
      </c>
      <c r="T76" s="116" t="n">
        <f aca="false">(IF($C$173="Sí",(MAX(0,T74-S96)+MAX(0,S276+T53-T75))/T327,T73+MAX(0,T74-S96)+MAX(0,S276+T53-T75)))+IF($C$173="Sí",MAX(0,$C$226*(T70+S121)*0.3/0.55-S227)/T327,0)</f>
        <v>1000.66754975326</v>
      </c>
      <c r="U76" s="116" t="n">
        <f aca="false">(IF($C$173="Sí",(MAX(0,U74-T96)+MAX(0,T276+U53-U75))/U327,U73+MAX(0,U74-T96)+MAX(0,T276+U53-U75)))+IF($C$173="Sí",MAX(0,$C$226*(U70+T121)*0.3/0.55-T227)/U327,0)</f>
        <v>1006.98213286514</v>
      </c>
      <c r="V76" s="116" t="n">
        <f aca="false">(IF($C$173="Sí",(MAX(0,V74-U96)+MAX(0,U276+V53-V75))/V327,V73+MAX(0,V74-U96)+MAX(0,U276+V53-V75)))+IF($C$173="Sí",MAX(0,$C$226*(V70+U121)*0.3/0.55-U227)/V327,0)</f>
        <v>1013.6136288615</v>
      </c>
      <c r="W76" s="116" t="n">
        <f aca="false">(IF($C$173="Sí",(MAX(0,W74-V96)+MAX(0,V276+W53-W75))/W327,W73+MAX(0,W74-V96)+MAX(0,V276+W53-W75)))+IF($C$173="Sí",MAX(0,$C$226*(W70+V121)*0.3/0.55-V227)/W327,0)</f>
        <v>1020.57015445985</v>
      </c>
      <c r="X76" s="116" t="n">
        <f aca="false">(IF($C$173="Sí",(MAX(0,X74-W96)+MAX(0,W276+X53-X75))/X327,X73+MAX(0,X74-W96)+MAX(0,W276+X53-X75)))+IF($C$173="Sí",MAX(0,$C$226*(X70+W121)*0.3/0.55-W227)/X327,0)</f>
        <v>1027.60969798363</v>
      </c>
      <c r="Y76" s="116" t="n">
        <f aca="false">(IF($C$173="Sí",(MAX(0,Y74-X96)+MAX(0,X276+Y53-Y75))/Y327,Y73+MAX(0,Y74-X96)+MAX(0,X276+Y53-Y75)))+IF($C$173="Sí",MAX(0,$C$226*(Y70+X121)*0.3/0.55-X227)/Y327,0)</f>
        <v>1035.02426411297</v>
      </c>
      <c r="Z76" s="116" t="n">
        <f aca="false">(IF($C$173="Sí",(MAX(0,Z74-Y96)+MAX(0,Y276+Z53-Z75))/Z327,Z73+MAX(0,Z74-Y96)+MAX(0,Y276+Z53-Z75)))+IF($C$173="Sí",MAX(0,$C$226*(Z70+Y121)*0.3/0.55-Y227)/Z327,0)</f>
        <v>1042.82603983872</v>
      </c>
      <c r="AA76" s="116" t="n">
        <f aca="false">(IF($C$173="Sí",(MAX(0,AA74-Z96)+MAX(0,Z276+AA53-AA75))/AA327,AA73+MAX(0,AA74-Z96)+MAX(0,Z276+AA53-AA75)))+IF($C$173="Sí",MAX(0,$C$226*(AA70+Z121)*0.3/0.55-Z227)/AA327,0)</f>
        <v>1051.0246485472</v>
      </c>
      <c r="AB76" s="116" t="n">
        <f aca="false">(IF($C$173="Sí",(MAX(0,AB74-AA96)+MAX(0,AA276+AB53-AB75))/AB327,AB73+MAX(0,AB74-AA96)+MAX(0,AA276+AB53-AB75)))+IF($C$173="Sí",MAX(0,$C$226*(AB70+AA121)*0.3/0.55-AA227)/AB327,0)</f>
        <v>1059.62963534261</v>
      </c>
      <c r="AC76" s="116" t="n">
        <f aca="false">(IF($C$173="Sí",(MAX(0,AC74-AB96)+MAX(0,AB276+AC53-AC75))/AC327,AC73+MAX(0,AC74-AB96)+MAX(0,AB276+AC53-AC75)))+IF($C$173="Sí",MAX(0,$C$226*(AC70+AB121)*0.3/0.55-AB227)/AC327,0)</f>
        <v>1068.65543295004</v>
      </c>
      <c r="AD76" s="116" t="n">
        <f aca="false">(IF($C$173="Sí",(MAX(0,AD74-AC96)+MAX(0,AC276+AD53-AD75))/AD327,AD73+MAX(0,AD74-AC96)+MAX(0,AC276+AD53-AD75)))+IF($C$173="Sí",MAX(0,$C$226*(AD70+AC121)*0.3/0.55-AC227)/AD327,0)</f>
        <v>1078.11059847816</v>
      </c>
      <c r="AE76" s="116" t="n">
        <f aca="false">(IF($C$173="Sí",(MAX(0,AE74-AD96)+MAX(0,AD276+AE53-AE75))/AE327,AE73+MAX(0,AE74-AD96)+MAX(0,AD276+AE53-AE75)))+IF($C$173="Sí",MAX(0,$C$226*(AE70+AD121)*0.3/0.55-AD227)/AE327,0)</f>
        <v>1088.00364290245</v>
      </c>
      <c r="AF76" s="116" t="n">
        <f aca="false">(IF($C$173="Sí",(MAX(0,AF74-AE96)+MAX(0,AE276+AF53-AF75))/AF327,AF73+MAX(0,AF74-AE96)+MAX(0,AE276+AF53-AF75)))+IF($C$173="Sí",MAX(0,$C$226*(AF70+AE121)*0.3/0.55-AE227)/AF327,0)</f>
        <v>1098.34311672935</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349.805445258508</v>
      </c>
      <c r="M81" s="116" t="n">
        <f aca="false">M69+M80+L121</f>
        <v>362.434129954545</v>
      </c>
      <c r="N81" s="116" t="n">
        <f aca="false">N69+N80+M121</f>
        <v>375.223507094584</v>
      </c>
      <c r="O81" s="116" t="n">
        <f aca="false">O69+O80+N121</f>
        <v>387.269168699159</v>
      </c>
      <c r="P81" s="116" t="n">
        <f aca="false">P69+P80+O121</f>
        <v>396.795721946224</v>
      </c>
      <c r="Q81" s="116" t="n">
        <f aca="false">Q69+Q80+P121</f>
        <v>406.402672786656</v>
      </c>
      <c r="R81" s="116" t="n">
        <f aca="false">R69+R80+Q121</f>
        <v>415.986933075025</v>
      </c>
      <c r="S81" s="116" t="n">
        <f aca="false">S69+S80+R121</f>
        <v>425.557931298338</v>
      </c>
      <c r="T81" s="116" t="n">
        <f aca="false">T69+T80+S121</f>
        <v>435.131587010743</v>
      </c>
      <c r="U81" s="116" t="n">
        <f aca="false">U69+U80+T121</f>
        <v>444.723539368717</v>
      </c>
      <c r="V81" s="116" t="n">
        <f aca="false">V69+V80+U121</f>
        <v>454.34938288963</v>
      </c>
      <c r="W81" s="116" t="n">
        <f aca="false">W69+W80+V121</f>
        <v>463.88583950799</v>
      </c>
      <c r="X81" s="116" t="n">
        <f aca="false">X69+X80+W121</f>
        <v>473.349268705933</v>
      </c>
      <c r="Y81" s="116" t="n">
        <f aca="false">Y69+Y80+X121</f>
        <v>482.756183811535</v>
      </c>
      <c r="Z81" s="116" t="n">
        <f aca="false">Z69+Z80+Y121</f>
        <v>492.123225208761</v>
      </c>
      <c r="AA81" s="116" t="n">
        <f aca="false">AA69+AA80+Z121</f>
        <v>501.467185837404</v>
      </c>
      <c r="AB81" s="116" t="n">
        <f aca="false">AB69+AB80+AA121</f>
        <v>510.808067713376</v>
      </c>
      <c r="AC81" s="116" t="n">
        <f aca="false">AC69+AC80+AB121</f>
        <v>520.166022232232</v>
      </c>
      <c r="AD81" s="116" t="n">
        <f aca="false">AD69+AD80+AC121</f>
        <v>529.561377641147</v>
      </c>
      <c r="AE81" s="116" t="n">
        <f aca="false">AE69+AE80+AD121</f>
        <v>539.014667037369</v>
      </c>
      <c r="AF81" s="116" t="n">
        <f aca="false">AF69+AF80+AE121</f>
        <v>548.546655790981</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41.9766534310209</v>
      </c>
      <c r="M85" s="116" t="n">
        <f aca="false">IF(AND($C$31&gt;0,M$39&gt;10),MIN(M83,MAX(01_Supuestos!$I$137*M81,L85*(1-1/MAX(1,$C$31)))),MIN(IF(M$39&lt;=10,01_Supuestos!$I$136,01_Supuestos!$I$137)*M81,M83))</f>
        <v>33.5813227448167</v>
      </c>
      <c r="N85" s="116" t="n">
        <f aca="false">IF(AND($C$31&gt;0,N$39&gt;10),MIN(N83,MAX(01_Supuestos!$I$137*N81,M85*(1-1/MAX(1,$C$31)))),MIN(IF(N$39&lt;=10,01_Supuestos!$I$136,01_Supuestos!$I$137)*N81,N83))</f>
        <v>28.1417630320938</v>
      </c>
      <c r="O85" s="116" t="n">
        <f aca="false">IF(AND($C$31&gt;0,O$39&gt;10),MIN(O83,MAX(01_Supuestos!$I$137*O81,N85*(1-1/MAX(1,$C$31)))),MIN(IF(O$39&lt;=10,01_Supuestos!$I$136,01_Supuestos!$I$137)*O81,O83))</f>
        <v>29.045187652437</v>
      </c>
      <c r="P85" s="116" t="n">
        <f aca="false">IF(AND($C$31&gt;0,P$39&gt;10),MIN(P83,MAX(01_Supuestos!$I$137*P81,O85*(1-1/MAX(1,$C$31)))),MIN(IF(P$39&lt;=10,01_Supuestos!$I$136,01_Supuestos!$I$137)*P81,P83))</f>
        <v>29.7596791459668</v>
      </c>
      <c r="Q85" s="116" t="n">
        <f aca="false">IF(AND($C$31&gt;0,Q$39&gt;10),MIN(Q83,MAX(01_Supuestos!$I$137*Q81,P85*(1-1/MAX(1,$C$31)))),MIN(IF(Q$39&lt;=10,01_Supuestos!$I$136,01_Supuestos!$I$137)*Q81,Q83))</f>
        <v>30.4802004589992</v>
      </c>
      <c r="R85" s="116" t="n">
        <f aca="false">IF(AND($C$31&gt;0,R$39&gt;10),MIN(R83,MAX(01_Supuestos!$I$137*R81,Q85*(1-1/MAX(1,$C$31)))),MIN(IF(R$39&lt;=10,01_Supuestos!$I$136,01_Supuestos!$I$137)*R81,R83))</f>
        <v>31.1990199806269</v>
      </c>
      <c r="S85" s="116" t="n">
        <f aca="false">IF(AND($C$31&gt;0,S$39&gt;10),MIN(S83,MAX(01_Supuestos!$I$137*S81,R85*(1-1/MAX(1,$C$31)))),MIN(IF(S$39&lt;=10,01_Supuestos!$I$136,01_Supuestos!$I$137)*S81,S83))</f>
        <v>31.9168448473753</v>
      </c>
      <c r="T85" s="116" t="n">
        <f aca="false">IF(AND($C$31&gt;0,T$39&gt;10),MIN(T83,MAX(01_Supuestos!$I$137*T81,S85*(1-1/MAX(1,$C$31)))),MIN(IF(T$39&lt;=10,01_Supuestos!$I$136,01_Supuestos!$I$137)*T81,T83))</f>
        <v>32.6348690258058</v>
      </c>
      <c r="U85" s="116" t="n">
        <f aca="false">IF(AND($C$31&gt;0,U$39&gt;10),MIN(U83,MAX(01_Supuestos!$I$137*U81,T85*(1-1/MAX(1,$C$31)))),MIN(IF(U$39&lt;=10,01_Supuestos!$I$136,01_Supuestos!$I$137)*U81,U83))</f>
        <v>33.3542654526538</v>
      </c>
      <c r="V85" s="116" t="n">
        <f aca="false">IF(AND($C$31&gt;0,V$39&gt;10),MIN(V83,MAX(01_Supuestos!$I$137*V81,U85*(1-1/MAX(1,$C$31)))),MIN(IF(V$39&lt;=10,01_Supuestos!$I$136,01_Supuestos!$I$137)*V81,V83))</f>
        <v>34.0762037167222</v>
      </c>
      <c r="W85" s="116" t="n">
        <f aca="false">IF(AND($C$31&gt;0,W$39&gt;10),MIN(W83,MAX(01_Supuestos!$I$137*W81,V85*(1-1/MAX(1,$C$31)))),MIN(IF(W$39&lt;=10,01_Supuestos!$I$136,01_Supuestos!$I$137)*W81,W83))</f>
        <v>34.7914379630992</v>
      </c>
      <c r="X85" s="116" t="n">
        <f aca="false">IF(AND($C$31&gt;0,X$39&gt;10),MIN(X83,MAX(01_Supuestos!$I$137*X81,W85*(1-1/MAX(1,$C$31)))),MIN(IF(X$39&lt;=10,01_Supuestos!$I$136,01_Supuestos!$I$137)*X81,X83))</f>
        <v>35.501195152945</v>
      </c>
      <c r="Y85" s="116" t="n">
        <f aca="false">IF(AND($C$31&gt;0,Y$39&gt;10),MIN(Y83,MAX(01_Supuestos!$I$137*Y81,X85*(1-1/MAX(1,$C$31)))),MIN(IF(Y$39&lt;=10,01_Supuestos!$I$136,01_Supuestos!$I$137)*Y81,Y83))</f>
        <v>36.2067137858651</v>
      </c>
      <c r="Z85" s="116" t="n">
        <f aca="false">IF(AND($C$31&gt;0,Z$39&gt;10),MIN(Z83,MAX(01_Supuestos!$I$137*Z81,Y85*(1-1/MAX(1,$C$31)))),MIN(IF(Z$39&lt;=10,01_Supuestos!$I$136,01_Supuestos!$I$137)*Z81,Z83))</f>
        <v>36.9092418906571</v>
      </c>
      <c r="AA85" s="116" t="n">
        <f aca="false">IF(AND($C$31&gt;0,AA$39&gt;10),MIN(AA83,MAX(01_Supuestos!$I$137*AA81,Z85*(1-1/MAX(1,$C$31)))),MIN(IF(AA$39&lt;=10,01_Supuestos!$I$136,01_Supuestos!$I$137)*AA81,AA83))</f>
        <v>37.6100389378053</v>
      </c>
      <c r="AB85" s="116" t="n">
        <f aca="false">IF(AND($C$31&gt;0,AB$39&gt;10),MIN(AB83,MAX(01_Supuestos!$I$137*AB81,AA85*(1-1/MAX(1,$C$31)))),MIN(IF(AB$39&lt;=10,01_Supuestos!$I$136,01_Supuestos!$I$137)*AB81,AB83))</f>
        <v>38.3106050785032</v>
      </c>
      <c r="AC85" s="116" t="n">
        <f aca="false">IF(AND($C$31&gt;0,AC$39&gt;10),MIN(AC83,MAX(01_Supuestos!$I$137*AC81,AB85*(1-1/MAX(1,$C$31)))),MIN(IF(AC$39&lt;=10,01_Supuestos!$I$136,01_Supuestos!$I$137)*AC81,AC83))</f>
        <v>39.0124516674174</v>
      </c>
      <c r="AD85" s="116" t="n">
        <f aca="false">IF(AND($C$31&gt;0,AD$39&gt;10),MIN(AD83,MAX(01_Supuestos!$I$137*AD81,AC85*(1-1/MAX(1,$C$31)))),MIN(IF(AD$39&lt;=10,01_Supuestos!$I$136,01_Supuestos!$I$137)*AD81,AD83))</f>
        <v>39.717103323086</v>
      </c>
      <c r="AE85" s="116" t="n">
        <f aca="false">IF(AND($C$31&gt;0,AE$39&gt;10),MIN(AE83,MAX(01_Supuestos!$I$137*AE81,AD85*(1-1/MAX(1,$C$31)))),MIN(IF(AE$39&lt;=10,01_Supuestos!$I$136,01_Supuestos!$I$137)*AE81,AE83))</f>
        <v>40.4261000278026</v>
      </c>
      <c r="AF85" s="116" t="n">
        <f aca="false">IF(AND($C$31&gt;0,AF$39&gt;10),MIN(AF83,MAX(01_Supuestos!$I$137*AF81,AE85*(1-1/MAX(1,$C$31)))),MIN(IF(AF$39&lt;=10,01_Supuestos!$I$136,01_Supuestos!$I$137)*AF81,AF83))</f>
        <v>41.1409991843236</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95.1220175185859</v>
      </c>
      <c r="M87" s="116" t="n">
        <f aca="false">M83-M85-M86</f>
        <v>116.936683222562</v>
      </c>
      <c r="N87" s="116" t="n">
        <f aca="false">N83-N85-N86</f>
        <v>125.838157072535</v>
      </c>
      <c r="O87" s="116" t="n">
        <f aca="false">O83-O85-O86</f>
        <v>128.476270614598</v>
      </c>
      <c r="P87" s="116" t="n">
        <f aca="false">P83-P85-P86</f>
        <v>131.38477266121</v>
      </c>
      <c r="Q87" s="116" t="n">
        <f aca="false">Q83-Q85-Q86</f>
        <v>134.370573739743</v>
      </c>
      <c r="R87" s="116" t="n">
        <f aca="false">R83-R85-R86</f>
        <v>137.443322024686</v>
      </c>
      <c r="S87" s="116" t="n">
        <f aca="false">S83-S85-S86</f>
        <v>140.60427102406</v>
      </c>
      <c r="T87" s="116" t="n">
        <f aca="false">T83-T85-T86</f>
        <v>143.854232510672</v>
      </c>
      <c r="U87" s="116" t="n">
        <f aca="false">U83-U85-U86</f>
        <v>147.194085419163</v>
      </c>
      <c r="V87" s="116" t="n">
        <f aca="false">V83-V85-V86</f>
        <v>150.624759225147</v>
      </c>
      <c r="W87" s="116" t="n">
        <f aca="false">W83-W85-W86</f>
        <v>154.157647126433</v>
      </c>
      <c r="X87" s="116" t="n">
        <f aca="false">X83-X85-X86</f>
        <v>157.793718893646</v>
      </c>
      <c r="Y87" s="116" t="n">
        <f aca="false">Y83-Y85-Y86</f>
        <v>161.533983283797</v>
      </c>
      <c r="Z87" s="116" t="n">
        <f aca="false">Z83-Z85-Z86</f>
        <v>165.379491211608</v>
      </c>
      <c r="AA87" s="116" t="n">
        <f aca="false">AA83-AA85-AA86</f>
        <v>169.331335025812</v>
      </c>
      <c r="AB87" s="116" t="n">
        <f aca="false">AB83-AB85-AB86</f>
        <v>173.390420486277</v>
      </c>
      <c r="AC87" s="116" t="n">
        <f aca="false">AC83-AC85-AC86</f>
        <v>177.557697485353</v>
      </c>
      <c r="AD87" s="116" t="n">
        <f aca="false">AD83-AD85-AD86</f>
        <v>181.834159260198</v>
      </c>
      <c r="AE87" s="116" t="n">
        <f aca="false">AE83-AE85-AE86</f>
        <v>186.220841594896</v>
      </c>
      <c r="AF87" s="116" t="n">
        <f aca="false">AF83-AF85-AF86</f>
        <v>190.718822095698</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0.459901553741652</v>
      </c>
      <c r="M90" s="116" t="n">
        <f aca="false">M83-L83-M73+M185-M228</f>
        <v>1.38584563587723</v>
      </c>
      <c r="N90" s="116" t="n">
        <f aca="false">N83-M83-N73+N185-N228</f>
        <v>-0.566384390295362</v>
      </c>
      <c r="O90" s="116" t="n">
        <f aca="false">O83-N83-O73+O185-O228</f>
        <v>-0.849144748876441</v>
      </c>
      <c r="P90" s="116" t="n">
        <f aca="false">P83-O83-P73+P185-P228</f>
        <v>-0.080255730901392</v>
      </c>
      <c r="Q90" s="116" t="n">
        <f aca="false">Q83-P83-Q73+Q185-Q228</f>
        <v>0.107651883387511</v>
      </c>
      <c r="R90" s="116" t="n">
        <f aca="false">R83-Q83-R73+R185-R228</f>
        <v>0.105204824697083</v>
      </c>
      <c r="S90" s="116" t="n">
        <f aca="false">S83-R83-S73+S185-S228</f>
        <v>0.108348708560683</v>
      </c>
      <c r="T90" s="116" t="n">
        <f aca="false">T83-S83-T73+T185-T228</f>
        <v>0.111220866080814</v>
      </c>
      <c r="U90" s="116" t="n">
        <f aca="false">U83-T83-U73+U185-U228</f>
        <v>0.114112374977346</v>
      </c>
      <c r="V90" s="116" t="n">
        <f aca="false">V83-U83-V73+V185-V228</f>
        <v>0.117039119220436</v>
      </c>
      <c r="W90" s="116" t="n">
        <f aca="false">W83-V83-W73+W185-W228</f>
        <v>0.121210083861762</v>
      </c>
      <c r="X90" s="116" t="n">
        <f aca="false">X83-W83-X73+X185-X228</f>
        <v>0.124849124382393</v>
      </c>
      <c r="Y90" s="116" t="n">
        <f aca="false">Y83-X83-Y73+Y185-Y228</f>
        <v>0.128200696638359</v>
      </c>
      <c r="Z90" s="116" t="n">
        <f aca="false">Z83-Y83-Z73+Z185-Z228</f>
        <v>0.131589692995419</v>
      </c>
      <c r="AA90" s="116" t="n">
        <f aca="false">AA83-Z83-AA73+AA185-AA228</f>
        <v>0.135017436800979</v>
      </c>
      <c r="AB90" s="116" t="n">
        <f aca="false">AB83-AA83-AB73+AB185-AB228</f>
        <v>0.138458741856013</v>
      </c>
      <c r="AC90" s="116" t="n">
        <f aca="false">AC83-AB83-AC73+AC185-AC228</f>
        <v>0.14192753047962</v>
      </c>
      <c r="AD90" s="116" t="n">
        <f aca="false">AD83-AC83-AD73+AD185-AD228</f>
        <v>0.145432211770739</v>
      </c>
      <c r="AE90" s="116" t="n">
        <f aca="false">AE83-AD83-AE73+AE185-AE228</f>
        <v>0.148974014996597</v>
      </c>
      <c r="AF90" s="116" t="n">
        <f aca="false">AF83-AE83-AF73+AF185-AF228</f>
        <v>0.152554152810936</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0.459901553741652</v>
      </c>
      <c r="M92" s="116" t="n">
        <f aca="false">IF(M90&gt;0,IF($C$20="BC",MIN(M90-M91,MAX(0,L276+M53-M75)),MIN(M90,MAX(0,L276+M53-M75))),0)</f>
        <v>1.38584563587723</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0.107651883387511</v>
      </c>
      <c r="R92" s="116" t="n">
        <f aca="false">IF(R90&gt;0,IF($C$20="BC",MIN(R90-R91,MAX(0,Q276+R53-R75)),MIN(R90,MAX(0,Q276+R53-R75))),0)</f>
        <v>0.105204824697083</v>
      </c>
      <c r="S92" s="116" t="n">
        <f aca="false">IF(S90&gt;0,IF($C$20="BC",MIN(S90-S91,MAX(0,R276+S53-S75)),MIN(S90,MAX(0,R276+S53-S75))),0)</f>
        <v>0.108348708560683</v>
      </c>
      <c r="T92" s="116" t="n">
        <f aca="false">IF(T90&gt;0,IF($C$20="BC",MIN(T90-T91,MAX(0,S276+T53-T75)),MIN(T90,MAX(0,S276+T53-T75))),0)</f>
        <v>0.111220866080814</v>
      </c>
      <c r="U92" s="116" t="n">
        <f aca="false">IF(U90&gt;0,IF($C$20="BC",MIN(U90-U91,MAX(0,T276+U53-U75)),MIN(U90,MAX(0,T276+U53-U75))),0)</f>
        <v>0.114112374977346</v>
      </c>
      <c r="V92" s="116" t="n">
        <f aca="false">IF(V90&gt;0,IF($C$20="BC",MIN(V90-V91,MAX(0,U276+V53-V75)),MIN(V90,MAX(0,U276+V53-V75))),0)</f>
        <v>0.117039119220436</v>
      </c>
      <c r="W92" s="116" t="n">
        <f aca="false">IF(W90&gt;0,IF($C$20="BC",MIN(W90-W91,MAX(0,V276+W53-W75)),MIN(W90,MAX(0,V276+W53-W75))),0)</f>
        <v>0.121210083861762</v>
      </c>
      <c r="X92" s="116" t="n">
        <f aca="false">IF(X90&gt;0,IF($C$20="BC",MIN(X90-X91,MAX(0,W276+X53-X75)),MIN(X90,MAX(0,W276+X53-X75))),0)</f>
        <v>0.124849124382393</v>
      </c>
      <c r="Y92" s="116" t="n">
        <f aca="false">IF(Y90&gt;0,IF($C$20="BC",MIN(Y90-Y91,MAX(0,X276+Y53-Y75)),MIN(Y90,MAX(0,X276+Y53-Y75))),0)</f>
        <v>0.128200696638359</v>
      </c>
      <c r="Z92" s="116" t="n">
        <f aca="false">IF(Z90&gt;0,IF($C$20="BC",MIN(Z90-Z91,MAX(0,Y276+Z53-Z75)),MIN(Z90,MAX(0,Y276+Z53-Z75))),0)</f>
        <v>0.131589692995419</v>
      </c>
      <c r="AA92" s="116" t="n">
        <f aca="false">IF(AA90&gt;0,IF($C$20="BC",MIN(AA90-AA91,MAX(0,Z276+AA53-AA75)),MIN(AA90,MAX(0,Z276+AA53-AA75))),0)</f>
        <v>0.135017436800979</v>
      </c>
      <c r="AB92" s="116" t="n">
        <f aca="false">IF(AB90&gt;0,IF($C$20="BC",MIN(AB90-AB91,MAX(0,AA276+AB53-AB75)),MIN(AB90,MAX(0,AA276+AB53-AB75))),0)</f>
        <v>0.138458741856013</v>
      </c>
      <c r="AC92" s="116" t="n">
        <f aca="false">IF(AC90&gt;0,IF($C$20="BC",MIN(AC90-AC91,MAX(0,AB276+AC53-AC75)),MIN(AC90,MAX(0,AB276+AC53-AC75))),0)</f>
        <v>0.14192753047962</v>
      </c>
      <c r="AD92" s="116" t="n">
        <f aca="false">IF(AD90&gt;0,IF($C$20="BC",MIN(AD90-AD91,MAX(0,AC276+AD53-AD75)),MIN(AD90,MAX(0,AC276+AD53-AD75))),0)</f>
        <v>0.145432211770739</v>
      </c>
      <c r="AE92" s="116" t="n">
        <f aca="false">IF(AE90&gt;0,IF($C$20="BC",MIN(AE90-AE91,MAX(0,AD276+AE53-AE75)),MIN(AE90,MAX(0,AD276+AE53-AE75))),0)</f>
        <v>0.148974014996597</v>
      </c>
      <c r="AF92" s="116" t="n">
        <f aca="false">IF(AF90&gt;0,IF($C$20="BC",MIN(AF90-AF91,MAX(0,AE276+AF53-AF75)),MIN(AF90,MAX(0,AE276+AF53-AF75))),0)</f>
        <v>0.152554152810936</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0.566384390295362</v>
      </c>
      <c r="O94" s="116" t="n">
        <f aca="false">IF(O90&lt;0,-O90-O93,0)</f>
        <v>0.849144748876441</v>
      </c>
      <c r="P94" s="116" t="n">
        <f aca="false">IF(P90&lt;0,-P90-P93,0)</f>
        <v>0.080255730901392</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8.74513613146269</v>
      </c>
      <c r="M100" s="116" t="n">
        <f aca="false">$C$21*$C$22*M81</f>
        <v>9.06085324886362</v>
      </c>
      <c r="N100" s="116" t="n">
        <f aca="false">$C$21*$C$22*N81</f>
        <v>9.38058767736459</v>
      </c>
      <c r="O100" s="116" t="n">
        <f aca="false">$C$21*$C$22*O81</f>
        <v>9.68172921747899</v>
      </c>
      <c r="P100" s="116" t="n">
        <f aca="false">$C$21*$C$22*P81</f>
        <v>9.9198930486556</v>
      </c>
      <c r="Q100" s="116" t="n">
        <f aca="false">$C$21*$C$22*Q81</f>
        <v>10.1600668196664</v>
      </c>
      <c r="R100" s="116" t="n">
        <f aca="false">$C$21*$C$22*R81</f>
        <v>10.3996733268756</v>
      </c>
      <c r="S100" s="116" t="n">
        <f aca="false">$C$21*$C$22*S81</f>
        <v>10.6389482824584</v>
      </c>
      <c r="T100" s="116" t="n">
        <f aca="false">$C$21*$C$22*T81</f>
        <v>10.8782896752686</v>
      </c>
      <c r="U100" s="116" t="n">
        <f aca="false">$C$21*$C$22*U81</f>
        <v>11.1180884842179</v>
      </c>
      <c r="V100" s="116" t="n">
        <f aca="false">$C$21*$C$22*V81</f>
        <v>11.3587345722408</v>
      </c>
      <c r="W100" s="116" t="n">
        <f aca="false">$C$21*$C$22*W81</f>
        <v>11.5971459876997</v>
      </c>
      <c r="X100" s="116" t="n">
        <f aca="false">$C$21*$C$22*X81</f>
        <v>11.8337317176483</v>
      </c>
      <c r="Y100" s="116" t="n">
        <f aca="false">$C$21*$C$22*Y81</f>
        <v>12.0689045952884</v>
      </c>
      <c r="Z100" s="116" t="n">
        <f aca="false">$C$21*$C$22*Z81</f>
        <v>12.303080630219</v>
      </c>
      <c r="AA100" s="116" t="n">
        <f aca="false">$C$21*$C$22*AA81</f>
        <v>12.5366796459351</v>
      </c>
      <c r="AB100" s="116" t="n">
        <f aca="false">$C$21*$C$22*AB81</f>
        <v>12.7702016928344</v>
      </c>
      <c r="AC100" s="116" t="n">
        <f aca="false">$C$21*$C$22*AC81</f>
        <v>13.0041505558058</v>
      </c>
      <c r="AD100" s="116" t="n">
        <f aca="false">$C$21*$C$22*AD81</f>
        <v>13.2390344410287</v>
      </c>
      <c r="AE100" s="116" t="n">
        <f aca="false">$C$21*$C$22*AE81</f>
        <v>13.4753666759342</v>
      </c>
      <c r="AF100" s="116" t="n">
        <f aca="false">$C$21*$C$22*AF81</f>
        <v>13.7136663947745</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0.00874513613146269</v>
      </c>
      <c r="N102" s="116" t="n">
        <f aca="false">M104*$C$24</f>
        <v>0.00906085324886362</v>
      </c>
      <c r="O102" s="116" t="n">
        <f aca="false">N104*$C$24</f>
        <v>0.00938058767736459</v>
      </c>
      <c r="P102" s="116" t="n">
        <f aca="false">O104*$C$24</f>
        <v>0.00968172921747899</v>
      </c>
      <c r="Q102" s="116" t="n">
        <f aca="false">P104*$C$24</f>
        <v>0.0099198930486556</v>
      </c>
      <c r="R102" s="116" t="n">
        <f aca="false">Q104*$C$24</f>
        <v>0.0101600668196664</v>
      </c>
      <c r="S102" s="116" t="n">
        <f aca="false">R104*$C$24</f>
        <v>0.0103996733268756</v>
      </c>
      <c r="T102" s="116" t="n">
        <f aca="false">S104*$C$24</f>
        <v>0.0106389482824584</v>
      </c>
      <c r="U102" s="116" t="n">
        <f aca="false">T104*$C$24</f>
        <v>0.0108782896752686</v>
      </c>
      <c r="V102" s="116" t="n">
        <f aca="false">U104*$C$24</f>
        <v>0.0111180884842179</v>
      </c>
      <c r="W102" s="116" t="n">
        <f aca="false">V104*$C$24</f>
        <v>0.0113587345722408</v>
      </c>
      <c r="X102" s="116" t="n">
        <f aca="false">W104*$C$24</f>
        <v>0.0115971459876997</v>
      </c>
      <c r="Y102" s="116" t="n">
        <f aca="false">X104*$C$24</f>
        <v>0.0118337317176483</v>
      </c>
      <c r="Z102" s="116" t="n">
        <f aca="false">Y104*$C$24</f>
        <v>0.0120689045952884</v>
      </c>
      <c r="AA102" s="116" t="n">
        <f aca="false">Z104*$C$24</f>
        <v>0.012303080630219</v>
      </c>
      <c r="AB102" s="116" t="n">
        <f aca="false">AA104*$C$24</f>
        <v>0.0125366796459351</v>
      </c>
      <c r="AC102" s="116" t="n">
        <f aca="false">AB104*$C$24</f>
        <v>0.0127702016928344</v>
      </c>
      <c r="AD102" s="116" t="n">
        <f aca="false">AC104*$C$24</f>
        <v>0.0130041505558058</v>
      </c>
      <c r="AE102" s="116" t="n">
        <f aca="false">AD104*$C$24</f>
        <v>0.0132390344410287</v>
      </c>
      <c r="AF102" s="116" t="n">
        <f aca="false">AE104*$C$24</f>
        <v>0.0134753666759342</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0.325202329397506</v>
      </c>
      <c r="M103" s="116" t="n">
        <f aca="false">MIN(MAX(0,M100-L104-M101),MAX(0,L276))</f>
        <v>0.315717117400933</v>
      </c>
      <c r="N103" s="116" t="n">
        <f aca="false">MIN(MAX(0,N100-M104-N101),MAX(0,M276))</f>
        <v>0.31973442850097</v>
      </c>
      <c r="O103" s="116" t="n">
        <f aca="false">MIN(MAX(0,O100-N104-O101),MAX(0,N276))</f>
        <v>0.301141540114395</v>
      </c>
      <c r="P103" s="116" t="n">
        <f aca="false">MIN(MAX(0,P100-O104-P101),MAX(0,O276))</f>
        <v>0.238163831176616</v>
      </c>
      <c r="Q103" s="116" t="n">
        <f aca="false">MIN(MAX(0,Q100-P104-Q101),MAX(0,P276))</f>
        <v>0.240173771010804</v>
      </c>
      <c r="R103" s="116" t="n">
        <f aca="false">MIN(MAX(0,R100-Q104-R101),MAX(0,Q276))</f>
        <v>0.23960650720923</v>
      </c>
      <c r="S103" s="116" t="n">
        <f aca="false">MIN(MAX(0,S100-R104-S101),MAX(0,R276))</f>
        <v>0.239274955582802</v>
      </c>
      <c r="T103" s="116" t="n">
        <f aca="false">MIN(MAX(0,T100-S104-T101),MAX(0,S276))</f>
        <v>0.239341392810148</v>
      </c>
      <c r="U103" s="116" t="n">
        <f aca="false">MIN(MAX(0,U100-T104-U101),MAX(0,T276))</f>
        <v>0.239798808949335</v>
      </c>
      <c r="V103" s="116" t="n">
        <f aca="false">MIN(MAX(0,V100-U104-V101),MAX(0,U276))</f>
        <v>0.240646088022828</v>
      </c>
      <c r="W103" s="116" t="n">
        <f aca="false">MIN(MAX(0,W100-V104-W101),MAX(0,V276))</f>
        <v>0.238411415458991</v>
      </c>
      <c r="X103" s="116" t="n">
        <f aca="false">MIN(MAX(0,X100-W104-X101),MAX(0,W276))</f>
        <v>0.23658572994859</v>
      </c>
      <c r="Y103" s="116" t="n">
        <f aca="false">MIN(MAX(0,Y100-X104-Y101),MAX(0,X276))</f>
        <v>0.235172877640036</v>
      </c>
      <c r="Z103" s="116" t="n">
        <f aca="false">MIN(MAX(0,Z100-Y104-Z101),MAX(0,Y276))</f>
        <v>0.234176034930655</v>
      </c>
      <c r="AA103" s="116" t="n">
        <f aca="false">MIN(MAX(0,AA100-Z104-AA101),MAX(0,Z276))</f>
        <v>0.23359901571607</v>
      </c>
      <c r="AB103" s="116" t="n">
        <f aca="false">MIN(MAX(0,AB100-AA104-AB101),MAX(0,AA276))</f>
        <v>0.233522046899299</v>
      </c>
      <c r="AC103" s="116" t="n">
        <f aca="false">MIN(MAX(0,AC100-AB104-AC101),MAX(0,AB276))</f>
        <v>0.233948862971412</v>
      </c>
      <c r="AD103" s="116" t="n">
        <f aca="false">MIN(MAX(0,AD100-AC104-AD101),MAX(0,AC276))</f>
        <v>0.234883885222871</v>
      </c>
      <c r="AE103" s="116" t="n">
        <f aca="false">MIN(MAX(0,AE100-AD104-AE101),MAX(0,AD276))</f>
        <v>0.236332234905541</v>
      </c>
      <c r="AF103" s="116" t="n">
        <f aca="false">MIN(MAX(0,AF100-AE104-AF101),MAX(0,AE276))</f>
        <v>0.238299718840313</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8.74513613146269</v>
      </c>
      <c r="M104" s="136" t="n">
        <f aca="false">L104+M101+M103</f>
        <v>9.06085324886362</v>
      </c>
      <c r="N104" s="136" t="n">
        <f aca="false">M104+N101+N103</f>
        <v>9.38058767736459</v>
      </c>
      <c r="O104" s="136" t="n">
        <f aca="false">N104+O101+O103</f>
        <v>9.68172921747899</v>
      </c>
      <c r="P104" s="136" t="n">
        <f aca="false">O104+P101+P103</f>
        <v>9.9198930486556</v>
      </c>
      <c r="Q104" s="136" t="n">
        <f aca="false">P104+Q101+Q103</f>
        <v>10.1600668196664</v>
      </c>
      <c r="R104" s="136" t="n">
        <f aca="false">Q104+R101+R103</f>
        <v>10.3996733268756</v>
      </c>
      <c r="S104" s="136" t="n">
        <f aca="false">R104+S101+S103</f>
        <v>10.6389482824584</v>
      </c>
      <c r="T104" s="136" t="n">
        <f aca="false">S104+T101+T103</f>
        <v>10.8782896752686</v>
      </c>
      <c r="U104" s="136" t="n">
        <f aca="false">T104+U101+U103</f>
        <v>11.1180884842179</v>
      </c>
      <c r="V104" s="136" t="n">
        <f aca="false">U104+V101+V103</f>
        <v>11.3587345722408</v>
      </c>
      <c r="W104" s="136" t="n">
        <f aca="false">V104+W101+W103</f>
        <v>11.5971459876997</v>
      </c>
      <c r="X104" s="136" t="n">
        <f aca="false">W104+X101+X103</f>
        <v>11.8337317176483</v>
      </c>
      <c r="Y104" s="136" t="n">
        <f aca="false">X104+Y101+Y103</f>
        <v>12.0689045952884</v>
      </c>
      <c r="Z104" s="136" t="n">
        <f aca="false">Y104+Z101+Z103</f>
        <v>12.303080630219</v>
      </c>
      <c r="AA104" s="136" t="n">
        <f aca="false">Z104+AA101+AA103</f>
        <v>12.5366796459351</v>
      </c>
      <c r="AB104" s="136" t="n">
        <f aca="false">AA104+AB101+AB103</f>
        <v>12.7702016928344</v>
      </c>
      <c r="AC104" s="136" t="n">
        <f aca="false">AB104+AC101+AC103</f>
        <v>13.0041505558058</v>
      </c>
      <c r="AD104" s="136" t="n">
        <f aca="false">AC104+AD101+AD103</f>
        <v>13.2390344410287</v>
      </c>
      <c r="AE104" s="136" t="n">
        <f aca="false">AD104+AE101+AE103</f>
        <v>13.4753666759342</v>
      </c>
      <c r="AF104" s="136" t="n">
        <f aca="false">AE104+AF101+AF103</f>
        <v>13.7136663947745</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68.0991825749801</v>
      </c>
      <c r="M105" s="139" t="n">
        <f aca="false">M104/($C$36*(1+$C$23)^(M$39-1))</f>
        <v>70.5577009212619</v>
      </c>
      <c r="N105" s="139" t="n">
        <f aca="false">N104/($C$36*(1+$C$23)^(N$39-1))</f>
        <v>73.0475024400351</v>
      </c>
      <c r="O105" s="139" t="n">
        <f aca="false">O104/($C$36*(1+$C$23)^(O$39-1))</f>
        <v>75.3925194200888</v>
      </c>
      <c r="P105" s="139" t="n">
        <f aca="false">P104/($C$36*(1+$C$23)^(P$39-1))</f>
        <v>77.2471231653298</v>
      </c>
      <c r="Q105" s="139" t="n">
        <f aca="false">Q104/($C$36*(1+$C$23)^(Q$39-1))</f>
        <v>79.1173784976559</v>
      </c>
      <c r="R105" s="139" t="n">
        <f aca="false">R104/($C$36*(1+$C$23)^(R$39-1))</f>
        <v>80.9832164943785</v>
      </c>
      <c r="S105" s="139" t="n">
        <f aca="false">S104/($C$36*(1+$C$23)^(S$39-1))</f>
        <v>82.8464726679709</v>
      </c>
      <c r="T105" s="139" t="n">
        <f aca="false">T104/($C$36*(1+$C$23)^(T$39-1))</f>
        <v>84.7102461943873</v>
      </c>
      <c r="U105" s="139" t="n">
        <f aca="false">U104/($C$36*(1+$C$23)^(U$39-1))</f>
        <v>86.5775816625171</v>
      </c>
      <c r="V105" s="139" t="n">
        <f aca="false">V104/($C$36*(1+$C$23)^(V$39-1))</f>
        <v>88.4515149710293</v>
      </c>
      <c r="W105" s="139" t="n">
        <f aca="false">W104/($C$36*(1+$C$23)^(W$39-1))</f>
        <v>90.3080466779389</v>
      </c>
      <c r="X105" s="139" t="n">
        <f aca="false">X104/($C$36*(1+$C$23)^(X$39-1))</f>
        <v>92.1503616031966</v>
      </c>
      <c r="Y105" s="139" t="n">
        <f aca="false">Y104/($C$36*(1+$C$23)^(Y$39-1))</f>
        <v>93.9816745170658</v>
      </c>
      <c r="Z105" s="139" t="n">
        <f aca="false">Z104/($C$36*(1+$C$23)^(Z$39-1))</f>
        <v>95.8052249247095</v>
      </c>
      <c r="AA105" s="139" t="n">
        <f aca="false">AA104/($C$36*(1+$C$23)^(AA$39-1))</f>
        <v>97.6242820304476</v>
      </c>
      <c r="AB105" s="139" t="n">
        <f aca="false">AB104/($C$36*(1+$C$23)^(AB$39-1))</f>
        <v>99.4427397729022</v>
      </c>
      <c r="AC105" s="139" t="n">
        <f aca="false">AC104/($C$36*(1+$C$23)^(AC$39-1))</f>
        <v>101.264521171522</v>
      </c>
      <c r="AD105" s="139" t="n">
        <f aca="false">AD104/($C$36*(1+$C$23)^(AD$39-1))</f>
        <v>103.093583674754</v>
      </c>
      <c r="AE105" s="139" t="n">
        <f aca="false">AE104/($C$36*(1+$C$23)^(AE$39-1))</f>
        <v>104.933924610704</v>
      </c>
      <c r="AF105" s="139" t="n">
        <f aca="false">AF104/($C$36*(1+$C$23)^(AF$39-1))</f>
        <v>106.78958652573</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5.80581106610734</v>
      </c>
      <c r="M107" s="116" t="n">
        <f aca="false">M87*(1-$C$340)*$C$175+M85*01_Supuestos!$I$126+M55*M88</f>
        <v>6.41106326275093</v>
      </c>
      <c r="N107" s="116" t="n">
        <f aca="false">N87*(1-$C$340)*$C$175+N85*01_Supuestos!$I$126+N55*N88</f>
        <v>6.57688639520592</v>
      </c>
      <c r="O107" s="116" t="n">
        <f aca="false">O87*(1-$C$340)*$C$175+O85*01_Supuestos!$I$126+O55*O88</f>
        <v>6.72739730513887</v>
      </c>
      <c r="P107" s="116" t="n">
        <f aca="false">P87*(1-$C$340)*$C$175+P85*01_Supuestos!$I$126+P55*P88</f>
        <v>6.88199008406813</v>
      </c>
      <c r="Q107" s="116" t="n">
        <f aca="false">Q87*(1-$C$340)*$C$175+Q85*01_Supuestos!$I$126+Q55*Q88</f>
        <v>7.04016926001746</v>
      </c>
      <c r="R107" s="116" t="n">
        <f aca="false">R87*(1-$C$340)*$C$175+R85*01_Supuestos!$I$126+R55*R88</f>
        <v>7.20204059258582</v>
      </c>
      <c r="S107" s="116" t="n">
        <f aca="false">S87*(1-$C$340)*$C$175+S85*01_Supuestos!$I$126+S55*S88</f>
        <v>7.36768679463222</v>
      </c>
      <c r="T107" s="116" t="n">
        <f aca="false">T87*(1-$C$340)*$C$175+T85*01_Supuestos!$I$126+T55*T88</f>
        <v>7.53719108994806</v>
      </c>
      <c r="U107" s="116" t="n">
        <f aca="false">U87*(1-$C$340)*$C$175+U85*01_Supuestos!$I$126+U55*U88</f>
        <v>7.71063875985999</v>
      </c>
      <c r="V107" s="116" t="n">
        <f aca="false">V87*(1-$C$340)*$C$175+V85*01_Supuestos!$I$126+V55*V88</f>
        <v>7.88811713683762</v>
      </c>
      <c r="W107" s="116" t="n">
        <f aca="false">W87*(1-$C$340)*$C$175+W85*01_Supuestos!$I$126+W55*W88</f>
        <v>8.06974644000932</v>
      </c>
      <c r="X107" s="116" t="n">
        <f aca="false">X87*(1-$C$340)*$C$175+X85*01_Supuestos!$I$126+X55*X88</f>
        <v>8.25561805660647</v>
      </c>
      <c r="Y107" s="116" t="n">
        <f aca="false">Y87*(1-$C$340)*$C$175+Y85*01_Supuestos!$I$126+Y55*Y88</f>
        <v>8.44582552509442</v>
      </c>
      <c r="Z107" s="116" t="n">
        <f aca="false">Z87*(1-$C$340)*$C$175+Z85*01_Supuestos!$I$126+Z55*Z88</f>
        <v>8.64046459137701</v>
      </c>
      <c r="AA107" s="116" t="n">
        <f aca="false">AA87*(1-$C$340)*$C$175+AA85*01_Supuestos!$I$126+AA55*AA88</f>
        <v>8.83963325456049</v>
      </c>
      <c r="AB107" s="116" t="n">
        <f aca="false">AB87*(1-$C$340)*$C$175+AB85*01_Supuestos!$I$126+AB55*AB88</f>
        <v>9.04343114169554</v>
      </c>
      <c r="AC107" s="116" t="n">
        <f aca="false">AC87*(1-$C$340)*$C$175+AC85*01_Supuestos!$I$126+AC55*AC88</f>
        <v>9.25196024015311</v>
      </c>
      <c r="AD107" s="116" t="n">
        <f aca="false">AD87*(1-$C$340)*$C$175+AD85*01_Supuestos!$I$126+AD55*AD88</f>
        <v>9.46532494658117</v>
      </c>
      <c r="AE107" s="116" t="n">
        <f aca="false">AE87*(1-$C$340)*$C$175+AE85*01_Supuestos!$I$126+AE55*AE88</f>
        <v>9.68363211701079</v>
      </c>
      <c r="AF107" s="116" t="n">
        <f aca="false">AF87*(1-$C$340)*$C$175+AF85*01_Supuestos!$I$126+AF55*AF88</f>
        <v>9.9069911183852</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2.28453920479615</v>
      </c>
      <c r="M109" s="116" t="n">
        <f aca="false">(M70+L121)*(0.3*$C$5+0.25*01_Supuestos!$I$134)/0.55-L227*$C$5</f>
        <v>2.39665042992273</v>
      </c>
      <c r="N109" s="116" t="n">
        <f aca="false">(N70+M121)*(0.3*$C$5+0.25*01_Supuestos!$I$134)/0.55-M227*$C$5</f>
        <v>2.53751786600665</v>
      </c>
      <c r="O109" s="116" t="n">
        <f aca="false">(O70+N121)*(0.3*$C$5+0.25*01_Supuestos!$I$134)/0.55-N227*$C$5</f>
        <v>2.68159201543932</v>
      </c>
      <c r="P109" s="116" t="n">
        <f aca="false">(P70+O121)*(0.3*$C$5+0.25*01_Supuestos!$I$134)/0.55-O227*$C$5</f>
        <v>2.82898004580314</v>
      </c>
      <c r="Q109" s="116" t="n">
        <f aca="false">(Q70+P121)*(0.3*$C$5+0.25*01_Supuestos!$I$134)/0.55-P227*$C$5</f>
        <v>2.97529203936057</v>
      </c>
      <c r="R109" s="116" t="n">
        <f aca="false">(R70+Q121)*(0.3*$C$5+0.25*01_Supuestos!$I$134)/0.55-Q227*$C$5</f>
        <v>3.12030617510479</v>
      </c>
      <c r="S109" s="116" t="n">
        <f aca="false">(S70+R121)*(0.3*$C$5+0.25*01_Supuestos!$I$134)/0.55-R227*$C$5</f>
        <v>3.26431264647806</v>
      </c>
      <c r="T109" s="116" t="n">
        <f aca="false">(T70+S121)*(0.3*$C$5+0.25*01_Supuestos!$I$134)/0.55-S227*$C$5</f>
        <v>3.40775307427578</v>
      </c>
      <c r="U109" s="116" t="n">
        <f aca="false">(U70+T121)*(0.3*$C$5+0.25*01_Supuestos!$I$134)/0.55-T227*$C$5</f>
        <v>3.55106044462973</v>
      </c>
      <c r="V109" s="116" t="n">
        <f aca="false">(V70+U121)*(0.3*$C$5+0.25*01_Supuestos!$I$134)/0.55-U227*$C$5</f>
        <v>3.69466467068865</v>
      </c>
      <c r="W109" s="116" t="n">
        <f aca="false">(W70+V121)*(0.3*$C$5+0.25*01_Supuestos!$I$134)/0.55-V227*$C$5</f>
        <v>3.83899326618438</v>
      </c>
      <c r="X109" s="116" t="n">
        <f aca="false">(X70+W121)*(0.3*$C$5+0.25*01_Supuestos!$I$134)/0.55-W227*$C$5</f>
        <v>3.98447622226531</v>
      </c>
      <c r="Y109" s="116" t="n">
        <f aca="false">(Y70+X121)*(0.3*$C$5+0.25*01_Supuestos!$I$134)/0.55-X227*$C$5</f>
        <v>4.13154483307934</v>
      </c>
      <c r="Z109" s="116" t="n">
        <f aca="false">(Z70+Y121)*(0.3*$C$5+0.25*01_Supuestos!$I$134)/0.55-Y227*$C$5</f>
        <v>4.28063103950972</v>
      </c>
      <c r="AA109" s="116" t="n">
        <f aca="false">(AA70+Z121)*(0.3*$C$5+0.25*01_Supuestos!$I$134)/0.55-Z227*$C$5</f>
        <v>4.43216800733029</v>
      </c>
      <c r="AB109" s="116" t="n">
        <f aca="false">(AB70+AA121)*(0.3*$C$5+0.25*01_Supuestos!$I$134)/0.55-AA227*$C$5</f>
        <v>4.58659060433398</v>
      </c>
      <c r="AC109" s="116" t="n">
        <f aca="false">(AC70+AB121)*(0.3*$C$5+0.25*01_Supuestos!$I$134)/0.55-AB227*$C$5</f>
        <v>4.74433602617827</v>
      </c>
      <c r="AD109" s="116" t="n">
        <f aca="false">(AD70+AC121)*(0.3*$C$5+0.25*01_Supuestos!$I$134)/0.55-AC227*$C$5</f>
        <v>4.90584444448713</v>
      </c>
      <c r="AE109" s="116" t="n">
        <f aca="false">(AE70+AD121)*(0.3*$C$5+0.25*01_Supuestos!$I$134)/0.55-AD227*$C$5</f>
        <v>5.07155966655215</v>
      </c>
      <c r="AF109" s="116" t="n">
        <f aca="false">(AF70+AE121)*(0.3*$C$5+0.25*01_Supuestos!$I$134)/0.55-AE227*$C$5</f>
        <v>5.24192978061879</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1.2288231769719</v>
      </c>
      <c r="F110" s="116" t="n">
        <f aca="false">E120*$C$10</f>
        <v>1.85810142536714</v>
      </c>
      <c r="G110" s="116" t="n">
        <f aca="false">F120*$C$10</f>
        <v>2.16635089693739</v>
      </c>
      <c r="H110" s="116" t="n">
        <f aca="false">G120*$C$10</f>
        <v>2.55162291267212</v>
      </c>
      <c r="I110" s="116" t="n">
        <f aca="false">H120*$C$10</f>
        <v>2.99529231840359</v>
      </c>
      <c r="J110" s="116" t="n">
        <f aca="false">I120*$C$10</f>
        <v>3.50058661793798</v>
      </c>
      <c r="K110" s="116" t="n">
        <f aca="false">J120*$C$10</f>
        <v>4.0527111806949</v>
      </c>
      <c r="L110" s="116" t="n">
        <f aca="false">K120*$C$10</f>
        <v>4.65003006541051</v>
      </c>
      <c r="M110" s="116" t="n">
        <f aca="false">L120*$C$10</f>
        <v>5.24888884192638</v>
      </c>
      <c r="N110" s="116" t="n">
        <f aca="false">M120*$C$10</f>
        <v>5.23967480939394</v>
      </c>
      <c r="O110" s="116" t="n">
        <f aca="false">N120*$C$10</f>
        <v>5.30015957446894</v>
      </c>
      <c r="P110" s="116" t="n">
        <f aca="false">O120*$C$10</f>
        <v>5.37274843035055</v>
      </c>
      <c r="Q110" s="116" t="n">
        <f aca="false">P120*$C$10</f>
        <v>5.42223385441983</v>
      </c>
      <c r="R110" s="116" t="n">
        <f aca="false">Q120*$C$10</f>
        <v>5.46672376809684</v>
      </c>
      <c r="S110" s="116" t="n">
        <f aca="false">R120*$C$10</f>
        <v>5.51302037234426</v>
      </c>
      <c r="T110" s="116" t="n">
        <f aca="false">S120*$C$10</f>
        <v>5.56097080820182</v>
      </c>
      <c r="U110" s="116" t="n">
        <f aca="false">T120*$C$10</f>
        <v>5.61062326380474</v>
      </c>
      <c r="V110" s="116" t="n">
        <f aca="false">U120*$C$10</f>
        <v>5.66201756431937</v>
      </c>
      <c r="W110" s="116" t="n">
        <f aca="false">V120*$C$10</f>
        <v>5.71519464485329</v>
      </c>
      <c r="X110" s="116" t="n">
        <f aca="false">W120*$C$10</f>
        <v>5.77027631520954</v>
      </c>
      <c r="Y110" s="116" t="n">
        <f aca="false">X120*$C$10</f>
        <v>5.82732609336492</v>
      </c>
      <c r="Z110" s="116" t="n">
        <f aca="false">Y120*$C$10</f>
        <v>5.8864005845138</v>
      </c>
      <c r="AA110" s="116" t="n">
        <f aca="false">Z120*$C$10</f>
        <v>5.94754674260522</v>
      </c>
      <c r="AB110" s="116" t="n">
        <f aca="false">AA120*$C$10</f>
        <v>6.01081322792208</v>
      </c>
      <c r="AC110" s="116" t="n">
        <f aca="false">AB120*$C$10</f>
        <v>6.07624871708662</v>
      </c>
      <c r="AD110" s="116" t="n">
        <f aca="false">AC120*$C$10</f>
        <v>6.14390326982333</v>
      </c>
      <c r="AE110" s="116" t="n">
        <f aca="false">AD120*$C$10</f>
        <v>6.21382855796137</v>
      </c>
      <c r="AF110" s="116" t="n">
        <f aca="false">AE120*$C$10</f>
        <v>6.28607815411149</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0.349805445258508</v>
      </c>
      <c r="M112" s="116" t="n">
        <f aca="false">M81*$C$7</f>
        <v>0.362434129954545</v>
      </c>
      <c r="N112" s="116" t="n">
        <f aca="false">N81*$C$7</f>
        <v>0.375223507094584</v>
      </c>
      <c r="O112" s="116" t="n">
        <f aca="false">O81*$C$7</f>
        <v>0.387269168699159</v>
      </c>
      <c r="P112" s="116" t="n">
        <f aca="false">P81*$C$7</f>
        <v>0.396795721946224</v>
      </c>
      <c r="Q112" s="116" t="n">
        <f aca="false">Q81*$C$7</f>
        <v>0.406402672786656</v>
      </c>
      <c r="R112" s="116" t="n">
        <f aca="false">R81*$C$7</f>
        <v>0.415986933075025</v>
      </c>
      <c r="S112" s="116" t="n">
        <f aca="false">S81*$C$7</f>
        <v>0.425557931298338</v>
      </c>
      <c r="T112" s="116" t="n">
        <f aca="false">T81*$C$7</f>
        <v>0.435131587010743</v>
      </c>
      <c r="U112" s="116" t="n">
        <f aca="false">U81*$C$7</f>
        <v>0.444723539368717</v>
      </c>
      <c r="V112" s="116" t="n">
        <f aca="false">V81*$C$7</f>
        <v>0.45434938288963</v>
      </c>
      <c r="W112" s="116" t="n">
        <f aca="false">W81*$C$7</f>
        <v>0.46388583950799</v>
      </c>
      <c r="X112" s="116" t="n">
        <f aca="false">X81*$C$7</f>
        <v>0.473349268705933</v>
      </c>
      <c r="Y112" s="116" t="n">
        <f aca="false">Y81*$C$7</f>
        <v>0.482756183811535</v>
      </c>
      <c r="Z112" s="116" t="n">
        <f aca="false">Z81*$C$7</f>
        <v>0.492123225208761</v>
      </c>
      <c r="AA112" s="116" t="n">
        <f aca="false">AA81*$C$7</f>
        <v>0.501467185837404</v>
      </c>
      <c r="AB112" s="116" t="n">
        <f aca="false">AB81*$C$7</f>
        <v>0.510808067713376</v>
      </c>
      <c r="AC112" s="116" t="n">
        <f aca="false">AC81*$C$7</f>
        <v>0.520166022232232</v>
      </c>
      <c r="AD112" s="116" t="n">
        <f aca="false">AD81*$C$7</f>
        <v>0.529561377641147</v>
      </c>
      <c r="AE112" s="116" t="n">
        <f aca="false">AE81*$C$7</f>
        <v>0.539014667037369</v>
      </c>
      <c r="AF112" s="116" t="n">
        <f aca="false">AF81*$C$7</f>
        <v>0.548546655790981</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-2.47930828114209</v>
      </c>
      <c r="F113" s="136" t="n">
        <f aca="false">F107+F109+F110-F111-F112-F108-F97-F98-F102+F184-F190-F229-F265-F268-F274</f>
        <v>-6.30065396178608</v>
      </c>
      <c r="G113" s="136" t="n">
        <f aca="false">G107+G109+G110-G111-G112-G108-G97-G98-G102+G184-G190-G229-G265-G268-G274</f>
        <v>-4.97472217980787</v>
      </c>
      <c r="H113" s="136" t="n">
        <f aca="false">H107+H109+H110-H111-H112-H108-H97-H98-H102+H184-H190-H229-H265-H268-H274</f>
        <v>-3.78367826713284</v>
      </c>
      <c r="I113" s="136" t="n">
        <f aca="false">I107+I109+I110-I111-I112-I108-I97-I98-I102+I184-I190-I229-I265-I268-I274</f>
        <v>-2.54300492844659</v>
      </c>
      <c r="J113" s="136" t="n">
        <f aca="false">J107+J109+J110-J111-J112-J108-J97-J98-J102+J184-J190-J229-J265-J268-J274</f>
        <v>-1.24752521781696</v>
      </c>
      <c r="K113" s="136" t="n">
        <f aca="false">K107+K109+K110-K111-K112-K108-K97-K98-K102+K184-K190-K229-K265-K268-K274</f>
        <v>0.0895939266371116</v>
      </c>
      <c r="L113" s="136" t="n">
        <f aca="false">L107+L109+L110-L111-L112-L108-L97-L98-L102+L184-L190-L229-L265-L268-L274</f>
        <v>1.47026344873869</v>
      </c>
      <c r="M113" s="136" t="n">
        <f aca="false">M107+M109+M110-M111-M112-M108-M97-M98-M102+M184-M190-M229-M265-M268-M274</f>
        <v>2.63548135624325</v>
      </c>
      <c r="N113" s="136" t="n">
        <f aca="false">N107+N109+N110-N111-N112-N108-N97-N98-N102+N184-N190-N229-N265-N268-N274</f>
        <v>2.71890701466742</v>
      </c>
      <c r="O113" s="136" t="n">
        <f aca="false">O107+O109+O110-O111-O112-O108-O97-O98-O102+O184-O190-O229-O265-O268-O274</f>
        <v>2.80599907822502</v>
      </c>
      <c r="P113" s="136" t="n">
        <f aca="false">P107+P109+P110-P111-P112-P108-P97-P98-P102+P184-P190-P229-P265-P268-P274</f>
        <v>2.70648026689552</v>
      </c>
      <c r="Q113" s="136" t="n">
        <f aca="false">Q107+Q109+Q110-Q111-Q112-Q108-Q97-Q98-Q102+Q184-Q190-Q229-Q265-Q268-Q274</f>
        <v>2.59667681235655</v>
      </c>
      <c r="R113" s="136" t="n">
        <f aca="false">R107+R109+R110-R111-R112-R108-R97-R98-R102+R184-R190-R229-R265-R268-R274</f>
        <v>2.49823418890322</v>
      </c>
      <c r="S113" s="136" t="n">
        <f aca="false">S107+S109+S110-S111-S112-S108-S97-S98-S102+S184-S190-S229-S265-S268-S274</f>
        <v>2.41754190065558</v>
      </c>
      <c r="T113" s="136" t="n">
        <f aca="false">T107+T109+T110-T111-T112-T108-T97-T98-T102+T184-T190-T229-T265-T268-T274</f>
        <v>2.35421722550669</v>
      </c>
      <c r="U113" s="136" t="n">
        <f aca="false">U107+U109+U110-U111-U112-U108-U97-U98-U102+U184-U190-U229-U265-U268-U274</f>
        <v>2.30811236188345</v>
      </c>
      <c r="V113" s="136" t="n">
        <f aca="false">V107+V109+V110-V111-V112-V108-V97-V98-V102+V184-V190-V229-V265-V268-V274</f>
        <v>2.27910761393422</v>
      </c>
      <c r="W113" s="136" t="n">
        <f aca="false">W107+W109+W110-W111-W112-W108-W97-W98-W102+W184-W190-W229-W265-W268-W274</f>
        <v>2.26728921181273</v>
      </c>
      <c r="X113" s="136" t="n">
        <f aca="false">X107+X109+X110-X111-X112-X108-X97-X98-X102+X184-X190-X229-X265-X268-X274</f>
        <v>2.27269328665753</v>
      </c>
      <c r="Y113" s="136" t="n">
        <f aca="false">Y107+Y109+Y110-Y111-Y112-Y108-Y97-Y98-Y102+Y184-Y190-Y229-Y265-Y268-Y274</f>
        <v>2.29532778155903</v>
      </c>
      <c r="Z113" s="136" t="n">
        <f aca="false">Z107+Z109+Z110-Z111-Z112-Z108-Z97-Z98-Z102+Z184-Z190-Z229-Z265-Z268-Z274</f>
        <v>2.33522466577187</v>
      </c>
      <c r="AA113" s="136" t="n">
        <f aca="false">AA107+AA109+AA110-AA111-AA112-AA108-AA97-AA98-AA102+AA184-AA190-AA229-AA265-AA268-AA274</f>
        <v>2.39243564894794</v>
      </c>
      <c r="AB113" s="136" t="n">
        <f aca="false">AB107+AB109+AB110-AB111-AB112-AB108-AB97-AB98-AB102+AB184-AB190-AB229-AB265-AB268-AB274</f>
        <v>2.46703846109517</v>
      </c>
      <c r="AC113" s="136" t="n">
        <f aca="false">AC107+AC109+AC110-AC111-AC112-AC108-AC97-AC98-AC102+AC184-AC190-AC229-AC265-AC268-AC274</f>
        <v>2.55913778192357</v>
      </c>
      <c r="AD113" s="136" t="n">
        <f aca="false">AD107+AD109+AD110-AD111-AD112-AD108-AD97-AD98-AD102+AD184-AD190-AD229-AD265-AD268-AD274</f>
        <v>2.6688657189295</v>
      </c>
      <c r="AE113" s="136" t="n">
        <f aca="false">AE107+AE109+AE110-AE111-AE112-AE108-AE97-AE98-AE102+AE184-AE190-AE229-AE265-AE268-AE274</f>
        <v>2.7963811844966</v>
      </c>
      <c r="AF113" s="136" t="n">
        <f aca="false">AF107+AF109+AF110-AF111-AF112-AF108-AF97-AF98-AF102+AF184-AF190-AF229-AF265-AF268-AF274</f>
        <v>2.94186941970309</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35.1092336277686</v>
      </c>
      <c r="E114" s="116" t="n">
        <f aca="false">D120+E53+E56-E57+(E58-E65)+E113-E92+E94-E95-E103+E60-E245</f>
        <v>53.0886121533469</v>
      </c>
      <c r="F114" s="116" t="n">
        <f aca="false">E120+F53+F56-F57+(F58-F65)+F113-F92+F94-F95-F103+F60-F245</f>
        <v>61.8957399124968</v>
      </c>
      <c r="G114" s="116" t="n">
        <f aca="false">F120+G53+G56-G57+(G58-G65)+G113-G92+G94-G95-G103+G60-G245</f>
        <v>72.9035117906319</v>
      </c>
      <c r="H114" s="116" t="n">
        <f aca="false">G120+H53+H56-H57+(H58-H65)+H113-H92+H94-H95-H103+H60-H245</f>
        <v>85.579780525817</v>
      </c>
      <c r="I114" s="116" t="n">
        <f aca="false">H120+I53+I56-I57+(I58-I65)+I113-I92+I94-I95-I103+I60-I245</f>
        <v>100.016760512514</v>
      </c>
      <c r="J114" s="116" t="n">
        <f aca="false">I120+J53+J56-J57+(J58-J65)+J113-J92+J94-J95-J103+J60-J245</f>
        <v>115.791748019854</v>
      </c>
      <c r="K114" s="116" t="n">
        <f aca="false">J120+K53+K56-K57+(K58-K65)+K113-K92+K94-K95-K103+K60-K245</f>
        <v>132.947595795509</v>
      </c>
      <c r="L114" s="116" t="n">
        <f aca="false">K120+L53+L56-L57+(L58-L65)+L113-L92+L94-L95-L103+L60-L245</f>
        <v>151.438516075207</v>
      </c>
      <c r="M114" s="116" t="n">
        <f aca="false">L120+M53+M56-M57+(M58-M65)+M113-M92+M94-M95-M103+M60-M245</f>
        <v>152.340475910356</v>
      </c>
      <c r="N114" s="116" t="n">
        <f aca="false">M120+N53+N56-N57+(N58-N65)+N113-N92+N94-N95-N103+N60-N245</f>
        <v>154.15203771378</v>
      </c>
      <c r="O114" s="116" t="n">
        <f aca="false">N120+O53+O56-O57+(O58-O65)+O113-O92+O94-O95-O103+O60-O245</f>
        <v>156.313097088241</v>
      </c>
      <c r="P114" s="116" t="n">
        <f aca="false">O120+P53+P56-P57+(P58-P65)+P113-P92+P94-P95-P103+P60-P245</f>
        <v>157.627447536033</v>
      </c>
      <c r="Q114" s="116" t="n">
        <f aca="false">P120+Q53+Q56-Q57+(Q58-Q65)+Q113-Q92+Q94-Q95-Q103+Q60-Q245</f>
        <v>158.788784472266</v>
      </c>
      <c r="R114" s="116" t="n">
        <f aca="false">Q120+R53+R56-R57+(R58-R65)+R113-R92+R94-R95-R103+R60-R245</f>
        <v>160.013101970168</v>
      </c>
      <c r="S114" s="116" t="n">
        <f aca="false">R120+S53+S56-S57+(S58-S65)+S113-S92+S94-S95-S103+S60-S245</f>
        <v>161.302422134993</v>
      </c>
      <c r="T114" s="116" t="n">
        <f aca="false">S120+T53+T56-T57+(T58-T65)+T113-T92+T94-T95-T103+T60-T245</f>
        <v>162.657739048499</v>
      </c>
      <c r="U114" s="116" t="n">
        <f aca="false">T120+U53+U56-U57+(U58-U65)+U113-U92+U94-U95-U103+U60-U245</f>
        <v>164.080042771008</v>
      </c>
      <c r="V114" s="116" t="n">
        <f aca="false">U120+V53+V56-V57+(V58-V65)+V113-V92+V94-V95-V103+V60-V245</f>
        <v>165.570383181171</v>
      </c>
      <c r="W114" s="116" t="n">
        <f aca="false">V120+W53+W56-W57+(W58-W65)+W113-W92+W94-W95-W103+W60-W245</f>
        <v>167.132326789228</v>
      </c>
      <c r="X114" s="116" t="n">
        <f aca="false">W120+X53+X56-X57+(X58-X65)+X113-X92+X94-X95-X103+X60-X245</f>
        <v>168.767724525655</v>
      </c>
      <c r="Y114" s="116" t="n">
        <f aca="false">X120+Y53+Y56-Y57+(Y58-Y65)+Y113-Y92+Y94-Y95-Y103+Y60-Y245</f>
        <v>170.47820162481</v>
      </c>
      <c r="Z114" s="116" t="n">
        <f aca="false">Y120+Z53+Z56-Z57+(Z58-Z65)+Z113-Z92+Z94-Z95-Z103+Z60-Z245</f>
        <v>172.265131597349</v>
      </c>
      <c r="AA114" s="116" t="n">
        <f aca="false">Z120+AA53+AA56-AA57+(AA58-AA65)+AA113-AA92+AA94-AA95-AA103+AA60-AA245</f>
        <v>174.129956446722</v>
      </c>
      <c r="AB114" s="116" t="n">
        <f aca="false">AA120+AB53+AB56-AB57+(AB58-AB65)+AB113-AB92+AB94-AB95-AB103+AB60-AB245</f>
        <v>176.07414466357</v>
      </c>
      <c r="AC114" s="116" t="n">
        <f aca="false">AB120+AC53+AC56-AC57+(AC58-AC65)+AC113-AC92+AC94-AC95-AC103+AC60-AC245</f>
        <v>178.099231205447</v>
      </c>
      <c r="AD114" s="116" t="n">
        <f aca="false">AC120+AD53+AD56-AD57+(AD58-AD65)+AD113-AD92+AD94-AD95-AD103+AD60-AD245</f>
        <v>180.206824517826</v>
      </c>
      <c r="AE114" s="116" t="n">
        <f aca="false">AD120+AE53+AE56-AE57+(AE58-AE65)+AE113-AE92+AE94-AE95-AE103+AE60-AE245</f>
        <v>182.398614159111</v>
      </c>
      <c r="AF114" s="116" t="n">
        <f aca="false">AE120+AF53+AF56-AF57+(AF58-AF65)+AF113-AF92+AF94-AF95-AF103+AF60-AF245</f>
        <v>184.676371476614</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0.0895939266371116</v>
      </c>
      <c r="L115" s="116" t="n">
        <f aca="false">IF(L113&gt;0,MIN(L113,01_Supuestos!$I$106*L81),0)</f>
        <v>1.47026344873869</v>
      </c>
      <c r="M115" s="116" t="n">
        <f aca="false">IF(M113&gt;0,MIN(M113,01_Supuestos!$I$106*M81),0)</f>
        <v>2.63548135624325</v>
      </c>
      <c r="N115" s="116" t="n">
        <f aca="false">IF(N113&gt;0,MIN(N113,01_Supuestos!$I$106*N81),0)</f>
        <v>2.71890701466742</v>
      </c>
      <c r="O115" s="116" t="n">
        <f aca="false">IF(O113&gt;0,MIN(O113,01_Supuestos!$I$106*O81),0)</f>
        <v>2.80599907822502</v>
      </c>
      <c r="P115" s="116" t="n">
        <f aca="false">IF(P113&gt;0,MIN(P113,01_Supuestos!$I$106*P81),0)</f>
        <v>2.70648026689552</v>
      </c>
      <c r="Q115" s="116" t="n">
        <f aca="false">IF(Q113&gt;0,MIN(Q113,01_Supuestos!$I$106*Q81),0)</f>
        <v>2.59667681235655</v>
      </c>
      <c r="R115" s="116" t="n">
        <f aca="false">IF(R113&gt;0,MIN(R113,01_Supuestos!$I$106*R81),0)</f>
        <v>2.49823418890322</v>
      </c>
      <c r="S115" s="116" t="n">
        <f aca="false">IF(S113&gt;0,MIN(S113,01_Supuestos!$I$106*S81),0)</f>
        <v>2.41754190065558</v>
      </c>
      <c r="T115" s="116" t="n">
        <f aca="false">IF(T113&gt;0,MIN(T113,01_Supuestos!$I$106*T81),0)</f>
        <v>2.35421722550669</v>
      </c>
      <c r="U115" s="116" t="n">
        <f aca="false">IF(U113&gt;0,MIN(U113,01_Supuestos!$I$106*U81),0)</f>
        <v>2.30811236188345</v>
      </c>
      <c r="V115" s="116" t="n">
        <f aca="false">IF(V113&gt;0,MIN(V113,01_Supuestos!$I$106*V81),0)</f>
        <v>2.27910761393422</v>
      </c>
      <c r="W115" s="116" t="n">
        <f aca="false">IF(W113&gt;0,MIN(W113,01_Supuestos!$I$106*W81),0)</f>
        <v>2.26728921181273</v>
      </c>
      <c r="X115" s="116" t="n">
        <f aca="false">IF(X113&gt;0,MIN(X113,01_Supuestos!$I$106*X81),0)</f>
        <v>2.27269328665753</v>
      </c>
      <c r="Y115" s="116" t="n">
        <f aca="false">IF(Y113&gt;0,MIN(Y113,01_Supuestos!$I$106*Y81),0)</f>
        <v>2.29532778155903</v>
      </c>
      <c r="Z115" s="116" t="n">
        <f aca="false">IF(Z113&gt;0,MIN(Z113,01_Supuestos!$I$106*Z81),0)</f>
        <v>2.33522466577187</v>
      </c>
      <c r="AA115" s="116" t="n">
        <f aca="false">IF(AA113&gt;0,MIN(AA113,01_Supuestos!$I$106*AA81),0)</f>
        <v>2.39243564894794</v>
      </c>
      <c r="AB115" s="116" t="n">
        <f aca="false">IF(AB113&gt;0,MIN(AB113,01_Supuestos!$I$106*AB81),0)</f>
        <v>2.46703846109517</v>
      </c>
      <c r="AC115" s="116" t="n">
        <f aca="false">IF(AC113&gt;0,MIN(AC113,01_Supuestos!$I$106*AC81),0)</f>
        <v>2.55913778192357</v>
      </c>
      <c r="AD115" s="116" t="n">
        <f aca="false">IF(AD113&gt;0,MIN(AD113,01_Supuestos!$I$106*AD81),0)</f>
        <v>2.6688657189295</v>
      </c>
      <c r="AE115" s="116" t="n">
        <f aca="false">IF(AE113&gt;0,MIN(AE113,01_Supuestos!$I$106*AE81),0)</f>
        <v>2.7963811844966</v>
      </c>
      <c r="AF115" s="116" t="n">
        <f aca="false">IF(AF113&gt;0,MIN(AF113,01_Supuestos!$I$106*AF81),0)</f>
        <v>2.94186941970309</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35.1092336277686</v>
      </c>
      <c r="E120" s="136" t="n">
        <f aca="false">E114-E115+E118+E119</f>
        <v>53.0886121533469</v>
      </c>
      <c r="F120" s="136" t="n">
        <f aca="false">F114-F115+F118+F119</f>
        <v>61.8957399124968</v>
      </c>
      <c r="G120" s="136" t="n">
        <f aca="false">G114-G115+G118+G119</f>
        <v>72.9035117906319</v>
      </c>
      <c r="H120" s="136" t="n">
        <f aca="false">H114-H115+H118+H119</f>
        <v>85.579780525817</v>
      </c>
      <c r="I120" s="136" t="n">
        <f aca="false">I114-I115+I118+I119</f>
        <v>100.016760512514</v>
      </c>
      <c r="J120" s="136" t="n">
        <f aca="false">J114-J115+J118+J119</f>
        <v>115.791748019854</v>
      </c>
      <c r="K120" s="136" t="n">
        <f aca="false">K114-K115+K118+K119</f>
        <v>132.858001868872</v>
      </c>
      <c r="L120" s="136" t="n">
        <f aca="false">L114-L115+L118+L119</f>
        <v>149.968252626468</v>
      </c>
      <c r="M120" s="136" t="n">
        <f aca="false">M114-M115+M118+M119</f>
        <v>149.704994554112</v>
      </c>
      <c r="N120" s="136" t="n">
        <f aca="false">N114-N115+N118+N119</f>
        <v>151.433130699113</v>
      </c>
      <c r="O120" s="136" t="n">
        <f aca="false">O114-O115+O118+O119</f>
        <v>153.507098010016</v>
      </c>
      <c r="P120" s="136" t="n">
        <f aca="false">P114-P115+P118+P119</f>
        <v>154.920967269138</v>
      </c>
      <c r="Q120" s="136" t="n">
        <f aca="false">Q114-Q115+Q118+Q119</f>
        <v>156.19210765991</v>
      </c>
      <c r="R120" s="136" t="n">
        <f aca="false">R114-R115+R118+R119</f>
        <v>157.514867781265</v>
      </c>
      <c r="S120" s="136" t="n">
        <f aca="false">S114-S115+S118+S119</f>
        <v>158.884880234338</v>
      </c>
      <c r="T120" s="136" t="n">
        <f aca="false">T114-T115+T118+T119</f>
        <v>160.303521822993</v>
      </c>
      <c r="U120" s="136" t="n">
        <f aca="false">U114-U115+U118+U119</f>
        <v>161.771930409125</v>
      </c>
      <c r="V120" s="136" t="n">
        <f aca="false">V114-V115+V118+V119</f>
        <v>163.291275567237</v>
      </c>
      <c r="W120" s="136" t="n">
        <f aca="false">W114-W115+W118+W119</f>
        <v>164.865037577415</v>
      </c>
      <c r="X120" s="136" t="n">
        <f aca="false">X114-X115+X118+X119</f>
        <v>166.495031238998</v>
      </c>
      <c r="Y120" s="136" t="n">
        <f aca="false">Y114-Y115+Y118+Y119</f>
        <v>168.182873843251</v>
      </c>
      <c r="Z120" s="136" t="n">
        <f aca="false">Z114-Z115+Z118+Z119</f>
        <v>169.929906931578</v>
      </c>
      <c r="AA120" s="136" t="n">
        <f aca="false">AA114-AA115+AA118+AA119</f>
        <v>171.737520797774</v>
      </c>
      <c r="AB120" s="136" t="n">
        <f aca="false">AB114-AB115+AB118+AB119</f>
        <v>173.607106202475</v>
      </c>
      <c r="AC120" s="136" t="n">
        <f aca="false">AC114-AC115+AC118+AC119</f>
        <v>175.540093423524</v>
      </c>
      <c r="AD120" s="136" t="n">
        <f aca="false">AD114-AD115+AD118+AD119</f>
        <v>177.537958798896</v>
      </c>
      <c r="AE120" s="136" t="n">
        <f aca="false">AE114-AE115+AE118+AE119</f>
        <v>179.602232974614</v>
      </c>
      <c r="AF120" s="136" t="n">
        <f aca="false">AF114-AF115+AF118+AF119</f>
        <v>181.734502056911</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0.0895939266371116</v>
      </c>
      <c r="L121" s="116" t="n">
        <f aca="false">K121+L115</f>
        <v>1.5598573753758</v>
      </c>
      <c r="M121" s="116" t="n">
        <f aca="false">L121+M115</f>
        <v>4.19533873161905</v>
      </c>
      <c r="N121" s="116" t="n">
        <f aca="false">M121+N115</f>
        <v>6.91424574628647</v>
      </c>
      <c r="O121" s="116" t="n">
        <f aca="false">N121+O115</f>
        <v>9.72024482451149</v>
      </c>
      <c r="P121" s="116" t="n">
        <f aca="false">O121+P115</f>
        <v>12.426725091407</v>
      </c>
      <c r="Q121" s="116" t="n">
        <f aca="false">P121+Q115</f>
        <v>15.0234019037636</v>
      </c>
      <c r="R121" s="116" t="n">
        <f aca="false">Q121+R115</f>
        <v>17.5216360926668</v>
      </c>
      <c r="S121" s="116" t="n">
        <f aca="false">R121+S115</f>
        <v>19.9391779933224</v>
      </c>
      <c r="T121" s="116" t="n">
        <f aca="false">S121+T115</f>
        <v>22.293395218829</v>
      </c>
      <c r="U121" s="116" t="n">
        <f aca="false">T121+U115</f>
        <v>24.6015075807125</v>
      </c>
      <c r="V121" s="116" t="n">
        <f aca="false">U121+V115</f>
        <v>26.8806151946467</v>
      </c>
      <c r="W121" s="116" t="n">
        <f aca="false">V121+W115</f>
        <v>29.1479044064594</v>
      </c>
      <c r="X121" s="116" t="n">
        <f aca="false">W121+X115</f>
        <v>31.420597693117</v>
      </c>
      <c r="Y121" s="116" t="n">
        <f aca="false">X121+Y115</f>
        <v>33.715925474676</v>
      </c>
      <c r="Z121" s="116" t="n">
        <f aca="false">Y121+Z115</f>
        <v>36.0511501404479</v>
      </c>
      <c r="AA121" s="116" t="n">
        <f aca="false">Z121+AA115</f>
        <v>38.4435857893958</v>
      </c>
      <c r="AB121" s="116" t="n">
        <f aca="false">AA121+AB115</f>
        <v>40.910624250491</v>
      </c>
      <c r="AC121" s="116" t="n">
        <f aca="false">AB121+AC115</f>
        <v>43.4697620324146</v>
      </c>
      <c r="AD121" s="116" t="n">
        <f aca="false">AC121+AD115</f>
        <v>46.1386277513441</v>
      </c>
      <c r="AE121" s="116" t="n">
        <f aca="false">AD121+AE115</f>
        <v>48.9350089358407</v>
      </c>
      <c r="AF121" s="116" t="n">
        <f aca="false">AE121+AF115</f>
        <v>51.8768783555438</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0.340742596219698</v>
      </c>
      <c r="E122" s="87" t="n">
        <f aca="false">E276/(E81+E115)</f>
        <v>0.381863854707195</v>
      </c>
      <c r="F122" s="87" t="n">
        <f aca="false">F276/(F81+F115)</f>
        <v>0.226844937976326</v>
      </c>
      <c r="G122" s="87" t="n">
        <f aca="false">G276/(G81+G115)</f>
        <v>0.255303423615668</v>
      </c>
      <c r="H122" s="87" t="n">
        <f aca="false">H276/(H81+H115)</f>
        <v>0.286890230013437</v>
      </c>
      <c r="I122" s="87" t="n">
        <f aca="false">I276/(I81+I115)</f>
        <v>0.321504155100711</v>
      </c>
      <c r="J122" s="87" t="n">
        <f aca="false">J276/(J81+J115)</f>
        <v>0.357467899679985</v>
      </c>
      <c r="K122" s="87" t="n">
        <f aca="false">K276/(K81+K115)</f>
        <v>0.39436969417398</v>
      </c>
      <c r="L122" s="87" t="n">
        <f aca="false">L276/(L81+L115)</f>
        <v>0.426924631874992</v>
      </c>
      <c r="M122" s="87" t="n">
        <f aca="false">M276/(M81+M115)</f>
        <v>0.410072462664297</v>
      </c>
      <c r="N122" s="87" t="n">
        <f aca="false">N276/(N81+N115)</f>
        <v>0.40067778858855</v>
      </c>
      <c r="O122" s="87" t="n">
        <f aca="false">O276/(O81+O115)</f>
        <v>0.393532095069487</v>
      </c>
      <c r="P122" s="87" t="n">
        <f aca="false">P276/(P81+P115)</f>
        <v>0.387785014477826</v>
      </c>
      <c r="Q122" s="87" t="n">
        <f aca="false">Q276/(Q81+Q115)</f>
        <v>0.381888401077024</v>
      </c>
      <c r="R122" s="87" t="n">
        <f aca="false">R276/(R81+R115)</f>
        <v>0.376392952732596</v>
      </c>
      <c r="S122" s="87" t="n">
        <f aca="false">S276/(S81+S115)</f>
        <v>0.371247630259555</v>
      </c>
      <c r="T122" s="87" t="n">
        <f aca="false">T276/(T81+T115)</f>
        <v>0.366419939277449</v>
      </c>
      <c r="U122" s="87" t="n">
        <f aca="false">U276/(U81+U115)</f>
        <v>0.361880260117722</v>
      </c>
      <c r="V122" s="87" t="n">
        <f aca="false">V276/(V81+V115)</f>
        <v>0.357602030892031</v>
      </c>
      <c r="W122" s="87" t="n">
        <f aca="false">W276/(W81+W115)</f>
        <v>0.353671417008794</v>
      </c>
      <c r="X122" s="87" t="n">
        <f aca="false">X276/(X81+X115)</f>
        <v>0.350057492176089</v>
      </c>
      <c r="Y122" s="87" t="n">
        <f aca="false">Y276/(Y81+Y115)</f>
        <v>0.346731985827392</v>
      </c>
      <c r="Z122" s="87" t="n">
        <f aca="false">Z276/(Z81+Z115)</f>
        <v>0.343668728837978</v>
      </c>
      <c r="AA122" s="87" t="n">
        <f aca="false">AA276/(AA81+AA115)</f>
        <v>0.340843984066752</v>
      </c>
      <c r="AB122" s="87" t="n">
        <f aca="false">AB276/(AB81+AB115)</f>
        <v>0.338234027160209</v>
      </c>
      <c r="AC122" s="87" t="n">
        <f aca="false">AC276/(AC81+AC115)</f>
        <v>0.335817188173552</v>
      </c>
      <c r="AD122" s="87" t="n">
        <f aca="false">AD276/(AD81+AD115)</f>
        <v>0.333573600925162</v>
      </c>
      <c r="AE122" s="87" t="n">
        <f aca="false">AE276/(AE81+AE115)</f>
        <v>0.331484995671534</v>
      </c>
      <c r="AF122" s="87" t="n">
        <f aca="false">AF276/(AF81+AF115)</f>
        <v>0.329534512050788</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2.47930828114209</v>
      </c>
      <c r="F127" s="116" t="n">
        <f aca="false">MAX(0,-F113)</f>
        <v>6.30065396178608</v>
      </c>
      <c r="G127" s="116" t="n">
        <f aca="false">MAX(0,-G113)</f>
        <v>4.97472217980787</v>
      </c>
      <c r="H127" s="116" t="n">
        <f aca="false">MAX(0,-H113)</f>
        <v>3.78367826713284</v>
      </c>
      <c r="I127" s="116" t="n">
        <f aca="false">MAX(0,-I113)</f>
        <v>2.54300492844659</v>
      </c>
      <c r="J127" s="116" t="n">
        <f aca="false">MAX(0,-J113)</f>
        <v>1.24752521781696</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4.73736238763055</v>
      </c>
      <c r="D128" s="116" t="n">
        <f aca="false">IF(AVERAGE(E127:I127)&gt;0,D120/AVERAGE(E127:I127),99)</f>
        <v>8.74174366384955</v>
      </c>
      <c r="E128" s="116" t="n">
        <f aca="false">IF(AVERAGE(F127:J127)&gt;0,E120/AVERAGE(F127:J127),99)</f>
        <v>14.0821703519434</v>
      </c>
      <c r="F128" s="116" t="n">
        <f aca="false">IF(AVERAGE(G127:K127)&gt;0,F120/AVERAGE(G127:K127),99)</f>
        <v>24.6617588059718</v>
      </c>
      <c r="G128" s="116" t="n">
        <f aca="false">IF(AVERAGE(H127:L127)&gt;0,G120/AVERAGE(H127:L127),99)</f>
        <v>48.1261590727347</v>
      </c>
      <c r="H128" s="116" t="n">
        <f aca="false">IF(AVERAGE(I127:M127)&gt;0,H120/AVERAGE(I127:M127),99)</f>
        <v>112.886294559846</v>
      </c>
      <c r="I128" s="116" t="n">
        <f aca="false">IF(AVERAGE(J127:N127)&gt;0,I120/AVERAGE(J127:N127),99)</f>
        <v>400.860676337802</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-1.102124075</v>
      </c>
      <c r="E134" s="116" t="n">
        <f aca="false">-E56</f>
        <v>-1.13521259504169</v>
      </c>
      <c r="F134" s="116" t="n">
        <f aca="false">-F56</f>
        <v>-1.16929451517633</v>
      </c>
      <c r="G134" s="116" t="n">
        <f aca="false">-G56</f>
        <v>-1.20439965975821</v>
      </c>
      <c r="H134" s="116" t="n">
        <f aca="false">-H56</f>
        <v>-1.2405587485433</v>
      </c>
      <c r="I134" s="116" t="n">
        <f aca="false">-I56</f>
        <v>-1.27780342357144</v>
      </c>
      <c r="J134" s="116" t="n">
        <f aca="false">-J56</f>
        <v>-1.31616627685561</v>
      </c>
      <c r="K134" s="116" t="n">
        <f aca="false">-K56</f>
        <v>-1.35568087890251</v>
      </c>
      <c r="L134" s="116" t="n">
        <f aca="false">-L56</f>
        <v>-1.39638180808936</v>
      </c>
      <c r="M134" s="116" t="n">
        <f aca="false">-M56</f>
        <v>-1.43830468092272</v>
      </c>
      <c r="N134" s="116" t="n">
        <f aca="false">-N56</f>
        <v>-1.48148618320572</v>
      </c>
      <c r="O134" s="116" t="n">
        <f aca="false">-O56</f>
        <v>-1.52596410214102</v>
      </c>
      <c r="P134" s="116" t="n">
        <f aca="false">-P56</f>
        <v>-1.57177735939755</v>
      </c>
      <c r="Q134" s="116" t="n">
        <f aca="false">-Q56</f>
        <v>-1.61896604517006</v>
      </c>
      <c r="R134" s="116" t="n">
        <f aca="false">-R56</f>
        <v>-1.66757145326118</v>
      </c>
      <c r="S134" s="116" t="n">
        <f aca="false">-S56</f>
        <v>-1.71763611721671</v>
      </c>
      <c r="T134" s="116" t="n">
        <f aca="false">-T56</f>
        <v>-1.76920384754585</v>
      </c>
      <c r="U134" s="116" t="n">
        <f aca="false">-U56</f>
        <v>-1.82231977005879</v>
      </c>
      <c r="V134" s="116" t="n">
        <f aca="false">-V56</f>
        <v>-1.87703036535538</v>
      </c>
      <c r="W134" s="116" t="n">
        <f aca="false">-W56</f>
        <v>-1.93338350949926</v>
      </c>
      <c r="X134" s="116" t="n">
        <f aca="false">-X56</f>
        <v>-1.99142851591321</v>
      </c>
      <c r="Y134" s="116" t="n">
        <f aca="false">-Y56</f>
        <v>-2.05121617853221</v>
      </c>
      <c r="Z134" s="116" t="n">
        <f aca="false">-Z56</f>
        <v>-2.11279881625219</v>
      </c>
      <c r="AA134" s="116" t="n">
        <f aca="false">-AA56</f>
        <v>-2.17623031871312</v>
      </c>
      <c r="AB134" s="116" t="n">
        <f aca="false">-AB56</f>
        <v>-2.24156619345669</v>
      </c>
      <c r="AC134" s="116" t="n">
        <f aca="false">-AC56</f>
        <v>-2.30886361449974</v>
      </c>
      <c r="AD134" s="116" t="n">
        <f aca="false">-AD56</f>
        <v>-2.37818147236606</v>
      </c>
      <c r="AE134" s="116" t="n">
        <f aca="false">-AE56</f>
        <v>-2.44958042562017</v>
      </c>
      <c r="AF134" s="116" t="n">
        <f aca="false">-AF56</f>
        <v>-2.52312295394835</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-18.72881783815</v>
      </c>
      <c r="E140" s="116" t="n">
        <f aca="false">SUM(E133:E139)</f>
        <v>-18.6776178029674</v>
      </c>
      <c r="F140" s="116" t="n">
        <f aca="false">SUM(F133:F139)</f>
        <v>-17.914731406044</v>
      </c>
      <c r="G140" s="116" t="n">
        <f aca="false">SUM(G133:G139)</f>
        <v>-17.9317732231869</v>
      </c>
      <c r="H140" s="116" t="n">
        <f aca="false">SUM(H133:H139)</f>
        <v>-17.9468540487335</v>
      </c>
      <c r="I140" s="116" t="n">
        <f aca="false">SUM(I133:I139)</f>
        <v>-17.9601341950637</v>
      </c>
      <c r="J140" s="116" t="n">
        <f aca="false">SUM(J133:J139)</f>
        <v>-17.9717649918401</v>
      </c>
      <c r="K140" s="116" t="n">
        <f aca="false">SUM(K133:K139)</f>
        <v>-17.9818894181085</v>
      </c>
      <c r="L140" s="116" t="n">
        <f aca="false">SUM(L133:L139)</f>
        <v>-17.9906426954998</v>
      </c>
      <c r="M140" s="116" t="n">
        <f aca="false">SUM(M133:M139)</f>
        <v>2.60551742843911</v>
      </c>
      <c r="N140" s="116" t="n">
        <f aca="false">SUM(N133:N139)</f>
        <v>2.58036084226462</v>
      </c>
      <c r="O140" s="116" t="n">
        <f aca="false">SUM(O133:O139)</f>
        <v>2.55932543607438</v>
      </c>
      <c r="P140" s="116" t="n">
        <f aca="false">SUM(P133:P139)</f>
        <v>2.55782766296397</v>
      </c>
      <c r="Q140" s="116" t="n">
        <f aca="false">SUM(Q133:Q139)</f>
        <v>2.5539055961497</v>
      </c>
      <c r="R140" s="116" t="n">
        <f aca="false">SUM(R133:R139)</f>
        <v>2.54715154621308</v>
      </c>
      <c r="S140" s="116" t="n">
        <f aca="false">SUM(S133:S139)</f>
        <v>2.53760584661679</v>
      </c>
      <c r="T140" s="116" t="n">
        <f aca="false">SUM(T133:T139)</f>
        <v>2.52530328385759</v>
      </c>
      <c r="U140" s="116" t="n">
        <f aca="false">SUM(U133:U139)</f>
        <v>2.51027335781902</v>
      </c>
      <c r="V140" s="116" t="n">
        <f aca="false">SUM(V133:V139)</f>
        <v>2.49254052220767</v>
      </c>
      <c r="W140" s="116" t="n">
        <f aca="false">SUM(W133:W139)</f>
        <v>2.47212440626101</v>
      </c>
      <c r="X140" s="116" t="n">
        <f aca="false">SUM(X133:X139)</f>
        <v>2.44904001883509</v>
      </c>
      <c r="Y140" s="116" t="n">
        <f aca="false">SUM(Y133:Y139)</f>
        <v>2.42329793590557</v>
      </c>
      <c r="Z140" s="116" t="n">
        <f aca="false">SUM(Z133:Z139)</f>
        <v>2.3949044724455</v>
      </c>
      <c r="AA140" s="116" t="n">
        <f aca="false">SUM(AA133:AA139)</f>
        <v>2.36386183957792</v>
      </c>
      <c r="AB140" s="116" t="n">
        <f aca="false">SUM(AB133:AB139)</f>
        <v>2.33016828783961</v>
      </c>
      <c r="AC140" s="116" t="n">
        <f aca="false">SUM(AC133:AC139)</f>
        <v>2.29381823733496</v>
      </c>
      <c r="AD140" s="116" t="n">
        <f aca="false">SUM(AD133:AD139)</f>
        <v>2.25480239550498</v>
      </c>
      <c r="AE140" s="116" t="n">
        <f aca="false">SUM(AE133:AE139)</f>
        <v>2.21310786318558</v>
      </c>
      <c r="AF140" s="116" t="n">
        <f aca="false">SUM(AF133:AF139)</f>
        <v>2.16871822958221</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-1.67906613724084</v>
      </c>
      <c r="M141" s="116" t="n">
        <f aca="false">-M85*01_Supuestos!$I$126</f>
        <v>-1.34325290979267</v>
      </c>
      <c r="N141" s="116" t="n">
        <f aca="false">-N85*01_Supuestos!$I$126</f>
        <v>-1.12567052128375</v>
      </c>
      <c r="O141" s="116" t="n">
        <f aca="false">-O85*01_Supuestos!$I$126</f>
        <v>-1.16180750609748</v>
      </c>
      <c r="P141" s="116" t="n">
        <f aca="false">-P85*01_Supuestos!$I$126</f>
        <v>-1.19038716583867</v>
      </c>
      <c r="Q141" s="116" t="n">
        <f aca="false">-Q85*01_Supuestos!$I$126</f>
        <v>-1.21920801835997</v>
      </c>
      <c r="R141" s="116" t="n">
        <f aca="false">-R85*01_Supuestos!$I$126</f>
        <v>-1.24796079922508</v>
      </c>
      <c r="S141" s="116" t="n">
        <f aca="false">-S85*01_Supuestos!$I$126</f>
        <v>-1.27667379389501</v>
      </c>
      <c r="T141" s="116" t="n">
        <f aca="false">-T85*01_Supuestos!$I$126</f>
        <v>-1.30539476103223</v>
      </c>
      <c r="U141" s="116" t="n">
        <f aca="false">-U85*01_Supuestos!$I$126</f>
        <v>-1.33417061810615</v>
      </c>
      <c r="V141" s="116" t="n">
        <f aca="false">-V85*01_Supuestos!$I$126</f>
        <v>-1.36304814866889</v>
      </c>
      <c r="W141" s="116" t="n">
        <f aca="false">-W85*01_Supuestos!$I$126</f>
        <v>-1.39165751852397</v>
      </c>
      <c r="X141" s="116" t="n">
        <f aca="false">-X85*01_Supuestos!$I$126</f>
        <v>-1.4200478061178</v>
      </c>
      <c r="Y141" s="116" t="n">
        <f aca="false">-Y85*01_Supuestos!$I$126</f>
        <v>-1.4482685514346</v>
      </c>
      <c r="Z141" s="116" t="n">
        <f aca="false">-Z85*01_Supuestos!$I$126</f>
        <v>-1.47636967562628</v>
      </c>
      <c r="AA141" s="116" t="n">
        <f aca="false">-AA85*01_Supuestos!$I$126</f>
        <v>-1.50440155751221</v>
      </c>
      <c r="AB141" s="116" t="n">
        <f aca="false">-AB85*01_Supuestos!$I$126</f>
        <v>-1.53242420314013</v>
      </c>
      <c r="AC141" s="116" t="n">
        <f aca="false">-AC85*01_Supuestos!$I$126</f>
        <v>-1.5604980666967</v>
      </c>
      <c r="AD141" s="116" t="n">
        <f aca="false">-AD85*01_Supuestos!$I$126</f>
        <v>-1.58868413292344</v>
      </c>
      <c r="AE141" s="116" t="n">
        <f aca="false">-AE85*01_Supuestos!$I$126</f>
        <v>-1.61704400111211</v>
      </c>
      <c r="AF141" s="116" t="n">
        <f aca="false">-AF85*01_Supuestos!$I$126</f>
        <v>-1.64563996737294</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1.13336964263756</v>
      </c>
      <c r="M142" s="116" t="n">
        <f aca="false">M85*01_Supuestos!$I$101</f>
        <v>0.906695714110052</v>
      </c>
      <c r="N142" s="116" t="n">
        <f aca="false">N85*01_Supuestos!$I$101</f>
        <v>0.759827601866532</v>
      </c>
      <c r="O142" s="116" t="n">
        <f aca="false">O85*01_Supuestos!$I$101</f>
        <v>0.784220066615798</v>
      </c>
      <c r="P142" s="116" t="n">
        <f aca="false">P85*01_Supuestos!$I$101</f>
        <v>0.803511336941104</v>
      </c>
      <c r="Q142" s="116" t="n">
        <f aca="false">Q85*01_Supuestos!$I$101</f>
        <v>0.822965412392979</v>
      </c>
      <c r="R142" s="116" t="n">
        <f aca="false">R85*01_Supuestos!$I$101</f>
        <v>0.842373539476927</v>
      </c>
      <c r="S142" s="116" t="n">
        <f aca="false">S85*01_Supuestos!$I$101</f>
        <v>0.861754810879133</v>
      </c>
      <c r="T142" s="116" t="n">
        <f aca="false">T85*01_Supuestos!$I$101</f>
        <v>0.881141463696755</v>
      </c>
      <c r="U142" s="116" t="n">
        <f aca="false">U85*01_Supuestos!$I$101</f>
        <v>0.900565167221652</v>
      </c>
      <c r="V142" s="116" t="n">
        <f aca="false">V85*01_Supuestos!$I$101</f>
        <v>0.920057500351501</v>
      </c>
      <c r="W142" s="116" t="n">
        <f aca="false">W85*01_Supuestos!$I$101</f>
        <v>0.939368825003679</v>
      </c>
      <c r="X142" s="116" t="n">
        <f aca="false">X85*01_Supuestos!$I$101</f>
        <v>0.958532269129515</v>
      </c>
      <c r="Y142" s="116" t="n">
        <f aca="false">Y85*01_Supuestos!$I$101</f>
        <v>0.977581272218358</v>
      </c>
      <c r="Z142" s="116" t="n">
        <f aca="false">Z85*01_Supuestos!$I$101</f>
        <v>0.996549531047741</v>
      </c>
      <c r="AA142" s="116" t="n">
        <f aca="false">AA85*01_Supuestos!$I$101</f>
        <v>1.01547105132074</v>
      </c>
      <c r="AB142" s="116" t="n">
        <f aca="false">AB85*01_Supuestos!$I$101</f>
        <v>1.03438633711959</v>
      </c>
      <c r="AC142" s="116" t="n">
        <f aca="false">AC85*01_Supuestos!$I$101</f>
        <v>1.05333619502027</v>
      </c>
      <c r="AD142" s="116" t="n">
        <f aca="false">AD85*01_Supuestos!$I$101</f>
        <v>1.07236178972332</v>
      </c>
      <c r="AE142" s="116" t="n">
        <f aca="false">AE85*01_Supuestos!$I$101</f>
        <v>1.09150470075067</v>
      </c>
      <c r="AF142" s="116" t="n">
        <f aca="false">AF85*01_Supuestos!$I$101</f>
        <v>1.11080697797674</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1.59249999999997</v>
      </c>
      <c r="D143" s="116" t="n">
        <f aca="false">D41*((1+$C$14)^D$39-1)</f>
        <v>3.26623772474992</v>
      </c>
      <c r="E143" s="116" t="n">
        <f aca="false">E41*((1+$C$14)^E$39-1)</f>
        <v>5.024331294762</v>
      </c>
      <c r="F143" s="116" t="n">
        <f aca="false">F41*((1+$C$14)^F$39-1)</f>
        <v>6.87000555347027</v>
      </c>
      <c r="G143" s="116" t="n">
        <f aca="false">G41*((1+$C$14)^G$39-1)</f>
        <v>8.80659550247473</v>
      </c>
      <c r="H143" s="116" t="n">
        <f aca="false">H41*((1+$C$14)^H$39-1)</f>
        <v>10.8375498432657</v>
      </c>
      <c r="I143" s="116" t="n">
        <f aca="false">I41*((1+$C$14)^I$39-1)</f>
        <v>12.966434628647</v>
      </c>
      <c r="J143" s="116" t="n">
        <f aca="false">J41*((1+$C$14)^J$39-1)</f>
        <v>15.1969370271721</v>
      </c>
      <c r="K143" s="116" t="n">
        <f aca="false">K41*((1+$C$14)^K$39-1)</f>
        <v>17.5328692040061</v>
      </c>
      <c r="L143" s="116" t="n">
        <f aca="false">L41*((1+$C$14)^L$39-1)</f>
        <v>19.9781723217265</v>
      </c>
      <c r="M143" s="116" t="n">
        <f aca="false">M41*((1+$C$14)^M$39-1)</f>
        <v>22.5369206646817</v>
      </c>
      <c r="N143" s="116" t="n">
        <f aca="false">N41*((1+$C$14)^N$39-1)</f>
        <v>25.2133258906323</v>
      </c>
      <c r="O143" s="116" t="n">
        <f aca="false">O41*((1+$C$14)^O$39-1)</f>
        <v>28.0117414135101</v>
      </c>
      <c r="P143" s="116" t="n">
        <f aca="false">P41*((1+$C$14)^P$39-1)</f>
        <v>30.9366669212458</v>
      </c>
      <c r="Q143" s="116" t="n">
        <f aca="false">Q41*((1+$C$14)^Q$39-1)</f>
        <v>33.99275303273</v>
      </c>
      <c r="R143" s="116" t="n">
        <f aca="false">R41*((1+$C$14)^R$39-1)</f>
        <v>37.1848060980958</v>
      </c>
      <c r="S143" s="116" t="n">
        <f aca="false">S41*((1+$C$14)^S$39-1)</f>
        <v>40.517793146633</v>
      </c>
      <c r="T143" s="116" t="n">
        <f aca="false">T41*((1+$C$14)^T$39-1)</f>
        <v>43.9968469867719</v>
      </c>
      <c r="U143" s="116" t="n">
        <f aca="false">U41*((1+$C$14)^U$39-1)</f>
        <v>47.627271462708</v>
      </c>
      <c r="V143" s="116" t="n">
        <f aca="false">V41*((1+$C$14)^V$39-1)</f>
        <v>51.4145468723692</v>
      </c>
      <c r="W143" s="116" t="n">
        <f aca="false">W41*((1+$C$14)^W$39-1)</f>
        <v>55.3643355515727</v>
      </c>
      <c r="X143" s="116" t="n">
        <f aca="false">X41*((1+$C$14)^X$39-1)</f>
        <v>59.4824876293571</v>
      </c>
      <c r="Y143" s="116" t="n">
        <f aca="false">Y41*((1+$C$14)^Y$39-1)</f>
        <v>63.7750469596221</v>
      </c>
      <c r="Z143" s="116" t="n">
        <f aca="false">Z41*((1+$C$14)^Z$39-1)</f>
        <v>68.2482572343662</v>
      </c>
      <c r="AA143" s="116" t="n">
        <f aca="false">AA41*((1+$C$14)^AA$39-1)</f>
        <v>72.9085682839596</v>
      </c>
      <c r="AB143" s="116" t="n">
        <f aca="false">AB41*((1+$C$14)^AB$39-1)</f>
        <v>77.7626425700576</v>
      </c>
      <c r="AC143" s="116" t="n">
        <f aca="false">AC41*((1+$C$14)^AC$39-1)</f>
        <v>82.8173618769224</v>
      </c>
      <c r="AD143" s="116" t="n">
        <f aca="false">AD41*((1+$C$14)^AD$39-1)</f>
        <v>88.0798342070895</v>
      </c>
      <c r="AE143" s="116" t="n">
        <f aca="false">AE41*((1+$C$14)^AE$39-1)</f>
        <v>93.5574008874936</v>
      </c>
      <c r="AF143" s="116" t="n">
        <f aca="false">AF41*((1+$C$14)^AF$39-1)</f>
        <v>99.2576438923462</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0.334424999999994</v>
      </c>
      <c r="D144" s="116" t="n">
        <f aca="false">$C$33*D143</f>
        <v>0.685909922197484</v>
      </c>
      <c r="E144" s="116" t="n">
        <f aca="false">$C$33*E143</f>
        <v>1.05510957190002</v>
      </c>
      <c r="F144" s="116" t="n">
        <f aca="false">$C$33*F143</f>
        <v>1.44270116622876</v>
      </c>
      <c r="G144" s="116" t="n">
        <f aca="false">$C$33*G143</f>
        <v>1.84938505551969</v>
      </c>
      <c r="H144" s="116" t="n">
        <f aca="false">$C$33*H143</f>
        <v>2.2758854670858</v>
      </c>
      <c r="I144" s="116" t="n">
        <f aca="false">$C$33*I143</f>
        <v>2.72295127201587</v>
      </c>
      <c r="J144" s="116" t="n">
        <f aca="false">$C$33*J143</f>
        <v>3.19135677570614</v>
      </c>
      <c r="K144" s="116" t="n">
        <f aca="false">$C$33*K143</f>
        <v>3.68190253284129</v>
      </c>
      <c r="L144" s="116" t="n">
        <f aca="false">$C$33*L143</f>
        <v>4.19541618756257</v>
      </c>
      <c r="M144" s="116" t="n">
        <f aca="false">$C$33*M143</f>
        <v>4.73275333958315</v>
      </c>
      <c r="N144" s="116" t="n">
        <f aca="false">$C$33*N143</f>
        <v>5.29479843703278</v>
      </c>
      <c r="O144" s="116" t="n">
        <f aca="false">$C$33*O143</f>
        <v>5.88246569683712</v>
      </c>
      <c r="P144" s="116" t="n">
        <f aca="false">$C$33*P143</f>
        <v>6.49670005346161</v>
      </c>
      <c r="Q144" s="116" t="n">
        <f aca="false">$C$33*Q143</f>
        <v>7.1384781368733</v>
      </c>
      <c r="R144" s="116" t="n">
        <f aca="false">$C$33*R143</f>
        <v>7.80880928060011</v>
      </c>
      <c r="S144" s="116" t="n">
        <f aca="false">$C$33*S143</f>
        <v>8.50873656079292</v>
      </c>
      <c r="T144" s="116" t="n">
        <f aca="false">$C$33*T143</f>
        <v>9.23933786722211</v>
      </c>
      <c r="U144" s="116" t="n">
        <f aca="false">$C$33*U143</f>
        <v>10.0017270071687</v>
      </c>
      <c r="V144" s="116" t="n">
        <f aca="false">$C$33*V143</f>
        <v>10.7970548431975</v>
      </c>
      <c r="W144" s="116" t="n">
        <f aca="false">$C$33*W143</f>
        <v>11.6265104658303</v>
      </c>
      <c r="X144" s="116" t="n">
        <f aca="false">$C$33*X143</f>
        <v>12.491322402165</v>
      </c>
      <c r="Y144" s="116" t="n">
        <f aca="false">$C$33*Y143</f>
        <v>13.3927598615206</v>
      </c>
      <c r="Z144" s="116" t="n">
        <f aca="false">$C$33*Z143</f>
        <v>14.3321340192169</v>
      </c>
      <c r="AA144" s="116" t="n">
        <f aca="false">$C$33*AA143</f>
        <v>15.3107993396315</v>
      </c>
      <c r="AB144" s="116" t="n">
        <f aca="false">$C$33*AB143</f>
        <v>16.3301549397121</v>
      </c>
      <c r="AC144" s="116" t="n">
        <f aca="false">$C$33*AC143</f>
        <v>17.3916459941537</v>
      </c>
      <c r="AD144" s="116" t="n">
        <f aca="false">$C$33*AD143</f>
        <v>18.4967651834888</v>
      </c>
      <c r="AE144" s="116" t="n">
        <f aca="false">$C$33*AE143</f>
        <v>19.6470541863737</v>
      </c>
      <c r="AF144" s="116" t="n">
        <f aca="false">$C$33*AF143</f>
        <v>20.8441052173927</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-18.5562340044246</v>
      </c>
      <c r="D148" s="136" t="n">
        <f aca="false">D140+D141+D142+D144+D145+D146+D147</f>
        <v>-18.1946003973267</v>
      </c>
      <c r="E148" s="136" t="n">
        <f aca="false">E140+E141+E142+E144+E145+E146+E147</f>
        <v>-17.8270411349273</v>
      </c>
      <c r="F148" s="136" t="n">
        <f aca="false">F140+F141+F142+F144+F145+F146+F147</f>
        <v>-16.8976837947276</v>
      </c>
      <c r="G148" s="136" t="n">
        <f aca="false">G140+G141+G142+G144+G145+G146+G147</f>
        <v>-16.5278560614491</v>
      </c>
      <c r="H148" s="136" t="n">
        <f aca="false">H140+H141+H142+H144+H145+H146+H147</f>
        <v>-16.136318892162</v>
      </c>
      <c r="I148" s="136" t="n">
        <f aca="false">I140+I141+I142+I144+I145+I146+I147</f>
        <v>-15.7224834826958</v>
      </c>
      <c r="J148" s="136" t="n">
        <f aca="false">J140+J141+J142+J144+J145+J146+J147</f>
        <v>-15.2857266715049</v>
      </c>
      <c r="K148" s="136" t="n">
        <f aca="false">K140+K141+K142+K144+K145+K146+K147</f>
        <v>-14.8253907545161</v>
      </c>
      <c r="L148" s="136" t="n">
        <f aca="false">L140+L141+L142+L144+L145+L146+L147</f>
        <v>-14.3409230025405</v>
      </c>
      <c r="M148" s="136" t="n">
        <f aca="false">M140+M141+M142+M144+M145+M146+M147</f>
        <v>6.90171357233964</v>
      </c>
      <c r="N148" s="136" t="n">
        <f aca="false">N140+N141+N142+N144+N145+N146+N147</f>
        <v>7.50931635988018</v>
      </c>
      <c r="O148" s="136" t="n">
        <f aca="false">O140+O141+O142+O144+O145+O146+O147</f>
        <v>8.06420369342982</v>
      </c>
      <c r="P148" s="136" t="n">
        <f aca="false">P140+P141+P142+P144+P145+P146+P147</f>
        <v>8.66765188752801</v>
      </c>
      <c r="Q148" s="136" t="n">
        <f aca="false">Q140+Q141+Q142+Q144+Q145+Q146+Q147</f>
        <v>9.29614112705601</v>
      </c>
      <c r="R148" s="136" t="n">
        <f aca="false">R140+R141+R142+R144+R145+R146+R147</f>
        <v>9.95037356706504</v>
      </c>
      <c r="S148" s="136" t="n">
        <f aca="false">S140+S141+S142+S144+S145+S146+S147</f>
        <v>10.6314234243938</v>
      </c>
      <c r="T148" s="136" t="n">
        <f aca="false">T140+T141+T142+T144+T145+T146+T147</f>
        <v>11.3403878537442</v>
      </c>
      <c r="U148" s="136" t="n">
        <f aca="false">U140+U141+U142+U144+U145+U146+U147</f>
        <v>12.0783949141032</v>
      </c>
      <c r="V148" s="136" t="n">
        <f aca="false">V140+V141+V142+V144+V145+V146+V147</f>
        <v>12.8466047170878</v>
      </c>
      <c r="W148" s="136" t="n">
        <f aca="false">W140+W141+W142+W144+W145+W146+W147</f>
        <v>13.646346178571</v>
      </c>
      <c r="X148" s="136" t="n">
        <f aca="false">X140+X141+X142+X144+X145+X146+X147</f>
        <v>14.4788468840118</v>
      </c>
      <c r="Y148" s="136" t="n">
        <f aca="false">Y140+Y141+Y142+Y144+Y145+Y146+Y147</f>
        <v>15.34537051821</v>
      </c>
      <c r="Z148" s="136" t="n">
        <f aca="false">Z140+Z141+Z142+Z144+Z145+Z146+Z147</f>
        <v>16.2472183470839</v>
      </c>
      <c r="AA148" s="136" t="n">
        <f aca="false">AA140+AA141+AA142+AA144+AA145+AA146+AA147</f>
        <v>17.185730673018</v>
      </c>
      <c r="AB148" s="136" t="n">
        <f aca="false">AB140+AB141+AB142+AB144+AB145+AB146+AB147</f>
        <v>18.1622853615312</v>
      </c>
      <c r="AC148" s="136" t="n">
        <f aca="false">AC140+AC141+AC142+AC144+AC145+AC146+AC147</f>
        <v>19.1783023598122</v>
      </c>
      <c r="AD148" s="136" t="n">
        <f aca="false">AD140+AD141+AD142+AD144+AD145+AD146+AD147</f>
        <v>20.2352452357937</v>
      </c>
      <c r="AE148" s="136" t="n">
        <f aca="false">AE140+AE141+AE142+AE144+AE145+AE146+AE147</f>
        <v>21.3346227491978</v>
      </c>
      <c r="AF148" s="136" t="n">
        <f aca="false">AF140+AF141+AF142+AF144+AF145+AF146+AF147</f>
        <v>22.4779904575787</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-18.5562340044246</v>
      </c>
      <c r="D149" s="138" t="n">
        <f aca="false">C149+D148</f>
        <v>-36.7508344017513</v>
      </c>
      <c r="E149" s="138" t="n">
        <f aca="false">D149+E148</f>
        <v>-54.5778755366786</v>
      </c>
      <c r="F149" s="138" t="n">
        <f aca="false">E149+F148</f>
        <v>-71.4755593314061</v>
      </c>
      <c r="G149" s="138" t="n">
        <f aca="false">F149+G148</f>
        <v>-88.0034153928552</v>
      </c>
      <c r="H149" s="138" t="n">
        <f aca="false">G149+H148</f>
        <v>-104.139734285017</v>
      </c>
      <c r="I149" s="138" t="n">
        <f aca="false">H149+I148</f>
        <v>-119.862217767713</v>
      </c>
      <c r="J149" s="138" t="n">
        <f aca="false">I149+J148</f>
        <v>-135.147944439218</v>
      </c>
      <c r="K149" s="138" t="n">
        <f aca="false">J149+K148</f>
        <v>-149.973335193734</v>
      </c>
      <c r="L149" s="138" t="n">
        <f aca="false">K149+L148</f>
        <v>-164.314258196274</v>
      </c>
      <c r="M149" s="138" t="n">
        <f aca="false">L149+M148</f>
        <v>-157.412544623935</v>
      </c>
      <c r="N149" s="138" t="n">
        <f aca="false">M149+N148</f>
        <v>-149.903228264055</v>
      </c>
      <c r="O149" s="138" t="n">
        <f aca="false">N149+O148</f>
        <v>-141.839024570625</v>
      </c>
      <c r="P149" s="138" t="n">
        <f aca="false">O149+P148</f>
        <v>-133.171372683097</v>
      </c>
      <c r="Q149" s="138" t="n">
        <f aca="false">P149+Q148</f>
        <v>-123.875231556041</v>
      </c>
      <c r="R149" s="138" t="n">
        <f aca="false">Q149+R148</f>
        <v>-113.924857988976</v>
      </c>
      <c r="S149" s="138" t="n">
        <f aca="false">R149+S148</f>
        <v>-103.293434564582</v>
      </c>
      <c r="T149" s="138" t="n">
        <f aca="false">S149+T148</f>
        <v>-91.9530467108377</v>
      </c>
      <c r="U149" s="138" t="n">
        <f aca="false">T149+U148</f>
        <v>-79.8746517967345</v>
      </c>
      <c r="V149" s="138" t="n">
        <f aca="false">U149+V148</f>
        <v>-67.0280470796467</v>
      </c>
      <c r="W149" s="138" t="n">
        <f aca="false">V149+W148</f>
        <v>-53.3817009010757</v>
      </c>
      <c r="X149" s="138" t="n">
        <f aca="false">W149+X148</f>
        <v>-38.9028540170639</v>
      </c>
      <c r="Y149" s="138" t="n">
        <f aca="false">X149+Y148</f>
        <v>-23.5574834988539</v>
      </c>
      <c r="Z149" s="138" t="n">
        <f aca="false">Y149+Z148</f>
        <v>-7.31026515177005</v>
      </c>
      <c r="AA149" s="138" t="n">
        <f aca="false">Z149+AA148</f>
        <v>9.87546552124791</v>
      </c>
      <c r="AB149" s="138" t="n">
        <f aca="false">AA149+AB148</f>
        <v>28.0377508827791</v>
      </c>
      <c r="AC149" s="138" t="n">
        <f aca="false">AB149+AC148</f>
        <v>47.2160532425913</v>
      </c>
      <c r="AD149" s="138" t="n">
        <f aca="false">AC149+AD148</f>
        <v>67.451298478385</v>
      </c>
      <c r="AE149" s="138" t="n">
        <f aca="false">AD149+AE148</f>
        <v>88.7859212275828</v>
      </c>
      <c r="AF149" s="138" t="n">
        <f aca="false">AE149+AF148</f>
        <v>111.263911685161</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25</v>
      </c>
      <c r="AB150" s="139" t="n">
        <f aca="false">IF(AND(AB149&gt;=0,AB$39&gt;10),AB$39,999)</f>
        <v>26</v>
      </c>
      <c r="AC150" s="139" t="n">
        <f aca="false">IF(AND(AC149&gt;=0,AC$39&gt;10),AC$39,999)</f>
        <v>27</v>
      </c>
      <c r="AD150" s="139" t="n">
        <f aca="false">IF(AND(AD149&gt;=0,AD$39&gt;10),AD$39,999)</f>
        <v>28</v>
      </c>
      <c r="AE150" s="139" t="n">
        <f aca="false">IF(AND(AE149&gt;=0,AE$39&gt;10),AE$39,999)</f>
        <v>29</v>
      </c>
      <c r="AF150" s="139" t="n">
        <f aca="false">IF(AND(AF149&gt;=0,AF$39&gt;10),AF$39,999)</f>
        <v>30</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35.1092336277686</v>
      </c>
      <c r="E153" s="116" t="n">
        <f aca="false">E120</f>
        <v>53.0886121533469</v>
      </c>
      <c r="F153" s="116" t="n">
        <f aca="false">F120</f>
        <v>61.8957399124968</v>
      </c>
      <c r="G153" s="116" t="n">
        <f aca="false">G120</f>
        <v>72.9035117906319</v>
      </c>
      <c r="H153" s="116" t="n">
        <f aca="false">H120</f>
        <v>85.579780525817</v>
      </c>
      <c r="I153" s="116" t="n">
        <f aca="false">I120</f>
        <v>100.016760512514</v>
      </c>
      <c r="J153" s="116" t="n">
        <f aca="false">J120</f>
        <v>115.791748019854</v>
      </c>
      <c r="K153" s="116" t="n">
        <f aca="false">K120</f>
        <v>132.858001868872</v>
      </c>
      <c r="L153" s="116" t="n">
        <f aca="false">L120</f>
        <v>149.968252626468</v>
      </c>
      <c r="M153" s="116" t="n">
        <f aca="false">M120</f>
        <v>149.704994554112</v>
      </c>
      <c r="N153" s="116" t="n">
        <f aca="false">N120</f>
        <v>151.433130699113</v>
      </c>
      <c r="O153" s="116" t="n">
        <f aca="false">O120</f>
        <v>153.507098010016</v>
      </c>
      <c r="P153" s="116" t="n">
        <f aca="false">P120</f>
        <v>154.920967269138</v>
      </c>
      <c r="Q153" s="116" t="n">
        <f aca="false">Q120</f>
        <v>156.19210765991</v>
      </c>
      <c r="R153" s="116" t="n">
        <f aca="false">R120</f>
        <v>157.514867781265</v>
      </c>
      <c r="S153" s="116" t="n">
        <f aca="false">S120</f>
        <v>158.884880234338</v>
      </c>
      <c r="T153" s="116" t="n">
        <f aca="false">T120</f>
        <v>160.303521822993</v>
      </c>
      <c r="U153" s="116" t="n">
        <f aca="false">U120</f>
        <v>161.771930409125</v>
      </c>
      <c r="V153" s="116" t="n">
        <f aca="false">V120</f>
        <v>163.291275567237</v>
      </c>
      <c r="W153" s="116" t="n">
        <f aca="false">W120</f>
        <v>164.865037577415</v>
      </c>
      <c r="X153" s="116" t="n">
        <f aca="false">X120</f>
        <v>166.495031238998</v>
      </c>
      <c r="Y153" s="116" t="n">
        <f aca="false">Y120</f>
        <v>168.182873843251</v>
      </c>
      <c r="Z153" s="116" t="n">
        <f aca="false">Z120</f>
        <v>169.929906931578</v>
      </c>
      <c r="AA153" s="116" t="n">
        <f aca="false">AA120</f>
        <v>171.737520797774</v>
      </c>
      <c r="AB153" s="116" t="n">
        <f aca="false">AB120</f>
        <v>173.607106202475</v>
      </c>
      <c r="AC153" s="116" t="n">
        <f aca="false">AC120</f>
        <v>175.540093423524</v>
      </c>
      <c r="AD153" s="116" t="n">
        <f aca="false">AD120</f>
        <v>177.537958798896</v>
      </c>
      <c r="AE153" s="116" t="n">
        <f aca="false">AE120</f>
        <v>179.602232974614</v>
      </c>
      <c r="AF153" s="116" t="n">
        <f aca="false">AF120</f>
        <v>181.734502056911</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8.74513613146269</v>
      </c>
      <c r="M154" s="116" t="n">
        <f aca="false">M104</f>
        <v>9.06085324886362</v>
      </c>
      <c r="N154" s="116" t="n">
        <f aca="false">N104</f>
        <v>9.38058767736459</v>
      </c>
      <c r="O154" s="116" t="n">
        <f aca="false">O104</f>
        <v>9.68172921747899</v>
      </c>
      <c r="P154" s="116" t="n">
        <f aca="false">P104</f>
        <v>9.9198930486556</v>
      </c>
      <c r="Q154" s="116" t="n">
        <f aca="false">Q104</f>
        <v>10.1600668196664</v>
      </c>
      <c r="R154" s="116" t="n">
        <f aca="false">R104</f>
        <v>10.3996733268756</v>
      </c>
      <c r="S154" s="116" t="n">
        <f aca="false">S104</f>
        <v>10.6389482824584</v>
      </c>
      <c r="T154" s="116" t="n">
        <f aca="false">T104</f>
        <v>10.8782896752686</v>
      </c>
      <c r="U154" s="116" t="n">
        <f aca="false">U104</f>
        <v>11.1180884842179</v>
      </c>
      <c r="V154" s="116" t="n">
        <f aca="false">V104</f>
        <v>11.3587345722408</v>
      </c>
      <c r="W154" s="116" t="n">
        <f aca="false">W104</f>
        <v>11.5971459876997</v>
      </c>
      <c r="X154" s="116" t="n">
        <f aca="false">X104</f>
        <v>11.8337317176483</v>
      </c>
      <c r="Y154" s="116" t="n">
        <f aca="false">Y104</f>
        <v>12.0689045952884</v>
      </c>
      <c r="Z154" s="116" t="n">
        <f aca="false">Z104</f>
        <v>12.303080630219</v>
      </c>
      <c r="AA154" s="116" t="n">
        <f aca="false">AA104</f>
        <v>12.5366796459351</v>
      </c>
      <c r="AB154" s="116" t="n">
        <f aca="false">AB104</f>
        <v>12.7702016928344</v>
      </c>
      <c r="AC154" s="116" t="n">
        <f aca="false">AC104</f>
        <v>13.0041505558058</v>
      </c>
      <c r="AD154" s="116" t="n">
        <f aca="false">AD104</f>
        <v>13.2390344410287</v>
      </c>
      <c r="AE154" s="116" t="n">
        <f aca="false">AE104</f>
        <v>13.4753666759342</v>
      </c>
      <c r="AF154" s="116" t="n">
        <f aca="false">AF104</f>
        <v>13.7136663947745</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89.3302051728287</v>
      </c>
      <c r="L155" s="116" t="n">
        <f aca="false">L70+L121-L227</f>
        <v>98.1238451901141</v>
      </c>
      <c r="M155" s="116" t="n">
        <f aca="false">M70+M121-M227</f>
        <v>104.032230314513</v>
      </c>
      <c r="N155" s="116" t="n">
        <f aca="false">N70+N121-N227</f>
        <v>110.075432114949</v>
      </c>
      <c r="O155" s="116" t="n">
        <f aca="false">O70+O121-O227</f>
        <v>116.257968962196</v>
      </c>
      <c r="P155" s="116" t="n">
        <f aca="false">P70+P121-P227</f>
        <v>122.394097589336</v>
      </c>
      <c r="Q155" s="116" t="n">
        <f aca="false">Q70+Q121-Q227</f>
        <v>128.47441693915</v>
      </c>
      <c r="R155" s="116" t="n">
        <f aca="false">R70+R121-R227</f>
        <v>134.511187751029</v>
      </c>
      <c r="S155" s="116" t="n">
        <f aca="false">S70+S121-S227</f>
        <v>140.523076943958</v>
      </c>
      <c r="T155" s="116" t="n">
        <f aca="false">T70+T121-T227</f>
        <v>146.528385752559</v>
      </c>
      <c r="U155" s="116" t="n">
        <f aca="false">U70+U121-U227</f>
        <v>152.545285019295</v>
      </c>
      <c r="V155" s="116" t="n">
        <f aca="false">V70+V121-V227</f>
        <v>158.591843681531</v>
      </c>
      <c r="W155" s="116" t="n">
        <f aca="false">W70+W121-W227</f>
        <v>164.686235088844</v>
      </c>
      <c r="X155" s="116" t="n">
        <f aca="false">X70+X121-X227</f>
        <v>170.846687305575</v>
      </c>
      <c r="Y155" s="116" t="n">
        <f aca="false">Y70+Y121-Y227</f>
        <v>177.091455334916</v>
      </c>
      <c r="Z155" s="116" t="n">
        <f aca="false">Z70+Z121-Z227</f>
        <v>183.438845568106</v>
      </c>
      <c r="AA155" s="116" t="n">
        <f aca="false">AA70+AA121-AA227</f>
        <v>189.907235959076</v>
      </c>
      <c r="AB155" s="116" t="n">
        <f aca="false">AB70+AB121-AB227</f>
        <v>196.51510249061</v>
      </c>
      <c r="AC155" s="116" t="n">
        <f aca="false">AC70+AC121-AC227</f>
        <v>203.281046581774</v>
      </c>
      <c r="AD155" s="116" t="n">
        <f aca="false">AD70+AD121-AD227</f>
        <v>210.223822985693</v>
      </c>
      <c r="AE155" s="116" t="n">
        <f aca="false">AE70+AE121-AE227</f>
        <v>217.362367077087</v>
      </c>
      <c r="AF155" s="116" t="n">
        <f aca="false">AF70+AF121-AF227</f>
        <v>224.715821676652</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79.96082688056</v>
      </c>
      <c r="E156" s="136" t="n">
        <f aca="false">SUM(E152:E155)+E187</f>
        <v>121.007610335738</v>
      </c>
      <c r="F156" s="136" t="n">
        <f aca="false">SUM(F152:F155)+F187</f>
        <v>209.05143003061</v>
      </c>
      <c r="G156" s="136" t="n">
        <f aca="false">SUM(G152:G155)+G187</f>
        <v>251.088531186425</v>
      </c>
      <c r="H156" s="136" t="n">
        <f aca="false">SUM(H152:H155)+H187</f>
        <v>286.825254121547</v>
      </c>
      <c r="I156" s="136" t="n">
        <f aca="false">SUM(I152:I155)+I187</f>
        <v>324.712989884406</v>
      </c>
      <c r="J156" s="136" t="n">
        <f aca="false">SUM(J152:J155)+J187</f>
        <v>364.337730776588</v>
      </c>
      <c r="K156" s="136" t="n">
        <f aca="false">SUM(K152:K155)+K187</f>
        <v>405.751222781114</v>
      </c>
      <c r="L156" s="136" t="n">
        <f aca="false">SUM(L152:L155)+L187</f>
        <v>449.008606769952</v>
      </c>
      <c r="M156" s="136" t="n">
        <f aca="false">SUM(M152:M155)+M187</f>
        <v>470.195777341596</v>
      </c>
      <c r="N156" s="136" t="n">
        <f aca="false">SUM(N152:N155)+N187</f>
        <v>483.056996797687</v>
      </c>
      <c r="O156" s="136" t="n">
        <f aca="false">SUM(O152:O155)+O187</f>
        <v>496.494502960996</v>
      </c>
      <c r="P156" s="136" t="n">
        <f aca="false">SUM(P152:P155)+P187</f>
        <v>509.274761934175</v>
      </c>
      <c r="Q156" s="136" t="n">
        <f aca="false">SUM(Q152:Q155)+Q187</f>
        <v>521.973310938393</v>
      </c>
      <c r="R156" s="136" t="n">
        <f aca="false">SUM(R152:R155)+R187</f>
        <v>534.796822927789</v>
      </c>
      <c r="S156" s="136" t="n">
        <f aca="false">SUM(S152:S155)+S187</f>
        <v>547.762534692952</v>
      </c>
      <c r="T156" s="136" t="n">
        <f aca="false">SUM(T152:T155)+T187</f>
        <v>560.893285955359</v>
      </c>
      <c r="U156" s="136" t="n">
        <f aca="false">SUM(U152:U155)+U187</f>
        <v>574.211603657381</v>
      </c>
      <c r="V156" s="136" t="n">
        <f aca="false">SUM(V152:V155)+V187</f>
        <v>587.740008459881</v>
      </c>
      <c r="W156" s="136" t="n">
        <f aca="false">SUM(W152:W155)+W187</f>
        <v>601.500030849525</v>
      </c>
      <c r="X156" s="136" t="n">
        <f aca="false">SUM(X152:X155)+X187</f>
        <v>615.515149538285</v>
      </c>
      <c r="Y156" s="136" t="n">
        <f aca="false">SUM(Y152:Y155)+Y187</f>
        <v>629.808746132869</v>
      </c>
      <c r="Z156" s="136" t="n">
        <f aca="false">SUM(Z152:Z155)+Z187</f>
        <v>644.404052273583</v>
      </c>
      <c r="AA156" s="136" t="n">
        <f aca="false">SUM(AA152:AA155)+AA187</f>
        <v>659.324496586769</v>
      </c>
      <c r="AB156" s="136" t="n">
        <f aca="false">SUM(AB152:AB155)+AB187</f>
        <v>674.593760954135</v>
      </c>
      <c r="AC156" s="136" t="n">
        <f aca="false">SUM(AC152:AC155)+AC187</f>
        <v>690.235772192388</v>
      </c>
      <c r="AD156" s="136" t="n">
        <f aca="false">SUM(AD152:AD155)+AD187</f>
        <v>706.274738934422</v>
      </c>
      <c r="AE156" s="136" t="n">
        <f aca="false">SUM(AE152:AE155)+AE187</f>
        <v>722.735189658743</v>
      </c>
      <c r="AF156" s="136" t="n">
        <f aca="false">SUM(AF152:AF155)+AF187</f>
        <v>739.64200318686</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336.886946009244</v>
      </c>
      <c r="L157" s="116" t="n">
        <f aca="false">L69+L80+L121</f>
        <v>351.275708707246</v>
      </c>
      <c r="M157" s="116" t="n">
        <f aca="false">M69+M80+M121</f>
        <v>365.069611310788</v>
      </c>
      <c r="N157" s="116" t="n">
        <f aca="false">N69+N80+N121</f>
        <v>377.942414109251</v>
      </c>
      <c r="O157" s="116" t="n">
        <f aca="false">O69+O80+O121</f>
        <v>390.075167777384</v>
      </c>
      <c r="P157" s="116" t="n">
        <f aca="false">P69+P80+P121</f>
        <v>399.50220221312</v>
      </c>
      <c r="Q157" s="116" t="n">
        <f aca="false">Q69+Q80+Q121</f>
        <v>408.999349599013</v>
      </c>
      <c r="R157" s="116" t="n">
        <f aca="false">R69+R80+R121</f>
        <v>418.485167263929</v>
      </c>
      <c r="S157" s="116" t="n">
        <f aca="false">S69+S80+S121</f>
        <v>427.975473198993</v>
      </c>
      <c r="T157" s="116" t="n">
        <f aca="false">T69+T80+T121</f>
        <v>437.48580423625</v>
      </c>
      <c r="U157" s="116" t="n">
        <f aca="false">U69+U80+U121</f>
        <v>447.0316517306</v>
      </c>
      <c r="V157" s="116" t="n">
        <f aca="false">V69+V80+V121</f>
        <v>456.628490503564</v>
      </c>
      <c r="W157" s="116" t="n">
        <f aca="false">W69+W80+W121</f>
        <v>466.153128719802</v>
      </c>
      <c r="X157" s="116" t="n">
        <f aca="false">X69+X80+X121</f>
        <v>475.621961992591</v>
      </c>
      <c r="Y157" s="116" t="n">
        <f aca="false">Y69+Y80+Y121</f>
        <v>485.051511593094</v>
      </c>
      <c r="Z157" s="116" t="n">
        <f aca="false">Z69+Z80+Z121</f>
        <v>494.458449874533</v>
      </c>
      <c r="AA157" s="116" t="n">
        <f aca="false">AA69+AA80+AA121</f>
        <v>503.859621486352</v>
      </c>
      <c r="AB157" s="116" t="n">
        <f aca="false">AB69+AB80+AB121</f>
        <v>513.275106174471</v>
      </c>
      <c r="AC157" s="116" t="n">
        <f aca="false">AC69+AC80+AC121</f>
        <v>522.725160014156</v>
      </c>
      <c r="AD157" s="116" t="n">
        <f aca="false">AD69+AD80+AD121</f>
        <v>532.230243360076</v>
      </c>
      <c r="AE157" s="116" t="n">
        <f aca="false">AE69+AE80+AE121</f>
        <v>541.811048221865</v>
      </c>
      <c r="AF157" s="116" t="n">
        <f aca="false">AF69+AF80+AF121</f>
        <v>551.488525210684</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187.65242720882</v>
      </c>
      <c r="M159" s="116" t="n">
        <f aca="false">M72</f>
        <v>201.492907975142</v>
      </c>
      <c r="N159" s="116" t="n">
        <f aca="false">N72</f>
        <v>206.829439447592</v>
      </c>
      <c r="O159" s="116" t="n">
        <f aca="false">O72</f>
        <v>212.558444661513</v>
      </c>
      <c r="P159" s="116" t="n">
        <f aca="false">P72</f>
        <v>217.630797648154</v>
      </c>
      <c r="Q159" s="116" t="n">
        <f aca="false">Q72</f>
        <v>222.630061257388</v>
      </c>
      <c r="R159" s="116" t="n">
        <f aca="false">R72</f>
        <v>227.749230981644</v>
      </c>
      <c r="S159" s="116" t="n">
        <f aca="false">S72</f>
        <v>232.985417436661</v>
      </c>
      <c r="T159" s="116" t="n">
        <f aca="false">T72</f>
        <v>238.341656042921</v>
      </c>
      <c r="U159" s="116" t="n">
        <f aca="false">U72</f>
        <v>243.820754708148</v>
      </c>
      <c r="V159" s="116" t="n">
        <f aca="false">V72</f>
        <v>249.425570483057</v>
      </c>
      <c r="W159" s="116" t="n">
        <f aca="false">W72</f>
        <v>255.157817955889</v>
      </c>
      <c r="X159" s="116" t="n">
        <f aca="false">X72</f>
        <v>261.021055912005</v>
      </c>
      <c r="Y159" s="116" t="n">
        <f aca="false">Y72</f>
        <v>267.018668298716</v>
      </c>
      <c r="Z159" s="116" t="n">
        <f aca="false">Z72</f>
        <v>273.153785389987</v>
      </c>
      <c r="AA159" s="116" t="n">
        <f aca="false">AA72</f>
        <v>279.42960899349</v>
      </c>
      <c r="AB159" s="116" t="n">
        <f aca="false">AB72</f>
        <v>285.849440635866</v>
      </c>
      <c r="AC159" s="116" t="n">
        <f aca="false">AC72</f>
        <v>292.416644168455</v>
      </c>
      <c r="AD159" s="116" t="n">
        <f aca="false">AD72</f>
        <v>299.134653034204</v>
      </c>
      <c r="AE159" s="116" t="n">
        <f aca="false">AE72</f>
        <v>306.00697924151</v>
      </c>
      <c r="AF159" s="116" t="n">
        <f aca="false">AF72</f>
        <v>313.037215216114</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507.970983887247</v>
      </c>
      <c r="L160" s="136" t="n">
        <f aca="false">SUM(L157:L159)</f>
        <v>538.928135916066</v>
      </c>
      <c r="M160" s="136" t="n">
        <f aca="false">SUM(M157:M159)</f>
        <v>566.56251928593</v>
      </c>
      <c r="N160" s="136" t="n">
        <f aca="false">SUM(N157:N159)</f>
        <v>584.771853556843</v>
      </c>
      <c r="O160" s="136" t="n">
        <f aca="false">SUM(O157:O159)</f>
        <v>602.633612438897</v>
      </c>
      <c r="P160" s="136" t="n">
        <f aca="false">SUM(P157:P159)</f>
        <v>617.132999861274</v>
      </c>
      <c r="Q160" s="136" t="n">
        <f aca="false">SUM(Q157:Q159)</f>
        <v>631.629410856401</v>
      </c>
      <c r="R160" s="136" t="n">
        <f aca="false">SUM(R157:R159)</f>
        <v>646.234398245572</v>
      </c>
      <c r="S160" s="136" t="n">
        <f aca="false">SUM(S157:S159)</f>
        <v>660.960890635654</v>
      </c>
      <c r="T160" s="136" t="n">
        <f aca="false">SUM(T157:T159)</f>
        <v>675.827460279171</v>
      </c>
      <c r="U160" s="136" t="n">
        <f aca="false">SUM(U157:U159)</f>
        <v>690.852406438748</v>
      </c>
      <c r="V160" s="136" t="n">
        <f aca="false">SUM(V157:V159)</f>
        <v>706.054060986621</v>
      </c>
      <c r="W160" s="136" t="n">
        <f aca="false">SUM(W157:W159)</f>
        <v>721.310946675691</v>
      </c>
      <c r="X160" s="136" t="n">
        <f aca="false">SUM(X157:X159)</f>
        <v>736.643017904595</v>
      </c>
      <c r="Y160" s="136" t="n">
        <f aca="false">SUM(Y157:Y159)</f>
        <v>752.070179891809</v>
      </c>
      <c r="Z160" s="136" t="n">
        <f aca="false">SUM(Z157:Z159)</f>
        <v>767.612235264519</v>
      </c>
      <c r="AA160" s="136" t="n">
        <f aca="false">SUM(AA157:AA159)</f>
        <v>783.289230479842</v>
      </c>
      <c r="AB160" s="136" t="n">
        <f aca="false">SUM(AB157:AB159)</f>
        <v>799.124546810337</v>
      </c>
      <c r="AC160" s="136" t="n">
        <f aca="false">SUM(AC157:AC159)</f>
        <v>815.141804182611</v>
      </c>
      <c r="AD160" s="136" t="n">
        <f aca="false">SUM(AD157:AD159)</f>
        <v>831.36489639428</v>
      </c>
      <c r="AE160" s="136" t="n">
        <f aca="false">SUM(AE157:AE159)</f>
        <v>847.818027463375</v>
      </c>
      <c r="AF160" s="136" t="n">
        <f aca="false">SUM(AF157:AF159)</f>
        <v>864.525740426799</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-58.2750143471606</v>
      </c>
      <c r="E161" s="138" t="n">
        <f aca="false">E156-E160</f>
        <v>-72.8054280420386</v>
      </c>
      <c r="F161" s="138" t="n">
        <f aca="false">F156-F160</f>
        <v>-150.504612102974</v>
      </c>
      <c r="G161" s="138" t="n">
        <f aca="false">G156-G160</f>
        <v>-143.394820686774</v>
      </c>
      <c r="H161" s="138" t="n">
        <f aca="false">H156-H160</f>
        <v>-135.054875987626</v>
      </c>
      <c r="I161" s="138" t="n">
        <f aca="false">I156-I160</f>
        <v>-125.433140936494</v>
      </c>
      <c r="J161" s="138" t="n">
        <f aca="false">J156-J160</f>
        <v>-114.472793367762</v>
      </c>
      <c r="K161" s="138" t="n">
        <f aca="false">K156-K160</f>
        <v>-102.219761106133</v>
      </c>
      <c r="L161" s="138" t="n">
        <f aca="false">L156-L160</f>
        <v>-89.919529146114</v>
      </c>
      <c r="M161" s="138" t="n">
        <f aca="false">M156-M160</f>
        <v>-96.3667419443345</v>
      </c>
      <c r="N161" s="138" t="n">
        <f aca="false">N156-N160</f>
        <v>-101.714856759156</v>
      </c>
      <c r="O161" s="138" t="n">
        <f aca="false">O156-O160</f>
        <v>-106.139109477901</v>
      </c>
      <c r="P161" s="138" t="n">
        <f aca="false">P156-P160</f>
        <v>-107.858237927098</v>
      </c>
      <c r="Q161" s="138" t="n">
        <f aca="false">Q156-Q160</f>
        <v>-109.656099918008</v>
      </c>
      <c r="R161" s="138" t="n">
        <f aca="false">R156-R160</f>
        <v>-111.437575317783</v>
      </c>
      <c r="S161" s="138" t="n">
        <f aca="false">S156-S160</f>
        <v>-113.198355942702</v>
      </c>
      <c r="T161" s="138" t="n">
        <f aca="false">T156-T160</f>
        <v>-114.934174323812</v>
      </c>
      <c r="U161" s="138" t="n">
        <f aca="false">U156-U160</f>
        <v>-116.640802781368</v>
      </c>
      <c r="V161" s="138" t="n">
        <f aca="false">V156-V160</f>
        <v>-118.31405252674</v>
      </c>
      <c r="W161" s="138" t="n">
        <f aca="false">W156-W160</f>
        <v>-119.810915826166</v>
      </c>
      <c r="X161" s="138" t="n">
        <f aca="false">X156-X160</f>
        <v>-121.127868366311</v>
      </c>
      <c r="Y161" s="138" t="n">
        <f aca="false">Y156-Y160</f>
        <v>-122.26143375894</v>
      </c>
      <c r="Z161" s="138" t="n">
        <f aca="false">Z156-Z160</f>
        <v>-123.208182990937</v>
      </c>
      <c r="AA161" s="138" t="n">
        <f aca="false">AA156-AA160</f>
        <v>-123.964733893073</v>
      </c>
      <c r="AB161" s="138" t="n">
        <f aca="false">AB156-AB160</f>
        <v>-124.530785856201</v>
      </c>
      <c r="AC161" s="138" t="n">
        <f aca="false">AC156-AC160</f>
        <v>-124.906031990222</v>
      </c>
      <c r="AD161" s="138" t="n">
        <f aca="false">AD156-AD160</f>
        <v>-125.090157459859</v>
      </c>
      <c r="AE161" s="138" t="n">
        <f aca="false">AE156-AE160</f>
        <v>-125.082837804632</v>
      </c>
      <c r="AF161" s="138" t="n">
        <f aca="false">AF156-AF160</f>
        <v>-124.883737239938</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-58.2750143471606</v>
      </c>
      <c r="E163" s="116" t="n">
        <f aca="false">D163+E53+E56+E58+E118+E119+E60+E113+E101-E115-E162</f>
        <v>-72.8054280420386</v>
      </c>
      <c r="F163" s="116" t="n">
        <f aca="false">E163+F53+F56+F58+F118+F119+F60+F113+F101-F115-F162</f>
        <v>-150.504612102974</v>
      </c>
      <c r="G163" s="116" t="n">
        <f aca="false">F163+G53+G56+G58+G118+G119+G60+G113+G101-G115-G162</f>
        <v>-143.394820686774</v>
      </c>
      <c r="H163" s="116" t="n">
        <f aca="false">G163+H53+H56+H58+H118+H119+H60+H113+H101-H115-H162</f>
        <v>-135.054875987626</v>
      </c>
      <c r="I163" s="116" t="n">
        <f aca="false">H163+I53+I56+I58+I118+I119+I60+I113+I101-I115-I162</f>
        <v>-125.433140936494</v>
      </c>
      <c r="J163" s="116" t="n">
        <f aca="false">I163+J53+J56+J58+J118+J119+J60+J113+J101-J115-J162</f>
        <v>-114.472793367762</v>
      </c>
      <c r="K163" s="116" t="n">
        <f aca="false">J163+K53+K56+K58+K118+K119+K60+K113+K101-K115-K162</f>
        <v>-102.219761106133</v>
      </c>
      <c r="L163" s="116" t="n">
        <f aca="false">K163+L53+L56+L58+L118+L119+L60+L113+L101-L115-L162</f>
        <v>-89.9195291461141</v>
      </c>
      <c r="M163" s="116" t="n">
        <f aca="false">L163+M53+M56+M58+M118+M119+M60+M113+M101-M115-M162</f>
        <v>-96.3667419443346</v>
      </c>
      <c r="N163" s="116" t="n">
        <f aca="false">M163+N53+N56+N58+N118+N119+N60+N113+N101-N115-N162</f>
        <v>-101.714856759156</v>
      </c>
      <c r="O163" s="116" t="n">
        <f aca="false">N163+O53+O56+O58+O118+O119+O60+O113+O101-O115-O162</f>
        <v>-106.139109477901</v>
      </c>
      <c r="P163" s="116" t="n">
        <f aca="false">O163+P53+P56+P58+P118+P119+P60+P113+P101-P115-P162</f>
        <v>-107.858237927098</v>
      </c>
      <c r="Q163" s="116" t="n">
        <f aca="false">P163+Q53+Q56+Q58+Q118+Q119+Q60+Q113+Q101-Q115-Q162</f>
        <v>-109.656099918008</v>
      </c>
      <c r="R163" s="116" t="n">
        <f aca="false">Q163+R53+R56+R58+R118+R119+R60+R113+R101-R115-R162</f>
        <v>-111.437575317783</v>
      </c>
      <c r="S163" s="116" t="n">
        <f aca="false">R163+S53+S56+S58+S118+S119+S60+S113+S101-S115-S162</f>
        <v>-113.198355942702</v>
      </c>
      <c r="T163" s="116" t="n">
        <f aca="false">S163+T53+T56+T58+T118+T119+T60+T113+T101-T115-T162</f>
        <v>-114.934174323812</v>
      </c>
      <c r="U163" s="116" t="n">
        <f aca="false">T163+U53+U56+U58+U118+U119+U60+U113+U101-U115-U162</f>
        <v>-116.640802781368</v>
      </c>
      <c r="V163" s="116" t="n">
        <f aca="false">U163+V53+V56+V58+V118+V119+V60+V113+V101-V115-V162</f>
        <v>-118.31405252674</v>
      </c>
      <c r="W163" s="116" t="n">
        <f aca="false">V163+W53+W56+W58+W118+W119+W60+W113+W101-W115-W162</f>
        <v>-119.810915826166</v>
      </c>
      <c r="X163" s="116" t="n">
        <f aca="false">W163+X53+X56+X58+X118+X119+X60+X113+X101-X115-X162</f>
        <v>-121.127868366311</v>
      </c>
      <c r="Y163" s="116" t="n">
        <f aca="false">X163+Y53+Y56+Y58+Y118+Y119+Y60+Y113+Y101-Y115-Y162</f>
        <v>-122.26143375894</v>
      </c>
      <c r="Z163" s="116" t="n">
        <f aca="false">Y163+Z53+Z56+Z58+Z118+Z119+Z60+Z113+Z101-Z115-Z162</f>
        <v>-123.208182990937</v>
      </c>
      <c r="AA163" s="116" t="n">
        <f aca="false">Z163+AA53+AA56+AA58+AA118+AA119+AA60+AA113+AA101-AA115-AA162</f>
        <v>-123.964733893073</v>
      </c>
      <c r="AB163" s="116" t="n">
        <f aca="false">AA163+AB53+AB56+AB58+AB118+AB119+AB60+AB113+AB101-AB115-AB162</f>
        <v>-124.530785856201</v>
      </c>
      <c r="AC163" s="116" t="n">
        <f aca="false">AB163+AC53+AC56+AC58+AC118+AC119+AC60+AC113+AC101-AC115-AC162</f>
        <v>-124.906031990223</v>
      </c>
      <c r="AD163" s="116" t="n">
        <f aca="false">AC163+AD53+AD56+AD58+AD118+AD119+AD60+AD113+AD101-AD115-AD162</f>
        <v>-125.090157459859</v>
      </c>
      <c r="AE163" s="116" t="n">
        <f aca="false">AD163+AE53+AE56+AE58+AE118+AE119+AE60+AE113+AE101-AE115-AE162</f>
        <v>-125.082837804632</v>
      </c>
      <c r="AF163" s="116" t="n">
        <f aca="false">AE163+AF53+AF56+AF58+AF118+AF119+AF60+AF113+AF101-AF115-AF162</f>
        <v>-124.883737239938</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-18.5562340044246</v>
      </c>
      <c r="D192" s="142" t="n">
        <f aca="false">D149-SUM($C$191:D191)</f>
        <v>-37.3070344017513</v>
      </c>
      <c r="E192" s="142" t="n">
        <f aca="false">E149-SUM($C$191:E191)</f>
        <v>-56.2464755366786</v>
      </c>
      <c r="F192" s="142" t="n">
        <f aca="false">F149-SUM($C$191:F191)</f>
        <v>-74.8127593314061</v>
      </c>
      <c r="G192" s="142" t="n">
        <f aca="false">G149-SUM($C$191:G191)</f>
        <v>-93.5654153928552</v>
      </c>
      <c r="H192" s="142" t="n">
        <f aca="false">H149-SUM($C$191:H191)</f>
        <v>-112.482734285017</v>
      </c>
      <c r="I192" s="142" t="n">
        <f aca="false">I149-SUM($C$191:I191)</f>
        <v>-131.542417767713</v>
      </c>
      <c r="J192" s="142" t="n">
        <f aca="false">J149-SUM($C$191:J191)</f>
        <v>-150.721544439218</v>
      </c>
      <c r="K192" s="142" t="n">
        <f aca="false">K149-SUM($C$191:K191)</f>
        <v>-169.996535193734</v>
      </c>
      <c r="L192" s="142" t="n">
        <f aca="false">L149-SUM($C$191:L191)</f>
        <v>-189.343258196274</v>
      </c>
      <c r="M192" s="142" t="n">
        <f aca="false">M149-SUM($C$191:M191)</f>
        <v>-188.003544623935</v>
      </c>
      <c r="N192" s="142" t="n">
        <f aca="false">N149-SUM($C$191:N191)</f>
        <v>-186.056228264055</v>
      </c>
      <c r="O192" s="142" t="n">
        <f aca="false">O149-SUM($C$191:O191)</f>
        <v>-183.554024570625</v>
      </c>
      <c r="P192" s="142" t="n">
        <f aca="false">P149-SUM($C$191:P191)</f>
        <v>-180.448372683097</v>
      </c>
      <c r="Q192" s="142" t="n">
        <f aca="false">Q149-SUM($C$191:Q191)</f>
        <v>-176.714231556041</v>
      </c>
      <c r="R192" s="142" t="n">
        <f aca="false">R149-SUM($C$191:R191)</f>
        <v>-172.325857988976</v>
      </c>
      <c r="S192" s="142" t="n">
        <f aca="false">S149-SUM($C$191:S191)</f>
        <v>-167.256434564582</v>
      </c>
      <c r="T192" s="142" t="n">
        <f aca="false">T149-SUM($C$191:T191)</f>
        <v>-161.478046710838</v>
      </c>
      <c r="U192" s="142" t="n">
        <f aca="false">U149-SUM($C$191:U191)</f>
        <v>-154.961651796735</v>
      </c>
      <c r="V192" s="142" t="n">
        <f aca="false">V149-SUM($C$191:V191)</f>
        <v>-147.677047079647</v>
      </c>
      <c r="W192" s="142" t="n">
        <f aca="false">W149-SUM($C$191:W191)</f>
        <v>-139.592700901076</v>
      </c>
      <c r="X192" s="142" t="n">
        <f aca="false">X149-SUM($C$191:X191)</f>
        <v>-130.675854017064</v>
      </c>
      <c r="Y192" s="142" t="n">
        <f aca="false">Y149-SUM($C$191:Y191)</f>
        <v>-120.892483498854</v>
      </c>
      <c r="Z192" s="142" t="n">
        <f aca="false">Z149-SUM($C$191:Z191)</f>
        <v>-110.20726515177</v>
      </c>
      <c r="AA192" s="142" t="n">
        <f aca="false">AA149-SUM($C$191:AA191)</f>
        <v>-98.5835344787521</v>
      </c>
      <c r="AB192" s="142" t="n">
        <f aca="false">AB149-SUM($C$191:AB191)</f>
        <v>-85.9832491172209</v>
      </c>
      <c r="AC192" s="142" t="n">
        <f aca="false">AC149-SUM($C$191:AC191)</f>
        <v>-72.3669467574087</v>
      </c>
      <c r="AD192" s="142" t="n">
        <f aca="false">AD149-SUM($C$191:AD191)</f>
        <v>-57.693701521615</v>
      </c>
      <c r="AE192" s="142" t="n">
        <f aca="false">AE149-SUM($C$191:AE191)</f>
        <v>-41.9210787724172</v>
      </c>
      <c r="AF192" s="142" t="n">
        <f aca="false">AF149-SUM($C$191:AF191)</f>
        <v>-25.0050883148385</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4.25" hidden="false" customHeight="true" outlineLevel="0" collapsed="false">
      <c r="B196" s="7" t="s">
        <v>1394</v>
      </c>
    </row>
    <row r="197" customFormat="false" ht="14.25" hidden="false" customHeight="true" outlineLevel="0" collapsed="false">
      <c r="B197" s="103" t="s">
        <v>1395</v>
      </c>
      <c r="C197" s="150" t="n">
        <v>0</v>
      </c>
    </row>
    <row r="198" customFormat="false" ht="14.25" hidden="false" customHeight="true" outlineLevel="0" collapsed="false">
      <c r="B198" s="103" t="s">
        <v>1396</v>
      </c>
      <c r="C198" s="153" t="n">
        <v>16</v>
      </c>
    </row>
    <row r="199" customFormat="false" ht="14.25" hidden="false" customHeight="true" outlineLevel="0" collapsed="false">
      <c r="B199" s="83" t="s">
        <v>1397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0.349805445258508</v>
      </c>
      <c r="M221" s="116" t="n">
        <f aca="false">M112</f>
        <v>0.362434129954545</v>
      </c>
      <c r="N221" s="116" t="n">
        <f aca="false">N112</f>
        <v>0.375223507094584</v>
      </c>
      <c r="O221" s="116" t="n">
        <f aca="false">O112</f>
        <v>0.387269168699159</v>
      </c>
      <c r="P221" s="116" t="n">
        <f aca="false">P112</f>
        <v>0.396795721946224</v>
      </c>
      <c r="Q221" s="116" t="n">
        <f aca="false">Q112</f>
        <v>0.406402672786656</v>
      </c>
      <c r="R221" s="116" t="n">
        <f aca="false">R112</f>
        <v>0.415986933075025</v>
      </c>
      <c r="S221" s="116" t="n">
        <f aca="false">S112</f>
        <v>0.425557931298338</v>
      </c>
      <c r="T221" s="116" t="n">
        <f aca="false">T112</f>
        <v>0.435131587010743</v>
      </c>
      <c r="U221" s="116" t="n">
        <f aca="false">U112</f>
        <v>0.444723539368717</v>
      </c>
      <c r="V221" s="116" t="n">
        <f aca="false">V112</f>
        <v>0.45434938288963</v>
      </c>
      <c r="W221" s="116" t="n">
        <f aca="false">W112</f>
        <v>0.46388583950799</v>
      </c>
      <c r="X221" s="116" t="n">
        <f aca="false">X112</f>
        <v>0.473349268705933</v>
      </c>
      <c r="Y221" s="116" t="n">
        <f aca="false">Y112</f>
        <v>0.482756183811535</v>
      </c>
      <c r="Z221" s="116" t="n">
        <f aca="false">Z112</f>
        <v>0.492123225208761</v>
      </c>
      <c r="AA221" s="116" t="n">
        <f aca="false">AA112</f>
        <v>0.501467185837404</v>
      </c>
      <c r="AB221" s="116" t="n">
        <f aca="false">AB112</f>
        <v>0.510808067713376</v>
      </c>
      <c r="AC221" s="116" t="n">
        <f aca="false">AC112</f>
        <v>0.520166022232232</v>
      </c>
      <c r="AD221" s="116" t="n">
        <f aca="false">AD112</f>
        <v>0.529561377641147</v>
      </c>
      <c r="AE221" s="116" t="n">
        <f aca="false">AE112</f>
        <v>0.539014667037369</v>
      </c>
      <c r="AF221" s="116" t="n">
        <f aca="false">AF112</f>
        <v>0.548546655790981</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7.39825091267657</v>
      </c>
      <c r="M222" s="87" t="n">
        <f aca="false">IF(M221&gt;0,M220/M221,0)</f>
        <v>7.53582586824966</v>
      </c>
      <c r="N222" s="87" t="n">
        <f aca="false">IF(N221&gt;0,N220/N221,0)</f>
        <v>7.4859764170563</v>
      </c>
      <c r="O222" s="87" t="n">
        <f aca="false">IF(O221&gt;0,O220/O221,0)</f>
        <v>7.31696510896367</v>
      </c>
      <c r="P222" s="87" t="n">
        <f aca="false">IF(P221&gt;0,P220/P221,0)</f>
        <v>6.68073062378252</v>
      </c>
      <c r="Q222" s="87" t="n">
        <f aca="false">IF(Q221&gt;0,Q220/Q221,0)</f>
        <v>6.10212951272284</v>
      </c>
      <c r="R222" s="87" t="n">
        <f aca="false">IF(R221&gt;0,R220/R221,0)</f>
        <v>5.57706006863475</v>
      </c>
      <c r="S222" s="87" t="n">
        <f aca="false">IF(S221&gt;0,S220/S221,0)</f>
        <v>5.10003734801726</v>
      </c>
      <c r="T222" s="87" t="n">
        <f aca="false">IF(T221&gt;0,T220/T221,0)</f>
        <v>4.66614756862461</v>
      </c>
      <c r="U222" s="87" t="n">
        <f aca="false">IF(U221&gt;0,U220/U221,0)</f>
        <v>4.27106319376034</v>
      </c>
      <c r="V222" s="87" t="n">
        <f aca="false">IF(V221&gt;0,V220/V221,0)</f>
        <v>3.91095849146874</v>
      </c>
      <c r="W222" s="87" t="n">
        <f aca="false">IF(W221&gt;0,W220/W221,0)</f>
        <v>3.58351369194344</v>
      </c>
      <c r="X222" s="87" t="n">
        <f aca="false">IF(X221&gt;0,X220/X221,0)</f>
        <v>3.2853792338849</v>
      </c>
      <c r="Y222" s="87" t="n">
        <f aca="false">IF(Y221&gt;0,Y220/Y221,0)</f>
        <v>3.01360555159114</v>
      </c>
      <c r="Z222" s="87" t="n">
        <f aca="false">IF(Z221&gt;0,Z220/Z221,0)</f>
        <v>2.76558764107575</v>
      </c>
      <c r="AA222" s="87" t="n">
        <f aca="false">IF(AA221&gt;0,AA220/AA221,0)</f>
        <v>2.53901813122723</v>
      </c>
      <c r="AB222" s="87" t="n">
        <f aca="false">IF(AB221&gt;0,AB220/AB221,0)</f>
        <v>2.33183388253873</v>
      </c>
      <c r="AC222" s="87" t="n">
        <f aca="false">IF(AC221&gt;0,AC220/AC221,0)</f>
        <v>2.1422019519634</v>
      </c>
      <c r="AD222" s="87" t="n">
        <f aca="false">IF(AD221&gt;0,AD220/AD221,0)</f>
        <v>1.96848958876623</v>
      </c>
      <c r="AE222" s="87" t="n">
        <f aca="false">IF(AE221&gt;0,AE220/AE221,0)</f>
        <v>1.80923873469906</v>
      </c>
      <c r="AF222" s="87" t="n">
        <f aca="false">IF(AF221&gt;0,AF220/AF221,0)</f>
        <v>1.66314426599022</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2.23814300938448</v>
      </c>
      <c r="M223" s="88" t="n">
        <f aca="false">M220-M221</f>
        <v>2.36880636209348</v>
      </c>
      <c r="N223" s="88" t="n">
        <f aca="false">N220-N221</f>
        <v>2.43369081814063</v>
      </c>
      <c r="O223" s="88" t="n">
        <f aca="false">O220-O221</f>
        <v>2.44636582644996</v>
      </c>
      <c r="P223" s="88" t="n">
        <f aca="false">P220-P221</f>
        <v>2.25408960904581</v>
      </c>
      <c r="Q223" s="88" t="n">
        <f aca="false">Q220-Q221</f>
        <v>2.07351907087424</v>
      </c>
      <c r="R223" s="88" t="n">
        <f aca="false">R220-R221</f>
        <v>1.90399718045153</v>
      </c>
      <c r="S223" s="88" t="n">
        <f aca="false">S220-S221</f>
        <v>1.74480341206815</v>
      </c>
      <c r="T223" s="88" t="n">
        <f aca="false">T220-T221</f>
        <v>1.59525660975121</v>
      </c>
      <c r="U223" s="88" t="n">
        <f aca="false">U220-U221</f>
        <v>1.45471880102784</v>
      </c>
      <c r="V223" s="88" t="n">
        <f aca="false">V220-V221</f>
        <v>1.32259219421615</v>
      </c>
      <c r="W223" s="88" t="n">
        <f aca="false">W220-W221</f>
        <v>1.19845541786757</v>
      </c>
      <c r="X223" s="88" t="n">
        <f aca="false">X220-X221</f>
        <v>1.08178258907514</v>
      </c>
      <c r="Y223" s="88" t="n">
        <f aca="false">Y220-Y221</f>
        <v>0.972080531787858</v>
      </c>
      <c r="Z223" s="88" t="n">
        <f aca="false">Z220-Z221</f>
        <v>0.868886684314928</v>
      </c>
      <c r="AA223" s="88" t="n">
        <f aca="false">AA220-AA221</f>
        <v>0.771767091219257</v>
      </c>
      <c r="AB223" s="88" t="n">
        <f aca="false">AB220-AB221</f>
        <v>0.680311492054813</v>
      </c>
      <c r="AC223" s="88" t="n">
        <f aca="false">AC220-AC221</f>
        <v>0.594134645938694</v>
      </c>
      <c r="AD223" s="88" t="n">
        <f aca="false">AD220-AD221</f>
        <v>0.512874680858153</v>
      </c>
      <c r="AE223" s="88" t="n">
        <f aca="false">AE220-AE221</f>
        <v>0.436191547137555</v>
      </c>
      <c r="AF223" s="88" t="n">
        <f aca="false">AF220-AF221</f>
        <v>0.363765569415899</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0.035377461760499</v>
      </c>
      <c r="F233" s="1" t="n">
        <f aca="false">IF(E81&gt;0,(F107+F109+F110+F184-F108-F229)/E81,0)</f>
        <v>0.0462450644745737</v>
      </c>
      <c r="G233" s="1" t="n">
        <f aca="false">IF(F81&gt;0,(G107+G109+G110+G184-G108-G229)/F81,0)</f>
        <v>0.0269523976272258</v>
      </c>
      <c r="H233" s="1" t="n">
        <f aca="false">IF(G81&gt;0,(H107+H109+H110+H184-H108-H229)/G81,0)</f>
        <v>0.029864298942945</v>
      </c>
      <c r="I233" s="1" t="n">
        <f aca="false">IF(H81&gt;0,(I107+I109+I110+I184-I108-I229)/H81,0)</f>
        <v>0.0327696906871492</v>
      </c>
      <c r="J233" s="1" t="n">
        <f aca="false">IF(I81&gt;0,(J107+J109+J110+J184-J108-J229)/I81,0)</f>
        <v>0.0356796387539115</v>
      </c>
      <c r="K233" s="1" t="n">
        <f aca="false">IF(J81&gt;0,(K107+K109+K110+K184-K108-K229)/J81,0)</f>
        <v>0.0385478485224906</v>
      </c>
      <c r="L233" s="1" t="n">
        <f aca="false">IF(K81&gt;0,(L107+L109+L110+L184-L108-L229)/K81,0)</f>
        <v>0.0413803873719636</v>
      </c>
      <c r="M233" s="1" t="n">
        <f aca="false">IF(L81&gt;0,(M107+M109+M110+M184-M108-M229)/L81,0)</f>
        <v>0.0436829816839302</v>
      </c>
      <c r="N233" s="1" t="n">
        <f aca="false">IF(M81&gt;0,(N107+N109+N110+N184-N108-N229)/M81,0)</f>
        <v>0.0430593334837759</v>
      </c>
      <c r="O233" s="1" t="n">
        <f aca="false">IF(N81&gt;0,(O107+O109+O110+O184-O108-O229)/N81,0)</f>
        <v>0.0426147075773589</v>
      </c>
      <c r="P233" s="1" t="n">
        <f aca="false">IF(O81&gt;0,(P107+P109+P110+P184-P108-P229)/O81,0)</f>
        <v>0.0423324951153635</v>
      </c>
      <c r="Q233" s="1" t="n">
        <f aca="false">IF(P81&gt;0,(Q107+Q109+Q110+Q184-Q108-Q229)/P81,0)</f>
        <v>0.0422841879219541</v>
      </c>
      <c r="R233" s="1" t="n">
        <f aca="false">IF(Q81&gt;0,(R107+R109+R110+R184-R108-R229)/Q81,0)</f>
        <v>0.0422250951286202</v>
      </c>
      <c r="S233" s="1" t="n">
        <f aca="false">IF(R81&gt;0,(S107+S109+S110+S184-S108-S229)/R81,0)</f>
        <v>0.042183731708844</v>
      </c>
      <c r="T233" s="1" t="n">
        <f aca="false">IF(S81&gt;0,(T107+T109+T110+T184-T108-T229)/S81,0)</f>
        <v>0.0421588715192525</v>
      </c>
      <c r="U233" s="1" t="n">
        <f aca="false">IF(T81&gt;0,(U107+U109+U110+U184-U108-U229)/T81,0)</f>
        <v>0.0421492213345031</v>
      </c>
      <c r="V233" s="1" t="n">
        <f aca="false">IF(U81&gt;0,(V107+V109+V110+V184-V108-V229)/U81,0)</f>
        <v>0.0421536076279284</v>
      </c>
      <c r="W233" s="1" t="n">
        <f aca="false">IF(V81&gt;0,(W107+W109+W110+W184-W108-W229)/V81,0)</f>
        <v>0.0421710274802534</v>
      </c>
      <c r="X233" s="1" t="n">
        <f aca="false">IF(W81&gt;0,(X107+X109+X110+X184-X108-X229)/W81,0)</f>
        <v>0.04221330582621</v>
      </c>
      <c r="Y233" s="1" t="n">
        <f aca="false">IF(X81&gt;0,(Y107+Y109+Y110+Y184-Y108-Y229)/X81,0)</f>
        <v>0.0422787844603009</v>
      </c>
      <c r="Z233" s="1" t="n">
        <f aca="false">IF(Y81&gt;0,(Z107+Z109+Z110+Z184-Z108-Z229)/Y81,0)</f>
        <v>0.04236592853</v>
      </c>
      <c r="AA233" s="1" t="n">
        <f aca="false">IF(Z81&gt;0,(AA107+AA109+AA110+AA184-AA108-AA229)/Z81,0)</f>
        <v>0.0424733030423576</v>
      </c>
      <c r="AB233" s="1" t="n">
        <f aca="false">IF(AA81&gt;0,(AB107+AB109+AB110+AB184-AB108-AB229)/AA81,0)</f>
        <v>0.0425995752490927</v>
      </c>
      <c r="AC233" s="1" t="n">
        <f aca="false">IF(AB81&gt;0,(AC107+AC109+AC110+AC184-AC108-AC229)/AB81,0)</f>
        <v>0.0427432414498643</v>
      </c>
      <c r="AD233" s="1" t="n">
        <f aca="false">IF(AC81&gt;0,(AD107+AD109+AD110+AD184-AD108-AD229)/AC81,0)</f>
        <v>0.042902887522472</v>
      </c>
      <c r="AE233" s="1" t="n">
        <f aca="false">IF(AD81&gt;0,(AE107+AE109+AE110+AE184-AE108-AE229)/AD81,0)</f>
        <v>0.0430771741999339</v>
      </c>
      <c r="AF233" s="1" t="n">
        <f aca="false">IF(AE81&gt;0,(AF107+AF109+AF110+AF184-AF108-AF229)/AE81,0)</f>
        <v>0.0432648248025331</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0.230368385919057</v>
      </c>
      <c r="F234" s="1" t="n">
        <f aca="false">(F232+E232)/2*F233</f>
        <v>0.558710269305483</v>
      </c>
      <c r="G234" s="1" t="n">
        <f aca="false">(G232+F232)/2*G233</f>
        <v>0.521551623632555</v>
      </c>
      <c r="H234" s="1" t="n">
        <f aca="false">(H232+G232)/2*H233</f>
        <v>0.780991859561727</v>
      </c>
      <c r="I234" s="1" t="n">
        <f aca="false">(I232+H232)/2*I233</f>
        <v>1.06545011658052</v>
      </c>
      <c r="J234" s="1" t="n">
        <f aca="false">(J232+I232)/2*J233</f>
        <v>1.37241392587528</v>
      </c>
      <c r="K234" s="1" t="n">
        <f aca="false">(K232+J232)/2*K233</f>
        <v>1.69736556799287</v>
      </c>
      <c r="L234" s="1" t="n">
        <f aca="false">(L232+K232)/2*L233</f>
        <v>2.03762806976191</v>
      </c>
      <c r="M234" s="1" t="n">
        <f aca="false">(M232+L232)/2*M233</f>
        <v>2.32358033331667</v>
      </c>
      <c r="N234" s="1" t="n">
        <f aca="false">(N232+M232)/2*N233</f>
        <v>2.38555373829146</v>
      </c>
      <c r="O234" s="1" t="n">
        <f aca="false">(O232+N232)/2*O233</f>
        <v>2.40455589279003</v>
      </c>
      <c r="P234" s="1" t="n">
        <f aca="false">(P232+O232)/2*P233</f>
        <v>2.32173429916482</v>
      </c>
      <c r="Q234" s="1" t="n">
        <f aca="false">(Q232+P232)/2*Q233</f>
        <v>2.16952010535916</v>
      </c>
      <c r="R234" s="1" t="n">
        <f aca="false">(R232+Q232)/2*R233</f>
        <v>2.02676481428162</v>
      </c>
      <c r="S234" s="1" t="n">
        <f aca="false">(S232+R232)/2*S233</f>
        <v>1.89419528033603</v>
      </c>
      <c r="T234" s="1" t="n">
        <f aca="false">(T232+S232)/2*T233</f>
        <v>1.77098860146834</v>
      </c>
      <c r="U234" s="1" t="n">
        <f aca="false">(U232+T232)/2*U233</f>
        <v>1.65639297117783</v>
      </c>
      <c r="V234" s="1" t="n">
        <f aca="false">(V232+U232)/2*V233</f>
        <v>1.5497284514802</v>
      </c>
      <c r="W234" s="1" t="n">
        <f aca="false">(W232+V232)/2*W233</f>
        <v>1.45038090925276</v>
      </c>
      <c r="X234" s="1" t="n">
        <f aca="false">(X232+W232)/2*X233</f>
        <v>1.35820176597716</v>
      </c>
      <c r="Y234" s="1" t="n">
        <f aca="false">(Y232+X232)/2*Y233</f>
        <v>1.27257812546232</v>
      </c>
      <c r="Z234" s="1" t="n">
        <f aca="false">(Z232+Y232)/2*Z233</f>
        <v>1.19295956871406</v>
      </c>
      <c r="AA234" s="1" t="n">
        <f aca="false">(AA232+Z232)/2*AA233</f>
        <v>1.11885051624196</v>
      </c>
      <c r="AB234" s="1" t="n">
        <f aca="false">(AB232+AA232)/2*AB233</f>
        <v>1.0498042671221</v>
      </c>
      <c r="AC234" s="1" t="n">
        <f aca="false">(AC232+AB232)/2*AC233</f>
        <v>0.985411334462027</v>
      </c>
      <c r="AD234" s="1" t="n">
        <f aca="false">(AD232+AC232)/2*AD233</f>
        <v>0.925302331999171</v>
      </c>
      <c r="AE234" s="1" t="n">
        <f aca="false">(AE232+AD232)/2*AE233</f>
        <v>0.869143276531379</v>
      </c>
      <c r="AF234" s="1" t="n">
        <f aca="false">(AF232+AE232)/2*AF233</f>
        <v>0.816631545914044</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0.18873971283272</v>
      </c>
      <c r="F236" s="1" t="n">
        <f aca="false">MAX(0,F234-F235)</f>
        <v>0.479523829329826</v>
      </c>
      <c r="G236" s="1" t="n">
        <f aca="false">MAX(0,G234-G235)</f>
        <v>0.407229630389747</v>
      </c>
      <c r="H236" s="1" t="n">
        <f aca="false">MAX(0,H234-H235)</f>
        <v>0.633800310814551</v>
      </c>
      <c r="I236" s="1" t="n">
        <f aca="false">MAX(0,I234-I235)</f>
        <v>0.887508869064123</v>
      </c>
      <c r="J236" s="1" t="n">
        <f aca="false">MAX(0,J234-J235)</f>
        <v>1.16570612037266</v>
      </c>
      <c r="K236" s="1" t="n">
        <f aca="false">MAX(0,K234-K235)</f>
        <v>1.46374644655882</v>
      </c>
      <c r="L236" s="1" t="n">
        <f aca="false">MAX(0,L234-L235)</f>
        <v>1.77883322429761</v>
      </c>
      <c r="M236" s="1" t="n">
        <f aca="false">MAX(0,M234-M235)</f>
        <v>2.05045628411187</v>
      </c>
      <c r="N236" s="1" t="n">
        <f aca="false">MAX(0,N234-N235)</f>
        <v>2.10466230576794</v>
      </c>
      <c r="O236" s="1" t="n">
        <f aca="false">MAX(0,O234-O235)</f>
        <v>2.12119239327512</v>
      </c>
      <c r="P236" s="1" t="n">
        <f aca="false">MAX(0,P234-P235)</f>
        <v>2.05664576606562</v>
      </c>
      <c r="Q236" s="1" t="n">
        <f aca="false">MAX(0,Q234-Q235)</f>
        <v>1.92152793099307</v>
      </c>
      <c r="R236" s="1" t="n">
        <f aca="false">MAX(0,R234-R235)</f>
        <v>1.79476640292896</v>
      </c>
      <c r="S236" s="1" t="n">
        <f aca="false">MAX(0,S234-S235)</f>
        <v>1.67715914599938</v>
      </c>
      <c r="T236" s="1" t="n">
        <f aca="false">MAX(0,T234-T235)</f>
        <v>1.56794978179214</v>
      </c>
      <c r="U236" s="1" t="n">
        <f aca="false">MAX(0,U234-U235)</f>
        <v>1.46644873713818</v>
      </c>
      <c r="V236" s="1" t="n">
        <f aca="false">MAX(0,V234-V235)</f>
        <v>1.37203429376962</v>
      </c>
      <c r="W236" s="1" t="n">
        <f aca="false">MAX(0,W234-W235)</f>
        <v>1.28414678351521</v>
      </c>
      <c r="X236" s="1" t="n">
        <f aca="false">MAX(0,X234-X235)</f>
        <v>1.20268858019905</v>
      </c>
      <c r="Y236" s="1" t="n">
        <f aca="false">MAX(0,Y234-Y235)</f>
        <v>1.12709445390238</v>
      </c>
      <c r="Z236" s="1" t="n">
        <f aca="false">MAX(0,Z234-Z235)</f>
        <v>1.05685857776169</v>
      </c>
      <c r="AA236" s="1" t="n">
        <f aca="false">MAX(0,AA234-AA235)</f>
        <v>0.991527088536295</v>
      </c>
      <c r="AB236" s="1" t="n">
        <f aca="false">MAX(0,AB234-AB235)</f>
        <v>0.930692311145285</v>
      </c>
      <c r="AC236" s="1" t="n">
        <f aca="false">MAX(0,AC234-AC235)</f>
        <v>0.873981267644935</v>
      </c>
      <c r="AD236" s="1" t="n">
        <f aca="false">MAX(0,AD234-AD235)</f>
        <v>0.821058726149241</v>
      </c>
      <c r="AE236" s="1" t="n">
        <f aca="false">MAX(0,AE234-AE235)</f>
        <v>0.771622655113887</v>
      </c>
      <c r="AF236" s="1" t="n">
        <f aca="false">MAX(0,AF234-AF235)</f>
        <v>0.725400323393356</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0.739825091267657</v>
      </c>
      <c r="M238" s="1" t="n">
        <f aca="false">IF(M112&gt;0,M235/M112,0)</f>
        <v>0.753582586824967</v>
      </c>
      <c r="N238" s="1" t="n">
        <f aca="false">IF(N112&gt;0,N235/N112,0)</f>
        <v>0.74859764170563</v>
      </c>
      <c r="O238" s="1" t="n">
        <f aca="false">IF(O112&gt;0,O235/O112,0)</f>
        <v>0.731696510896367</v>
      </c>
      <c r="P238" s="1" t="n">
        <f aca="false">IF(P112&gt;0,P235/P112,0)</f>
        <v>0.668073062378252</v>
      </c>
      <c r="Q238" s="1" t="n">
        <f aca="false">IF(Q112&gt;0,Q235/Q112,0)</f>
        <v>0.610212951272284</v>
      </c>
      <c r="R238" s="1" t="n">
        <f aca="false">IF(R112&gt;0,R235/R112,0)</f>
        <v>0.557706006863475</v>
      </c>
      <c r="S238" s="1" t="n">
        <f aca="false">IF(S112&gt;0,S235/S112,0)</f>
        <v>0.510003734801726</v>
      </c>
      <c r="T238" s="1" t="n">
        <f aca="false">IF(T112&gt;0,T235/T112,0)</f>
        <v>0.466614756862461</v>
      </c>
      <c r="U238" s="1" t="n">
        <f aca="false">IF(U112&gt;0,U235/U112,0)</f>
        <v>0.427106319376034</v>
      </c>
      <c r="V238" s="1" t="n">
        <f aca="false">IF(V112&gt;0,V235/V112,0)</f>
        <v>0.391095849146874</v>
      </c>
      <c r="W238" s="1" t="n">
        <f aca="false">IF(W112&gt;0,W235/W112,0)</f>
        <v>0.358351369194344</v>
      </c>
      <c r="X238" s="1" t="n">
        <f aca="false">IF(X112&gt;0,X235/X112,0)</f>
        <v>0.32853792338849</v>
      </c>
      <c r="Y238" s="1" t="n">
        <f aca="false">IF(Y112&gt;0,Y235/Y112,0)</f>
        <v>0.301360555159114</v>
      </c>
      <c r="Z238" s="1" t="n">
        <f aca="false">IF(Z112&gt;0,Z235/Z112,0)</f>
        <v>0.276558764107575</v>
      </c>
      <c r="AA238" s="1" t="n">
        <f aca="false">IF(AA112&gt;0,AA235/AA112,0)</f>
        <v>0.253901813122723</v>
      </c>
      <c r="AB238" s="1" t="n">
        <f aca="false">IF(AB112&gt;0,AB235/AB112,0)</f>
        <v>0.233183388253873</v>
      </c>
      <c r="AC238" s="1" t="n">
        <f aca="false">IF(AC112&gt;0,AC235/AC112,0)</f>
        <v>0.21422019519634</v>
      </c>
      <c r="AD238" s="1" t="n">
        <f aca="false">IF(AD112&gt;0,AD235/AD112,0)</f>
        <v>0.196848958876623</v>
      </c>
      <c r="AE238" s="1" t="n">
        <f aca="false">IF(AE112&gt;0,AE235/AE112,0)</f>
        <v>0.180923873469906</v>
      </c>
      <c r="AF238" s="1" t="n">
        <f aca="false">IF(AF112&gt;0,AF235/AF112,0)</f>
        <v>0.166314426599022</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0.18873971283272</v>
      </c>
      <c r="F243" s="1" t="n">
        <f aca="false">F236</f>
        <v>0.479523829329826</v>
      </c>
      <c r="G243" s="1" t="n">
        <f aca="false">G236</f>
        <v>0.407229630389747</v>
      </c>
      <c r="H243" s="1" t="n">
        <f aca="false">H236</f>
        <v>0.633800310814551</v>
      </c>
      <c r="I243" s="1" t="n">
        <f aca="false">I236</f>
        <v>0.887508869064123</v>
      </c>
      <c r="J243" s="1" t="n">
        <f aca="false">J236</f>
        <v>1.16570612037266</v>
      </c>
      <c r="K243" s="1" t="n">
        <f aca="false">K236</f>
        <v>1.46374644655882</v>
      </c>
      <c r="L243" s="1" t="n">
        <f aca="false">L236</f>
        <v>1.77883322429761</v>
      </c>
      <c r="M243" s="1" t="n">
        <f aca="false">M236</f>
        <v>2.05045628411187</v>
      </c>
      <c r="N243" s="1" t="n">
        <f aca="false">N236</f>
        <v>2.10466230576794</v>
      </c>
      <c r="O243" s="1" t="n">
        <f aca="false">O236</f>
        <v>2.12119239327512</v>
      </c>
      <c r="P243" s="1" t="n">
        <f aca="false">P236</f>
        <v>2.05664576606562</v>
      </c>
      <c r="Q243" s="1" t="n">
        <f aca="false">Q236</f>
        <v>1.92152793099307</v>
      </c>
      <c r="R243" s="1" t="n">
        <f aca="false">R236</f>
        <v>1.79476640292896</v>
      </c>
      <c r="S243" s="1" t="n">
        <f aca="false">S236</f>
        <v>1.67715914599938</v>
      </c>
      <c r="T243" s="1" t="n">
        <f aca="false">T236</f>
        <v>1.56794978179214</v>
      </c>
      <c r="U243" s="1" t="n">
        <f aca="false">U236</f>
        <v>1.46644873713818</v>
      </c>
      <c r="V243" s="1" t="n">
        <f aca="false">V236</f>
        <v>1.37203429376962</v>
      </c>
      <c r="W243" s="1" t="n">
        <f aca="false">W236</f>
        <v>1.28414678351521</v>
      </c>
      <c r="X243" s="1" t="n">
        <f aca="false">X236</f>
        <v>1.20268858019905</v>
      </c>
      <c r="Y243" s="1" t="n">
        <f aca="false">Y236</f>
        <v>1.12709445390238</v>
      </c>
      <c r="Z243" s="1" t="n">
        <f aca="false">Z236</f>
        <v>1.05685857776169</v>
      </c>
      <c r="AA243" s="1" t="n">
        <f aca="false">AA236</f>
        <v>0.991527088536295</v>
      </c>
      <c r="AB243" s="1" t="n">
        <f aca="false">AB236</f>
        <v>0.930692311145285</v>
      </c>
      <c r="AC243" s="1" t="n">
        <f aca="false">AC236</f>
        <v>0.873981267644935</v>
      </c>
      <c r="AD243" s="1" t="n">
        <f aca="false">AD236</f>
        <v>0.821058726149241</v>
      </c>
      <c r="AE243" s="1" t="n">
        <f aca="false">AE236</f>
        <v>0.771622655113887</v>
      </c>
      <c r="AF243" s="1" t="n">
        <f aca="false">AF236</f>
        <v>0.725400323393356</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0.283862351560919</v>
      </c>
      <c r="F247" s="1" t="n">
        <f aca="false">MAX(0,E248+F243-F244-F245-F246)</f>
        <v>0.763386180890745</v>
      </c>
      <c r="G247" s="1" t="n">
        <f aca="false">MAX(0,F248+G243-G244-G245-G246)</f>
        <v>1.17061581128049</v>
      </c>
      <c r="H247" s="1" t="n">
        <f aca="false">MAX(0,G248+H243-H244-H245-H246)</f>
        <v>1.80441612209504</v>
      </c>
      <c r="I247" s="1" t="n">
        <f aca="false">MAX(0,H248+I243-I244-I245-I246)</f>
        <v>2.69192499115917</v>
      </c>
      <c r="J247" s="1" t="n">
        <f aca="false">MAX(0,I248+J243-J244-J245-J246)</f>
        <v>3.85763111153182</v>
      </c>
      <c r="K247" s="1" t="n">
        <f aca="false">MAX(0,J248+K243-K244-K245-K246)</f>
        <v>5.32137755809064</v>
      </c>
      <c r="L247" s="1" t="n">
        <f aca="false">MAX(0,K248+L243-L244-L245-L246)</f>
        <v>7.10021078238825</v>
      </c>
      <c r="M247" s="1" t="n">
        <f aca="false">MAX(0,L248+M243-M244-M245-M246)</f>
        <v>9.15066706650012</v>
      </c>
      <c r="N247" s="1" t="n">
        <f aca="false">MAX(0,M248+N243-N244-N245-N246)</f>
        <v>11.2553293722681</v>
      </c>
      <c r="O247" s="1" t="n">
        <f aca="false">MAX(0,N248+O243-O244-O245-O246)</f>
        <v>13.3765217655432</v>
      </c>
      <c r="P247" s="1" t="n">
        <f aca="false">MAX(0,O248+P243-P244-P245-P246)</f>
        <v>15.4331675316088</v>
      </c>
      <c r="Q247" s="1" t="n">
        <f aca="false">MAX(0,P248+Q243-Q244-Q245-Q246)</f>
        <v>17.3546954626019</v>
      </c>
      <c r="R247" s="1" t="n">
        <f aca="false">MAX(0,Q248+R243-R244-R245-R246)</f>
        <v>19.1494618655308</v>
      </c>
      <c r="S247" s="1" t="n">
        <f aca="false">MAX(0,R248+S243-S244-S245-S246)</f>
        <v>20.8266210115302</v>
      </c>
      <c r="T247" s="1" t="n">
        <f aca="false">MAX(0,S248+T243-T244-T245-T246)</f>
        <v>22.3945707933224</v>
      </c>
      <c r="U247" s="1" t="n">
        <f aca="false">MAX(0,T248+U243-U244-U245-U246)</f>
        <v>23.8610195304605</v>
      </c>
      <c r="V247" s="1" t="n">
        <f aca="false">MAX(0,U248+V243-V244-V245-V246)</f>
        <v>25.2330538242302</v>
      </c>
      <c r="W247" s="1" t="n">
        <f aca="false">MAX(0,V248+W243-W244-W245-W246)</f>
        <v>26.5172006077454</v>
      </c>
      <c r="X247" s="1" t="n">
        <f aca="false">MAX(0,W248+X243-X244-X245-X246)</f>
        <v>27.7198891879444</v>
      </c>
      <c r="Y247" s="1" t="n">
        <f aca="false">MAX(0,X248+Y243-Y244-Y245-Y246)</f>
        <v>28.8469836418468</v>
      </c>
      <c r="Z247" s="1" t="n">
        <f aca="false">MAX(0,Y248+Z243-Z244-Z245-Z246)</f>
        <v>29.9038422196085</v>
      </c>
      <c r="AA247" s="1" t="n">
        <f aca="false">MAX(0,Z248+AA243-AA244-AA245-AA246)</f>
        <v>30.8953693081448</v>
      </c>
      <c r="AB247" s="1" t="n">
        <f aca="false">MAX(0,AA248+AB243-AB244-AB245-AB246)</f>
        <v>31.8260616192901</v>
      </c>
      <c r="AC247" s="1" t="n">
        <f aca="false">MAX(0,AB248+AC243-AC244-AC245-AC246)</f>
        <v>32.700042886935</v>
      </c>
      <c r="AD247" s="1" t="n">
        <f aca="false">MAX(0,AC248+AD243-AD244-AD245-AD246)</f>
        <v>33.5211016130842</v>
      </c>
      <c r="AE247" s="1" t="n">
        <f aca="false">MAX(0,AD248+AE243-AE244-AE245-AE246)</f>
        <v>34.2927242681981</v>
      </c>
      <c r="AF247" s="1" t="n">
        <f aca="false">MAX(0,AE248+AF243-AF244-AF245-AF246)</f>
        <v>35.0181245915915</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0.283862351560919</v>
      </c>
      <c r="F248" s="1" t="n">
        <f aca="false">MIN(F247,MAX(0,F276))</f>
        <v>0.763386180890745</v>
      </c>
      <c r="G248" s="1" t="n">
        <f aca="false">MIN(G247,MAX(0,G276))</f>
        <v>1.17061581128049</v>
      </c>
      <c r="H248" s="1" t="n">
        <f aca="false">MIN(H247,MAX(0,H276))</f>
        <v>1.80441612209504</v>
      </c>
      <c r="I248" s="1" t="n">
        <f aca="false">MIN(I247,MAX(0,I276))</f>
        <v>2.69192499115917</v>
      </c>
      <c r="J248" s="1" t="n">
        <f aca="false">MIN(J247,MAX(0,J276))</f>
        <v>3.85763111153182</v>
      </c>
      <c r="K248" s="1" t="n">
        <f aca="false">MIN(K247,MAX(0,K276))</f>
        <v>5.32137755809064</v>
      </c>
      <c r="L248" s="1" t="n">
        <f aca="false">MIN(L247,MAX(0,L276))</f>
        <v>7.10021078238825</v>
      </c>
      <c r="M248" s="1" t="n">
        <f aca="false">MIN(M247,MAX(0,M276))</f>
        <v>9.15066706650012</v>
      </c>
      <c r="N248" s="1" t="n">
        <f aca="false">MIN(N247,MAX(0,N276))</f>
        <v>11.2553293722681</v>
      </c>
      <c r="O248" s="1" t="n">
        <f aca="false">MIN(O247,MAX(0,O276))</f>
        <v>13.3765217655432</v>
      </c>
      <c r="P248" s="1" t="n">
        <f aca="false">MIN(P247,MAX(0,P276))</f>
        <v>15.4331675316088</v>
      </c>
      <c r="Q248" s="1" t="n">
        <f aca="false">MIN(Q247,MAX(0,Q276))</f>
        <v>17.3546954626019</v>
      </c>
      <c r="R248" s="1" t="n">
        <f aca="false">MIN(R247,MAX(0,R276))</f>
        <v>19.1494618655308</v>
      </c>
      <c r="S248" s="1" t="n">
        <f aca="false">MIN(S247,MAX(0,S276))</f>
        <v>20.8266210115302</v>
      </c>
      <c r="T248" s="1" t="n">
        <f aca="false">MIN(T247,MAX(0,T276))</f>
        <v>22.3945707933224</v>
      </c>
      <c r="U248" s="1" t="n">
        <f aca="false">MIN(U247,MAX(0,U276))</f>
        <v>23.8610195304605</v>
      </c>
      <c r="V248" s="1" t="n">
        <f aca="false">MIN(V247,MAX(0,V276))</f>
        <v>25.2330538242302</v>
      </c>
      <c r="W248" s="1" t="n">
        <f aca="false">MIN(W247,MAX(0,W276))</f>
        <v>26.5172006077454</v>
      </c>
      <c r="X248" s="1" t="n">
        <f aca="false">MIN(X247,MAX(0,X276))</f>
        <v>27.7198891879444</v>
      </c>
      <c r="Y248" s="1" t="n">
        <f aca="false">MIN(Y247,MAX(0,Y276))</f>
        <v>28.8469836418468</v>
      </c>
      <c r="Z248" s="1" t="n">
        <f aca="false">MIN(Z247,MAX(0,Z276))</f>
        <v>29.9038422196085</v>
      </c>
      <c r="AA248" s="1" t="n">
        <f aca="false">MIN(AA247,MAX(0,AA276))</f>
        <v>30.8953693081448</v>
      </c>
      <c r="AB248" s="1" t="n">
        <f aca="false">MIN(AB247,MAX(0,AB276))</f>
        <v>31.8260616192901</v>
      </c>
      <c r="AC248" s="1" t="n">
        <f aca="false">MIN(AC247,MAX(0,AC276))</f>
        <v>32.700042886935</v>
      </c>
      <c r="AD248" s="1" t="n">
        <f aca="false">MIN(AD247,MAX(0,AD276))</f>
        <v>33.5211016130842</v>
      </c>
      <c r="AE248" s="1" t="n">
        <f aca="false">MIN(AE247,MAX(0,AE276))</f>
        <v>34.2927242681981</v>
      </c>
      <c r="AF248" s="1" t="n">
        <f aca="false">MIN(AF247,MAX(0,AF276))</f>
        <v>35.0181245915915</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35.0141109890404</v>
      </c>
      <c r="E250" s="1" t="n">
        <f aca="false">E120-E248</f>
        <v>52.804749801786</v>
      </c>
      <c r="F250" s="1" t="n">
        <f aca="false">F120-F248</f>
        <v>61.1323537316061</v>
      </c>
      <c r="G250" s="1" t="n">
        <f aca="false">G120-G248</f>
        <v>71.7328959793514</v>
      </c>
      <c r="H250" s="1" t="n">
        <f aca="false">H120-H248</f>
        <v>83.7753644037219</v>
      </c>
      <c r="I250" s="1" t="n">
        <f aca="false">I120-I248</f>
        <v>97.3248355213546</v>
      </c>
      <c r="J250" s="1" t="n">
        <f aca="false">J120-J248</f>
        <v>111.934116908322</v>
      </c>
      <c r="K250" s="1" t="n">
        <f aca="false">K120-K248</f>
        <v>127.536624310781</v>
      </c>
      <c r="L250" s="1" t="n">
        <f aca="false">L120-L248</f>
        <v>142.86804184408</v>
      </c>
      <c r="M250" s="1" t="n">
        <f aca="false">M120-M248</f>
        <v>140.554327487612</v>
      </c>
      <c r="N250" s="1" t="n">
        <f aca="false">N120-N248</f>
        <v>140.177801326845</v>
      </c>
      <c r="O250" s="1" t="n">
        <f aca="false">O120-O248</f>
        <v>140.130576244472</v>
      </c>
      <c r="P250" s="1" t="n">
        <f aca="false">P120-P248</f>
        <v>139.487799737529</v>
      </c>
      <c r="Q250" s="1" t="n">
        <f aca="false">Q120-Q248</f>
        <v>138.837412197308</v>
      </c>
      <c r="R250" s="1" t="n">
        <f aca="false">R120-R248</f>
        <v>138.365405915734</v>
      </c>
      <c r="S250" s="1" t="n">
        <f aca="false">S120-S248</f>
        <v>138.058259222808</v>
      </c>
      <c r="T250" s="1" t="n">
        <f aca="false">T120-T248</f>
        <v>137.90895102967</v>
      </c>
      <c r="U250" s="1" t="n">
        <f aca="false">U120-U248</f>
        <v>137.910910878664</v>
      </c>
      <c r="V250" s="1" t="n">
        <f aca="false">V120-V248</f>
        <v>138.058221743007</v>
      </c>
      <c r="W250" s="1" t="n">
        <f aca="false">W120-W248</f>
        <v>138.34783696967</v>
      </c>
      <c r="X250" s="1" t="n">
        <f aca="false">X120-X248</f>
        <v>138.775142051053</v>
      </c>
      <c r="Y250" s="1" t="n">
        <f aca="false">Y120-Y248</f>
        <v>139.335890201405</v>
      </c>
      <c r="Z250" s="1" t="n">
        <f aca="false">Z120-Z248</f>
        <v>140.026064711969</v>
      </c>
      <c r="AA250" s="1" t="n">
        <f aca="false">AA120-AA248</f>
        <v>140.842151489629</v>
      </c>
      <c r="AB250" s="1" t="n">
        <f aca="false">AB120-AB248</f>
        <v>141.781044583185</v>
      </c>
      <c r="AC250" s="1" t="n">
        <f aca="false">AC120-AC248</f>
        <v>142.840050536589</v>
      </c>
      <c r="AD250" s="1" t="n">
        <f aca="false">AD120-AD248</f>
        <v>144.016857185812</v>
      </c>
      <c r="AE250" s="1" t="n">
        <f aca="false">AE120-AE248</f>
        <v>145.309508706416</v>
      </c>
      <c r="AF250" s="1" t="n">
        <f aca="false">AF120-AF248</f>
        <v>146.71637746532</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0.00270933395290532</v>
      </c>
      <c r="E252" s="1" t="n">
        <f aca="false">IF(E120&gt;0,E248/E120,0)</f>
        <v>0.00534695370715249</v>
      </c>
      <c r="F252" s="1" t="n">
        <f aca="false">IF(F120&gt;0,F248/F120,0)</f>
        <v>0.0123334203932283</v>
      </c>
      <c r="G252" s="1" t="n">
        <f aca="false">IF(G120&gt;0,G248/G120,0)</f>
        <v>0.0160570565467728</v>
      </c>
      <c r="H252" s="1" t="n">
        <f aca="false">IF(H120&gt;0,H248/H120,0)</f>
        <v>0.0210846079647365</v>
      </c>
      <c r="I252" s="1" t="n">
        <f aca="false">IF(I120&gt;0,I248/I120,0)</f>
        <v>0.0269147388634164</v>
      </c>
      <c r="J252" s="1" t="n">
        <f aca="false">IF(J120&gt;0,J248/J120,0)</f>
        <v>0.0333152506763295</v>
      </c>
      <c r="K252" s="1" t="n">
        <f aca="false">IF(K120&gt;0,K248/K120,0)</f>
        <v>0.0400531204988521</v>
      </c>
      <c r="L252" s="1" t="n">
        <f aca="false">IF(L120&gt;0,L248/L120,0)</f>
        <v>0.0473447590275859</v>
      </c>
      <c r="M252" s="1" t="n">
        <f aca="false">IF(M120&gt;0,M248/M120,0)</f>
        <v>0.0611246611628079</v>
      </c>
      <c r="N252" s="1" t="n">
        <f aca="false">IF(N120&gt;0,N248/N120,0)</f>
        <v>0.074325408979569</v>
      </c>
      <c r="O252" s="1" t="n">
        <f aca="false">IF(O120&gt;0,O248/O120,0)</f>
        <v>0.0871394348466572</v>
      </c>
      <c r="P252" s="1" t="n">
        <f aca="false">IF(P120&gt;0,P248/P120,0)</f>
        <v>0.0996196176905956</v>
      </c>
      <c r="Q252" s="1" t="n">
        <f aca="false">IF(Q120&gt;0,Q248/Q120,0)</f>
        <v>0.111111218886871</v>
      </c>
      <c r="R252" s="1" t="n">
        <f aca="false">IF(R120&gt;0,R248/R120,0)</f>
        <v>0.121572408593981</v>
      </c>
      <c r="S252" s="1" t="n">
        <f aca="false">IF(S120&gt;0,S248/S120,0)</f>
        <v>0.131079942791367</v>
      </c>
      <c r="T252" s="1" t="n">
        <f aca="false">IF(T120&gt;0,T248/T120,0)</f>
        <v>0.13970105296907</v>
      </c>
      <c r="U252" s="1" t="n">
        <f aca="false">IF(U120&gt;0,U248/U120,0)</f>
        <v>0.147497897009175</v>
      </c>
      <c r="V252" s="1" t="n">
        <f aca="false">IF(V120&gt;0,V248/V120,0)</f>
        <v>0.154527875029307</v>
      </c>
      <c r="W252" s="1" t="n">
        <f aca="false">IF(W120&gt;0,W248/W120,0)</f>
        <v>0.160841867975154</v>
      </c>
      <c r="X252" s="1" t="n">
        <f aca="false">IF(X120&gt;0,X248/X120,0)</f>
        <v>0.166490789434752</v>
      </c>
      <c r="Y252" s="1" t="n">
        <f aca="false">IF(Y120&gt;0,Y248/Y120,0)</f>
        <v>0.171521528813526</v>
      </c>
      <c r="Z252" s="1" t="n">
        <f aca="false">IF(Z120&gt;0,Z248/Z120,0)</f>
        <v>0.1759775119023</v>
      </c>
      <c r="AA252" s="1" t="n">
        <f aca="false">IF(AA120&gt;0,AA248/AA120,0)</f>
        <v>0.179898773224548</v>
      </c>
      <c r="AB252" s="1" t="n">
        <f aca="false">IF(AB120&gt;0,AB248/AB120,0)</f>
        <v>0.183322343857122</v>
      </c>
      <c r="AC252" s="1" t="n">
        <f aca="false">IF(AC120&gt;0,AC248/AC120,0)</f>
        <v>0.186282473987524</v>
      </c>
      <c r="AD252" s="1" t="n">
        <f aca="false">IF(AD120&gt;0,AD248/AD120,0)</f>
        <v>0.188810899031766</v>
      </c>
      <c r="AE252" s="1" t="n">
        <f aca="false">IF(AE120&gt;0,AE248/AE120,0)</f>
        <v>0.190937070771527</v>
      </c>
      <c r="AF252" s="1" t="n">
        <f aca="false">IF(AF120&gt;0,AF248/AF120,0)</f>
        <v>0.192688367895191</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0.349805445258508</v>
      </c>
      <c r="M254" s="116" t="n">
        <f aca="false">M112</f>
        <v>0.362434129954545</v>
      </c>
      <c r="N254" s="116" t="n">
        <f aca="false">N112</f>
        <v>0.375223507094584</v>
      </c>
      <c r="O254" s="116" t="n">
        <f aca="false">O112</f>
        <v>0.387269168699159</v>
      </c>
      <c r="P254" s="116" t="n">
        <f aca="false">P112</f>
        <v>0.396795721946224</v>
      </c>
      <c r="Q254" s="116" t="n">
        <f aca="false">Q112</f>
        <v>0.406402672786656</v>
      </c>
      <c r="R254" s="116" t="n">
        <f aca="false">R112</f>
        <v>0.415986933075025</v>
      </c>
      <c r="S254" s="116" t="n">
        <f aca="false">S112</f>
        <v>0.425557931298338</v>
      </c>
      <c r="T254" s="116" t="n">
        <f aca="false">T112</f>
        <v>0.435131587010743</v>
      </c>
      <c r="U254" s="116" t="n">
        <f aca="false">U112</f>
        <v>0.444723539368717</v>
      </c>
      <c r="V254" s="116" t="n">
        <f aca="false">V112</f>
        <v>0.45434938288963</v>
      </c>
      <c r="W254" s="116" t="n">
        <f aca="false">W112</f>
        <v>0.46388583950799</v>
      </c>
      <c r="X254" s="116" t="n">
        <f aca="false">X112</f>
        <v>0.473349268705933</v>
      </c>
      <c r="Y254" s="116" t="n">
        <f aca="false">Y112</f>
        <v>0.482756183811535</v>
      </c>
      <c r="Z254" s="116" t="n">
        <f aca="false">Z112</f>
        <v>0.492123225208761</v>
      </c>
      <c r="AA254" s="116" t="n">
        <f aca="false">AA112</f>
        <v>0.501467185837404</v>
      </c>
      <c r="AB254" s="116" t="n">
        <f aca="false">AB112</f>
        <v>0.510808067713376</v>
      </c>
      <c r="AC254" s="116" t="n">
        <f aca="false">AC112</f>
        <v>0.520166022232232</v>
      </c>
      <c r="AD254" s="116" t="n">
        <f aca="false">AD112</f>
        <v>0.529561377641147</v>
      </c>
      <c r="AE254" s="116" t="n">
        <f aca="false">AE112</f>
        <v>0.539014667037369</v>
      </c>
      <c r="AF254" s="116" t="n">
        <f aca="false">AF112</f>
        <v>0.548546655790981</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0.0910105997942089</v>
      </c>
      <c r="M256" s="1" t="n">
        <f aca="false">MIN(M254-M255,MAX(0,M107-M108+M109+M110+M184-M229-M235))</f>
        <v>0.0893100807497429</v>
      </c>
      <c r="N256" s="1" t="n">
        <f aca="false">MIN(N254-N255,MAX(0,N107-N108+N109+N110+N184-N229-N235))</f>
        <v>0.0943320745710626</v>
      </c>
      <c r="O256" s="1" t="n">
        <f aca="false">MIN(O254-O255,MAX(0,O107-O108+O109+O110+O184-O229-O235))</f>
        <v>0.103905669184248</v>
      </c>
      <c r="P256" s="1" t="n">
        <f aca="false">MIN(P254-P255,MAX(0,P107-P108+P109+P110+P184-P229-P235))</f>
        <v>0.131707188847021</v>
      </c>
      <c r="Q256" s="1" t="n">
        <f aca="false">MIN(Q254-Q255,MAX(0,Q107-Q108+Q109+Q110+Q184-Q229-Q235))</f>
        <v>0.158410498420566</v>
      </c>
      <c r="R256" s="1" t="n">
        <f aca="false">MIN(R254-R255,MAX(0,R107-R108+R109+R110+R184-R229-R235))</f>
        <v>0.183988521722369</v>
      </c>
      <c r="S256" s="1" t="n">
        <f aca="false">MIN(S254-S255,MAX(0,S107-S108+S109+S110+S184-S229-S235))</f>
        <v>0.208521796961689</v>
      </c>
      <c r="T256" s="1" t="n">
        <f aca="false">MIN(T254-T255,MAX(0,T107-T108+T109+T110+T184-T229-T235))</f>
        <v>0.232092767334548</v>
      </c>
      <c r="U256" s="1" t="n">
        <f aca="false">MIN(U254-U255,MAX(0,U107-U108+U109+U110+U184-U229-U235))</f>
        <v>0.254779305329061</v>
      </c>
      <c r="V256" s="1" t="n">
        <f aca="false">MIN(V254-V255,MAX(0,V107-V108+V109+V110+V184-V229-V235))</f>
        <v>0.276655225179052</v>
      </c>
      <c r="W256" s="1" t="n">
        <f aca="false">MIN(W254-W255,MAX(0,W107-W108+W109+W110+W184-W229-W235))</f>
        <v>0.297651713770434</v>
      </c>
      <c r="X256" s="1" t="n">
        <f aca="false">MIN(X254-X255,MAX(0,X107-X108+X109+X110+X184-X229-X235))</f>
        <v>0.317836082927826</v>
      </c>
      <c r="Y256" s="1" t="n">
        <f aca="false">MIN(Y254-Y255,MAX(0,Y107-Y108+Y109+Y110+Y184-Y229-Y235))</f>
        <v>0.337272512251596</v>
      </c>
      <c r="Z256" s="1" t="n">
        <f aca="false">MIN(Z254-Z255,MAX(0,Z107-Z108+Z109+Z110+Z184-Z229-Z235))</f>
        <v>0.356022234256392</v>
      </c>
      <c r="AA256" s="1" t="n">
        <f aca="false">MIN(AA254-AA255,MAX(0,AA107-AA108+AA109+AA110+AA184-AA229-AA235))</f>
        <v>0.374143758131738</v>
      </c>
      <c r="AB256" s="1" t="n">
        <f aca="false">MIN(AB254-AB255,MAX(0,AB107-AB108+AB109+AB110+AB184-AB229-AB235))</f>
        <v>0.391696111736557</v>
      </c>
      <c r="AC256" s="1" t="n">
        <f aca="false">MIN(AC254-AC255,MAX(0,AC107-AC108+AC109+AC110+AC184-AC229-AC235))</f>
        <v>0.40873595541514</v>
      </c>
      <c r="AD256" s="1" t="n">
        <f aca="false">MIN(AD254-AD255,MAX(0,AD107-AD108+AD109+AD110+AD184-AD229-AD235))</f>
        <v>0.425317771791217</v>
      </c>
      <c r="AE256" s="1" t="n">
        <f aca="false">MIN(AE254-AE255,MAX(0,AE107-AE108+AE109+AE110+AE184-AE229-AE235))</f>
        <v>0.441494045619876</v>
      </c>
      <c r="AF256" s="1" t="n">
        <f aca="false">MIN(AF254-AF255,MAX(0,AF107-AF108+AF109+AF110+AF184-AF229-AF235))</f>
        <v>0.457315433270293</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187.65242720882</v>
      </c>
      <c r="M261" s="1" t="n">
        <f aca="false">(M83-M326)+M181</f>
        <v>201.492907975142</v>
      </c>
      <c r="N261" s="1" t="n">
        <f aca="false">(N83-N326)+N181</f>
        <v>206.829439447592</v>
      </c>
      <c r="O261" s="1" t="n">
        <f aca="false">(O83-O326)+O181</f>
        <v>212.558444661513</v>
      </c>
      <c r="P261" s="1" t="n">
        <f aca="false">(P83-P326)+P181</f>
        <v>217.630797648154</v>
      </c>
      <c r="Q261" s="1" t="n">
        <f aca="false">(Q83-Q326)+Q181</f>
        <v>222.630061257388</v>
      </c>
      <c r="R261" s="1" t="n">
        <f aca="false">(R83-R326)+R181</f>
        <v>227.749230981644</v>
      </c>
      <c r="S261" s="1" t="n">
        <f aca="false">(S83-S326)+S181</f>
        <v>232.985417436661</v>
      </c>
      <c r="T261" s="1" t="n">
        <f aca="false">(T83-T326)+T181</f>
        <v>238.341656042921</v>
      </c>
      <c r="U261" s="1" t="n">
        <f aca="false">(U83-U326)+U181</f>
        <v>243.820754708148</v>
      </c>
      <c r="V261" s="1" t="n">
        <f aca="false">(V83-V326)+V181</f>
        <v>249.425570483057</v>
      </c>
      <c r="W261" s="1" t="n">
        <f aca="false">(W83-W326)+W181</f>
        <v>255.157817955889</v>
      </c>
      <c r="X261" s="1" t="n">
        <f aca="false">(X83-X326)+X181</f>
        <v>261.021055912005</v>
      </c>
      <c r="Y261" s="1" t="n">
        <f aca="false">(Y83-Y326)+Y181</f>
        <v>267.018668298716</v>
      </c>
      <c r="Z261" s="1" t="n">
        <f aca="false">(Z83-Z326)+Z181</f>
        <v>273.153785389987</v>
      </c>
      <c r="AA261" s="1" t="n">
        <f aca="false">(AA83-AA326)+AA181</f>
        <v>279.42960899349</v>
      </c>
      <c r="AB261" s="1" t="n">
        <f aca="false">(AB83-AB326)+AB181</f>
        <v>285.849440635866</v>
      </c>
      <c r="AC261" s="1" t="n">
        <f aca="false">(AC83-AC326)+AC181</f>
        <v>292.416644168455</v>
      </c>
      <c r="AD261" s="1" t="n">
        <f aca="false">(AD83-AD326)+AD181</f>
        <v>299.134653034204</v>
      </c>
      <c r="AE261" s="1" t="n">
        <f aca="false">(AE83-AE326)+AE181</f>
        <v>306.00697924151</v>
      </c>
      <c r="AF261" s="1" t="n">
        <f aca="false">(AF83-AF326)+AF181</f>
        <v>313.037215216114</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9.38262136044099</v>
      </c>
      <c r="M262" s="1" t="n">
        <f aca="false">$C$260*M261</f>
        <v>10.0746453987571</v>
      </c>
      <c r="N262" s="1" t="n">
        <f aca="false">$C$260*N261</f>
        <v>10.3414719723796</v>
      </c>
      <c r="O262" s="1" t="n">
        <f aca="false">$C$260*O261</f>
        <v>10.6279222330756</v>
      </c>
      <c r="P262" s="1" t="n">
        <f aca="false">$C$260*P261</f>
        <v>10.8815398824077</v>
      </c>
      <c r="Q262" s="1" t="n">
        <f aca="false">$C$260*Q261</f>
        <v>11.1315030628694</v>
      </c>
      <c r="R262" s="1" t="n">
        <f aca="false">$C$260*R261</f>
        <v>11.3874615490822</v>
      </c>
      <c r="S262" s="1" t="n">
        <f aca="false">$C$260*S261</f>
        <v>11.6492708718331</v>
      </c>
      <c r="T262" s="1" t="n">
        <f aca="false">$C$260*T261</f>
        <v>11.9170828021461</v>
      </c>
      <c r="U262" s="1" t="n">
        <f aca="false">$C$260*U261</f>
        <v>12.1910377354074</v>
      </c>
      <c r="V262" s="1" t="n">
        <f aca="false">$C$260*V261</f>
        <v>12.4712785241528</v>
      </c>
      <c r="W262" s="1" t="n">
        <f aca="false">$C$260*W261</f>
        <v>12.7578908977944</v>
      </c>
      <c r="X262" s="1" t="n">
        <f aca="false">$C$260*X261</f>
        <v>13.0510527956002</v>
      </c>
      <c r="Y262" s="1" t="n">
        <f aca="false">$C$260*Y261</f>
        <v>13.3509334149358</v>
      </c>
      <c r="Z262" s="1" t="n">
        <f aca="false">$C$260*Z261</f>
        <v>13.6576892694993</v>
      </c>
      <c r="AA262" s="1" t="n">
        <f aca="false">$C$260*AA261</f>
        <v>13.9714804496745</v>
      </c>
      <c r="AB262" s="1" t="n">
        <f aca="false">$C$260*AB261</f>
        <v>14.2924720317933</v>
      </c>
      <c r="AC262" s="1" t="n">
        <f aca="false">$C$260*AC261</f>
        <v>14.6208322084228</v>
      </c>
      <c r="AD262" s="1" t="n">
        <f aca="false">$C$260*AD261</f>
        <v>14.9567326517102</v>
      </c>
      <c r="AE262" s="1" t="n">
        <f aca="false">$C$260*AE261</f>
        <v>15.3003489620755</v>
      </c>
      <c r="AF262" s="1" t="n">
        <f aca="false">$C$260*AF261</f>
        <v>15.6518607608057</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43.9334462460797</v>
      </c>
      <c r="M263" s="1" t="n">
        <f aca="false">MAX(0,(M70+L121-L227)*0.25/0.55)</f>
        <v>46.089431344668</v>
      </c>
      <c r="N263" s="1" t="n">
        <f aca="false">MAX(0,(N70+M121-M227)*0.25/0.55)</f>
        <v>48.7984205001279</v>
      </c>
      <c r="O263" s="1" t="n">
        <f aca="false">MAX(0,(O70+N121-N227)*0.25/0.55)</f>
        <v>51.5690772199868</v>
      </c>
      <c r="P263" s="1" t="n">
        <f aca="false">MAX(0,(P70+O121-O227)*0.25/0.55)</f>
        <v>54.4034624192912</v>
      </c>
      <c r="Q263" s="1" t="n">
        <f aca="false">MAX(0,(Q70+P121-P227)*0.25/0.55)</f>
        <v>57.2171546030878</v>
      </c>
      <c r="R263" s="1" t="n">
        <f aca="false">MAX(0,(R70+Q121-Q227)*0.25/0.55)</f>
        <v>60.0058879827845</v>
      </c>
      <c r="S263" s="1" t="n">
        <f aca="false">MAX(0,(S70+R121-R227)*0.25/0.55)</f>
        <v>62.7752432015011</v>
      </c>
      <c r="T263" s="1" t="n">
        <f aca="false">MAX(0,(T70+S121-S227)*0.25/0.55)</f>
        <v>65.533712966842</v>
      </c>
      <c r="U263" s="1" t="n">
        <f aca="false">MAX(0,(U70+T121-T227)*0.25/0.55)</f>
        <v>68.2896239351871</v>
      </c>
      <c r="V263" s="1" t="n">
        <f aca="false">MAX(0,(V70+U121-U227)*0.25/0.55)</f>
        <v>71.0512436670894</v>
      </c>
      <c r="W263" s="1" t="n">
        <f aca="false">MAX(0,(W70+V121-V227)*0.25/0.55)</f>
        <v>73.8267935804688</v>
      </c>
      <c r="X263" s="1" t="n">
        <f aca="false">MAX(0,(X70+W121-W227)*0.25/0.55)</f>
        <v>76.6245427358714</v>
      </c>
      <c r="Y263" s="1" t="n">
        <f aca="false">MAX(0,(Y70+X121-X227)*0.25/0.55)</f>
        <v>79.4527852515258</v>
      </c>
      <c r="Z263" s="1" t="n">
        <f aca="false">MAX(0,(Z70+Y121-Y227)*0.25/0.55)</f>
        <v>82.3198276828792</v>
      </c>
      <c r="AA263" s="1" t="n">
        <f aca="false">MAX(0,(AA70+Z121-Z227)*0.25/0.55)</f>
        <v>85.2340001409671</v>
      </c>
      <c r="AB263" s="1" t="n">
        <f aca="false">MAX(0,(AB70+AA121-AA227)*0.25/0.55)</f>
        <v>88.2036654679612</v>
      </c>
      <c r="AC263" s="1" t="n">
        <f aca="false">MAX(0,(AC70+AB121-AB227)*0.25/0.55)</f>
        <v>91.2372312726591</v>
      </c>
      <c r="AD263" s="1" t="n">
        <f aca="false">MAX(0,(AD70+AC121-AC227)*0.25/0.55)</f>
        <v>94.3431623939832</v>
      </c>
      <c r="AE263" s="1" t="n">
        <f aca="false">MAX(0,(AE70+AD121-AD227)*0.25/0.55)</f>
        <v>97.5299935875413</v>
      </c>
      <c r="AF263" s="1" t="n">
        <f aca="false">MAX(0,(AF70+AE121-AE227)*0.25/0.55)</f>
        <v>100.806341934977</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0.213564428974843</v>
      </c>
      <c r="M266" s="1" t="n">
        <f aca="false">IF(M263&gt;0,M262/M263,0)</f>
        <v>0.218589058376886</v>
      </c>
      <c r="N266" s="1" t="n">
        <f aca="false">IF(N263&gt;0,N262/N263,0)</f>
        <v>0.211922268515894</v>
      </c>
      <c r="O266" s="1" t="n">
        <f aca="false">IF(O263&gt;0,O262/O263,0)</f>
        <v>0.206090991074716</v>
      </c>
      <c r="P266" s="1" t="n">
        <f aca="false">IF(P263&gt;0,P262/P263,0)</f>
        <v>0.200015576187834</v>
      </c>
      <c r="Q266" s="1" t="n">
        <f aca="false">IF(Q263&gt;0,Q262/Q263,0)</f>
        <v>0.194548350754036</v>
      </c>
      <c r="R266" s="1" t="n">
        <f aca="false">IF(R263&gt;0,R262/R263,0)</f>
        <v>0.189772402874018</v>
      </c>
      <c r="S266" s="1" t="n">
        <f aca="false">IF(S263&gt;0,S262/S263,0)</f>
        <v>0.185571099014946</v>
      </c>
      <c r="T266" s="1" t="n">
        <f aca="false">IF(T263&gt;0,T262/T263,0)</f>
        <v>0.181846598683882</v>
      </c>
      <c r="U266" s="1" t="n">
        <f aca="false">IF(U263&gt;0,U262/U263,0)</f>
        <v>0.178519620300996</v>
      </c>
      <c r="V266" s="1" t="n">
        <f aca="false">IF(V263&gt;0,V262/V263,0)</f>
        <v>0.175525126380433</v>
      </c>
      <c r="W266" s="1" t="n">
        <f aca="false">IF(W263&gt;0,W262/W263,0)</f>
        <v>0.172808411134486</v>
      </c>
      <c r="X266" s="1" t="n">
        <f aca="false">IF(X263&gt;0,X262/X263,0)</f>
        <v>0.17032470706661</v>
      </c>
      <c r="Y266" s="1" t="n">
        <f aca="false">IF(Y263&gt;0,Y262/Y263,0)</f>
        <v>0.168036065352151</v>
      </c>
      <c r="Z266" s="1" t="n">
        <f aca="false">IF(Z263&gt;0,Z262/Z263,0)</f>
        <v>0.165910080887352</v>
      </c>
      <c r="AA266" s="1" t="n">
        <f aca="false">IF(AA263&gt;0,AA262/AA263,0)</f>
        <v>0.163919098324229</v>
      </c>
      <c r="AB266" s="1" t="n">
        <f aca="false">IF(AB263&gt;0,AB262/AB263,0)</f>
        <v>0.162039434029925</v>
      </c>
      <c r="AC266" s="1" t="n">
        <f aca="false">IF(AC263&gt;0,AC262/AC263,0)</f>
        <v>0.160250722259742</v>
      </c>
      <c r="AD266" s="1" t="n">
        <f aca="false">IF(AD263&gt;0,AD262/AD263,0)</f>
        <v>0.158535417641078</v>
      </c>
      <c r="AE266" s="1" t="n">
        <f aca="false">IF(AE263&gt;0,AE262/AE263,0)</f>
        <v>0.15687839606328</v>
      </c>
      <c r="AF266" s="1" t="n">
        <f aca="false">IF(AF263&gt;0,AF262/AF263,0)</f>
        <v>0.155266627678065</v>
      </c>
    </row>
    <row r="267" customFormat="false" ht="14.25" hidden="false" customHeight="true" outlineLevel="0" collapsed="false">
      <c r="B267" s="1" t="s">
        <v>1262</v>
      </c>
      <c r="C267" s="1" t="n">
        <f aca="false">C120-C264</f>
        <v>17.9458778419531</v>
      </c>
      <c r="D267" s="1" t="n">
        <f aca="false">D120-D264</f>
        <v>33.1333909810563</v>
      </c>
      <c r="E267" s="1" t="n">
        <f aca="false">E120-E264</f>
        <v>50.0664891553853</v>
      </c>
      <c r="F267" s="1" t="n">
        <f aca="false">F120-F264</f>
        <v>61.8957399124968</v>
      </c>
      <c r="G267" s="1" t="n">
        <f aca="false">G120-G264</f>
        <v>72.9035117906319</v>
      </c>
      <c r="H267" s="1" t="n">
        <f aca="false">H120-H264</f>
        <v>85.579780525817</v>
      </c>
      <c r="I267" s="1" t="n">
        <f aca="false">I120-I264</f>
        <v>100.016760512514</v>
      </c>
      <c r="J267" s="1" t="n">
        <f aca="false">J120-J264</f>
        <v>115.791748019854</v>
      </c>
      <c r="K267" s="1" t="n">
        <f aca="false">K120-K264</f>
        <v>132.858001868872</v>
      </c>
      <c r="L267" s="1" t="n">
        <f aca="false">L120-L264</f>
        <v>149.968252626468</v>
      </c>
      <c r="M267" s="1" t="n">
        <f aca="false">M120-M264</f>
        <v>149.704994554112</v>
      </c>
      <c r="N267" s="1" t="n">
        <f aca="false">N120-N264</f>
        <v>151.433130699113</v>
      </c>
      <c r="O267" s="1" t="n">
        <f aca="false">O120-O264</f>
        <v>153.507098010016</v>
      </c>
      <c r="P267" s="1" t="n">
        <f aca="false">P120-P264</f>
        <v>154.920967269138</v>
      </c>
      <c r="Q267" s="1" t="n">
        <f aca="false">Q120-Q264</f>
        <v>156.19210765991</v>
      </c>
      <c r="R267" s="1" t="n">
        <f aca="false">R120-R264</f>
        <v>157.514867781265</v>
      </c>
      <c r="S267" s="1" t="n">
        <f aca="false">S120-S264</f>
        <v>158.884880234338</v>
      </c>
      <c r="T267" s="1" t="n">
        <f aca="false">T120-T264</f>
        <v>160.303521822993</v>
      </c>
      <c r="U267" s="1" t="n">
        <f aca="false">U120-U264</f>
        <v>161.771930409125</v>
      </c>
      <c r="V267" s="1" t="n">
        <f aca="false">V120-V264</f>
        <v>163.291275567237</v>
      </c>
      <c r="W267" s="1" t="n">
        <f aca="false">W120-W264</f>
        <v>164.865037577415</v>
      </c>
      <c r="X267" s="1" t="n">
        <f aca="false">X120-X264</f>
        <v>166.495031238998</v>
      </c>
      <c r="Y267" s="1" t="n">
        <f aca="false">Y120-Y264</f>
        <v>168.182873843251</v>
      </c>
      <c r="Z267" s="1" t="n">
        <f aca="false">Z120-Z264</f>
        <v>169.929906931578</v>
      </c>
      <c r="AA267" s="1" t="n">
        <f aca="false">AA120-AA264</f>
        <v>171.737520797774</v>
      </c>
      <c r="AB267" s="1" t="n">
        <f aca="false">AB120-AB264</f>
        <v>173.607106202475</v>
      </c>
      <c r="AC267" s="1" t="n">
        <f aca="false">AC120-AC264</f>
        <v>175.540093423524</v>
      </c>
      <c r="AD267" s="1" t="n">
        <f aca="false">AD120-AD264</f>
        <v>177.537958798896</v>
      </c>
      <c r="AE267" s="1" t="n">
        <f aca="false">AE120-AE264</f>
        <v>179.602232974614</v>
      </c>
      <c r="AF267" s="1" t="n">
        <f aca="false">AF120-AF264</f>
        <v>181.734502056911</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9.38262136044099</v>
      </c>
      <c r="M270" s="1" t="n">
        <f aca="false">01_Supuestos!$C$173*M261</f>
        <v>10.0746453987571</v>
      </c>
      <c r="N270" s="1" t="n">
        <f aca="false">01_Supuestos!$C$173*N261</f>
        <v>10.3414719723796</v>
      </c>
      <c r="O270" s="1" t="n">
        <f aca="false">01_Supuestos!$C$173*O261</f>
        <v>10.6279222330756</v>
      </c>
      <c r="P270" s="1" t="n">
        <f aca="false">01_Supuestos!$C$173*P261</f>
        <v>10.8815398824077</v>
      </c>
      <c r="Q270" s="1" t="n">
        <f aca="false">01_Supuestos!$C$173*Q261</f>
        <v>11.1315030628694</v>
      </c>
      <c r="R270" s="1" t="n">
        <f aca="false">01_Supuestos!$C$173*R261</f>
        <v>11.3874615490822</v>
      </c>
      <c r="S270" s="1" t="n">
        <f aca="false">01_Supuestos!$C$173*S261</f>
        <v>11.6492708718331</v>
      </c>
      <c r="T270" s="1" t="n">
        <f aca="false">01_Supuestos!$C$173*T261</f>
        <v>11.9170828021461</v>
      </c>
      <c r="U270" s="1" t="n">
        <f aca="false">01_Supuestos!$C$173*U261</f>
        <v>12.1910377354074</v>
      </c>
      <c r="V270" s="1" t="n">
        <f aca="false">01_Supuestos!$C$173*V261</f>
        <v>12.4712785241528</v>
      </c>
      <c r="W270" s="1" t="n">
        <f aca="false">01_Supuestos!$C$173*W261</f>
        <v>12.7578908977944</v>
      </c>
      <c r="X270" s="1" t="n">
        <f aca="false">01_Supuestos!$C$173*X261</f>
        <v>13.0510527956002</v>
      </c>
      <c r="Y270" s="1" t="n">
        <f aca="false">01_Supuestos!$C$173*Y261</f>
        <v>13.3509334149358</v>
      </c>
      <c r="Z270" s="1" t="n">
        <f aca="false">01_Supuestos!$C$173*Z261</f>
        <v>13.6576892694993</v>
      </c>
      <c r="AA270" s="1" t="n">
        <f aca="false">01_Supuestos!$C$173*AA261</f>
        <v>13.9714804496745</v>
      </c>
      <c r="AB270" s="1" t="n">
        <f aca="false">01_Supuestos!$C$173*AB261</f>
        <v>14.2924720317933</v>
      </c>
      <c r="AC270" s="1" t="n">
        <f aca="false">01_Supuestos!$C$173*AC261</f>
        <v>14.6208322084228</v>
      </c>
      <c r="AD270" s="1" t="n">
        <f aca="false">01_Supuestos!$C$173*AD261</f>
        <v>14.9567326517102</v>
      </c>
      <c r="AE270" s="1" t="n">
        <f aca="false">01_Supuestos!$C$173*AE261</f>
        <v>15.3003489620755</v>
      </c>
      <c r="AF270" s="1" t="n">
        <f aca="false">01_Supuestos!$C$173*AF261</f>
        <v>15.6518607608057</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9.38262136044099</v>
      </c>
      <c r="M271" s="1" t="n">
        <f aca="false">MIN(M270,M263)</f>
        <v>10.0746453987571</v>
      </c>
      <c r="N271" s="1" t="n">
        <f aca="false">MIN(N270,N263)</f>
        <v>10.3414719723796</v>
      </c>
      <c r="O271" s="1" t="n">
        <f aca="false">MIN(O270,O263)</f>
        <v>10.6279222330756</v>
      </c>
      <c r="P271" s="1" t="n">
        <f aca="false">MIN(P270,P263)</f>
        <v>10.8815398824077</v>
      </c>
      <c r="Q271" s="1" t="n">
        <f aca="false">MIN(Q270,Q263)</f>
        <v>11.1315030628694</v>
      </c>
      <c r="R271" s="1" t="n">
        <f aca="false">MIN(R270,R263)</f>
        <v>11.3874615490822</v>
      </c>
      <c r="S271" s="1" t="n">
        <f aca="false">MIN(S270,S263)</f>
        <v>11.6492708718331</v>
      </c>
      <c r="T271" s="1" t="n">
        <f aca="false">MIN(T270,T263)</f>
        <v>11.9170828021461</v>
      </c>
      <c r="U271" s="1" t="n">
        <f aca="false">MIN(U270,U263)</f>
        <v>12.1910377354074</v>
      </c>
      <c r="V271" s="1" t="n">
        <f aca="false">MIN(V270,V263)</f>
        <v>12.4712785241528</v>
      </c>
      <c r="W271" s="1" t="n">
        <f aca="false">MIN(W270,W263)</f>
        <v>12.7578908977944</v>
      </c>
      <c r="X271" s="1" t="n">
        <f aca="false">MIN(X270,X263)</f>
        <v>13.0510527956002</v>
      </c>
      <c r="Y271" s="1" t="n">
        <f aca="false">MIN(Y270,Y263)</f>
        <v>13.3509334149358</v>
      </c>
      <c r="Z271" s="1" t="n">
        <f aca="false">MIN(Z270,Z263)</f>
        <v>13.6576892694993</v>
      </c>
      <c r="AA271" s="1" t="n">
        <f aca="false">MIN(AA270,AA263)</f>
        <v>13.9714804496745</v>
      </c>
      <c r="AB271" s="1" t="n">
        <f aca="false">MIN(AB270,AB263)</f>
        <v>14.2924720317933</v>
      </c>
      <c r="AC271" s="1" t="n">
        <f aca="false">MIN(AC270,AC263)</f>
        <v>14.6208322084228</v>
      </c>
      <c r="AD271" s="1" t="n">
        <f aca="false">MIN(AD270,AD263)</f>
        <v>14.9567326517102</v>
      </c>
      <c r="AE271" s="1" t="n">
        <f aca="false">MIN(AE270,AE263)</f>
        <v>15.3003489620755</v>
      </c>
      <c r="AF271" s="1" t="n">
        <f aca="false">MIN(AF270,AF263)</f>
        <v>15.6518607608057</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0.0938262136044099</v>
      </c>
      <c r="M274" s="1" t="n">
        <f aca="false">IF(01_Supuestos!$C$174="Sí",01_Supuestos!$C$172*M271,01_Supuestos!$I$134*(M271+MIN(MIN(M270-M271,MAX(0,L120)),M264))+$C$10*MAX(0,MIN(M270-M271,MAX(0,L120))-M264))</f>
        <v>0.100746453987571</v>
      </c>
      <c r="N274" s="1" t="n">
        <f aca="false">IF(01_Supuestos!$C$174="Sí",01_Supuestos!$C$172*N271,01_Supuestos!$I$134*(N271+MIN(MIN(N270-N271,MAX(0,M120)),N264))+$C$10*MAX(0,MIN(N270-N271,MAX(0,M120))-N264))</f>
        <v>0.103414719723796</v>
      </c>
      <c r="O274" s="1" t="n">
        <f aca="false">IF(01_Supuestos!$C$174="Sí",01_Supuestos!$C$172*O271,01_Supuestos!$I$134*(O271+MIN(MIN(O270-O271,MAX(0,N120)),O264))+$C$10*MAX(0,MIN(O270-O271,MAX(0,N120))-O264))</f>
        <v>0.106279222330756</v>
      </c>
      <c r="P274" s="1" t="n">
        <f aca="false">IF(01_Supuestos!$C$174="Sí",01_Supuestos!$C$172*P271,01_Supuestos!$I$134*(P271+MIN(MIN(P270-P271,MAX(0,O120)),P264))+$C$10*MAX(0,MIN(P270-P271,MAX(0,O120))-P264))</f>
        <v>0.108815398824077</v>
      </c>
      <c r="Q274" s="1" t="n">
        <f aca="false">IF(01_Supuestos!$C$174="Sí",01_Supuestos!$C$172*Q271,01_Supuestos!$I$134*(Q271+MIN(MIN(Q270-Q271,MAX(0,P120)),Q264))+$C$10*MAX(0,MIN(Q270-Q271,MAX(0,P120))-Q264))</f>
        <v>0.111315030628694</v>
      </c>
      <c r="R274" s="1" t="n">
        <f aca="false">IF(01_Supuestos!$C$174="Sí",01_Supuestos!$C$172*R271,01_Supuestos!$I$134*(R271+MIN(MIN(R270-R271,MAX(0,Q120)),R264))+$C$10*MAX(0,MIN(R270-R271,MAX(0,Q120))-R264))</f>
        <v>0.113874615490822</v>
      </c>
      <c r="S274" s="1" t="n">
        <f aca="false">IF(01_Supuestos!$C$174="Sí",01_Supuestos!$C$172*S271,01_Supuestos!$I$134*(S271+MIN(MIN(S270-S271,MAX(0,R120)),S264))+$C$10*MAX(0,MIN(S270-S271,MAX(0,R120))-S264))</f>
        <v>0.116492708718331</v>
      </c>
      <c r="T274" s="1" t="n">
        <f aca="false">IF(01_Supuestos!$C$174="Sí",01_Supuestos!$C$172*T271,01_Supuestos!$I$134*(T271+MIN(MIN(T270-T271,MAX(0,S120)),T264))+$C$10*MAX(0,MIN(T270-T271,MAX(0,S120))-T264))</f>
        <v>0.119170828021461</v>
      </c>
      <c r="U274" s="1" t="n">
        <f aca="false">IF(01_Supuestos!$C$174="Sí",01_Supuestos!$C$172*U271,01_Supuestos!$I$134*(U271+MIN(MIN(U270-U271,MAX(0,T120)),U264))+$C$10*MAX(0,MIN(U270-U271,MAX(0,T120))-U264))</f>
        <v>0.121910377354074</v>
      </c>
      <c r="V274" s="1" t="n">
        <f aca="false">IF(01_Supuestos!$C$174="Sí",01_Supuestos!$C$172*V271,01_Supuestos!$I$134*(V271+MIN(MIN(V270-V271,MAX(0,U120)),V264))+$C$10*MAX(0,MIN(V270-V271,MAX(0,U120))-V264))</f>
        <v>0.124712785241528</v>
      </c>
      <c r="W274" s="1" t="n">
        <f aca="false">IF(01_Supuestos!$C$174="Sí",01_Supuestos!$C$172*W271,01_Supuestos!$I$134*(W271+MIN(MIN(W270-W271,MAX(0,V120)),W264))+$C$10*MAX(0,MIN(W270-W271,MAX(0,V120))-W264))</f>
        <v>0.127578908977944</v>
      </c>
      <c r="X274" s="1" t="n">
        <f aca="false">IF(01_Supuestos!$C$174="Sí",01_Supuestos!$C$172*X271,01_Supuestos!$I$134*(X271+MIN(MIN(X270-X271,MAX(0,W120)),X264))+$C$10*MAX(0,MIN(X270-X271,MAX(0,W120))-X264))</f>
        <v>0.130510527956002</v>
      </c>
      <c r="Y274" s="1" t="n">
        <f aca="false">IF(01_Supuestos!$C$174="Sí",01_Supuestos!$C$172*Y271,01_Supuestos!$I$134*(Y271+MIN(MIN(Y270-Y271,MAX(0,X120)),Y264))+$C$10*MAX(0,MIN(Y270-Y271,MAX(0,X120))-Y264))</f>
        <v>0.133509334149358</v>
      </c>
      <c r="Z274" s="1" t="n">
        <f aca="false">IF(01_Supuestos!$C$174="Sí",01_Supuestos!$C$172*Z271,01_Supuestos!$I$134*(Z271+MIN(MIN(Z270-Z271,MAX(0,Y120)),Z264))+$C$10*MAX(0,MIN(Z270-Z271,MAX(0,Y120))-Z264))</f>
        <v>0.136576892694993</v>
      </c>
      <c r="AA274" s="1" t="n">
        <f aca="false">IF(01_Supuestos!$C$174="Sí",01_Supuestos!$C$172*AA271,01_Supuestos!$I$134*(AA271+MIN(MIN(AA270-AA271,MAX(0,Z120)),AA264))+$C$10*MAX(0,MIN(AA270-AA271,MAX(0,Z120))-AA264))</f>
        <v>0.139714804496745</v>
      </c>
      <c r="AB274" s="1" t="n">
        <f aca="false">IF(01_Supuestos!$C$174="Sí",01_Supuestos!$C$172*AB271,01_Supuestos!$I$134*(AB271+MIN(MIN(AB270-AB271,MAX(0,AA120)),AB264))+$C$10*MAX(0,MIN(AB270-AB271,MAX(0,AA120))-AB264))</f>
        <v>0.142924720317933</v>
      </c>
      <c r="AC274" s="1" t="n">
        <f aca="false">IF(01_Supuestos!$C$174="Sí",01_Supuestos!$C$172*AC271,01_Supuestos!$I$134*(AC271+MIN(MIN(AC270-AC271,MAX(0,AB120)),AC264))+$C$10*MAX(0,MIN(AC270-AC271,MAX(0,AB120))-AC264))</f>
        <v>0.146208322084228</v>
      </c>
      <c r="AD274" s="1" t="n">
        <f aca="false">IF(01_Supuestos!$C$174="Sí",01_Supuestos!$C$172*AD271,01_Supuestos!$I$134*(AD271+MIN(MIN(AD270-AD271,MAX(0,AC120)),AD264))+$C$10*MAX(0,MIN(AD270-AD271,MAX(0,AC120))-AD264))</f>
        <v>0.149567326517102</v>
      </c>
      <c r="AE274" s="1" t="n">
        <f aca="false">IF(01_Supuestos!$C$174="Sí",01_Supuestos!$C$172*AE271,01_Supuestos!$I$134*(AE271+MIN(MIN(AE270-AE271,MAX(0,AD120)),AE264))+$C$10*MAX(0,MIN(AE270-AE271,MAX(0,AD120))-AE264))</f>
        <v>0.153003489620755</v>
      </c>
      <c r="AF274" s="1" t="n">
        <f aca="false">IF(01_Supuestos!$C$174="Sí",01_Supuestos!$C$172*AF271,01_Supuestos!$I$134*(AF271+MIN(MIN(AF270-AF271,MAX(0,AE120)),AF264))+$C$10*MAX(0,MIN(AF270-AF271,MAX(0,AE120))-AF264))</f>
        <v>0.156518607608057</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33.1333909810563</v>
      </c>
      <c r="E276" s="1" t="n">
        <f aca="false">E120-MAX(E264,E272)</f>
        <v>50.0664891553853</v>
      </c>
      <c r="F276" s="1" t="n">
        <f aca="false">F120-MAX(F264,F272)</f>
        <v>61.8957399124968</v>
      </c>
      <c r="G276" s="1" t="n">
        <f aca="false">G120-MAX(G264,G272)</f>
        <v>72.9035117906319</v>
      </c>
      <c r="H276" s="1" t="n">
        <f aca="false">H120-MAX(H264,H272)</f>
        <v>85.579780525817</v>
      </c>
      <c r="I276" s="1" t="n">
        <f aca="false">I120-MAX(I264,I272)</f>
        <v>100.016760512514</v>
      </c>
      <c r="J276" s="1" t="n">
        <f aca="false">J120-MAX(J264,J272)</f>
        <v>115.791748019854</v>
      </c>
      <c r="K276" s="1" t="n">
        <f aca="false">K120-MAX(K264,K272)</f>
        <v>132.858001868872</v>
      </c>
      <c r="L276" s="1" t="n">
        <f aca="false">L120-MAX(L264,L272)</f>
        <v>149.968252626468</v>
      </c>
      <c r="M276" s="1" t="n">
        <f aca="false">M120-MAX(M264,M272)</f>
        <v>149.704994554112</v>
      </c>
      <c r="N276" s="1" t="n">
        <f aca="false">N120-MAX(N264,N272)</f>
        <v>151.433130699113</v>
      </c>
      <c r="O276" s="1" t="n">
        <f aca="false">O120-MAX(O264,O272)</f>
        <v>153.507098010016</v>
      </c>
      <c r="P276" s="1" t="n">
        <f aca="false">P120-MAX(P264,P272)</f>
        <v>154.920967269138</v>
      </c>
      <c r="Q276" s="1" t="n">
        <f aca="false">Q120-MAX(Q264,Q272)</f>
        <v>156.19210765991</v>
      </c>
      <c r="R276" s="1" t="n">
        <f aca="false">R120-MAX(R264,R272)</f>
        <v>157.514867781265</v>
      </c>
      <c r="S276" s="1" t="n">
        <f aca="false">S120-MAX(S264,S272)</f>
        <v>158.884880234338</v>
      </c>
      <c r="T276" s="1" t="n">
        <f aca="false">T120-MAX(T264,T272)</f>
        <v>160.303521822993</v>
      </c>
      <c r="U276" s="1" t="n">
        <f aca="false">U120-MAX(U264,U272)</f>
        <v>161.771930409125</v>
      </c>
      <c r="V276" s="1" t="n">
        <f aca="false">V120-MAX(V264,V272)</f>
        <v>163.291275567237</v>
      </c>
      <c r="W276" s="1" t="n">
        <f aca="false">W120-MAX(W264,W272)</f>
        <v>164.865037577415</v>
      </c>
      <c r="X276" s="1" t="n">
        <f aca="false">X120-MAX(X264,X272)</f>
        <v>166.495031238998</v>
      </c>
      <c r="Y276" s="1" t="n">
        <f aca="false">Y120-MAX(Y264,Y272)</f>
        <v>168.182873843251</v>
      </c>
      <c r="Z276" s="1" t="n">
        <f aca="false">Z120-MAX(Z264,Z272)</f>
        <v>169.929906931578</v>
      </c>
      <c r="AA276" s="1" t="n">
        <f aca="false">AA120-MAX(AA264,AA272)</f>
        <v>171.737520797774</v>
      </c>
      <c r="AB276" s="1" t="n">
        <f aca="false">AB120-MAX(AB264,AB272)</f>
        <v>173.607106202475</v>
      </c>
      <c r="AC276" s="1" t="n">
        <f aca="false">AC120-MAX(AC264,AC272)</f>
        <v>175.540093423524</v>
      </c>
      <c r="AD276" s="1" t="n">
        <f aca="false">AD120-MAX(AD264,AD272)</f>
        <v>177.537958798896</v>
      </c>
      <c r="AE276" s="1" t="n">
        <f aca="false">AE120-MAX(AE264,AE272)</f>
        <v>179.602232974614</v>
      </c>
      <c r="AF276" s="1" t="n">
        <f aca="false">AF120-MAX(AF264,AF272)</f>
        <v>181.734502056911</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39.9512473578061</v>
      </c>
      <c r="M284" s="1" t="n">
        <f aca="false">$C$279*M87</f>
        <v>49.1134069534761</v>
      </c>
      <c r="N284" s="1" t="n">
        <f aca="false">$C$279*N87</f>
        <v>52.8520259704646</v>
      </c>
      <c r="O284" s="1" t="n">
        <f aca="false">$C$279*O87</f>
        <v>53.9600336581312</v>
      </c>
      <c r="P284" s="1" t="n">
        <f aca="false">$C$279*P87</f>
        <v>55.1816045177082</v>
      </c>
      <c r="Q284" s="1" t="n">
        <f aca="false">$C$279*Q87</f>
        <v>56.4356409706919</v>
      </c>
      <c r="R284" s="1" t="n">
        <f aca="false">$C$279*R87</f>
        <v>57.7261952503681</v>
      </c>
      <c r="S284" s="1" t="n">
        <f aca="false">$C$279*S87</f>
        <v>59.0537938301051</v>
      </c>
      <c r="T284" s="1" t="n">
        <f aca="false">$C$279*T87</f>
        <v>60.4187776544824</v>
      </c>
      <c r="U284" s="1" t="n">
        <f aca="false">$C$279*U87</f>
        <v>61.8215158760486</v>
      </c>
      <c r="V284" s="1" t="n">
        <f aca="false">$C$279*V87</f>
        <v>63.2623988745616</v>
      </c>
      <c r="W284" s="1" t="n">
        <f aca="false">$C$279*W87</f>
        <v>64.7462117931017</v>
      </c>
      <c r="X284" s="1" t="n">
        <f aca="false">$C$279*X87</f>
        <v>66.2733619353313</v>
      </c>
      <c r="Y284" s="1" t="n">
        <f aca="false">$C$279*Y87</f>
        <v>67.8442729791949</v>
      </c>
      <c r="Z284" s="1" t="n">
        <f aca="false">$C$279*Z87</f>
        <v>69.4593863088752</v>
      </c>
      <c r="AA284" s="1" t="n">
        <f aca="false">$C$279*AA87</f>
        <v>71.1191607108409</v>
      </c>
      <c r="AB284" s="1" t="n">
        <f aca="false">$C$279*AB87</f>
        <v>72.8239766042363</v>
      </c>
      <c r="AC284" s="1" t="n">
        <f aca="false">$C$279*AC87</f>
        <v>74.5742329438481</v>
      </c>
      <c r="AD284" s="1" t="n">
        <f aca="false">$C$279*AD87</f>
        <v>76.370346889283</v>
      </c>
      <c r="AE284" s="1" t="n">
        <f aca="false">$C$279*AE87</f>
        <v>78.2127534698565</v>
      </c>
      <c r="AF284" s="1" t="n">
        <f aca="false">$C$279*AF87</f>
        <v>80.101905280193</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1.99556480552241</v>
      </c>
      <c r="N285" s="1" t="n">
        <f aca="false">MAX(M284*(1-$C$340)/$C$280,M284-N341-N284)</f>
        <v>2.45321467732613</v>
      </c>
      <c r="O285" s="1" t="n">
        <f aca="false">MAX(N284*(1-$C$340)/$C$280,N284-O341-O284)</f>
        <v>2.63995869722471</v>
      </c>
      <c r="P285" s="1" t="n">
        <f aca="false">MAX(O284*(1-$C$340)/$C$280,O284-P341-P284)</f>
        <v>2.69530368122365</v>
      </c>
      <c r="Q285" s="1" t="n">
        <f aca="false">MAX(P284*(1-$C$340)/$C$280,P284-Q341-Q284)</f>
        <v>2.75632114565952</v>
      </c>
      <c r="R285" s="1" t="n">
        <f aca="false">MAX(Q284*(1-$C$340)/$C$280,Q284-R341-R284)</f>
        <v>2.81896026648606</v>
      </c>
      <c r="S285" s="1" t="n">
        <f aca="false">MAX(R284*(1-$C$340)/$C$280,R284-S341-S284)</f>
        <v>2.88342345275589</v>
      </c>
      <c r="T285" s="1" t="n">
        <f aca="false">MAX(S284*(1-$C$340)/$C$280,S284-T341-T284)</f>
        <v>2.94973700181375</v>
      </c>
      <c r="U285" s="1" t="n">
        <f aca="false">MAX(T284*(1-$C$340)/$C$280,T284-U341-U284)</f>
        <v>3.01791794384139</v>
      </c>
      <c r="V285" s="1" t="n">
        <f aca="false">MAX(U284*(1-$C$340)/$C$280,U284-V341-V284)</f>
        <v>3.08798471800863</v>
      </c>
      <c r="W285" s="1" t="n">
        <f aca="false">MAX(V284*(1-$C$340)/$C$280,V284-W341-W284)</f>
        <v>3.15995682378435</v>
      </c>
      <c r="X285" s="1" t="n">
        <f aca="false">MAX(W284*(1-$C$340)/$C$280,W284-X341-X284)</f>
        <v>3.23407327906543</v>
      </c>
      <c r="Y285" s="1" t="n">
        <f aca="false">MAX(X284*(1-$C$340)/$C$280,X284-Y341-Y284)</f>
        <v>3.3103544286698</v>
      </c>
      <c r="Z285" s="1" t="n">
        <f aca="false">MAX(Y284*(1-$C$340)/$C$280,Y284-Z341-Z284)</f>
        <v>3.38882143531079</v>
      </c>
      <c r="AA285" s="1" t="n">
        <f aca="false">MAX(Z284*(1-$C$340)/$C$280,Z284-AA341-AA284)</f>
        <v>3.46949634612832</v>
      </c>
      <c r="AB285" s="1" t="n">
        <f aca="false">MAX(AA284*(1-$C$340)/$C$280,AA284-AB341-AB284)</f>
        <v>3.5524020775065</v>
      </c>
      <c r="AC285" s="1" t="n">
        <f aca="false">MAX(AB284*(1-$C$340)/$C$280,AB284-AC341-AC284)</f>
        <v>3.6375576313816</v>
      </c>
      <c r="AD285" s="1" t="n">
        <f aca="false">MAX(AC284*(1-$C$340)/$C$280,AC284-AD341-AD284)</f>
        <v>3.72498293554521</v>
      </c>
      <c r="AE285" s="1" t="n">
        <f aca="false">MAX(AD284*(1-$C$340)/$C$280,AD284-AE341-AE284)</f>
        <v>3.81469882711969</v>
      </c>
      <c r="AF285" s="1" t="n">
        <f aca="false">MAX(AE284*(1-$C$340)/$C$280,AE284-AF341-AF284)</f>
        <v>3.90672703581933</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7.45399436914991</v>
      </c>
      <c r="M286" s="1" t="n">
        <f aca="false">M284-L284+M285+M341</f>
        <v>11.1976756485502</v>
      </c>
      <c r="N286" s="1" t="n">
        <f aca="false">N284-M284+N285+N341</f>
        <v>6.24094710126813</v>
      </c>
      <c r="O286" s="1" t="n">
        <f aca="false">O284-N284+O285+O341</f>
        <v>3.80081841086172</v>
      </c>
      <c r="P286" s="1" t="n">
        <f aca="false">P284-O284+P285+P341</f>
        <v>3.97083457445883</v>
      </c>
      <c r="Q286" s="1" t="n">
        <f aca="false">Q284-P284+Q285+Q341</f>
        <v>4.06553920316092</v>
      </c>
      <c r="R286" s="1" t="n">
        <f aca="false">R284-Q284+R285+R341</f>
        <v>4.16595018713296</v>
      </c>
      <c r="S286" s="1" t="n">
        <f aca="false">S284-R284+S285+S341</f>
        <v>4.26874822774325</v>
      </c>
      <c r="T286" s="1" t="n">
        <f aca="false">T284-S284+T285+T341</f>
        <v>4.37377462002112</v>
      </c>
      <c r="U286" s="1" t="n">
        <f aca="false">U284-T284+U285+U341</f>
        <v>4.48107494306208</v>
      </c>
      <c r="V286" s="1" t="n">
        <f aca="false">V284-U284+V285+V341</f>
        <v>4.59068923239768</v>
      </c>
      <c r="W286" s="1" t="n">
        <f aca="false">W284-V284+W285+W341</f>
        <v>4.70703214119901</v>
      </c>
      <c r="X286" s="1" t="n">
        <f aca="false">X284-W284+X285+X341</f>
        <v>4.82596963308819</v>
      </c>
      <c r="Y286" s="1" t="n">
        <f aca="false">Y284-X284+Y285+Y341</f>
        <v>4.94753883446873</v>
      </c>
      <c r="Z286" s="1" t="n">
        <f aca="false">Z284-Y284+Z285+Z341</f>
        <v>5.07177903797029</v>
      </c>
      <c r="AA286" s="1" t="n">
        <f aca="false">AA284-Z284+AA285+AA341</f>
        <v>5.19873013440283</v>
      </c>
      <c r="AB286" s="1" t="n">
        <f aca="false">AB284-AA284+AB285+AB341</f>
        <v>5.32833713161275</v>
      </c>
      <c r="AC286" s="1" t="n">
        <f aca="false">AC284-AB284+AC285+AC341</f>
        <v>5.46063794759762</v>
      </c>
      <c r="AD286" s="1" t="n">
        <f aca="false">AD284-AC284+AD285+AD341</f>
        <v>5.595671113924</v>
      </c>
      <c r="AE286" s="1" t="n">
        <f aca="false">AE284-AD284+AE285+AE341</f>
        <v>5.73347575458249</v>
      </c>
      <c r="AF286" s="1" t="n">
        <f aca="false">AF284-AE284+AF285+AF341</f>
        <v>5.87409159962566</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1.71618573274928</v>
      </c>
      <c r="M287" s="1" t="n">
        <f aca="false">M284*(1-$C$340)*$C$175</f>
        <v>2.10976462250047</v>
      </c>
      <c r="N287" s="1" t="n">
        <f aca="false">N284*(1-$C$340)*$C$175</f>
        <v>2.27036447961325</v>
      </c>
      <c r="O287" s="1" t="n">
        <f aca="false">O284*(1-$C$340)*$C$175</f>
        <v>2.31796116585234</v>
      </c>
      <c r="P287" s="1" t="n">
        <f aca="false">P284*(1-$C$340)*$C$175</f>
        <v>2.37043618526719</v>
      </c>
      <c r="Q287" s="1" t="n">
        <f aca="false">Q284*(1-$C$340)*$C$175</f>
        <v>2.42430582917801</v>
      </c>
      <c r="R287" s="1" t="n">
        <f aca="false">R284*(1-$C$340)*$C$175</f>
        <v>2.47974416937006</v>
      </c>
      <c r="S287" s="1" t="n">
        <f aca="false">S284*(1-$C$340)*$C$175</f>
        <v>2.53677382155982</v>
      </c>
      <c r="T287" s="1" t="n">
        <f aca="false">T284*(1-$C$340)*$C$175</f>
        <v>2.5954094317036</v>
      </c>
      <c r="U287" s="1" t="n">
        <f aca="false">U284*(1-$C$340)*$C$175</f>
        <v>2.65566685748742</v>
      </c>
      <c r="V287" s="1" t="n">
        <f aca="false">V284*(1-$C$340)*$C$175</f>
        <v>2.71756286845454</v>
      </c>
      <c r="W287" s="1" t="n">
        <f aca="false">W284*(1-$C$340)*$C$175</f>
        <v>2.78130301999627</v>
      </c>
      <c r="X287" s="1" t="n">
        <f aca="false">X284*(1-$C$340)*$C$175</f>
        <v>2.84690480865603</v>
      </c>
      <c r="Y287" s="1" t="n">
        <f aca="false">Y284*(1-$C$340)*$C$175</f>
        <v>2.91438643436728</v>
      </c>
      <c r="Z287" s="1" t="n">
        <f aca="false">Z284*(1-$C$340)*$C$175</f>
        <v>2.98376685767035</v>
      </c>
      <c r="AA287" s="1" t="n">
        <f aca="false">AA284*(1-$C$340)*$C$175</f>
        <v>3.05506578665559</v>
      </c>
      <c r="AB287" s="1" t="n">
        <f aca="false">AB284*(1-$C$340)*$C$175</f>
        <v>3.12829956298818</v>
      </c>
      <c r="AC287" s="1" t="n">
        <f aca="false">AC284*(1-$C$340)*$C$175</f>
        <v>3.20348532456888</v>
      </c>
      <c r="AD287" s="1" t="n">
        <f aca="false">AD284*(1-$C$340)*$C$175</f>
        <v>3.28064099132293</v>
      </c>
      <c r="AE287" s="1" t="n">
        <f aca="false">AE284*(1-$C$340)*$C$175</f>
        <v>3.35978525080463</v>
      </c>
      <c r="AF287" s="1" t="n">
        <f aca="false">AF284*(1-$C$340)*$C$175</f>
        <v>3.44093754512125</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55.1707701607798</v>
      </c>
      <c r="M289" s="1" t="n">
        <f aca="false">(1-$C$279)*M87</f>
        <v>67.823276269086</v>
      </c>
      <c r="N289" s="1" t="n">
        <f aca="false">(1-$C$279)*N87</f>
        <v>72.9861311020702</v>
      </c>
      <c r="O289" s="1" t="n">
        <f aca="false">(1-$C$279)*O87</f>
        <v>74.5162369564669</v>
      </c>
      <c r="P289" s="1" t="n">
        <f aca="false">(1-$C$279)*P87</f>
        <v>76.2031681435018</v>
      </c>
      <c r="Q289" s="1" t="n">
        <f aca="false">(1-$C$279)*Q87</f>
        <v>77.9349327690507</v>
      </c>
      <c r="R289" s="1" t="n">
        <f aca="false">(1-$C$279)*R87</f>
        <v>79.7171267743179</v>
      </c>
      <c r="S289" s="1" t="n">
        <f aca="false">(1-$C$279)*S87</f>
        <v>81.5504771939547</v>
      </c>
      <c r="T289" s="1" t="n">
        <f aca="false">(1-$C$279)*T87</f>
        <v>83.4354548561899</v>
      </c>
      <c r="U289" s="1" t="n">
        <f aca="false">(1-$C$279)*U87</f>
        <v>85.3725695431147</v>
      </c>
      <c r="V289" s="1" t="n">
        <f aca="false">(1-$C$279)*V87</f>
        <v>87.362360350585</v>
      </c>
      <c r="W289" s="1" t="n">
        <f aca="false">(1-$C$279)*W87</f>
        <v>89.4114353333309</v>
      </c>
      <c r="X289" s="1" t="n">
        <f aca="false">(1-$C$279)*X87</f>
        <v>91.5203569583147</v>
      </c>
      <c r="Y289" s="1" t="n">
        <f aca="false">(1-$C$279)*Y87</f>
        <v>93.6897103046025</v>
      </c>
      <c r="Z289" s="1" t="n">
        <f aca="false">(1-$C$279)*Z87</f>
        <v>95.9201049027325</v>
      </c>
      <c r="AA289" s="1" t="n">
        <f aca="false">(1-$C$279)*AA87</f>
        <v>98.2121743149707</v>
      </c>
      <c r="AB289" s="1" t="n">
        <f aca="false">(1-$C$279)*AB87</f>
        <v>100.566443882041</v>
      </c>
      <c r="AC289" s="1" t="n">
        <f aca="false">(1-$C$279)*AC87</f>
        <v>102.983464541504</v>
      </c>
      <c r="AD289" s="1" t="n">
        <f aca="false">(1-$C$279)*AD87</f>
        <v>105.463812370915</v>
      </c>
      <c r="AE289" s="1" t="n">
        <f aca="false">(1-$C$279)*AE87</f>
        <v>108.00808812504</v>
      </c>
      <c r="AF289" s="1" t="n">
        <f aca="false">(1-$C$279)*AF87</f>
        <v>110.616916815505</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11.0231198781238</v>
      </c>
      <c r="N290" s="1" t="n">
        <f aca="false">MAX(M289*(1-$C$340)/$C$281+IF(AND(01_Supuestos!$C$189&gt;0,N$39=01_Supuestos!$C$189),01_Supuestos!$C$190*M289*(1-$C$340)*(1-1/$C$281),0),M289-N342-N289)</f>
        <v>13.5510905985634</v>
      </c>
      <c r="O290" s="1" t="n">
        <f aca="false">MAX(N289*(1-$C$340)/$C$281+IF(AND(01_Supuestos!$C$189&gt;0,O$39=01_Supuestos!$C$189),01_Supuestos!$C$190*N289*(1-$C$340)*(1-1/$C$281),0),N289-O342-O289)</f>
        <v>14.5826289941936</v>
      </c>
      <c r="P290" s="1" t="n">
        <f aca="false">MAX(O289*(1-$C$340)/$C$281+IF(AND(01_Supuestos!$C$189&gt;0,P$39=01_Supuestos!$C$189),01_Supuestos!$C$190*O289*(1-$C$340)*(1-1/$C$281),0),O289-P342-P289)</f>
        <v>14.8883441439021</v>
      </c>
      <c r="Q290" s="1" t="n">
        <f aca="false">MAX(P289*(1-$C$340)/$C$281+IF(AND(01_Supuestos!$C$189&gt;0,Q$39=01_Supuestos!$C$189),01_Supuestos!$C$190*P289*(1-$C$340)*(1-1/$C$281),0),P289-Q342-Q289)</f>
        <v>15.2253929950717</v>
      </c>
      <c r="R290" s="1" t="n">
        <f aca="false">MAX(Q289*(1-$C$340)/$C$281+IF(AND(01_Supuestos!$C$189&gt;0,R$39=01_Supuestos!$C$189),01_Supuestos!$C$190*Q289*(1-$C$340)*(1-1/$C$281),0),Q289-R342-R289)</f>
        <v>15.5713995672563</v>
      </c>
      <c r="S290" s="1" t="n">
        <f aca="false">MAX(R289*(1-$C$340)/$C$281+IF(AND(01_Supuestos!$C$189&gt;0,S$39=01_Supuestos!$C$189),01_Supuestos!$C$190*R289*(1-$C$340)*(1-1/$C$281),0),R289-S342-S289)</f>
        <v>15.9274819295087</v>
      </c>
      <c r="T290" s="1" t="n">
        <f aca="false">MAX(S289*(1-$C$340)/$C$281+IF(AND(01_Supuestos!$C$189&gt;0,T$39=01_Supuestos!$C$189),01_Supuestos!$C$190*S289*(1-$C$340)*(1-1/$C$281),0),S289-T342-T289)</f>
        <v>16.2937853433521</v>
      </c>
      <c r="U290" s="1" t="n">
        <f aca="false">MAX(T289*(1-$C$340)/$C$281+IF(AND(01_Supuestos!$C$189&gt;0,U$39=01_Supuestos!$C$189),01_Supuestos!$C$190*T289*(1-$C$340)*(1-1/$C$281),0),T289-U342-U289)</f>
        <v>16.6704038802668</v>
      </c>
      <c r="V290" s="1" t="n">
        <f aca="false">MAX(U289*(1-$C$340)/$C$281+IF(AND(01_Supuestos!$C$189&gt;0,V$39=01_Supuestos!$C$189),01_Supuestos!$C$190*U289*(1-$C$340)*(1-1/$C$281),0),U289-V342-V289)</f>
        <v>17.0574393947143</v>
      </c>
      <c r="W290" s="1" t="n">
        <f aca="false">MAX(V289*(1-$C$340)/$C$281+IF(AND(01_Supuestos!$C$189&gt;0,W$39=01_Supuestos!$C$189),01_Supuestos!$C$190*V289*(1-$C$340)*(1-1/$C$281),0),V289-W342-W289)</f>
        <v>17.4549995980469</v>
      </c>
      <c r="X290" s="1" t="n">
        <f aca="false">MAX(W289*(1-$C$340)/$C$281+IF(AND(01_Supuestos!$C$189&gt;0,X$39=01_Supuestos!$C$189),01_Supuestos!$C$190*W289*(1-$C$340)*(1-1/$C$281),0),W289-X342-X289)</f>
        <v>17.8644047795995</v>
      </c>
      <c r="Y290" s="1" t="n">
        <f aca="false">MAX(X289*(1-$C$340)/$C$281+IF(AND(01_Supuestos!$C$189&gt;0,Y$39=01_Supuestos!$C$189),01_Supuestos!$C$190*X289*(1-$C$340)*(1-1/$C$281),0),X289-Y342-Y289)</f>
        <v>18.2857673202713</v>
      </c>
      <c r="Z290" s="1" t="n">
        <f aca="false">MAX(Y289*(1-$C$340)/$C$281+IF(AND(01_Supuestos!$C$189&gt;0,Z$39=01_Supuestos!$C$189),01_Supuestos!$C$190*Y289*(1-$C$340)*(1-1/$C$281),0),Y289-Z342-Z289)</f>
        <v>18.7192041188596</v>
      </c>
      <c r="AA290" s="1" t="n">
        <f aca="false">MAX(Z289*(1-$C$340)/$C$281+IF(AND(01_Supuestos!$C$189&gt;0,AA$39=01_Supuestos!$C$189),01_Supuestos!$C$190*Z289*(1-$C$340)*(1-1/$C$281),0),Z289-AA342-AA289)</f>
        <v>19.164836959566</v>
      </c>
      <c r="AB290" s="1" t="n">
        <f aca="false">MAX(AA289*(1-$C$340)/$C$281+IF(AND(01_Supuestos!$C$189&gt;0,AB$39=01_Supuestos!$C$189),01_Supuestos!$C$190*AA289*(1-$C$340)*(1-1/$C$281),0),AA289-AB342-AB289)</f>
        <v>19.6227924281312</v>
      </c>
      <c r="AC290" s="1" t="n">
        <f aca="false">MAX(AB289*(1-$C$340)/$C$281+IF(AND(01_Supuestos!$C$189&gt;0,AC$39=01_Supuestos!$C$189),01_Supuestos!$C$190*AB289*(1-$C$340)*(1-1/$C$281),0),AB289-AC342-AC289)</f>
        <v>20.0931754876317</v>
      </c>
      <c r="AD290" s="1" t="n">
        <f aca="false">MAX(AC289*(1-$C$340)/$C$281+IF(AND(01_Supuestos!$C$189&gt;0,AD$39=01_Supuestos!$C$189),01_Supuestos!$C$190*AC289*(1-$C$340)*(1-1/$C$281),0),AC289-AD342-AD289)</f>
        <v>20.5760962153926</v>
      </c>
      <c r="AE290" s="1" t="n">
        <f aca="false">MAX(AD289*(1-$C$340)/$C$281+IF(AND(01_Supuestos!$C$189&gt;0,AE$39=01_Supuestos!$C$189),01_Supuestos!$C$190*AD289*(1-$C$340)*(1-1/$C$281),0),AD289-AE342-AE289)</f>
        <v>21.0716697117087</v>
      </c>
      <c r="AF290" s="1" t="n">
        <f aca="false">MAX(AE289*(1-$C$340)/$C$281+IF(AND(01_Supuestos!$C$189&gt;0,AF$39=01_Supuestos!$C$189),01_Supuestos!$C$190*AE289*(1-$C$340)*(1-1/$C$281),0),AE289-AF342-AF289)</f>
        <v>21.580016007383</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17.3794784646985</v>
      </c>
      <c r="M291" s="1" t="n">
        <f aca="false">M289-L289+M290+M342</f>
        <v>23.7307967565908</v>
      </c>
      <c r="N291" s="1" t="n">
        <f aca="false">N289-M289+N290+N342</f>
        <v>18.7817687078166</v>
      </c>
      <c r="O291" s="1" t="n">
        <f aca="false">O289-N289+O290+O342</f>
        <v>16.1857209796924</v>
      </c>
      <c r="P291" s="1" t="n">
        <f aca="false">P289-O289+P290+P342</f>
        <v>16.6497915678935</v>
      </c>
      <c r="Q291" s="1" t="n">
        <f aca="false">Q289-P289+Q290+Q342</f>
        <v>17.0333607887641</v>
      </c>
      <c r="R291" s="1" t="n">
        <f aca="false">R289-Q289+R290+R342</f>
        <v>17.4315285052925</v>
      </c>
      <c r="S291" s="1" t="n">
        <f aca="false">S289-R289+S290+S342</f>
        <v>17.8405494759198</v>
      </c>
      <c r="T291" s="1" t="n">
        <f aca="false">T289-S289+T290+T342</f>
        <v>18.2603134827814</v>
      </c>
      <c r="U291" s="1" t="n">
        <f aca="false">U289-T289+U290+U342</f>
        <v>18.6909540220477</v>
      </c>
      <c r="V291" s="1" t="n">
        <f aca="false">V289-U289+V290+V342</f>
        <v>19.1326027717278</v>
      </c>
      <c r="W291" s="1" t="n">
        <f aca="false">W289-V289+W290+W342</f>
        <v>19.5914369411433</v>
      </c>
      <c r="X291" s="1" t="n">
        <f aca="false">X289-W289+X290+X342</f>
        <v>20.0627378399167</v>
      </c>
      <c r="Y291" s="1" t="n">
        <f aca="false">Y289-X289+Y290+Y342</f>
        <v>20.5466410235174</v>
      </c>
      <c r="Z291" s="1" t="n">
        <f aca="false">Z289-Y289+Z290+Z342</f>
        <v>21.0432884272942</v>
      </c>
      <c r="AA291" s="1" t="n">
        <f aca="false">AA289-Z289+AA290+AA342</f>
        <v>21.5528264767069</v>
      </c>
      <c r="AB291" s="1" t="n">
        <f aca="false">AB289-AA289+AB290+AB342</f>
        <v>22.075274169516</v>
      </c>
      <c r="AC291" s="1" t="n">
        <f aca="false">AC289-AB289+AC290+AC342</f>
        <v>22.6107625909776</v>
      </c>
      <c r="AD291" s="1" t="n">
        <f aca="false">AD289-AC289+AD290+AD342</f>
        <v>23.1594275093443</v>
      </c>
      <c r="AE291" s="1" t="n">
        <f aca="false">AE289-AD289+AE290+AE342</f>
        <v>23.721409278205</v>
      </c>
      <c r="AF291" s="1" t="n">
        <f aca="false">AF289-AE289+AF290+AF342</f>
        <v>24.2968527859727</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2.36997077379662</v>
      </c>
      <c r="M292" s="1" t="n">
        <f aca="false">M289*(1-$C$340)*$C$175</f>
        <v>2.91348447869113</v>
      </c>
      <c r="N292" s="1" t="n">
        <f aca="false">N289*(1-$C$340)*$C$175</f>
        <v>3.13526523375163</v>
      </c>
      <c r="O292" s="1" t="n">
        <f aca="false">O289*(1-$C$340)*$C$175</f>
        <v>3.20099399093895</v>
      </c>
      <c r="P292" s="1" t="n">
        <f aca="false">P289*(1-$C$340)*$C$175</f>
        <v>3.27345949394041</v>
      </c>
      <c r="Q292" s="1" t="n">
        <f aca="false">Q289*(1-$C$340)*$C$175</f>
        <v>3.34785090696011</v>
      </c>
      <c r="R292" s="1" t="n">
        <f aca="false">R289*(1-$C$340)*$C$175</f>
        <v>3.42440861484437</v>
      </c>
      <c r="S292" s="1" t="n">
        <f aca="false">S289*(1-$C$340)*$C$175</f>
        <v>3.50316384882071</v>
      </c>
      <c r="T292" s="1" t="n">
        <f aca="false">T289*(1-$C$340)*$C$175</f>
        <v>3.58413683425735</v>
      </c>
      <c r="U292" s="1" t="n">
        <f aca="false">U289*(1-$C$340)*$C$175</f>
        <v>3.66734946986358</v>
      </c>
      <c r="V292" s="1" t="n">
        <f aca="false">V289*(1-$C$340)*$C$175</f>
        <v>3.75282491358008</v>
      </c>
      <c r="W292" s="1" t="n">
        <f aca="false">W289*(1-$C$340)*$C$175</f>
        <v>3.84084702761389</v>
      </c>
      <c r="X292" s="1" t="n">
        <f aca="false">X289*(1-$C$340)*$C$175</f>
        <v>3.93143997385832</v>
      </c>
      <c r="Y292" s="1" t="n">
        <f aca="false">Y289*(1-$C$340)*$C$175</f>
        <v>4.02462888555481</v>
      </c>
      <c r="Z292" s="1" t="n">
        <f aca="false">Z289*(1-$C$340)*$C$175</f>
        <v>4.12043994630668</v>
      </c>
      <c r="AA292" s="1" t="n">
        <f aca="false">AA289*(1-$C$340)*$C$175</f>
        <v>4.2189003720482</v>
      </c>
      <c r="AB292" s="1" t="n">
        <f aca="false">AB289*(1-$C$340)*$C$175</f>
        <v>4.32003272984082</v>
      </c>
      <c r="AC292" s="1" t="n">
        <f aca="false">AC289*(1-$C$340)*$C$175</f>
        <v>4.42386068630941</v>
      </c>
      <c r="AD292" s="1" t="n">
        <f aca="false">AD289*(1-$C$340)*$C$175</f>
        <v>4.53040898801738</v>
      </c>
      <c r="AE292" s="1" t="n">
        <f aca="false">AE289*(1-$C$340)*$C$175</f>
        <v>4.63970344158734</v>
      </c>
      <c r="AF292" s="1" t="n">
        <f aca="false">AF289*(1-$C$340)*$C$175</f>
        <v>4.75177089564363</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41.9766534310209</v>
      </c>
      <c r="M294" s="116" t="n">
        <f aca="false">M85</f>
        <v>33.5813227448167</v>
      </c>
      <c r="N294" s="116" t="n">
        <f aca="false">N85</f>
        <v>28.1417630320938</v>
      </c>
      <c r="O294" s="116" t="n">
        <f aca="false">O85</f>
        <v>29.045187652437</v>
      </c>
      <c r="P294" s="116" t="n">
        <f aca="false">P85</f>
        <v>29.7596791459668</v>
      </c>
      <c r="Q294" s="116" t="n">
        <f aca="false">Q85</f>
        <v>30.4802004589992</v>
      </c>
      <c r="R294" s="116" t="n">
        <f aca="false">R85</f>
        <v>31.1990199806269</v>
      </c>
      <c r="S294" s="116" t="n">
        <f aca="false">S85</f>
        <v>31.9168448473753</v>
      </c>
      <c r="T294" s="116" t="n">
        <f aca="false">T85</f>
        <v>32.6348690258058</v>
      </c>
      <c r="U294" s="116" t="n">
        <f aca="false">U85</f>
        <v>33.3542654526538</v>
      </c>
      <c r="V294" s="116" t="n">
        <f aca="false">V85</f>
        <v>34.0762037167222</v>
      </c>
      <c r="W294" s="116" t="n">
        <f aca="false">W85</f>
        <v>34.7914379630992</v>
      </c>
      <c r="X294" s="116" t="n">
        <f aca="false">X85</f>
        <v>35.501195152945</v>
      </c>
      <c r="Y294" s="116" t="n">
        <f aca="false">Y85</f>
        <v>36.2067137858651</v>
      </c>
      <c r="Z294" s="116" t="n">
        <f aca="false">Z85</f>
        <v>36.9092418906571</v>
      </c>
      <c r="AA294" s="116" t="n">
        <f aca="false">AA85</f>
        <v>37.6100389378053</v>
      </c>
      <c r="AB294" s="116" t="n">
        <f aca="false">AB85</f>
        <v>38.3106050785032</v>
      </c>
      <c r="AC294" s="116" t="n">
        <f aca="false">AC85</f>
        <v>39.0124516674174</v>
      </c>
      <c r="AD294" s="116" t="n">
        <f aca="false">AD85</f>
        <v>39.717103323086</v>
      </c>
      <c r="AE294" s="116" t="n">
        <f aca="false">AE85</f>
        <v>40.4261000278026</v>
      </c>
      <c r="AF294" s="116" t="n">
        <f aca="false">AF85</f>
        <v>41.1409991843236</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8.39533068620418</v>
      </c>
      <c r="N295" s="1" t="n">
        <f aca="false">MAX(M294/$C$282,M294-N294)</f>
        <v>5.43955971272295</v>
      </c>
      <c r="O295" s="1" t="n">
        <f aca="false">MAX(N294/$C$282,N294-O294)</f>
        <v>2.81417630320938</v>
      </c>
      <c r="P295" s="1" t="n">
        <f aca="false">MAX(O294/$C$282,O294-P294)</f>
        <v>2.9045187652437</v>
      </c>
      <c r="Q295" s="1" t="n">
        <f aca="false">MAX(P294/$C$282,P294-Q294)</f>
        <v>2.97596791459668</v>
      </c>
      <c r="R295" s="1" t="n">
        <f aca="false">MAX(Q294/$C$282,Q294-R294)</f>
        <v>3.04802004589992</v>
      </c>
      <c r="S295" s="1" t="n">
        <f aca="false">MAX(R294/$C$282,R294-S294)</f>
        <v>3.11990199806269</v>
      </c>
      <c r="T295" s="1" t="n">
        <f aca="false">MAX(S294/$C$282,S294-T294)</f>
        <v>3.19168448473753</v>
      </c>
      <c r="U295" s="1" t="n">
        <f aca="false">MAX(T294/$C$282,T294-U294)</f>
        <v>3.26348690258058</v>
      </c>
      <c r="V295" s="1" t="n">
        <f aca="false">MAX(U294/$C$282,U294-V294)</f>
        <v>3.33542654526538</v>
      </c>
      <c r="W295" s="1" t="n">
        <f aca="false">MAX(V294/$C$282,V294-W294)</f>
        <v>3.40762037167222</v>
      </c>
      <c r="X295" s="1" t="n">
        <f aca="false">MAX(W294/$C$282,W294-X294)</f>
        <v>3.47914379630992</v>
      </c>
      <c r="Y295" s="1" t="n">
        <f aca="false">MAX(X294/$C$282,X294-Y294)</f>
        <v>3.5501195152945</v>
      </c>
      <c r="Z295" s="1" t="n">
        <f aca="false">MAX(Y294/$C$282,Y294-Z294)</f>
        <v>3.62067137858651</v>
      </c>
      <c r="AA295" s="1" t="n">
        <f aca="false">MAX(Z294/$C$282,Z294-AA294)</f>
        <v>3.69092418906571</v>
      </c>
      <c r="AB295" s="1" t="n">
        <f aca="false">MAX(AA294/$C$282,AA294-AB294)</f>
        <v>3.76100389378053</v>
      </c>
      <c r="AC295" s="1" t="n">
        <f aca="false">MAX(AB294/$C$282,AB294-AC294)</f>
        <v>3.83106050785032</v>
      </c>
      <c r="AD295" s="1" t="n">
        <f aca="false">MAX(AC294/$C$282,AC294-AD294)</f>
        <v>3.90124516674174</v>
      </c>
      <c r="AE295" s="1" t="n">
        <f aca="false">MAX(AD294/$C$282,AD294-AE294)</f>
        <v>3.9717103323086</v>
      </c>
      <c r="AF295" s="1" t="n">
        <f aca="false">MAX(AE294/$C$282,AE294-AF294)</f>
        <v>4.04261000278026</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5.60253940609931</v>
      </c>
      <c r="M296" s="1" t="n">
        <f aca="false">M294-L294+M295</f>
        <v>0</v>
      </c>
      <c r="N296" s="1" t="n">
        <f aca="false">N294-M294+N295</f>
        <v>0</v>
      </c>
      <c r="O296" s="1" t="n">
        <f aca="false">O294-N294+O295</f>
        <v>3.71760092355256</v>
      </c>
      <c r="P296" s="1" t="n">
        <f aca="false">P294-O294+P295</f>
        <v>3.61901025877355</v>
      </c>
      <c r="Q296" s="1" t="n">
        <f aca="false">Q294-P294+Q295</f>
        <v>3.69648922762909</v>
      </c>
      <c r="R296" s="1" t="n">
        <f aca="false">R294-Q294+R295</f>
        <v>3.76683956752761</v>
      </c>
      <c r="S296" s="1" t="n">
        <f aca="false">S294-R294+S295</f>
        <v>3.8377268648111</v>
      </c>
      <c r="T296" s="1" t="n">
        <f aca="false">T294-S294+T295</f>
        <v>3.90970866316798</v>
      </c>
      <c r="U296" s="1" t="n">
        <f aca="false">U294-T294+U295</f>
        <v>3.98288332942858</v>
      </c>
      <c r="V296" s="1" t="n">
        <f aca="false">V294-U294+V295</f>
        <v>4.05736480933385</v>
      </c>
      <c r="W296" s="1" t="n">
        <f aca="false">W294-V294+W295</f>
        <v>4.1228546180492</v>
      </c>
      <c r="X296" s="1" t="n">
        <f aca="false">X294-W294+X295</f>
        <v>4.1889009861557</v>
      </c>
      <c r="Y296" s="1" t="n">
        <f aca="false">Y294-X294+Y295</f>
        <v>4.25563814821461</v>
      </c>
      <c r="Z296" s="1" t="n">
        <f aca="false">Z294-Y294+Z295</f>
        <v>4.32319948337848</v>
      </c>
      <c r="AA296" s="1" t="n">
        <f aca="false">AA294-Z294+AA295</f>
        <v>4.39172123621391</v>
      </c>
      <c r="AB296" s="1" t="n">
        <f aca="false">AB294-AA294+AB295</f>
        <v>4.46157003447842</v>
      </c>
      <c r="AC296" s="1" t="n">
        <f aca="false">AC294-AB294+AC295</f>
        <v>4.53290709676455</v>
      </c>
      <c r="AD296" s="1" t="n">
        <f aca="false">AD294-AC294+AD295</f>
        <v>4.60589682241035</v>
      </c>
      <c r="AE296" s="1" t="n">
        <f aca="false">AE294-AD294+AE295</f>
        <v>4.68070703702523</v>
      </c>
      <c r="AF296" s="1" t="n">
        <f aca="false">AF294-AE294+AF295</f>
        <v>4.7575091593012</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1.67906613724084</v>
      </c>
      <c r="M297" s="1" t="n">
        <f aca="false">M294*01_Supuestos!$I$126</f>
        <v>1.34325290979267</v>
      </c>
      <c r="N297" s="1" t="n">
        <f aca="false">N294*01_Supuestos!$I$126</f>
        <v>1.12567052128375</v>
      </c>
      <c r="O297" s="1" t="n">
        <f aca="false">O294*01_Supuestos!$I$126</f>
        <v>1.16180750609748</v>
      </c>
      <c r="P297" s="1" t="n">
        <f aca="false">P294*01_Supuestos!$I$126</f>
        <v>1.19038716583867</v>
      </c>
      <c r="Q297" s="1" t="n">
        <f aca="false">Q294*01_Supuestos!$I$126</f>
        <v>1.21920801835997</v>
      </c>
      <c r="R297" s="1" t="n">
        <f aca="false">R294*01_Supuestos!$I$126</f>
        <v>1.24796079922508</v>
      </c>
      <c r="S297" s="1" t="n">
        <f aca="false">S294*01_Supuestos!$I$126</f>
        <v>1.27667379389501</v>
      </c>
      <c r="T297" s="1" t="n">
        <f aca="false">T294*01_Supuestos!$I$126</f>
        <v>1.30539476103223</v>
      </c>
      <c r="U297" s="1" t="n">
        <f aca="false">U294*01_Supuestos!$I$126</f>
        <v>1.33417061810615</v>
      </c>
      <c r="V297" s="1" t="n">
        <f aca="false">V294*01_Supuestos!$I$126</f>
        <v>1.36304814866889</v>
      </c>
      <c r="W297" s="1" t="n">
        <f aca="false">W294*01_Supuestos!$I$126</f>
        <v>1.39165751852397</v>
      </c>
      <c r="X297" s="1" t="n">
        <f aca="false">X294*01_Supuestos!$I$126</f>
        <v>1.4200478061178</v>
      </c>
      <c r="Y297" s="1" t="n">
        <f aca="false">Y294*01_Supuestos!$I$126</f>
        <v>1.4482685514346</v>
      </c>
      <c r="Z297" s="1" t="n">
        <f aca="false">Z294*01_Supuestos!$I$126</f>
        <v>1.47636967562628</v>
      </c>
      <c r="AA297" s="1" t="n">
        <f aca="false">AA294*01_Supuestos!$I$126</f>
        <v>1.50440155751221</v>
      </c>
      <c r="AB297" s="1" t="n">
        <f aca="false">AB294*01_Supuestos!$I$126</f>
        <v>1.53242420314013</v>
      </c>
      <c r="AC297" s="1" t="n">
        <f aca="false">AC294*01_Supuestos!$I$126</f>
        <v>1.5604980666967</v>
      </c>
      <c r="AD297" s="1" t="n">
        <f aca="false">AD294*01_Supuestos!$I$126</f>
        <v>1.58868413292344</v>
      </c>
      <c r="AE297" s="1" t="n">
        <f aca="false">AE294*01_Supuestos!$I$126</f>
        <v>1.61704400111211</v>
      </c>
      <c r="AF297" s="1" t="n">
        <f aca="false">AF294*01_Supuestos!$I$126</f>
        <v>1.64563996737294</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34.928472405141</v>
      </c>
      <c r="N299" s="1" t="n">
        <f aca="false">N286+N291+N296</f>
        <v>25.0227158090848</v>
      </c>
      <c r="O299" s="1" t="n">
        <f aca="false">O286+O291+O296</f>
        <v>23.7041403141066</v>
      </c>
      <c r="P299" s="1" t="n">
        <f aca="false">P286+P291+P296</f>
        <v>24.2396364011259</v>
      </c>
      <c r="Q299" s="1" t="n">
        <f aca="false">Q286+Q291+Q296</f>
        <v>24.7953892195541</v>
      </c>
      <c r="R299" s="1" t="n">
        <f aca="false">R286+R291+R296</f>
        <v>25.3643182599531</v>
      </c>
      <c r="S299" s="1" t="n">
        <f aca="false">S286+S291+S296</f>
        <v>25.9470245684742</v>
      </c>
      <c r="T299" s="1" t="n">
        <f aca="false">T286+T291+T296</f>
        <v>26.5437967659705</v>
      </c>
      <c r="U299" s="1" t="n">
        <f aca="false">U286+U291+U296</f>
        <v>27.1549122945384</v>
      </c>
      <c r="V299" s="1" t="n">
        <f aca="false">V286+V291+V296</f>
        <v>27.7806568134593</v>
      </c>
      <c r="W299" s="1" t="n">
        <f aca="false">W286+W291+W296</f>
        <v>28.4213237003915</v>
      </c>
      <c r="X299" s="1" t="n">
        <f aca="false">X286+X291+X296</f>
        <v>29.0776084591605</v>
      </c>
      <c r="Y299" s="1" t="n">
        <f aca="false">Y286+Y291+Y296</f>
        <v>29.7498180062008</v>
      </c>
      <c r="Z299" s="1" t="n">
        <f aca="false">Z286+Z291+Z296</f>
        <v>30.4382669486429</v>
      </c>
      <c r="AA299" s="1" t="n">
        <f aca="false">AA286+AA291+AA296</f>
        <v>31.1432778473237</v>
      </c>
      <c r="AB299" s="1" t="n">
        <f aca="false">AB286+AB291+AB296</f>
        <v>31.8651813356072</v>
      </c>
      <c r="AC299" s="1" t="n">
        <f aca="false">AC286+AC291+AC296</f>
        <v>32.6043076353398</v>
      </c>
      <c r="AD299" s="1" t="n">
        <f aca="false">AD286+AD291+AD296</f>
        <v>33.3609954456786</v>
      </c>
      <c r="AE299" s="1" t="n">
        <f aca="false">AE286+AE291+AE296</f>
        <v>34.1355920698127</v>
      </c>
      <c r="AF299" s="1" t="n">
        <f aca="false">AF286+AF291+AF296</f>
        <v>34.9284535448996</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21.4140153698504</v>
      </c>
      <c r="N300" s="1" t="n">
        <f aca="false">N285+N290+N295</f>
        <v>21.4438649886125</v>
      </c>
      <c r="O300" s="1" t="n">
        <f aca="false">O285+O290+O295</f>
        <v>20.0367639946277</v>
      </c>
      <c r="P300" s="1" t="n">
        <f aca="false">P285+P290+P295</f>
        <v>20.4881665903694</v>
      </c>
      <c r="Q300" s="1" t="n">
        <f aca="false">Q285+Q290+Q295</f>
        <v>20.9576820553279</v>
      </c>
      <c r="R300" s="1" t="n">
        <f aca="false">R285+R290+R295</f>
        <v>21.4383798796423</v>
      </c>
      <c r="S300" s="1" t="n">
        <f aca="false">S285+S290+S295</f>
        <v>21.9308073803273</v>
      </c>
      <c r="T300" s="1" t="n">
        <f aca="false">T285+T290+T295</f>
        <v>22.4352068299034</v>
      </c>
      <c r="U300" s="1" t="n">
        <f aca="false">U285+U290+U295</f>
        <v>22.9518087266887</v>
      </c>
      <c r="V300" s="1" t="n">
        <f aca="false">V285+V290+V295</f>
        <v>23.4808506579883</v>
      </c>
      <c r="W300" s="1" t="n">
        <f aca="false">W285+W290+W295</f>
        <v>24.0225767935035</v>
      </c>
      <c r="X300" s="1" t="n">
        <f aca="false">X285+X290+X295</f>
        <v>24.5776218549749</v>
      </c>
      <c r="Y300" s="1" t="n">
        <f aca="false">Y285+Y290+Y295</f>
        <v>25.1462412642356</v>
      </c>
      <c r="Z300" s="1" t="n">
        <f aca="false">Z285+Z290+Z295</f>
        <v>25.7286969327569</v>
      </c>
      <c r="AA300" s="1" t="n">
        <f aca="false">AA285+AA290+AA295</f>
        <v>26.32525749476</v>
      </c>
      <c r="AB300" s="1" t="n">
        <f aca="false">AB285+AB290+AB295</f>
        <v>26.9361983994182</v>
      </c>
      <c r="AC300" s="1" t="n">
        <f aca="false">AC285+AC290+AC295</f>
        <v>27.5617936268636</v>
      </c>
      <c r="AD300" s="1" t="n">
        <f aca="false">AD285+AD290+AD295</f>
        <v>28.2023243176795</v>
      </c>
      <c r="AE300" s="1" t="n">
        <f aca="false">AE285+AE290+AE295</f>
        <v>28.858078871137</v>
      </c>
      <c r="AF300" s="1" t="n">
        <f aca="false">AF285+AF290+AF295</f>
        <v>29.5293530459826</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5.76522264378673</v>
      </c>
      <c r="M302" s="1" t="n">
        <f aca="false">M287+M292+M297</f>
        <v>6.36650201098427</v>
      </c>
      <c r="N302" s="1" t="n">
        <f aca="false">N287+N292+N297</f>
        <v>6.53130023464863</v>
      </c>
      <c r="O302" s="1" t="n">
        <f aca="false">O287+O292+O297</f>
        <v>6.68076266288877</v>
      </c>
      <c r="P302" s="1" t="n">
        <f aca="false">P287+P292+P297</f>
        <v>6.83428284504627</v>
      </c>
      <c r="Q302" s="1" t="n">
        <f aca="false">Q287+Q292+Q297</f>
        <v>6.99136475449809</v>
      </c>
      <c r="R302" s="1" t="n">
        <f aca="false">R287+R292+R297</f>
        <v>7.15211358343951</v>
      </c>
      <c r="S302" s="1" t="n">
        <f aca="false">S287+S292+S297</f>
        <v>7.31661146427555</v>
      </c>
      <c r="T302" s="1" t="n">
        <f aca="false">T287+T292+T297</f>
        <v>7.48494102699318</v>
      </c>
      <c r="U302" s="1" t="n">
        <f aca="false">U287+U292+U297</f>
        <v>7.65718694545715</v>
      </c>
      <c r="V302" s="1" t="n">
        <f aca="false">V287+V292+V297</f>
        <v>7.83343593070351</v>
      </c>
      <c r="W302" s="1" t="n">
        <f aca="false">W287+W292+W297</f>
        <v>8.01380756613413</v>
      </c>
      <c r="X302" s="1" t="n">
        <f aca="false">X287+X292+X297</f>
        <v>8.19839258863215</v>
      </c>
      <c r="Y302" s="1" t="n">
        <f aca="false">Y287+Y292+Y297</f>
        <v>8.38728387135669</v>
      </c>
      <c r="Z302" s="1" t="n">
        <f aca="false">Z287+Z292+Z297</f>
        <v>8.58057647960331</v>
      </c>
      <c r="AA302" s="1" t="n">
        <f aca="false">AA287+AA292+AA297</f>
        <v>8.778367716216</v>
      </c>
      <c r="AB302" s="1" t="n">
        <f aca="false">AB287+AB292+AB297</f>
        <v>8.98075649596912</v>
      </c>
      <c r="AC302" s="1" t="n">
        <f aca="false">AC287+AC292+AC297</f>
        <v>9.18784407757498</v>
      </c>
      <c r="AD302" s="1" t="n">
        <f aca="false">AD287+AD292+AD297</f>
        <v>9.39973411226375</v>
      </c>
      <c r="AE302" s="1" t="n">
        <f aca="false">AE287+AE292+AE297</f>
        <v>9.61653269350407</v>
      </c>
      <c r="AF302" s="1" t="n">
        <f aca="false">AF287+AF292+AF297</f>
        <v>9.83834840813783</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349.805445258508</v>
      </c>
      <c r="M307" s="116" t="n">
        <f aca="false">M81</f>
        <v>362.434129954545</v>
      </c>
      <c r="N307" s="116" t="n">
        <f aca="false">N81</f>
        <v>375.223507094584</v>
      </c>
      <c r="O307" s="116" t="n">
        <f aca="false">O81</f>
        <v>387.269168699159</v>
      </c>
      <c r="P307" s="116" t="n">
        <f aca="false">P81</f>
        <v>396.795721946224</v>
      </c>
      <c r="Q307" s="116" t="n">
        <f aca="false">Q81</f>
        <v>406.402672786656</v>
      </c>
      <c r="R307" s="116" t="n">
        <f aca="false">R81</f>
        <v>415.986933075025</v>
      </c>
      <c r="S307" s="116" t="n">
        <f aca="false">S81</f>
        <v>425.557931298338</v>
      </c>
      <c r="T307" s="116" t="n">
        <f aca="false">T81</f>
        <v>435.131587010743</v>
      </c>
      <c r="U307" s="116" t="n">
        <f aca="false">U81</f>
        <v>444.723539368717</v>
      </c>
      <c r="V307" s="116" t="n">
        <f aca="false">V81</f>
        <v>454.34938288963</v>
      </c>
      <c r="W307" s="116" t="n">
        <f aca="false">W81</f>
        <v>463.88583950799</v>
      </c>
      <c r="X307" s="116" t="n">
        <f aca="false">X81</f>
        <v>473.349268705933</v>
      </c>
      <c r="Y307" s="116" t="n">
        <f aca="false">Y81</f>
        <v>482.756183811535</v>
      </c>
      <c r="Z307" s="116" t="n">
        <f aca="false">Z81</f>
        <v>492.123225208761</v>
      </c>
      <c r="AA307" s="116" t="n">
        <f aca="false">AA81</f>
        <v>501.467185837404</v>
      </c>
      <c r="AB307" s="116" t="n">
        <f aca="false">AB81</f>
        <v>510.808067713376</v>
      </c>
      <c r="AC307" s="116" t="n">
        <f aca="false">AC81</f>
        <v>520.166022232232</v>
      </c>
      <c r="AD307" s="116" t="n">
        <f aca="false">AD81</f>
        <v>529.561377641147</v>
      </c>
      <c r="AE307" s="116" t="n">
        <f aca="false">AE81</f>
        <v>539.014667037369</v>
      </c>
      <c r="AF307" s="116" t="n">
        <f aca="false">AF81</f>
        <v>548.546655790981</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212.706774308901</v>
      </c>
      <c r="M309" s="1" t="n">
        <f aca="false">M307-M308</f>
        <v>211.916123987166</v>
      </c>
      <c r="N309" s="1" t="n">
        <f aca="false">N307-N308</f>
        <v>221.243586989955</v>
      </c>
      <c r="O309" s="1" t="n">
        <f aca="false">O307-O308</f>
        <v>229.747710432124</v>
      </c>
      <c r="P309" s="1" t="n">
        <f aca="false">P307-P308</f>
        <v>235.651270139047</v>
      </c>
      <c r="Q309" s="1" t="n">
        <f aca="false">Q307-Q308</f>
        <v>241.551898587914</v>
      </c>
      <c r="R309" s="1" t="n">
        <f aca="false">R307-R308</f>
        <v>247.344591069713</v>
      </c>
      <c r="S309" s="1" t="n">
        <f aca="false">S307-S308</f>
        <v>253.036815426902</v>
      </c>
      <c r="T309" s="1" t="n">
        <f aca="false">T307-T308</f>
        <v>258.642485474265</v>
      </c>
      <c r="U309" s="1" t="n">
        <f aca="false">U307-U308</f>
        <v>264.1751884969</v>
      </c>
      <c r="V309" s="1" t="n">
        <f aca="false">V307-V308</f>
        <v>269.648419947761</v>
      </c>
      <c r="W309" s="1" t="n">
        <f aca="false">W307-W308</f>
        <v>274.936754418458</v>
      </c>
      <c r="X309" s="1" t="n">
        <f aca="false">X307-X308</f>
        <v>280.054354659342</v>
      </c>
      <c r="Y309" s="1" t="n">
        <f aca="false">Y307-Y308</f>
        <v>285.015486741872</v>
      </c>
      <c r="Z309" s="1" t="n">
        <f aca="false">Z307-Z308</f>
        <v>289.834492106496</v>
      </c>
      <c r="AA309" s="1" t="n">
        <f aca="false">AA307-AA308</f>
        <v>294.525811873787</v>
      </c>
      <c r="AB309" s="1" t="n">
        <f aca="false">AB307-AB308</f>
        <v>299.107042148596</v>
      </c>
      <c r="AC309" s="1" t="n">
        <f aca="false">AC307-AC308</f>
        <v>303.595873079462</v>
      </c>
      <c r="AD309" s="1" t="n">
        <f aca="false">AD307-AD308</f>
        <v>308.010115057863</v>
      </c>
      <c r="AE309" s="1" t="n">
        <f aca="false">AE307-AE308</f>
        <v>312.367725414669</v>
      </c>
      <c r="AF309" s="1" t="n">
        <f aca="false">AF307-AF308</f>
        <v>316.68683451096</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39.1928349909734</v>
      </c>
      <c r="M310" s="1" t="n">
        <f aca="false">IF(M307&gt;0,100*M308/M307,0)</f>
        <v>41.5297549340224</v>
      </c>
      <c r="N310" s="1" t="n">
        <f aca="false">IF(N307&gt;0,100*N308/N307,0)</f>
        <v>41.0368532869702</v>
      </c>
      <c r="O310" s="1" t="n">
        <f aca="false">IF(O307&gt;0,100*O308/O307,0)</f>
        <v>40.6749287055696</v>
      </c>
      <c r="P310" s="1" t="n">
        <f aca="false">IF(P307&gt;0,100*P308/P307,0)</f>
        <v>40.6114388070484</v>
      </c>
      <c r="Q310" s="1" t="n">
        <f aca="false">IF(Q307&gt;0,100*Q308/Q307,0)</f>
        <v>40.5634079786875</v>
      </c>
      <c r="R310" s="1" t="n">
        <f aca="false">IF(R307&gt;0,100*R308/R307,0)</f>
        <v>40.5402979268335</v>
      </c>
      <c r="S310" s="1" t="n">
        <f aca="false">IF(S307&gt;0,100*S308/S307,0)</f>
        <v>40.5399836739241</v>
      </c>
      <c r="T310" s="1" t="n">
        <f aca="false">IF(T307&gt;0,100*T308/T307,0)</f>
        <v>40.5599379141649</v>
      </c>
      <c r="U310" s="1" t="n">
        <f aca="false">IF(U307&gt;0,100*U308/U307,0)</f>
        <v>40.597884952999</v>
      </c>
      <c r="V310" s="1" t="n">
        <f aca="false">IF(V307&gt;0,100*V308/V307,0)</f>
        <v>40.6517472890981</v>
      </c>
      <c r="W310" s="1" t="n">
        <f aca="false">IF(W307&gt;0,100*W308/W307,0)</f>
        <v>40.731807051911</v>
      </c>
      <c r="X310" s="1" t="n">
        <f aca="false">IF(X307&gt;0,100*X308/X307,0)</f>
        <v>40.8355788897764</v>
      </c>
      <c r="Y310" s="1" t="n">
        <f aca="false">IF(Y307&gt;0,100*Y308/Y307,0)</f>
        <v>40.9607797270308</v>
      </c>
      <c r="Z310" s="1" t="n">
        <f aca="false">IF(Z307&gt;0,100*Z308/Z307,0)</f>
        <v>41.105301018145</v>
      </c>
      <c r="AA310" s="1" t="n">
        <f aca="false">IF(AA307&gt;0,100*AA308/AA307,0)</f>
        <v>41.2671815441012</v>
      </c>
      <c r="AB310" s="1" t="n">
        <f aca="false">IF(AB307&gt;0,100*AB308/AB307,0)</f>
        <v>41.4443386754748</v>
      </c>
      <c r="AC310" s="1" t="n">
        <f aca="false">IF(AC307&gt;0,100*AC308/AC307,0)</f>
        <v>41.6348127129458</v>
      </c>
      <c r="AD310" s="1" t="n">
        <f aca="false">IF(AD307&gt;0,100*AD308/AD307,0)</f>
        <v>41.8367486636112</v>
      </c>
      <c r="AE310" s="1" t="n">
        <f aca="false">IF(AE307&gt;0,100*AE308/AE307,0)</f>
        <v>42.0483811448838</v>
      </c>
      <c r="AF310" s="1" t="n">
        <f aca="false">IF(AF307&gt;0,100*AF308/AF307,0)</f>
        <v>42.2680220237036</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5.76522264378673</v>
      </c>
      <c r="M314" s="1" t="n">
        <f aca="false">M302</f>
        <v>6.36650201098427</v>
      </c>
      <c r="N314" s="1" t="n">
        <f aca="false">N302</f>
        <v>6.53130023464863</v>
      </c>
      <c r="O314" s="1" t="n">
        <f aca="false">O302</f>
        <v>6.68076266288877</v>
      </c>
      <c r="P314" s="1" t="n">
        <f aca="false">P302</f>
        <v>6.83428284504627</v>
      </c>
      <c r="Q314" s="1" t="n">
        <f aca="false">Q302</f>
        <v>6.99136475449809</v>
      </c>
      <c r="R314" s="1" t="n">
        <f aca="false">R302</f>
        <v>7.15211358343951</v>
      </c>
      <c r="S314" s="1" t="n">
        <f aca="false">S302</f>
        <v>7.31661146427555</v>
      </c>
      <c r="T314" s="1" t="n">
        <f aca="false">T302</f>
        <v>7.48494102699318</v>
      </c>
      <c r="U314" s="1" t="n">
        <f aca="false">U302</f>
        <v>7.65718694545715</v>
      </c>
      <c r="V314" s="1" t="n">
        <f aca="false">V302</f>
        <v>7.83343593070351</v>
      </c>
      <c r="W314" s="1" t="n">
        <f aca="false">W302</f>
        <v>8.01380756613413</v>
      </c>
      <c r="X314" s="1" t="n">
        <f aca="false">X302</f>
        <v>8.19839258863215</v>
      </c>
      <c r="Y314" s="1" t="n">
        <f aca="false">Y302</f>
        <v>8.38728387135669</v>
      </c>
      <c r="Z314" s="1" t="n">
        <f aca="false">Z302</f>
        <v>8.58057647960331</v>
      </c>
      <c r="AA314" s="1" t="n">
        <f aca="false">AA302</f>
        <v>8.778367716216</v>
      </c>
      <c r="AB314" s="1" t="n">
        <f aca="false">AB302</f>
        <v>8.98075649596912</v>
      </c>
      <c r="AC314" s="1" t="n">
        <f aca="false">AC302</f>
        <v>9.18784407757498</v>
      </c>
      <c r="AD314" s="1" t="n">
        <f aca="false">AD302</f>
        <v>9.39973411226375</v>
      </c>
      <c r="AE314" s="1" t="n">
        <f aca="false">AE302</f>
        <v>9.61653269350407</v>
      </c>
      <c r="AF314" s="1" t="n">
        <f aca="false">AF302</f>
        <v>9.83834840813783</v>
      </c>
    </row>
    <row r="315" customFormat="false" ht="14.25" hidden="false" customHeight="true" outlineLevel="0" collapsed="false">
      <c r="B315" s="84" t="s">
        <v>1307</v>
      </c>
      <c r="C315" s="116" t="n">
        <f aca="false">C56</f>
        <v>1.07</v>
      </c>
      <c r="D315" s="116" t="n">
        <f aca="false">D56</f>
        <v>1.102124075</v>
      </c>
      <c r="E315" s="116" t="n">
        <f aca="false">E56</f>
        <v>1.13521259504169</v>
      </c>
      <c r="F315" s="116" t="n">
        <f aca="false">F56</f>
        <v>1.16929451517633</v>
      </c>
      <c r="G315" s="116" t="n">
        <f aca="false">G56</f>
        <v>1.20439965975821</v>
      </c>
      <c r="H315" s="116" t="n">
        <f aca="false">H56</f>
        <v>1.2405587485433</v>
      </c>
      <c r="I315" s="116" t="n">
        <f aca="false">I56</f>
        <v>1.27780342357144</v>
      </c>
      <c r="J315" s="116" t="n">
        <f aca="false">J56</f>
        <v>1.31616627685561</v>
      </c>
      <c r="K315" s="116" t="n">
        <f aca="false">K56</f>
        <v>1.35568087890251</v>
      </c>
      <c r="L315" s="116" t="n">
        <f aca="false">L56</f>
        <v>1.39638180808936</v>
      </c>
      <c r="M315" s="116" t="n">
        <f aca="false">M56</f>
        <v>1.43830468092272</v>
      </c>
      <c r="N315" s="116" t="n">
        <f aca="false">N56</f>
        <v>1.48148618320572</v>
      </c>
      <c r="O315" s="116" t="n">
        <f aca="false">O56</f>
        <v>1.52596410214102</v>
      </c>
      <c r="P315" s="116" t="n">
        <f aca="false">P56</f>
        <v>1.57177735939755</v>
      </c>
      <c r="Q315" s="116" t="n">
        <f aca="false">Q56</f>
        <v>1.61896604517006</v>
      </c>
      <c r="R315" s="116" t="n">
        <f aca="false">R56</f>
        <v>1.66757145326118</v>
      </c>
      <c r="S315" s="116" t="n">
        <f aca="false">S56</f>
        <v>1.71763611721671</v>
      </c>
      <c r="T315" s="116" t="n">
        <f aca="false">T56</f>
        <v>1.76920384754585</v>
      </c>
      <c r="U315" s="116" t="n">
        <f aca="false">U56</f>
        <v>1.82231977005879</v>
      </c>
      <c r="V315" s="116" t="n">
        <f aca="false">V56</f>
        <v>1.87703036535538</v>
      </c>
      <c r="W315" s="116" t="n">
        <f aca="false">W56</f>
        <v>1.93338350949926</v>
      </c>
      <c r="X315" s="116" t="n">
        <f aca="false">X56</f>
        <v>1.99142851591321</v>
      </c>
      <c r="Y315" s="116" t="n">
        <f aca="false">Y56</f>
        <v>2.05121617853221</v>
      </c>
      <c r="Z315" s="116" t="n">
        <f aca="false">Z56</f>
        <v>2.11279881625219</v>
      </c>
      <c r="AA315" s="116" t="n">
        <f aca="false">AA56</f>
        <v>2.17623031871312</v>
      </c>
      <c r="AB315" s="116" t="n">
        <f aca="false">AB56</f>
        <v>2.24156619345669</v>
      </c>
      <c r="AC315" s="116" t="n">
        <f aca="false">AC56</f>
        <v>2.30886361449974</v>
      </c>
      <c r="AD315" s="116" t="n">
        <f aca="false">AD56</f>
        <v>2.37818147236606</v>
      </c>
      <c r="AE315" s="116" t="n">
        <f aca="false">AE56</f>
        <v>2.44958042562017</v>
      </c>
      <c r="AF315" s="116" t="n">
        <f aca="false">AF56</f>
        <v>2.52312295394835</v>
      </c>
    </row>
    <row r="316" customFormat="false" ht="14.25" hidden="false" customHeight="true" outlineLevel="0" collapsed="false">
      <c r="B316" s="84" t="s">
        <v>1308</v>
      </c>
      <c r="C316" s="1" t="n">
        <f aca="false">IF(C313&gt;0,100*(C314+C315)/C313,0)</f>
        <v>57.066429452404</v>
      </c>
      <c r="D316" s="1" t="n">
        <f aca="false">IF(D313&gt;0,100*(D314+D315)/D313,0)</f>
        <v>48.9503255248055</v>
      </c>
      <c r="E316" s="1" t="n">
        <f aca="false">IF(E313&gt;0,100*(E314+E315)/E313,0)</f>
        <v>47.8459110339903</v>
      </c>
      <c r="F316" s="1" t="n">
        <f aca="false">IF(F313&gt;0,100*(F314+F315)/F313,0)</f>
        <v>27.1403407728536</v>
      </c>
      <c r="G316" s="1" t="n">
        <f aca="false">IF(G313&gt;0,100*(G314+G315)/G313,0)</f>
        <v>32.3863671260938</v>
      </c>
      <c r="H316" s="1" t="n">
        <f aca="false">IF(H313&gt;0,100*(H314+H315)/H313,0)</f>
        <v>37.7295395911337</v>
      </c>
      <c r="I316" s="1" t="n">
        <f aca="false">IF(I313&gt;0,100*(I314+I315)/I313,0)</f>
        <v>43.1455571110957</v>
      </c>
      <c r="J316" s="1" t="n">
        <f aca="false">IF(J313&gt;0,100*(J314+J315)/J313,0)</f>
        <v>48.6113699517041</v>
      </c>
      <c r="K316" s="1" t="n">
        <f aca="false">IF(K313&gt;0,100*(K314+K315)/K313,0)</f>
        <v>54.1055079160523</v>
      </c>
      <c r="L316" s="1" t="n">
        <f aca="false">IF(L313&gt;0,100*(L314+L315)/L313,0)</f>
        <v>59.6080610922864</v>
      </c>
      <c r="M316" s="1" t="n">
        <f aca="false">IF(M313&gt;0,100*(M314+M315)/M313,0)</f>
        <v>64.114995096368</v>
      </c>
      <c r="N316" s="1" t="n">
        <f aca="false">IF(N313&gt;0,100*(N314+N315)/N313,0)</f>
        <v>64.6215071993612</v>
      </c>
      <c r="O316" s="1" t="n">
        <f aca="false">IF(O313&gt;0,100*(O314+O315)/O313,0)</f>
        <v>64.7161446237581</v>
      </c>
      <c r="P316" s="1" t="n">
        <f aca="false">IF(P313&gt;0,100*(P314+P315)/P313,0)</f>
        <v>63.8162057560907</v>
      </c>
      <c r="Q316" s="1" t="n">
        <f aca="false">IF(Q313&gt;0,100*(Q314+Q315)/Q313,0)</f>
        <v>63.0614654064858</v>
      </c>
      <c r="R316" s="1" t="n">
        <f aca="false">IF(R313&gt;0,100*(R314+R315)/R313,0)</f>
        <v>62.4529123279083</v>
      </c>
      <c r="S316" s="1" t="n">
        <f aca="false">IF(S313&gt;0,100*(S314+S315)/S313,0)</f>
        <v>61.9722622599513</v>
      </c>
      <c r="T316" s="1" t="n">
        <f aca="false">IF(T313&gt;0,100*(T314+T315)/T313,0)</f>
        <v>61.6044242194616</v>
      </c>
      <c r="U316" s="1" t="n">
        <f aca="false">IF(U313&gt;0,100*(U314+U315)/U313,0)</f>
        <v>61.3368433947159</v>
      </c>
      <c r="V316" s="1" t="n">
        <f aca="false">IF(V313&gt;0,100*(V314+V315)/V313,0)</f>
        <v>61.1589927230454</v>
      </c>
      <c r="W316" s="1" t="n">
        <f aca="false">IF(W313&gt;0,100*(W314+W315)/W313,0)</f>
        <v>61.0621710443524</v>
      </c>
      <c r="X316" s="1" t="n">
        <f aca="false">IF(X313&gt;0,100*(X314+X315)/X313,0)</f>
        <v>61.0388062032416</v>
      </c>
      <c r="Y316" s="1" t="n">
        <f aca="false">IF(Y313&gt;0,100*(Y314+Y315)/Y313,0)</f>
        <v>61.0824216136193</v>
      </c>
      <c r="Z316" s="1" t="n">
        <f aca="false">IF(Z313&gt;0,100*(Z314+Z315)/Z313,0)</f>
        <v>61.187446381351</v>
      </c>
      <c r="AA316" s="1" t="n">
        <f aca="false">IF(AA313&gt;0,100*(AA314+AA315)/AA313,0)</f>
        <v>61.3490632634427</v>
      </c>
      <c r="AB316" s="1" t="n">
        <f aca="false">IF(AB313&gt;0,100*(AB314+AB315)/AB313,0)</f>
        <v>61.5630822859065</v>
      </c>
      <c r="AC316" s="1" t="n">
        <f aca="false">IF(AC313&gt;0,100*(AC314+AC315)/AC313,0)</f>
        <v>61.8258450150951</v>
      </c>
      <c r="AD316" s="1" t="n">
        <f aca="false">IF(AD313&gt;0,100*(AD314+AD315)/AD313,0)</f>
        <v>62.1341427964143</v>
      </c>
      <c r="AE316" s="1" t="n">
        <f aca="false">IF(AE313&gt;0,100*(AE314+AE315)/AE313,0)</f>
        <v>62.4851493389069</v>
      </c>
      <c r="AF316" s="1" t="n">
        <f aca="false">IF(AF313&gt;0,100*(AF314+AF315)/AF313,0)</f>
        <v>62.8763647761869</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11.5863189764656</v>
      </c>
      <c r="M317" s="1" t="n">
        <f aca="false">$C$329*M291</f>
        <v>15.8205311710605</v>
      </c>
      <c r="N317" s="1" t="n">
        <f aca="false">$C$329*N291</f>
        <v>12.5211791385444</v>
      </c>
      <c r="O317" s="1" t="n">
        <f aca="false">$C$329*O291</f>
        <v>10.7904806531282</v>
      </c>
      <c r="P317" s="1" t="n">
        <f aca="false">$C$329*P291</f>
        <v>11.0998610452623</v>
      </c>
      <c r="Q317" s="1" t="n">
        <f aca="false">$C$329*Q291</f>
        <v>11.355573859176</v>
      </c>
      <c r="R317" s="1" t="n">
        <f aca="false">$C$329*R291</f>
        <v>11.6210190035284</v>
      </c>
      <c r="S317" s="1" t="n">
        <f aca="false">$C$329*S291</f>
        <v>11.8936996506132</v>
      </c>
      <c r="T317" s="1" t="n">
        <f aca="false">$C$329*T291</f>
        <v>12.1735423218542</v>
      </c>
      <c r="U317" s="1" t="n">
        <f aca="false">$C$329*U291</f>
        <v>12.4606360146985</v>
      </c>
      <c r="V317" s="1" t="n">
        <f aca="false">$C$329*V291</f>
        <v>12.7550685144852</v>
      </c>
      <c r="W317" s="1" t="n">
        <f aca="false">$C$329*W291</f>
        <v>13.0609579607622</v>
      </c>
      <c r="X317" s="1" t="n">
        <f aca="false">$C$329*X291</f>
        <v>13.3751585599444</v>
      </c>
      <c r="Y317" s="1" t="n">
        <f aca="false">$C$329*Y291</f>
        <v>13.697760682345</v>
      </c>
      <c r="Z317" s="1" t="n">
        <f aca="false">$C$329*Z291</f>
        <v>14.0288589515294</v>
      </c>
      <c r="AA317" s="1" t="n">
        <f aca="false">$C$329*AA291</f>
        <v>14.3685509844713</v>
      </c>
      <c r="AB317" s="1" t="n">
        <f aca="false">$C$329*AB291</f>
        <v>14.716849446344</v>
      </c>
      <c r="AC317" s="1" t="n">
        <f aca="false">$C$329*AC291</f>
        <v>15.0738417273184</v>
      </c>
      <c r="AD317" s="1" t="n">
        <f aca="false">$C$329*AD291</f>
        <v>15.4396183395628</v>
      </c>
      <c r="AE317" s="1" t="n">
        <f aca="false">$C$329*AE291</f>
        <v>15.8142728521367</v>
      </c>
      <c r="AF317" s="1" t="n">
        <f aca="false">$C$329*AF291</f>
        <v>16.1979018573151</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7.38552709885639</v>
      </c>
      <c r="N318" s="1" t="n">
        <f aca="false">$C$329*(N290+(1-$C$279)*N332)</f>
        <v>9.07927591655499</v>
      </c>
      <c r="O318" s="1" t="n">
        <f aca="false">$C$329*(O290+(1-$C$279)*O332)</f>
        <v>9.77041008353046</v>
      </c>
      <c r="P318" s="1" t="n">
        <f aca="false">$C$329*(P290+(1-$C$279)*P332)</f>
        <v>9.9752402539057</v>
      </c>
      <c r="Q318" s="1" t="n">
        <f aca="false">$C$329*(Q290+(1-$C$279)*Q332)</f>
        <v>10.2010641088101</v>
      </c>
      <c r="R318" s="1" t="n">
        <f aca="false">$C$329*(R290+(1-$C$279)*R332)</f>
        <v>10.4328896666836</v>
      </c>
      <c r="S318" s="1" t="n">
        <f aca="false">$C$329*(S290+(1-$C$279)*S332)</f>
        <v>10.671466037522</v>
      </c>
      <c r="T318" s="1" t="n">
        <f aca="false">$C$329*(T290+(1-$C$279)*T332)</f>
        <v>10.9168905470307</v>
      </c>
      <c r="U318" s="1" t="n">
        <f aca="false">$C$329*(U290+(1-$C$279)*U332)</f>
        <v>11.1692262234153</v>
      </c>
      <c r="V318" s="1" t="n">
        <f aca="false">$C$329*(V290+(1-$C$279)*V332)</f>
        <v>11.428541309505</v>
      </c>
      <c r="W318" s="1" t="n">
        <f aca="false">$C$329*(W290+(1-$C$279)*W332)</f>
        <v>11.694907972265</v>
      </c>
      <c r="X318" s="1" t="n">
        <f aca="false">$C$329*(X290+(1-$C$279)*X332)</f>
        <v>11.9692108099552</v>
      </c>
      <c r="Y318" s="1" t="n">
        <f aca="false">$C$329*(Y290+(1-$C$279)*Y332)</f>
        <v>12.2515251181531</v>
      </c>
      <c r="Z318" s="1" t="n">
        <f aca="false">$C$329*(Z290+(1-$C$279)*Z332)</f>
        <v>12.5419292194428</v>
      </c>
      <c r="AA318" s="1" t="n">
        <f aca="false">$C$329*(AA290+(1-$C$279)*AA332)</f>
        <v>12.8405047096458</v>
      </c>
      <c r="AB318" s="1" t="n">
        <f aca="false">$C$329*(AB290+(1-$C$279)*AB332)</f>
        <v>13.1473364016308</v>
      </c>
      <c r="AC318" s="1" t="n">
        <f aca="false">$C$329*(AC290+(1-$C$279)*AC332)</f>
        <v>13.4624946210092</v>
      </c>
      <c r="AD318" s="1" t="n">
        <f aca="false">$C$329*(AD290+(1-$C$279)*AD332)</f>
        <v>13.7860531199561</v>
      </c>
      <c r="AE318" s="1" t="n">
        <f aca="false">$C$329*(AE290+(1-$C$279)*AE332)</f>
        <v>14.1180890160531</v>
      </c>
      <c r="AF318" s="1" t="n">
        <f aca="false">$C$329*(AF290+(1-$C$279)*AF332)</f>
        <v>14.4586827303387</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4.51894561308749</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5.90479124896472</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5.33840685866938</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4.48926210979291</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4.40900637889152</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4.51665826227905</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4.62186308697611</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4.7302117955368</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4.8414326616176</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4.95554503659496</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5.0725841558154</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5.19379423967718</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5.31864336405955</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5.44684406069793</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5.57843375369333</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5.71345119049433</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5.85190993235033</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5.99383746282993</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6.13926967460069</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6.28824368959728</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6.4407978424082</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3.47589569293969</v>
      </c>
      <c r="M320" s="1" t="n">
        <f aca="false">01_Supuestos!$C$185*M317</f>
        <v>4.74615935131816</v>
      </c>
      <c r="N320" s="1" t="n">
        <f aca="false">01_Supuestos!$C$185*N317</f>
        <v>3.75635374156333</v>
      </c>
      <c r="O320" s="1" t="n">
        <f aca="false">01_Supuestos!$C$185*O317</f>
        <v>3.23714419593847</v>
      </c>
      <c r="P320" s="1" t="n">
        <f aca="false">01_Supuestos!$C$185*P317</f>
        <v>3.3299583135787</v>
      </c>
      <c r="Q320" s="1" t="n">
        <f aca="false">01_Supuestos!$C$185*Q317</f>
        <v>3.40667215775281</v>
      </c>
      <c r="R320" s="1" t="n">
        <f aca="false">01_Supuestos!$C$185*R317</f>
        <v>3.48630570105851</v>
      </c>
      <c r="S320" s="1" t="n">
        <f aca="false">01_Supuestos!$C$185*S317</f>
        <v>3.56810989518397</v>
      </c>
      <c r="T320" s="1" t="n">
        <f aca="false">01_Supuestos!$C$185*T317</f>
        <v>3.65206269655627</v>
      </c>
      <c r="U320" s="1" t="n">
        <f aca="false">01_Supuestos!$C$185*U317</f>
        <v>3.73819080440954</v>
      </c>
      <c r="V320" s="1" t="n">
        <f aca="false">01_Supuestos!$C$185*V317</f>
        <v>3.82652055434555</v>
      </c>
      <c r="W320" s="1" t="n">
        <f aca="false">01_Supuestos!$C$185*W317</f>
        <v>3.91828738822867</v>
      </c>
      <c r="X320" s="1" t="n">
        <f aca="false">01_Supuestos!$C$185*X317</f>
        <v>4.01254756798333</v>
      </c>
      <c r="Y320" s="1" t="n">
        <f aca="false">01_Supuestos!$C$185*Y317</f>
        <v>4.10932820470349</v>
      </c>
      <c r="Z320" s="1" t="n">
        <f aca="false">01_Supuestos!$C$185*Z317</f>
        <v>4.20865768545883</v>
      </c>
      <c r="AA320" s="1" t="n">
        <f aca="false">01_Supuestos!$C$185*AA317</f>
        <v>4.31056529534139</v>
      </c>
      <c r="AB320" s="1" t="n">
        <f aca="false">01_Supuestos!$C$185*AB317</f>
        <v>4.4150548339032</v>
      </c>
      <c r="AC320" s="1" t="n">
        <f aca="false">01_Supuestos!$C$185*AC317</f>
        <v>4.52215251819553</v>
      </c>
      <c r="AD320" s="1" t="n">
        <f aca="false">01_Supuestos!$C$185*AD317</f>
        <v>4.63188550186885</v>
      </c>
      <c r="AE320" s="1" t="n">
        <f aca="false">01_Supuestos!$C$185*AE317</f>
        <v>4.744281855641</v>
      </c>
      <c r="AF320" s="1" t="n">
        <f aca="false">01_Supuestos!$C$185*AF317</f>
        <v>4.85937055719454</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4.51894561308749</v>
      </c>
      <c r="M321" s="1" t="n">
        <f aca="false">L321+M320-M323</f>
        <v>5.90479124896472</v>
      </c>
      <c r="N321" s="1" t="n">
        <f aca="false">M321+N320-N323</f>
        <v>5.33840685866938</v>
      </c>
      <c r="O321" s="1" t="n">
        <f aca="false">N321+O320-O323</f>
        <v>4.48926210979291</v>
      </c>
      <c r="P321" s="1" t="n">
        <f aca="false">O321+P320-P323</f>
        <v>4.40900637889152</v>
      </c>
      <c r="Q321" s="1" t="n">
        <f aca="false">P321+Q320-Q323</f>
        <v>4.51665826227905</v>
      </c>
      <c r="R321" s="1" t="n">
        <f aca="false">Q321+R320-R323</f>
        <v>4.62186308697611</v>
      </c>
      <c r="S321" s="1" t="n">
        <f aca="false">R321+S320-S323</f>
        <v>4.7302117955368</v>
      </c>
      <c r="T321" s="1" t="n">
        <f aca="false">S321+T320-T323</f>
        <v>4.8414326616176</v>
      </c>
      <c r="U321" s="1" t="n">
        <f aca="false">T321+U320-U323</f>
        <v>4.95554503659496</v>
      </c>
      <c r="V321" s="1" t="n">
        <f aca="false">U321+V320-V323</f>
        <v>5.0725841558154</v>
      </c>
      <c r="W321" s="1" t="n">
        <f aca="false">V321+W320-W323</f>
        <v>5.19379423967718</v>
      </c>
      <c r="X321" s="1" t="n">
        <f aca="false">W321+X320-X323</f>
        <v>5.31864336405955</v>
      </c>
      <c r="Y321" s="1" t="n">
        <f aca="false">X321+Y320-Y323</f>
        <v>5.44684406069793</v>
      </c>
      <c r="Z321" s="1" t="n">
        <f aca="false">Y321+Z320-Z323</f>
        <v>5.57843375369333</v>
      </c>
      <c r="AA321" s="1" t="n">
        <f aca="false">Z321+AA320-AA323</f>
        <v>5.71345119049433</v>
      </c>
      <c r="AB321" s="1" t="n">
        <f aca="false">AA321+AB320-AB323</f>
        <v>5.85190993235033</v>
      </c>
      <c r="AC321" s="1" t="n">
        <f aca="false">AB321+AC320-AC323</f>
        <v>5.99383746282993</v>
      </c>
      <c r="AD321" s="1" t="n">
        <f aca="false">AC321+AD320-AD323</f>
        <v>6.13926967460069</v>
      </c>
      <c r="AE321" s="1" t="n">
        <f aca="false">AD321+AE320-AE323</f>
        <v>6.28824368959728</v>
      </c>
      <c r="AF321" s="1" t="n">
        <f aca="false">AE321+AF320-AF323</f>
        <v>6.4407978424082</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3.36031371544093</v>
      </c>
      <c r="N323" s="1" t="n">
        <f aca="false">MAX(0,MIN(N318,M321+N320,M321+N320-N319))</f>
        <v>4.32273813185867</v>
      </c>
      <c r="O323" s="1" t="n">
        <f aca="false">MAX(0,MIN(O318,N321+O320,N321+O320-O319))</f>
        <v>4.08628894481494</v>
      </c>
      <c r="P323" s="1" t="n">
        <f aca="false">MAX(0,MIN(P318,O321+P320,O321+P320-P319))</f>
        <v>3.41021404448009</v>
      </c>
      <c r="Q323" s="1" t="n">
        <f aca="false">MAX(0,MIN(Q318,P321+Q320,P321+Q320-Q319))</f>
        <v>3.29902027436529</v>
      </c>
      <c r="R323" s="1" t="n">
        <f aca="false">MAX(0,MIN(R318,Q321+R320,Q321+R320-R319))</f>
        <v>3.38110087636144</v>
      </c>
      <c r="S323" s="1" t="n">
        <f aca="false">MAX(0,MIN(S318,R321+S320,R321+S320-S319))</f>
        <v>3.45976118662327</v>
      </c>
      <c r="T323" s="1" t="n">
        <f aca="false">MAX(0,MIN(T318,S321+T320,S321+T320-T319))</f>
        <v>3.54084183047548</v>
      </c>
      <c r="U323" s="1" t="n">
        <f aca="false">MAX(0,MIN(U318,T321+U320,T321+U320-U319))</f>
        <v>3.62407842943217</v>
      </c>
      <c r="V323" s="1" t="n">
        <f aca="false">MAX(0,MIN(V318,U321+V320,U321+V320-V319))</f>
        <v>3.70948143512512</v>
      </c>
      <c r="W323" s="1" t="n">
        <f aca="false">MAX(0,MIN(W318,V321+W320,V321+W320-W319))</f>
        <v>3.79707730436688</v>
      </c>
      <c r="X323" s="1" t="n">
        <f aca="false">MAX(0,MIN(X318,W321+X320,W321+X320-X319))</f>
        <v>3.88769844360096</v>
      </c>
      <c r="Y323" s="1" t="n">
        <f aca="false">MAX(0,MIN(Y318,X321+Y320,X321+Y320-Y319))</f>
        <v>3.98112750806511</v>
      </c>
      <c r="Z323" s="1" t="n">
        <f aca="false">MAX(0,MIN(Z318,Y321+Z320,Y321+Z320-Z319))</f>
        <v>4.07706799246343</v>
      </c>
      <c r="AA323" s="1" t="n">
        <f aca="false">MAX(0,MIN(AA318,Z321+AA320,Z321+AA320-AA319))</f>
        <v>4.17554785854038</v>
      </c>
      <c r="AB323" s="1" t="n">
        <f aca="false">MAX(0,MIN(AB318,AA321+AB320,AA321+AB320-AB319))</f>
        <v>4.2765960920472</v>
      </c>
      <c r="AC323" s="1" t="n">
        <f aca="false">MAX(0,MIN(AC318,AB321+AC320,AB321+AC320-AC319))</f>
        <v>4.38022498771593</v>
      </c>
      <c r="AD323" s="1" t="n">
        <f aca="false">MAX(0,MIN(AD318,AC321+AD320,AC321+AD320-AD319))</f>
        <v>4.48645329009808</v>
      </c>
      <c r="AE323" s="1" t="n">
        <f aca="false">MAX(0,MIN(AE318,AD321+AE320,AD321+AE320-AE319))</f>
        <v>4.59530784064441</v>
      </c>
      <c r="AF323" s="1" t="n">
        <f aca="false">MAX(0,MIN(AF318,AE321+AF320,AE321+AF320-AF319))</f>
        <v>4.70681640438362</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4.51894561308749</v>
      </c>
      <c r="M326" s="1" t="n">
        <f aca="false">IF(01_Supuestos!$C$184="Sí",M321,$C$172*M83)</f>
        <v>5.90479124896472</v>
      </c>
      <c r="N326" s="1" t="n">
        <f aca="false">IF(01_Supuestos!$C$184="Sí",N321,$C$172*N83)</f>
        <v>5.33840685866938</v>
      </c>
      <c r="O326" s="1" t="n">
        <f aca="false">IF(01_Supuestos!$C$184="Sí",O321,$C$172*O83)</f>
        <v>4.48926210979291</v>
      </c>
      <c r="P326" s="1" t="n">
        <f aca="false">IF(01_Supuestos!$C$184="Sí",P321,$C$172*P83)</f>
        <v>4.40900637889152</v>
      </c>
      <c r="Q326" s="1" t="n">
        <f aca="false">IF(01_Supuestos!$C$184="Sí",Q321,$C$172*Q83)</f>
        <v>4.51665826227905</v>
      </c>
      <c r="R326" s="1" t="n">
        <f aca="false">IF(01_Supuestos!$C$184="Sí",R321,$C$172*R83)</f>
        <v>4.62186308697611</v>
      </c>
      <c r="S326" s="1" t="n">
        <f aca="false">IF(01_Supuestos!$C$184="Sí",S321,$C$172*S83)</f>
        <v>4.7302117955368</v>
      </c>
      <c r="T326" s="1" t="n">
        <f aca="false">IF(01_Supuestos!$C$184="Sí",T321,$C$172*T83)</f>
        <v>4.8414326616176</v>
      </c>
      <c r="U326" s="1" t="n">
        <f aca="false">IF(01_Supuestos!$C$184="Sí",U321,$C$172*U83)</f>
        <v>4.95554503659496</v>
      </c>
      <c r="V326" s="1" t="n">
        <f aca="false">IF(01_Supuestos!$C$184="Sí",V321,$C$172*V83)</f>
        <v>5.0725841558154</v>
      </c>
      <c r="W326" s="1" t="n">
        <f aca="false">IF(01_Supuestos!$C$184="Sí",W321,$C$172*W83)</f>
        <v>5.19379423967718</v>
      </c>
      <c r="X326" s="1" t="n">
        <f aca="false">IF(01_Supuestos!$C$184="Sí",X321,$C$172*X83)</f>
        <v>5.31864336405955</v>
      </c>
      <c r="Y326" s="1" t="n">
        <f aca="false">IF(01_Supuestos!$C$184="Sí",Y321,$C$172*Y83)</f>
        <v>5.44684406069793</v>
      </c>
      <c r="Z326" s="1" t="n">
        <f aca="false">IF(01_Supuestos!$C$184="Sí",Z321,$C$172*Z83)</f>
        <v>5.57843375369333</v>
      </c>
      <c r="AA326" s="1" t="n">
        <f aca="false">IF(01_Supuestos!$C$184="Sí",AA321,$C$172*AA83)</f>
        <v>5.71345119049433</v>
      </c>
      <c r="AB326" s="1" t="n">
        <f aca="false">IF(01_Supuestos!$C$184="Sí",AB321,$C$172*AB83)</f>
        <v>5.85190993235033</v>
      </c>
      <c r="AC326" s="1" t="n">
        <f aca="false">IF(01_Supuestos!$C$184="Sí",AC321,$C$172*AC83)</f>
        <v>5.99383746282993</v>
      </c>
      <c r="AD326" s="1" t="n">
        <f aca="false">IF(01_Supuestos!$C$184="Sí",AD321,$C$172*AD83)</f>
        <v>6.13926967460069</v>
      </c>
      <c r="AE326" s="1" t="n">
        <f aca="false">IF(01_Supuestos!$C$184="Sí",AE321,$C$172*AE83)</f>
        <v>6.28824368959728</v>
      </c>
      <c r="AF326" s="1" t="n">
        <f aca="false">IF(01_Supuestos!$C$184="Sí",AF321,$C$172*AF83)</f>
        <v>6.4407978424082</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0.114203387274813</v>
      </c>
      <c r="N327" s="1" t="n">
        <f aca="false">IF(01_Supuestos!$C$184="Sí",MAX(0.001,IF(M299&gt;0,M320/M299,$C$328*(1-$C$279))),$C$172)</f>
        <v>0.135882248048718</v>
      </c>
      <c r="O327" s="1" t="n">
        <f aca="false">IF(01_Supuestos!$C$184="Sí",MAX(0.001,IF(N299&gt;0,N320/N299,$C$328*(1-$C$279))),$C$172)</f>
        <v>0.150117747818546</v>
      </c>
      <c r="P327" s="1" t="n">
        <f aca="false">IF(01_Supuestos!$C$184="Sí",MAX(0.001,IF(O299&gt;0,O320/O299,$C$328*(1-$C$279))),$C$172)</f>
        <v>0.136564505316061</v>
      </c>
      <c r="Q327" s="1" t="n">
        <f aca="false">IF(01_Supuestos!$C$184="Sí",MAX(0.001,IF(P299&gt;0,P320/P299,$C$328*(1-$C$279))),$C$172)</f>
        <v>0.137376578529207</v>
      </c>
      <c r="R327" s="1" t="n">
        <f aca="false">IF(01_Supuestos!$C$184="Sí",MAX(0.001,IF(Q299&gt;0,Q320/Q299,$C$328*(1-$C$279))),$C$172)</f>
        <v>0.13739135641663</v>
      </c>
      <c r="S327" s="1" t="n">
        <f aca="false">IF(01_Supuestos!$C$184="Sí",MAX(0.001,IF(R299&gt;0,R320/R299,$C$328*(1-$C$279))),$C$172)</f>
        <v>0.137449217650092</v>
      </c>
      <c r="T327" s="1" t="n">
        <f aca="false">IF(01_Supuestos!$C$184="Sí",MAX(0.001,IF(S299&gt;0,S320/S299,$C$328*(1-$C$279))),$C$172)</f>
        <v>0.137515185441311</v>
      </c>
      <c r="U327" s="1" t="n">
        <f aca="false">IF(01_Supuestos!$C$184="Sí",MAX(0.001,IF(T299&gt;0,T320/T299,$C$328*(1-$C$279))),$C$172)</f>
        <v>0.137586296668692</v>
      </c>
      <c r="V327" s="1" t="n">
        <f aca="false">IF(01_Supuestos!$C$184="Sí",MAX(0.001,IF(U299&gt;0,U320/U299,$C$328*(1-$C$279))),$C$172)</f>
        <v>0.13766167844193</v>
      </c>
      <c r="W327" s="1" t="n">
        <f aca="false">IF(01_Supuestos!$C$184="Sí",MAX(0.001,IF(V299&gt;0,V320/V299,$C$328*(1-$C$279))),$C$172)</f>
        <v>0.137740463806877</v>
      </c>
      <c r="X327" s="1" t="n">
        <f aca="false">IF(01_Supuestos!$C$184="Sí",MAX(0.001,IF(W299&gt;0,W320/W299,$C$328*(1-$C$279))),$C$172)</f>
        <v>0.137864352467675</v>
      </c>
      <c r="Y327" s="1" t="n">
        <f aca="false">IF(01_Supuestos!$C$184="Sí",MAX(0.001,IF(X299&gt;0,X320/X299,$C$328*(1-$C$279))),$C$172)</f>
        <v>0.137994414967756</v>
      </c>
      <c r="Z327" s="1" t="n">
        <f aca="false">IF(01_Supuestos!$C$184="Sí",MAX(0.001,IF(Y299&gt;0,Y320/Y299,$C$328*(1-$C$279))),$C$172)</f>
        <v>0.138129524148584</v>
      </c>
      <c r="AA327" s="1" t="n">
        <f aca="false">IF(01_Supuestos!$C$184="Sí",MAX(0.001,IF(Z299&gt;0,Z320/Z299,$C$328*(1-$C$279))),$C$172)</f>
        <v>0.13826863706005</v>
      </c>
      <c r="AB327" s="1" t="n">
        <f aca="false">IF(01_Supuestos!$C$184="Sí",MAX(0.001,IF(AA299&gt;0,AA320/AA299,$C$328*(1-$C$279))),$C$172)</f>
        <v>0.138410777326441</v>
      </c>
      <c r="AC327" s="1" t="n">
        <f aca="false">IF(01_Supuestos!$C$184="Sí",MAX(0.001,IF(AB299&gt;0,AB320/AB299,$C$328*(1-$C$279))),$C$172)</f>
        <v>0.138554203957085</v>
      </c>
      <c r="AD327" s="1" t="n">
        <f aca="false">IF(01_Supuestos!$C$184="Sí",MAX(0.001,IF(AC299&gt;0,AC320/AC299,$C$328*(1-$C$279))),$C$172)</f>
        <v>0.138698007906598</v>
      </c>
      <c r="AE327" s="1" t="n">
        <f aca="false">IF(01_Supuestos!$C$184="Sí",MAX(0.001,IF(AD299&gt;0,AD320/AD299,$C$328*(1-$C$279))),$C$172)</f>
        <v>0.13884134570897</v>
      </c>
      <c r="AF327" s="1" t="n">
        <f aca="false">IF(01_Supuestos!$C$184="Sí",MAX(0.001,IF(AE299&gt;0,AE320/AE299,$C$328*(1-$C$279))),$C$172)</f>
        <v>0.138983435410705</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0.0951220175185859</v>
      </c>
      <c r="N330" s="1" t="n">
        <f aca="false">N343</f>
        <v>0.116936683222562</v>
      </c>
      <c r="O330" s="1" t="n">
        <f aca="false">O343</f>
        <v>0.125838157072535</v>
      </c>
      <c r="P330" s="1" t="n">
        <f aca="false">P343</f>
        <v>0.128476270614598</v>
      </c>
      <c r="Q330" s="1" t="n">
        <f aca="false">Q343</f>
        <v>0.13138477266121</v>
      </c>
      <c r="R330" s="1" t="n">
        <f aca="false">R343</f>
        <v>0.134370573739743</v>
      </c>
      <c r="S330" s="1" t="n">
        <f aca="false">S343</f>
        <v>0.137443322024686</v>
      </c>
      <c r="T330" s="1" t="n">
        <f aca="false">T343</f>
        <v>0.14060427102406</v>
      </c>
      <c r="U330" s="1" t="n">
        <f aca="false">U343</f>
        <v>0.143854232510672</v>
      </c>
      <c r="V330" s="1" t="n">
        <f aca="false">V343</f>
        <v>0.147194085419163</v>
      </c>
      <c r="W330" s="1" t="n">
        <f aca="false">W343</f>
        <v>0.150624759225147</v>
      </c>
      <c r="X330" s="1" t="n">
        <f aca="false">X343</f>
        <v>0.154157647126433</v>
      </c>
      <c r="Y330" s="1" t="n">
        <f aca="false">Y343</f>
        <v>0.157793718893646</v>
      </c>
      <c r="Z330" s="1" t="n">
        <f aca="false">Z343</f>
        <v>0.161533983283797</v>
      </c>
      <c r="AA330" s="1" t="n">
        <f aca="false">AA343</f>
        <v>0.165379491211608</v>
      </c>
      <c r="AB330" s="1" t="n">
        <f aca="false">AB343</f>
        <v>0.169331335025812</v>
      </c>
      <c r="AC330" s="1" t="n">
        <f aca="false">AC343</f>
        <v>0.173390420486277</v>
      </c>
      <c r="AD330" s="1" t="n">
        <f aca="false">AD343</f>
        <v>0.177557697485353</v>
      </c>
      <c r="AE330" s="1" t="n">
        <f aca="false">AE343</f>
        <v>0.181834159260198</v>
      </c>
      <c r="AF330" s="1" t="n">
        <f aca="false">AF343</f>
        <v>0.186220841594897</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0.0951220175185859</v>
      </c>
      <c r="N331" s="1" t="n">
        <f aca="false">N330*$C$338</f>
        <v>0.116936683222562</v>
      </c>
      <c r="O331" s="1" t="n">
        <f aca="false">O330*$C$338</f>
        <v>0.125838157072535</v>
      </c>
      <c r="P331" s="1" t="n">
        <f aca="false">P330*$C$338</f>
        <v>0.128476270614598</v>
      </c>
      <c r="Q331" s="1" t="n">
        <f aca="false">Q330*$C$338</f>
        <v>0.13138477266121</v>
      </c>
      <c r="R331" s="1" t="n">
        <f aca="false">R330*$C$338</f>
        <v>0.134370573739743</v>
      </c>
      <c r="S331" s="1" t="n">
        <f aca="false">S330*$C$338</f>
        <v>0.137443322024686</v>
      </c>
      <c r="T331" s="1" t="n">
        <f aca="false">T330*$C$338</f>
        <v>0.14060427102406</v>
      </c>
      <c r="U331" s="1" t="n">
        <f aca="false">U330*$C$338</f>
        <v>0.143854232510672</v>
      </c>
      <c r="V331" s="1" t="n">
        <f aca="false">V330*$C$338</f>
        <v>0.147194085419163</v>
      </c>
      <c r="W331" s="1" t="n">
        <f aca="false">W330*$C$338</f>
        <v>0.150624759225147</v>
      </c>
      <c r="X331" s="1" t="n">
        <f aca="false">X330*$C$338</f>
        <v>0.154157647126433</v>
      </c>
      <c r="Y331" s="1" t="n">
        <f aca="false">Y330*$C$338</f>
        <v>0.157793718893646</v>
      </c>
      <c r="Z331" s="1" t="n">
        <f aca="false">Z330*$C$338</f>
        <v>0.161533983283797</v>
      </c>
      <c r="AA331" s="1" t="n">
        <f aca="false">AA330*$C$338</f>
        <v>0.165379491211608</v>
      </c>
      <c r="AB331" s="1" t="n">
        <f aca="false">AB330*$C$338</f>
        <v>0.169331335025812</v>
      </c>
      <c r="AC331" s="1" t="n">
        <f aca="false">AC330*$C$338</f>
        <v>0.173390420486277</v>
      </c>
      <c r="AD331" s="1" t="n">
        <f aca="false">AD330*$C$338</f>
        <v>0.177557697485353</v>
      </c>
      <c r="AE331" s="1" t="n">
        <f aca="false">AE330*$C$338</f>
        <v>0.181834159260198</v>
      </c>
      <c r="AF331" s="1" t="n">
        <f aca="false">AF330*$C$338</f>
        <v>0.186220841594897</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0.0951220175185859</v>
      </c>
      <c r="N332" s="1" t="n">
        <f aca="false">IF($C$339&lt;=0,N331,IF($C$339=1,M331,L331))</f>
        <v>0.116936683222562</v>
      </c>
      <c r="O332" s="1" t="n">
        <f aca="false">IF($C$339&lt;=0,O331,IF($C$339=1,N331,M331))</f>
        <v>0.125838157072535</v>
      </c>
      <c r="P332" s="1" t="n">
        <f aca="false">IF($C$339&lt;=0,P331,IF($C$339=1,O331,N331))</f>
        <v>0.128476270614598</v>
      </c>
      <c r="Q332" s="1" t="n">
        <f aca="false">IF($C$339&lt;=0,Q331,IF($C$339=1,P331,O331))</f>
        <v>0.13138477266121</v>
      </c>
      <c r="R332" s="1" t="n">
        <f aca="false">IF($C$339&lt;=0,R331,IF($C$339=1,Q331,P331))</f>
        <v>0.134370573739743</v>
      </c>
      <c r="S332" s="1" t="n">
        <f aca="false">IF($C$339&lt;=0,S331,IF($C$339=1,R331,Q331))</f>
        <v>0.137443322024686</v>
      </c>
      <c r="T332" s="1" t="n">
        <f aca="false">IF($C$339&lt;=0,T331,IF($C$339=1,S331,R331))</f>
        <v>0.14060427102406</v>
      </c>
      <c r="U332" s="1" t="n">
        <f aca="false">IF($C$339&lt;=0,U331,IF($C$339=1,T331,S331))</f>
        <v>0.143854232510672</v>
      </c>
      <c r="V332" s="1" t="n">
        <f aca="false">IF($C$339&lt;=0,V331,IF($C$339=1,U331,T331))</f>
        <v>0.147194085419163</v>
      </c>
      <c r="W332" s="1" t="n">
        <f aca="false">IF($C$339&lt;=0,W331,IF($C$339=1,V331,U331))</f>
        <v>0.150624759225147</v>
      </c>
      <c r="X332" s="1" t="n">
        <f aca="false">IF($C$339&lt;=0,X331,IF($C$339=1,W331,V331))</f>
        <v>0.154157647126433</v>
      </c>
      <c r="Y332" s="1" t="n">
        <f aca="false">IF($C$339&lt;=0,Y331,IF($C$339=1,X331,W331))</f>
        <v>0.157793718893646</v>
      </c>
      <c r="Z332" s="1" t="n">
        <f aca="false">IF($C$339&lt;=0,Z331,IF($C$339=1,Y331,X331))</f>
        <v>0.161533983283797</v>
      </c>
      <c r="AA332" s="1" t="n">
        <f aca="false">IF($C$339&lt;=0,AA331,IF($C$339=1,Z331,Y331))</f>
        <v>0.165379491211608</v>
      </c>
      <c r="AB332" s="1" t="n">
        <f aca="false">IF($C$339&lt;=0,AB331,IF($C$339=1,AA331,Z331))</f>
        <v>0.169331335025812</v>
      </c>
      <c r="AC332" s="1" t="n">
        <f aca="false">IF($C$339&lt;=0,AC331,IF($C$339=1,AB331,AA331))</f>
        <v>0.173390420486277</v>
      </c>
      <c r="AD332" s="1" t="n">
        <f aca="false">IF($C$339&lt;=0,AD331,IF($C$339=1,AC331,AB331))</f>
        <v>0.177557697485353</v>
      </c>
      <c r="AE332" s="1" t="n">
        <f aca="false">IF($C$339&lt;=0,AE331,IF($C$339=1,AD331,AC331))</f>
        <v>0.181834159260198</v>
      </c>
      <c r="AF332" s="1" t="n">
        <f aca="false">IF($C$339&lt;=0,AF331,IF($C$339=1,AE331,AD331))</f>
        <v>0.186220841594897</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0.0399512473578061</v>
      </c>
      <c r="N341" s="1" t="n">
        <f aca="false">M284*$C$340</f>
        <v>0.0491134069534761</v>
      </c>
      <c r="O341" s="1" t="n">
        <f aca="false">N284*$C$340</f>
        <v>0.0528520259704646</v>
      </c>
      <c r="P341" s="1" t="n">
        <f aca="false">O284*$C$340</f>
        <v>0.0539600336581312</v>
      </c>
      <c r="Q341" s="1" t="n">
        <f aca="false">P284*$C$340</f>
        <v>0.0551816045177082</v>
      </c>
      <c r="R341" s="1" t="n">
        <f aca="false">Q284*$C$340</f>
        <v>0.0564356409706919</v>
      </c>
      <c r="S341" s="1" t="n">
        <f aca="false">R284*$C$340</f>
        <v>0.0577261952503681</v>
      </c>
      <c r="T341" s="1" t="n">
        <f aca="false">S284*$C$340</f>
        <v>0.0590537938301051</v>
      </c>
      <c r="U341" s="1" t="n">
        <f aca="false">T284*$C$340</f>
        <v>0.0604187776544824</v>
      </c>
      <c r="V341" s="1" t="n">
        <f aca="false">U284*$C$340</f>
        <v>0.0618215158760486</v>
      </c>
      <c r="W341" s="1" t="n">
        <f aca="false">V284*$C$340</f>
        <v>0.0632623988745616</v>
      </c>
      <c r="X341" s="1" t="n">
        <f aca="false">W284*$C$340</f>
        <v>0.0647462117931017</v>
      </c>
      <c r="Y341" s="1" t="n">
        <f aca="false">X284*$C$340</f>
        <v>0.0662733619353313</v>
      </c>
      <c r="Z341" s="1" t="n">
        <f aca="false">Y284*$C$340</f>
        <v>0.0678442729791949</v>
      </c>
      <c r="AA341" s="1" t="n">
        <f aca="false">Z284*$C$340</f>
        <v>0.0694593863088752</v>
      </c>
      <c r="AB341" s="1" t="n">
        <f aca="false">AA284*$C$340</f>
        <v>0.0711191607108409</v>
      </c>
      <c r="AC341" s="1" t="n">
        <f aca="false">AB284*$C$340</f>
        <v>0.0728239766042363</v>
      </c>
      <c r="AD341" s="1" t="n">
        <f aca="false">AC284*$C$340</f>
        <v>0.0745742329438481</v>
      </c>
      <c r="AE341" s="1" t="n">
        <f aca="false">AD284*$C$340</f>
        <v>0.076370346889283</v>
      </c>
      <c r="AF341" s="1" t="n">
        <f aca="false">AE284*$C$340</f>
        <v>0.0782127534698565</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0.0551707701607798</v>
      </c>
      <c r="N342" s="1" t="n">
        <f aca="false">M289*$C$340</f>
        <v>0.067823276269086</v>
      </c>
      <c r="O342" s="1" t="n">
        <f aca="false">N289*$C$340</f>
        <v>0.0729861311020702</v>
      </c>
      <c r="P342" s="1" t="n">
        <f aca="false">O289*$C$340</f>
        <v>0.0745162369564669</v>
      </c>
      <c r="Q342" s="1" t="n">
        <f aca="false">P289*$C$340</f>
        <v>0.0762031681435018</v>
      </c>
      <c r="R342" s="1" t="n">
        <f aca="false">Q289*$C$340</f>
        <v>0.0779349327690507</v>
      </c>
      <c r="S342" s="1" t="n">
        <f aca="false">R289*$C$340</f>
        <v>0.0797171267743179</v>
      </c>
      <c r="T342" s="1" t="n">
        <f aca="false">S289*$C$340</f>
        <v>0.0815504771939547</v>
      </c>
      <c r="U342" s="1" t="n">
        <f aca="false">T289*$C$340</f>
        <v>0.0834354548561899</v>
      </c>
      <c r="V342" s="1" t="n">
        <f aca="false">U289*$C$340</f>
        <v>0.0853725695431147</v>
      </c>
      <c r="W342" s="1" t="n">
        <f aca="false">V289*$C$340</f>
        <v>0.087362360350585</v>
      </c>
      <c r="X342" s="1" t="n">
        <f aca="false">W289*$C$340</f>
        <v>0.0894114353333309</v>
      </c>
      <c r="Y342" s="1" t="n">
        <f aca="false">X289*$C$340</f>
        <v>0.0915203569583147</v>
      </c>
      <c r="Z342" s="1" t="n">
        <f aca="false">Y289*$C$340</f>
        <v>0.0936897103046025</v>
      </c>
      <c r="AA342" s="1" t="n">
        <f aca="false">Z289*$C$340</f>
        <v>0.0959201049027325</v>
      </c>
      <c r="AB342" s="1" t="n">
        <f aca="false">AA289*$C$340</f>
        <v>0.0982121743149707</v>
      </c>
      <c r="AC342" s="1" t="n">
        <f aca="false">AB289*$C$340</f>
        <v>0.100566443882041</v>
      </c>
      <c r="AD342" s="1" t="n">
        <f aca="false">AC289*$C$340</f>
        <v>0.102983464541504</v>
      </c>
      <c r="AE342" s="1" t="n">
        <f aca="false">AD289*$C$340</f>
        <v>0.105463812370915</v>
      </c>
      <c r="AF342" s="1" t="n">
        <f aca="false">AE289*$C$340</f>
        <v>0.10800808812504</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0.0951220175185859</v>
      </c>
      <c r="N343" s="1" t="n">
        <f aca="false">N341+N342</f>
        <v>0.116936683222562</v>
      </c>
      <c r="O343" s="1" t="n">
        <f aca="false">O341+O342</f>
        <v>0.125838157072535</v>
      </c>
      <c r="P343" s="1" t="n">
        <f aca="false">P341+P342</f>
        <v>0.128476270614598</v>
      </c>
      <c r="Q343" s="1" t="n">
        <f aca="false">Q341+Q342</f>
        <v>0.13138477266121</v>
      </c>
      <c r="R343" s="1" t="n">
        <f aca="false">R341+R342</f>
        <v>0.134370573739743</v>
      </c>
      <c r="S343" s="1" t="n">
        <f aca="false">S341+S342</f>
        <v>0.137443322024686</v>
      </c>
      <c r="T343" s="1" t="n">
        <f aca="false">T341+T342</f>
        <v>0.14060427102406</v>
      </c>
      <c r="U343" s="1" t="n">
        <f aca="false">U341+U342</f>
        <v>0.143854232510672</v>
      </c>
      <c r="V343" s="1" t="n">
        <f aca="false">V341+V342</f>
        <v>0.147194085419163</v>
      </c>
      <c r="W343" s="1" t="n">
        <f aca="false">W341+W342</f>
        <v>0.150624759225147</v>
      </c>
      <c r="X343" s="1" t="n">
        <f aca="false">X341+X342</f>
        <v>0.154157647126433</v>
      </c>
      <c r="Y343" s="1" t="n">
        <f aca="false">Y341+Y342</f>
        <v>0.157793718893646</v>
      </c>
      <c r="Z343" s="1" t="n">
        <f aca="false">Z341+Z342</f>
        <v>0.161533983283797</v>
      </c>
      <c r="AA343" s="1" t="n">
        <f aca="false">AA341+AA342</f>
        <v>0.165379491211608</v>
      </c>
      <c r="AB343" s="1" t="n">
        <f aca="false">AB341+AB342</f>
        <v>0.169331335025812</v>
      </c>
      <c r="AC343" s="1" t="n">
        <f aca="false">AC341+AC342</f>
        <v>0.173390420486277</v>
      </c>
      <c r="AD343" s="1" t="n">
        <f aca="false">AD341+AD342</f>
        <v>0.177557697485353</v>
      </c>
      <c r="AE343" s="1" t="n">
        <f aca="false">AE341+AE342</f>
        <v>0.181834159260198</v>
      </c>
      <c r="AF343" s="1" t="n">
        <f aca="false">AF341+AF342</f>
        <v>0.186220841594897</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1399</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52"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(IF($C$11="Libro",C55*C54,IF(C$39&lt;=20,01_Supuestos!$I$26+(01_Supuestos!$I$27-01_Supuestos!$I$26)*(C$39-1)/19,01_Supuestos!$I$27*IF($C$6="Sí",(1+01_Supuestos!$I$9)^(C$39-20),1))*C55/0.1))*(1-IF(C$39&gt;=$C$198,$C$197,0))</f>
        <v>1.07</v>
      </c>
      <c r="D56" s="116" t="n">
        <f aca="false">(IF($C$11="Libro",D55*D54,IF(D$39&lt;=20,01_Supuestos!$I$26+(01_Supuestos!$I$27-01_Supuestos!$I$26)*(D$39-1)/19,01_Supuestos!$I$27*IF($C$6="Sí",(1+01_Supuestos!$I$9)^(D$39-20),1))*D55/0.1))*(1-IF(D$39&gt;=$C$198,$C$197,0))</f>
        <v>1.09675</v>
      </c>
      <c r="E56" s="116" t="n">
        <f aca="false">(IF($C$11="Libro",E55*E54,IF(E$39&lt;=20,01_Supuestos!$I$26+(01_Supuestos!$I$27-01_Supuestos!$I$26)*(E$39-1)/19,01_Supuestos!$I$27*IF($C$6="Sí",(1+01_Supuestos!$I$9)^(E$39-20),1))*E55/0.1))*(1-IF(E$39&gt;=$C$198,$C$197,0))</f>
        <v>1.12416875</v>
      </c>
      <c r="F56" s="116" t="n">
        <f aca="false">(IF($C$11="Libro",F55*F54,IF(F$39&lt;=20,01_Supuestos!$I$26+(01_Supuestos!$I$27-01_Supuestos!$I$26)*(F$39-1)/19,01_Supuestos!$I$27*IF($C$6="Sí",(1+01_Supuestos!$I$9)^(F$39-20),1))*F55/0.1))*(1-IF(F$39&gt;=$C$198,$C$197,0))</f>
        <v>1.15227296875</v>
      </c>
      <c r="G56" s="116" t="n">
        <f aca="false">(IF($C$11="Libro",G55*G54,IF(G$39&lt;=20,01_Supuestos!$I$26+(01_Supuestos!$I$27-01_Supuestos!$I$26)*(G$39-1)/19,01_Supuestos!$I$27*IF($C$6="Sí",(1+01_Supuestos!$I$9)^(G$39-20),1))*G55/0.1))*(1-IF(G$39&gt;=$C$198,$C$197,0))</f>
        <v>1.18107979296875</v>
      </c>
      <c r="H56" s="116" t="n">
        <f aca="false">(IF($C$11="Libro",H55*H54,IF(H$39&lt;=20,01_Supuestos!$I$26+(01_Supuestos!$I$27-01_Supuestos!$I$26)*(H$39-1)/19,01_Supuestos!$I$27*IF($C$6="Sí",(1+01_Supuestos!$I$9)^(H$39-20),1))*H55/0.1))*(1-IF(H$39&gt;=$C$198,$C$197,0))</f>
        <v>1.21060678779297</v>
      </c>
      <c r="I56" s="116" t="n">
        <f aca="false">(IF($C$11="Libro",I55*I54,IF(I$39&lt;=20,01_Supuestos!$I$26+(01_Supuestos!$I$27-01_Supuestos!$I$26)*(I$39-1)/19,01_Supuestos!$I$27*IF($C$6="Sí",(1+01_Supuestos!$I$9)^(I$39-20),1))*I55/0.1))*(1-IF(I$39&gt;=$C$198,$C$197,0))</f>
        <v>1.24087195748779</v>
      </c>
      <c r="J56" s="116" t="n">
        <f aca="false">(IF($C$11="Libro",J55*J54,IF(J$39&lt;=20,01_Supuestos!$I$26+(01_Supuestos!$I$27-01_Supuestos!$I$26)*(J$39-1)/19,01_Supuestos!$I$27*IF($C$6="Sí",(1+01_Supuestos!$I$9)^(J$39-20),1))*J55/0.1))*(1-IF(J$39&gt;=$C$198,$C$197,0))</f>
        <v>1.27189375642499</v>
      </c>
      <c r="K56" s="116" t="n">
        <f aca="false">(IF($C$11="Libro",K55*K54,IF(K$39&lt;=20,01_Supuestos!$I$26+(01_Supuestos!$I$27-01_Supuestos!$I$26)*(K$39-1)/19,01_Supuestos!$I$27*IF($C$6="Sí",(1+01_Supuestos!$I$9)^(K$39-20),1))*K55/0.1))*(1-IF(K$39&gt;=$C$198,$C$197,0))</f>
        <v>1.30369110033561</v>
      </c>
      <c r="L56" s="116" t="n">
        <f aca="false">(IF($C$11="Libro",L55*L54,IF(L$39&lt;=20,01_Supuestos!$I$26+(01_Supuestos!$I$27-01_Supuestos!$I$26)*(L$39-1)/19,01_Supuestos!$I$27*IF($C$6="Sí",(1+01_Supuestos!$I$9)^(L$39-20),1))*L55/0.1))*(1-IF(L$39&gt;=$C$198,$C$197,0))</f>
        <v>1.336283377844</v>
      </c>
      <c r="M56" s="116" t="n">
        <f aca="false">(IF($C$11="Libro",M55*M54,IF(M$39&lt;=20,01_Supuestos!$I$26+(01_Supuestos!$I$27-01_Supuestos!$I$26)*(M$39-1)/19,01_Supuestos!$I$27*IF($C$6="Sí",(1+01_Supuestos!$I$9)^(M$39-20),1))*M55/0.1))*(1-IF(M$39&gt;=$C$198,$C$197,0))</f>
        <v>1.3696904622901</v>
      </c>
      <c r="N56" s="116" t="n">
        <f aca="false">(IF($C$11="Libro",N55*N54,IF(N$39&lt;=20,01_Supuestos!$I$26+(01_Supuestos!$I$27-01_Supuestos!$I$26)*(N$39-1)/19,01_Supuestos!$I$27*IF($C$6="Sí",(1+01_Supuestos!$I$9)^(N$39-20),1))*N55/0.1))*(1-IF(N$39&gt;=$C$198,$C$197,0))</f>
        <v>1.40393272384735</v>
      </c>
      <c r="O56" s="116" t="n">
        <f aca="false">(IF($C$11="Libro",O55*O54,IF(O$39&lt;=20,01_Supuestos!$I$26+(01_Supuestos!$I$27-01_Supuestos!$I$26)*(O$39-1)/19,01_Supuestos!$I$27*IF($C$6="Sí",(1+01_Supuestos!$I$9)^(O$39-20),1))*O55/0.1))*(1-IF(O$39&gt;=$C$198,$C$197,0))</f>
        <v>1.43903104194354</v>
      </c>
      <c r="P56" s="116" t="n">
        <f aca="false">(IF($C$11="Libro",P55*P54,IF(P$39&lt;=20,01_Supuestos!$I$26+(01_Supuestos!$I$27-01_Supuestos!$I$26)*(P$39-1)/19,01_Supuestos!$I$27*IF($C$6="Sí",(1+01_Supuestos!$I$9)^(P$39-20),1))*P55/0.1))*(1-IF(P$39&gt;=$C$198,$C$197,0))</f>
        <v>1.47500681799213</v>
      </c>
      <c r="Q56" s="116" t="n">
        <f aca="false">(IF($C$11="Libro",Q55*Q54,IF(Q$39&lt;=20,01_Supuestos!$I$26+(01_Supuestos!$I$27-01_Supuestos!$I$26)*(Q$39-1)/19,01_Supuestos!$I$27*IF($C$6="Sí",(1+01_Supuestos!$I$9)^(Q$39-20),1))*Q55/0.1))*(1-IF(Q$39&gt;=$C$198,$C$197,0))</f>
        <v>1.51188198844193</v>
      </c>
      <c r="R56" s="116" t="n">
        <f aca="false">(IF($C$11="Libro",R55*R54,IF(R$39&lt;=20,01_Supuestos!$I$26+(01_Supuestos!$I$27-01_Supuestos!$I$26)*(R$39-1)/19,01_Supuestos!$I$27*IF($C$6="Sí",(1+01_Supuestos!$I$9)^(R$39-20),1))*R55/0.1))*(1-IF(R$39&gt;=$C$198,$C$197,0))</f>
        <v>1.16225927861473</v>
      </c>
      <c r="S56" s="116" t="n">
        <f aca="false">(IF($C$11="Libro",S55*S54,IF(S$39&lt;=20,01_Supuestos!$I$26+(01_Supuestos!$I$27-01_Supuestos!$I$26)*(S$39-1)/19,01_Supuestos!$I$27*IF($C$6="Sí",(1+01_Supuestos!$I$9)^(S$39-20),1))*S55/0.1))*(1-IF(S$39&gt;=$C$198,$C$197,0))</f>
        <v>1.1913157605801</v>
      </c>
      <c r="T56" s="116" t="n">
        <f aca="false">(IF($C$11="Libro",T55*T54,IF(T$39&lt;=20,01_Supuestos!$I$26+(01_Supuestos!$I$27-01_Supuestos!$I$26)*(T$39-1)/19,01_Supuestos!$I$27*IF($C$6="Sí",(1+01_Supuestos!$I$9)^(T$39-20),1))*T55/0.1))*(1-IF(T$39&gt;=$C$198,$C$197,0))</f>
        <v>1.2210986545946</v>
      </c>
      <c r="U56" s="116" t="n">
        <f aca="false">(IF($C$11="Libro",U55*U54,IF(U$39&lt;=20,01_Supuestos!$I$26+(01_Supuestos!$I$27-01_Supuestos!$I$26)*(U$39-1)/19,01_Supuestos!$I$27*IF($C$6="Sí",(1+01_Supuestos!$I$9)^(U$39-20),1))*U55/0.1))*(1-IF(U$39&gt;=$C$198,$C$197,0))</f>
        <v>1.25162612095947</v>
      </c>
      <c r="V56" s="116" t="n">
        <f aca="false">(IF($C$11="Libro",V55*V54,IF(V$39&lt;=20,01_Supuestos!$I$26+(01_Supuestos!$I$27-01_Supuestos!$I$26)*(V$39-1)/19,01_Supuestos!$I$27*IF($C$6="Sí",(1+01_Supuestos!$I$9)^(V$39-20),1))*V55/0.1))*(1-IF(V$39&gt;=$C$198,$C$197,0))</f>
        <v>1.28291677398346</v>
      </c>
      <c r="W56" s="116" t="n">
        <f aca="false">(IF($C$11="Libro",W55*W54,IF(W$39&lt;=20,01_Supuestos!$I$26+(01_Supuestos!$I$27-01_Supuestos!$I$26)*(W$39-1)/19,01_Supuestos!$I$27*IF($C$6="Sí",(1+01_Supuestos!$I$9)^(W$39-20),1))*W55/0.1))*(1-IF(W$39&gt;=$C$198,$C$197,0))</f>
        <v>1.31498969333304</v>
      </c>
      <c r="X56" s="116" t="n">
        <f aca="false">(IF($C$11="Libro",X55*X54,IF(X$39&lt;=20,01_Supuestos!$I$26+(01_Supuestos!$I$27-01_Supuestos!$I$26)*(X$39-1)/19,01_Supuestos!$I$27*IF($C$6="Sí",(1+01_Supuestos!$I$9)^(X$39-20),1))*X55/0.1))*(1-IF(X$39&gt;=$C$198,$C$197,0))</f>
        <v>1.34786443566637</v>
      </c>
      <c r="Y56" s="116" t="n">
        <f aca="false">(IF($C$11="Libro",Y55*Y54,IF(Y$39&lt;=20,01_Supuestos!$I$26+(01_Supuestos!$I$27-01_Supuestos!$I$26)*(Y$39-1)/19,01_Supuestos!$I$27*IF($C$6="Sí",(1+01_Supuestos!$I$9)^(Y$39-20),1))*Y55/0.1))*(1-IF(Y$39&gt;=$C$198,$C$197,0))</f>
        <v>1.38156104655803</v>
      </c>
      <c r="Z56" s="116" t="n">
        <f aca="false">(IF($C$11="Libro",Z55*Z54,IF(Z$39&lt;=20,01_Supuestos!$I$26+(01_Supuestos!$I$27-01_Supuestos!$I$26)*(Z$39-1)/19,01_Supuestos!$I$27*IF($C$6="Sí",(1+01_Supuestos!$I$9)^(Z$39-20),1))*Z55/0.1))*(1-IF(Z$39&gt;=$C$198,$C$197,0))</f>
        <v>1.41610007272198</v>
      </c>
      <c r="AA56" s="116" t="n">
        <f aca="false">(IF($C$11="Libro",AA55*AA54,IF(AA$39&lt;=20,01_Supuestos!$I$26+(01_Supuestos!$I$27-01_Supuestos!$I$26)*(AA$39-1)/19,01_Supuestos!$I$27*IF($C$6="Sí",(1+01_Supuestos!$I$9)^(AA$39-20),1))*AA55/0.1))*(1-IF(AA$39&gt;=$C$198,$C$197,0))</f>
        <v>1.45150257454003</v>
      </c>
      <c r="AB56" s="116" t="n">
        <f aca="false">(IF($C$11="Libro",AB55*AB54,IF(AB$39&lt;=20,01_Supuestos!$I$26+(01_Supuestos!$I$27-01_Supuestos!$I$26)*(AB$39-1)/19,01_Supuestos!$I$27*IF($C$6="Sí",(1+01_Supuestos!$I$9)^(AB$39-20),1))*AB55/0.1))*(1-IF(AB$39&gt;=$C$198,$C$197,0))</f>
        <v>1.48779013890353</v>
      </c>
      <c r="AC56" s="116" t="n">
        <f aca="false">(IF($C$11="Libro",AC55*AC54,IF(AC$39&lt;=20,01_Supuestos!$I$26+(01_Supuestos!$I$27-01_Supuestos!$I$26)*(AC$39-1)/19,01_Supuestos!$I$27*IF($C$6="Sí",(1+01_Supuestos!$I$9)^(AC$39-20),1))*AC55/0.1))*(1-IF(AC$39&gt;=$C$198,$C$197,0))</f>
        <v>1.52498489237611</v>
      </c>
      <c r="AD56" s="116" t="n">
        <f aca="false">(IF($C$11="Libro",AD55*AD54,IF(AD$39&lt;=20,01_Supuestos!$I$26+(01_Supuestos!$I$27-01_Supuestos!$I$26)*(AD$39-1)/19,01_Supuestos!$I$27*IF($C$6="Sí",(1+01_Supuestos!$I$9)^(AD$39-20),1))*AD55/0.1))*(1-IF(AD$39&gt;=$C$198,$C$197,0))</f>
        <v>1.56310951468552</v>
      </c>
      <c r="AE56" s="116" t="n">
        <f aca="false">(IF($C$11="Libro",AE55*AE54,IF(AE$39&lt;=20,01_Supuestos!$I$26+(01_Supuestos!$I$27-01_Supuestos!$I$26)*(AE$39-1)/19,01_Supuestos!$I$27*IF($C$6="Sí",(1+01_Supuestos!$I$9)^(AE$39-20),1))*AE55/0.1))*(1-IF(AE$39&gt;=$C$198,$C$197,0))</f>
        <v>1.60218725255266</v>
      </c>
      <c r="AF56" s="116" t="n">
        <f aca="false">(IF($C$11="Libro",AF55*AF54,IF(AF$39&lt;=20,01_Supuestos!$I$26+(01_Supuestos!$I$27-01_Supuestos!$I$26)*(AF$39-1)/19,01_Supuestos!$I$27*IF($C$6="Sí",(1+01_Supuestos!$I$9)^(AF$39-20),1))*AF55/0.1))*(1-IF(AF$39&gt;=$C$198,$C$197,0))</f>
        <v>1.64224193386647</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187.652339662692</v>
      </c>
      <c r="M72" s="116" t="n">
        <f aca="false">IF($C$173="Sí",(M83-M326)+M181,$C$15*L83)</f>
        <v>201.492878723063</v>
      </c>
      <c r="N72" s="116" t="n">
        <f aca="false">IF($C$173="Sí",(N83-N326)+N181,$C$15*M83)</f>
        <v>206.829277243367</v>
      </c>
      <c r="O72" s="116" t="n">
        <f aca="false">IF($C$173="Sí",(O83-O326)+O181,$C$15*N83)</f>
        <v>212.558232271394</v>
      </c>
      <c r="P72" s="116" t="n">
        <f aca="false">IF($C$173="Sí",(P83-P326)+P181,$C$15*O83)</f>
        <v>217.630537405409</v>
      </c>
      <c r="Q72" s="116" t="n">
        <f aca="false">IF($C$173="Sí",(Q83-Q326)+Q181,$C$15*P83)</f>
        <v>222.629726854445</v>
      </c>
      <c r="R72" s="116" t="n">
        <f aca="false">IF($C$173="Sí",(R83-R326)+R181,$C$15*Q83)</f>
        <v>227.748809972758</v>
      </c>
      <c r="S72" s="116" t="n">
        <f aca="false">IF($C$173="Sí",(S83-S326)+S181,$C$15*R83)</f>
        <v>232.98489610812</v>
      </c>
      <c r="T72" s="116" t="n">
        <f aca="false">IF($C$173="Sí",(T83-T326)+T181,$C$15*S83)</f>
        <v>238.340901385162</v>
      </c>
      <c r="U72" s="116" t="n">
        <f aca="false">IF($C$173="Sí",(U83-U326)+U181,$C$15*T83)</f>
        <v>243.819681673695</v>
      </c>
      <c r="V72" s="116" t="n">
        <f aca="false">IF($C$173="Sí",(V83-V326)+V181,$C$15*U83)</f>
        <v>249.424120850822</v>
      </c>
      <c r="W72" s="116" t="n">
        <f aca="false">IF($C$173="Sí",(W83-W326)+W181,$C$15*V83)</f>
        <v>255.155930186632</v>
      </c>
      <c r="X72" s="116" t="n">
        <f aca="false">IF($C$173="Sí",(X83-X326)+X181,$C$15*W83)</f>
        <v>261.018664984786</v>
      </c>
      <c r="Y72" s="116" t="n">
        <f aca="false">IF($C$173="Sí",(Y83-Y326)+Y181,$C$15*X83)</f>
        <v>267.015705548363</v>
      </c>
      <c r="Z72" s="116" t="n">
        <f aca="false">IF($C$173="Sí",(Z83-Z326)+Z181,$C$15*Y83)</f>
        <v>273.150178344251</v>
      </c>
      <c r="AA72" s="116" t="n">
        <f aca="false">IF($C$173="Sí",(AA83-AA326)+AA181,$C$15*Z83)</f>
        <v>279.425281206316</v>
      </c>
      <c r="AB72" s="116" t="n">
        <f aca="false">IF($C$173="Sí",(AB83-AB326)+AB181,$C$15*AA83)</f>
        <v>285.844311514151</v>
      </c>
      <c r="AC72" s="116" t="n">
        <f aca="false">IF($C$173="Sí",(AC83-AC326)+AC181,$C$15*AB83)</f>
        <v>292.410628792077</v>
      </c>
      <c r="AD72" s="116" t="n">
        <f aca="false">IF($C$173="Sí",(AD83-AD326)+AD181,$C$15*AC83)</f>
        <v>299.127661969053</v>
      </c>
      <c r="AE72" s="116" t="n">
        <f aca="false">IF($C$173="Sí",(AE83-AE326)+AE181,$C$15*AD83)</f>
        <v>305.998918345278</v>
      </c>
      <c r="AF72" s="116" t="n">
        <f aca="false">IF($C$173="Sí",(AF83-AF326)+AF181,$C$15*AE83)</f>
        <v>313.027985436587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16.5683017846898</v>
      </c>
      <c r="M73" s="116" t="n">
        <f aca="false">M72-L72</f>
        <v>13.8405390603706</v>
      </c>
      <c r="N73" s="116" t="n">
        <f aca="false">N72-M72</f>
        <v>5.33639852030359</v>
      </c>
      <c r="O73" s="116" t="n">
        <f aca="false">O72-N72</f>
        <v>5.72895502802786</v>
      </c>
      <c r="P73" s="116" t="n">
        <f aca="false">P72-O72</f>
        <v>5.07230513401447</v>
      </c>
      <c r="Q73" s="116" t="n">
        <f aca="false">Q72-P72</f>
        <v>4.99918944903638</v>
      </c>
      <c r="R73" s="116" t="n">
        <f aca="false">R72-Q72</f>
        <v>5.11908311831263</v>
      </c>
      <c r="S73" s="116" t="n">
        <f aca="false">S72-R72</f>
        <v>5.23608613536189</v>
      </c>
      <c r="T73" s="116" t="n">
        <f aca="false">T72-S72</f>
        <v>5.35600527704267</v>
      </c>
      <c r="U73" s="116" t="n">
        <f aca="false">U72-T72</f>
        <v>5.47878028853216</v>
      </c>
      <c r="V73" s="116" t="n">
        <f aca="false">V72-U72</f>
        <v>5.60443917712792</v>
      </c>
      <c r="W73" s="116" t="n">
        <f aca="false">W72-V72</f>
        <v>5.7318093358092</v>
      </c>
      <c r="X73" s="116" t="n">
        <f aca="false">X72-W72</f>
        <v>5.8627347981539</v>
      </c>
      <c r="Y73" s="116" t="n">
        <f aca="false">Y72-X72</f>
        <v>5.997040563577</v>
      </c>
      <c r="Z73" s="116" t="n">
        <f aca="false">Z72-Y72</f>
        <v>6.13447279588877</v>
      </c>
      <c r="AA73" s="116" t="n">
        <f aca="false">AA72-Z72</f>
        <v>6.27510286206427</v>
      </c>
      <c r="AB73" s="116" t="n">
        <f aca="false">AB72-AA72</f>
        <v>6.41903030783527</v>
      </c>
      <c r="AC73" s="116" t="n">
        <f aca="false">AC72-AB72</f>
        <v>6.56631727792632</v>
      </c>
      <c r="AD73" s="116" t="n">
        <f aca="false">AD72-AC72</f>
        <v>6.71703317697529</v>
      </c>
      <c r="AE73" s="116" t="n">
        <f aca="false">AE72-AD72</f>
        <v>6.87125637622586</v>
      </c>
      <c r="AF73" s="116" t="n">
        <f aca="false">AF72-AE72</f>
        <v>7.02906709130878</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17.4899578012604</v>
      </c>
      <c r="N75" s="116" t="n">
        <f aca="false">$C$19*M81</f>
        <v>18.1209795877884</v>
      </c>
      <c r="O75" s="116" t="n">
        <f aca="false">$C$19*N81</f>
        <v>18.7599215939701</v>
      </c>
      <c r="P75" s="116" t="n">
        <f aca="false">$C$19*O81</f>
        <v>19.3615464878371</v>
      </c>
      <c r="Q75" s="116" t="n">
        <f aca="false">$C$19*P81</f>
        <v>19.8370657350523</v>
      </c>
      <c r="R75" s="116" t="n">
        <f aca="false">$C$19*Q81</f>
        <v>20.3164351145265</v>
      </c>
      <c r="S75" s="116" t="n">
        <f aca="false">$C$19*R81</f>
        <v>20.7944793385244</v>
      </c>
      <c r="T75" s="116" t="n">
        <f aca="false">$C$19*S81</f>
        <v>21.2716476169449</v>
      </c>
      <c r="U75" s="116" t="n">
        <f aca="false">$C$19*T81</f>
        <v>21.7480344076437</v>
      </c>
      <c r="V75" s="116" t="n">
        <f aca="false">$C$19*U81</f>
        <v>22.2243645799584</v>
      </c>
      <c r="W75" s="116" t="n">
        <f aca="false">$C$19*V81</f>
        <v>22.7013585539125</v>
      </c>
      <c r="X75" s="116" t="n">
        <f aca="false">$C$19*W81</f>
        <v>23.1727905193781</v>
      </c>
      <c r="Y75" s="116" t="n">
        <f aca="false">$C$19*X81</f>
        <v>23.6394138012955</v>
      </c>
      <c r="Z75" s="116" t="n">
        <f aca="false">$C$19*Y81</f>
        <v>24.10198651232</v>
      </c>
      <c r="AA75" s="116" t="n">
        <f aca="false">$C$19*Z81</f>
        <v>24.5612700983251</v>
      </c>
      <c r="AB75" s="116" t="n">
        <f aca="false">$C$19*AA81</f>
        <v>25.0180304942416</v>
      </c>
      <c r="AC75" s="116" t="n">
        <f aca="false">$C$19*AB81</f>
        <v>25.4731908265541</v>
      </c>
      <c r="AD75" s="116" t="n">
        <f aca="false">$C$19*AC81</f>
        <v>25.9276783004411</v>
      </c>
      <c r="AE75" s="116" t="n">
        <f aca="false">$C$19*AD81</f>
        <v>26.3824254406586</v>
      </c>
      <c r="AF75" s="116" t="n">
        <f aca="false">$C$19*AE81</f>
        <v>26.8383713539034</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649.988715964279</v>
      </c>
      <c r="F76" s="116" t="n">
        <f aca="false">(IF($C$173="Sí",(MAX(0,F74-E96)+MAX(0,E276+F53-F75))/F327,F73+MAX(0,F74-E96)+MAX(0,E276+F53-F75)))+IF($C$173="Sí",MAX(0,$C$226*(F70+E121)*0.3/0.55-E227)/F327,0)</f>
        <v>763.012780646039</v>
      </c>
      <c r="G76" s="116" t="n">
        <f aca="false">(IF($C$173="Sí",(MAX(0,G74-F96)+MAX(0,F276+G53-G75))/G327,G73+MAX(0,G74-F96)+MAX(0,F276+G53-G75)))+IF($C$173="Sí",MAX(0,$C$226*(G70+F121)*0.3/0.55-F227)/G327,0)</f>
        <v>16911.3142551436</v>
      </c>
      <c r="H76" s="116" t="n">
        <f aca="false">(IF($C$173="Sí",(MAX(0,H74-G96)+MAX(0,G276+H53-H75))/H327,H73+MAX(0,H74-G96)+MAX(0,G276+H53-H75)))+IF($C$173="Sí",MAX(0,$C$226*(H70+G121)*0.3/0.55-G227)/H327,0)</f>
        <v>840.812729426237</v>
      </c>
      <c r="I76" s="116" t="n">
        <f aca="false">(IF($C$173="Sí",(MAX(0,I74-H96)+MAX(0,H276+I53-I75))/I327,I73+MAX(0,I74-H96)+MAX(0,H276+I53-I75)))+IF($C$173="Sí",MAX(0,$C$226*(I70+H121)*0.3/0.55-H227)/I327,0)</f>
        <v>915.917464721825</v>
      </c>
      <c r="J76" s="116" t="n">
        <f aca="false">(IF($C$173="Sí",(MAX(0,J74-I96)+MAX(0,I276+J53-J75))/J327,J73+MAX(0,J74-I96)+MAX(0,I276+J53-J75)))+IF($C$173="Sí",MAX(0,$C$226*(J70+I121)*0.3/0.55-I227)/J327,0)</f>
        <v>1008.16606044506</v>
      </c>
      <c r="K76" s="116" t="n">
        <f aca="false">(IF($C$173="Sí",(MAX(0,K74-J96)+MAX(0,J276+K53-K75))/K327,K73+MAX(0,K74-J96)+MAX(0,J276+K53-K75)))+IF($C$173="Sí",MAX(0,$C$226*(K70+J121)*0.3/0.55-J227)/K327,0)</f>
        <v>1111.68683636638</v>
      </c>
      <c r="L76" s="116" t="n">
        <f aca="false">(IF($C$173="Sí",(MAX(0,L74-K96)+MAX(0,K276+L53-L75))/L327,L73+MAX(0,L74-K96)+MAX(0,K276+L53-L75)))+IF($C$173="Sí",MAX(0,$C$226*(L70+K121)*0.3/0.55-K227)/L327,0)</f>
        <v>1225.26134695679</v>
      </c>
      <c r="M76" s="116" t="n">
        <f aca="false">(IF($C$173="Sí",(MAX(0,M74-L96)+MAX(0,L276+M53-M75))/M327,M73+MAX(0,M74-L96)+MAX(0,L276+M53-M75)))+IF($C$173="Sí",MAX(0,$C$226*(M70+L121)*0.3/0.55-L227)/M327,0)</f>
        <v>1157.43725141181</v>
      </c>
      <c r="N76" s="116" t="n">
        <f aca="false">(IF($C$173="Sí",(MAX(0,N74-M96)+MAX(0,M276+N53-N75))/N327,N73+MAX(0,N74-M96)+MAX(0,M276+N53-N75)))+IF($C$173="Sí",MAX(0,$C$226*(N70+M121)*0.3/0.55-M227)/N327,0)</f>
        <v>965.716847691652</v>
      </c>
      <c r="O76" s="116" t="n">
        <f aca="false">(IF($C$173="Sí",(MAX(0,O74-N96)+MAX(0,N276+O53-O75))/O327,O73+MAX(0,O74-N96)+MAX(0,N276+O53-O75)))+IF($C$173="Sí",MAX(0,$C$226*(O70+N121)*0.3/0.55-N227)/O327,0)</f>
        <v>880.889873235027</v>
      </c>
      <c r="P76" s="116" t="n">
        <f aca="false">(IF($C$173="Sí",(MAX(0,P74-O96)+MAX(0,O276+P53-P75))/P327,P73+MAX(0,P74-O96)+MAX(0,O276+P53-P75)))+IF($C$173="Sí",MAX(0,$C$226*(P70+O121)*0.3/0.55-O227)/P327,0)</f>
        <v>978.404159238361</v>
      </c>
      <c r="Q76" s="116" t="n">
        <f aca="false">(IF($C$173="Sí",(MAX(0,Q74-P96)+MAX(0,P276+Q53-Q75))/Q327,Q73+MAX(0,Q74-P96)+MAX(0,P276+Q53-Q75)))+IF($C$173="Sí",MAX(0,$C$226*(Q70+P121)*0.3/0.55-P227)/Q327,0)</f>
        <v>978.73725225638</v>
      </c>
      <c r="R76" s="116" t="n">
        <f aca="false">(IF($C$173="Sí",(MAX(0,R74-Q96)+MAX(0,Q276+R53-R75))/R327,R73+MAX(0,R74-Q96)+MAX(0,Q276+R53-R75)))+IF($C$173="Sí",MAX(0,$C$226*(R70+Q121)*0.3/0.55-Q227)/R327,0)</f>
        <v>983.604609900785</v>
      </c>
      <c r="S76" s="116" t="n">
        <f aca="false">(IF($C$173="Sí",(MAX(0,S74-R96)+MAX(0,R276+S53-S75))/S327,S73+MAX(0,S74-R96)+MAX(0,R276+S53-S75)))+IF($C$173="Sí",MAX(0,$C$226*(S70+R121)*0.3/0.55-R227)/S327,0)</f>
        <v>985.648030008468</v>
      </c>
      <c r="T76" s="116" t="n">
        <f aca="false">(IF($C$173="Sí",(MAX(0,T74-S96)+MAX(0,S276+T53-T75))/T327,T73+MAX(0,T74-S96)+MAX(0,S276+T53-T75)))+IF($C$173="Sí",MAX(0,$C$226*(T70+S121)*0.3/0.55-S227)/T327,0)</f>
        <v>987.827544302889</v>
      </c>
      <c r="U76" s="116" t="n">
        <f aca="false">(IF($C$173="Sí",(MAX(0,U74-T96)+MAX(0,T276+U53-U75))/U327,U73+MAX(0,U74-T96)+MAX(0,T276+U53-U75)))+IF($C$173="Sí",MAX(0,$C$226*(U70+T121)*0.3/0.55-T227)/U327,0)</f>
        <v>990.137172695346</v>
      </c>
      <c r="V76" s="116" t="n">
        <f aca="false">(IF($C$173="Sí",(MAX(0,V74-U96)+MAX(0,U276+V53-V75))/V327,V73+MAX(0,V74-U96)+MAX(0,U276+V53-V75)))+IF($C$173="Sí",MAX(0,$C$226*(V70+U121)*0.3/0.55-U227)/V327,0)</f>
        <v>992.607243234735</v>
      </c>
      <c r="W76" s="116" t="n">
        <f aca="false">(IF($C$173="Sí",(MAX(0,W74-V96)+MAX(0,V276+W53-W75))/W327,W73+MAX(0,W74-V96)+MAX(0,V276+W53-W75)))+IF($C$173="Sí",MAX(0,$C$226*(W70+V121)*0.3/0.55-V227)/W327,0)</f>
        <v>995.241128536132</v>
      </c>
      <c r="X76" s="116" t="n">
        <f aca="false">(IF($C$173="Sí",(MAX(0,X74-W96)+MAX(0,W276+X53-X75))/X327,X73+MAX(0,X74-W96)+MAX(0,W276+X53-X75)))+IF($C$173="Sí",MAX(0,$C$226*(X70+W121)*0.3/0.55-W227)/X327,0)</f>
        <v>997.80088298944</v>
      </c>
      <c r="Y76" s="116" t="n">
        <f aca="false">(IF($C$173="Sí",(MAX(0,Y74-X96)+MAX(0,X276+Y53-Y75))/Y327,Y73+MAX(0,Y74-X96)+MAX(0,X276+Y53-Y75)))+IF($C$173="Sí",MAX(0,$C$226*(Y70+X121)*0.3/0.55-X227)/Y327,0)</f>
        <v>1000.56771670594</v>
      </c>
      <c r="Z76" s="116" t="n">
        <f aca="false">(IF($C$173="Sí",(MAX(0,Z74-Y96)+MAX(0,Y276+Z53-Z75))/Z327,Z73+MAX(0,Z74-Y96)+MAX(0,Y276+Z53-Z75)))+IF($C$173="Sí",MAX(0,$C$226*(Z70+Y121)*0.3/0.55-Y227)/Z327,0)</f>
        <v>1003.54856153121</v>
      </c>
      <c r="AA76" s="116" t="n">
        <f aca="false">(IF($C$173="Sí",(MAX(0,AA74-Z96)+MAX(0,Z276+AA53-AA75))/AA327,AA73+MAX(0,AA74-Z96)+MAX(0,Z276+AA53-AA75)))+IF($C$173="Sí",MAX(0,$C$226*(AA70+Z121)*0.3/0.55-Z227)/AA327,0)</f>
        <v>1006.74750809654</v>
      </c>
      <c r="AB76" s="116" t="n">
        <f aca="false">(IF($C$173="Sí",(MAX(0,AB74-AA96)+MAX(0,AA276+AB53-AB75))/AB327,AB73+MAX(0,AB74-AA96)+MAX(0,AA276+AB53-AB75)))+IF($C$173="Sí",MAX(0,$C$226*(AB70+AA121)*0.3/0.55-AA227)/AB327,0)</f>
        <v>1010.16828207975</v>
      </c>
      <c r="AC76" s="116" t="n">
        <f aca="false">(IF($C$173="Sí",(MAX(0,AC74-AB96)+MAX(0,AB276+AC53-AC75))/AC327,AC73+MAX(0,AC74-AB96)+MAX(0,AB276+AC53-AC75)))+IF($C$173="Sí",MAX(0,$C$226*(AC70+AB121)*0.3/0.55-AB227)/AC327,0)</f>
        <v>1013.81887213736</v>
      </c>
      <c r="AD76" s="116" t="n">
        <f aca="false">(IF($C$173="Sí",(MAX(0,AD74-AC96)+MAX(0,AC276+AD53-AD75))/AD327,AD73+MAX(0,AD74-AC96)+MAX(0,AC276+AD53-AD75)))+IF($C$173="Sí",MAX(0,$C$226*(AD70+AC121)*0.3/0.55-AC227)/AD327,0)</f>
        <v>1017.70129998426</v>
      </c>
      <c r="AE76" s="116" t="n">
        <f aca="false">(IF($C$173="Sí",(MAX(0,AE74-AD96)+MAX(0,AD276+AE53-AE75))/AE327,AE73+MAX(0,AE74-AD96)+MAX(0,AD276+AE53-AE75)))+IF($C$173="Sí",MAX(0,$C$226*(AE70+AD121)*0.3/0.55-AD227)/AE327,0)</f>
        <v>1021.81722386493</v>
      </c>
      <c r="AF76" s="116" t="n">
        <f aca="false">(IF($C$173="Sí",(MAX(0,AF74-AE96)+MAX(0,AE276+AF53-AF75))/AF327,AF73+MAX(0,AF74-AE96)+MAX(0,AE276+AF53-AF75)))+IF($C$173="Sí",MAX(0,$C$226*(AF70+AE121)*0.3/0.55-AE227)/AF327,0)</f>
        <v>1026.16801737542</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349.799156025208</v>
      </c>
      <c r="M81" s="116" t="n">
        <f aca="false">M69+M80+L121</f>
        <v>362.419591755768</v>
      </c>
      <c r="N81" s="116" t="n">
        <f aca="false">N69+N80+M121</f>
        <v>375.198431879403</v>
      </c>
      <c r="O81" s="116" t="n">
        <f aca="false">O69+O80+N121</f>
        <v>387.230929756743</v>
      </c>
      <c r="P81" s="116" t="n">
        <f aca="false">P69+P80+O121</f>
        <v>396.741314701046</v>
      </c>
      <c r="Q81" s="116" t="n">
        <f aca="false">Q69+Q80+P121</f>
        <v>406.328702290529</v>
      </c>
      <c r="R81" s="116" t="n">
        <f aca="false">R69+R80+Q121</f>
        <v>415.889586770488</v>
      </c>
      <c r="S81" s="116" t="n">
        <f aca="false">S69+S80+R121</f>
        <v>425.432952338897</v>
      </c>
      <c r="T81" s="116" t="n">
        <f aca="false">T69+T80+S121</f>
        <v>434.960688152874</v>
      </c>
      <c r="U81" s="116" t="n">
        <f aca="false">U69+U80+T121</f>
        <v>444.487291599169</v>
      </c>
      <c r="V81" s="116" t="n">
        <f aca="false">V69+V80+U121</f>
        <v>454.027171078251</v>
      </c>
      <c r="W81" s="116" t="n">
        <f aca="false">W69+W80+V121</f>
        <v>463.455810387561</v>
      </c>
      <c r="X81" s="116" t="n">
        <f aca="false">X69+X80+W121</f>
        <v>472.788276025911</v>
      </c>
      <c r="Y81" s="116" t="n">
        <f aca="false">Y69+Y80+X121</f>
        <v>482.0397302464</v>
      </c>
      <c r="Z81" s="116" t="n">
        <f aca="false">Z69+Z80+Y121</f>
        <v>491.225401966502</v>
      </c>
      <c r="AA81" s="116" t="n">
        <f aca="false">AA69+AA80+Z121</f>
        <v>500.360609884832</v>
      </c>
      <c r="AB81" s="116" t="n">
        <f aca="false">AB69+AB80+AA121</f>
        <v>509.463816531082</v>
      </c>
      <c r="AC81" s="116" t="n">
        <f aca="false">AC69+AC80+AB121</f>
        <v>518.553566008823</v>
      </c>
      <c r="AD81" s="116" t="n">
        <f aca="false">AD69+AD80+AC121</f>
        <v>527.648508813171</v>
      </c>
      <c r="AE81" s="116" t="n">
        <f aca="false">AE69+AE80+AD121</f>
        <v>536.767427078068</v>
      </c>
      <c r="AF81" s="116" t="n">
        <f aca="false">AF69+AF80+AE121</f>
        <v>545.929259147628</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41.9758987230249</v>
      </c>
      <c r="M85" s="116" t="n">
        <f aca="false">IF(AND($C$31&gt;0,M$39&gt;10),MIN(M83,MAX(01_Supuestos!$I$137*M81,L85*(1-1/MAX(1,$C$31)))),MIN(IF(M$39&lt;=10,01_Supuestos!$I$136,01_Supuestos!$I$137)*M81,M83))</f>
        <v>33.5807189784199</v>
      </c>
      <c r="N85" s="116" t="n">
        <f aca="false">IF(AND($C$31&gt;0,N$39&gt;10),MIN(N83,MAX(01_Supuestos!$I$137*N81,M85*(1-1/MAX(1,$C$31)))),MIN(IF(N$39&lt;=10,01_Supuestos!$I$136,01_Supuestos!$I$137)*N81,N83))</f>
        <v>28.1398823909552</v>
      </c>
      <c r="O85" s="116" t="n">
        <f aca="false">IF(AND($C$31&gt;0,O$39&gt;10),MIN(O83,MAX(01_Supuestos!$I$137*O81,N85*(1-1/MAX(1,$C$31)))),MIN(IF(O$39&lt;=10,01_Supuestos!$I$136,01_Supuestos!$I$137)*O81,O83))</f>
        <v>29.0423197317557</v>
      </c>
      <c r="P85" s="116" t="n">
        <f aca="false">IF(AND($C$31&gt;0,P$39&gt;10),MIN(P83,MAX(01_Supuestos!$I$137*P81,O85*(1-1/MAX(1,$C$31)))),MIN(IF(P$39&lt;=10,01_Supuestos!$I$136,01_Supuestos!$I$137)*P81,P83))</f>
        <v>29.7555986025785</v>
      </c>
      <c r="Q85" s="116" t="n">
        <f aca="false">IF(AND($C$31&gt;0,Q$39&gt;10),MIN(Q83,MAX(01_Supuestos!$I$137*Q81,P85*(1-1/MAX(1,$C$31)))),MIN(IF(Q$39&lt;=10,01_Supuestos!$I$136,01_Supuestos!$I$137)*Q81,Q83))</f>
        <v>30.4746526717897</v>
      </c>
      <c r="R85" s="116" t="n">
        <f aca="false">IF(AND($C$31&gt;0,R$39&gt;10),MIN(R83,MAX(01_Supuestos!$I$137*R81,Q85*(1-1/MAX(1,$C$31)))),MIN(IF(R$39&lt;=10,01_Supuestos!$I$136,01_Supuestos!$I$137)*R81,R83))</f>
        <v>31.1917190077866</v>
      </c>
      <c r="S85" s="116" t="n">
        <f aca="false">IF(AND($C$31&gt;0,S$39&gt;10),MIN(S83,MAX(01_Supuestos!$I$137*S81,R85*(1-1/MAX(1,$C$31)))),MIN(IF(S$39&lt;=10,01_Supuestos!$I$136,01_Supuestos!$I$137)*S81,S83))</f>
        <v>31.9074714254173</v>
      </c>
      <c r="T85" s="116" t="n">
        <f aca="false">IF(AND($C$31&gt;0,T$39&gt;10),MIN(T83,MAX(01_Supuestos!$I$137*T81,S85*(1-1/MAX(1,$C$31)))),MIN(IF(T$39&lt;=10,01_Supuestos!$I$136,01_Supuestos!$I$137)*T81,T83))</f>
        <v>32.6220516114655</v>
      </c>
      <c r="U85" s="116" t="n">
        <f aca="false">IF(AND($C$31&gt;0,U$39&gt;10),MIN(U83,MAX(01_Supuestos!$I$137*U81,T85*(1-1/MAX(1,$C$31)))),MIN(IF(U$39&lt;=10,01_Supuestos!$I$136,01_Supuestos!$I$137)*U81,U83))</f>
        <v>33.3365468699376</v>
      </c>
      <c r="V85" s="116" t="n">
        <f aca="false">IF(AND($C$31&gt;0,V$39&gt;10),MIN(V83,MAX(01_Supuestos!$I$137*V81,U85*(1-1/MAX(1,$C$31)))),MIN(IF(V$39&lt;=10,01_Supuestos!$I$136,01_Supuestos!$I$137)*V81,V83))</f>
        <v>34.0520378308688</v>
      </c>
      <c r="W85" s="116" t="n">
        <f aca="false">IF(AND($C$31&gt;0,W$39&gt;10),MIN(W83,MAX(01_Supuestos!$I$137*W81,V85*(1-1/MAX(1,$C$31)))),MIN(IF(W$39&lt;=10,01_Supuestos!$I$136,01_Supuestos!$I$137)*W81,W83))</f>
        <v>34.7591857790671</v>
      </c>
      <c r="X85" s="116" t="n">
        <f aca="false">IF(AND($C$31&gt;0,X$39&gt;10),MIN(X83,MAX(01_Supuestos!$I$137*X81,W85*(1-1/MAX(1,$C$31)))),MIN(IF(X$39&lt;=10,01_Supuestos!$I$136,01_Supuestos!$I$137)*X81,X83))</f>
        <v>35.4591207019433</v>
      </c>
      <c r="Y85" s="116" t="n">
        <f aca="false">IF(AND($C$31&gt;0,Y$39&gt;10),MIN(Y83,MAX(01_Supuestos!$I$137*Y81,X85*(1-1/MAX(1,$C$31)))),MIN(IF(Y$39&lt;=10,01_Supuestos!$I$136,01_Supuestos!$I$137)*Y81,Y83))</f>
        <v>36.15297976848</v>
      </c>
      <c r="Z85" s="116" t="n">
        <f aca="false">IF(AND($C$31&gt;0,Z$39&gt;10),MIN(Z83,MAX(01_Supuestos!$I$137*Z81,Y85*(1-1/MAX(1,$C$31)))),MIN(IF(Z$39&lt;=10,01_Supuestos!$I$136,01_Supuestos!$I$137)*Z81,Z83))</f>
        <v>36.8419051474876</v>
      </c>
      <c r="AA85" s="116" t="n">
        <f aca="false">IF(AND($C$31&gt;0,AA$39&gt;10),MIN(AA83,MAX(01_Supuestos!$I$137*AA81,Z85*(1-1/MAX(1,$C$31)))),MIN(IF(AA$39&lt;=10,01_Supuestos!$I$136,01_Supuestos!$I$137)*AA81,AA83))</f>
        <v>37.5270457413624</v>
      </c>
      <c r="AB85" s="116" t="n">
        <f aca="false">IF(AND($C$31&gt;0,AB$39&gt;10),MIN(AB83,MAX(01_Supuestos!$I$137*AB81,AA85*(1-1/MAX(1,$C$31)))),MIN(IF(AB$39&lt;=10,01_Supuestos!$I$136,01_Supuestos!$I$137)*AB81,AB83))</f>
        <v>38.2097862398311</v>
      </c>
      <c r="AC85" s="116" t="n">
        <f aca="false">IF(AND($C$31&gt;0,AC$39&gt;10),MIN(AC83,MAX(01_Supuestos!$I$137*AC81,AB85*(1-1/MAX(1,$C$31)))),MIN(IF(AC$39&lt;=10,01_Supuestos!$I$136,01_Supuestos!$I$137)*AC81,AC83))</f>
        <v>38.8915174506617</v>
      </c>
      <c r="AD85" s="116" t="n">
        <f aca="false">IF(AND($C$31&gt;0,AD$39&gt;10),MIN(AD83,MAX(01_Supuestos!$I$137*AD81,AC85*(1-1/MAX(1,$C$31)))),MIN(IF(AD$39&lt;=10,01_Supuestos!$I$136,01_Supuestos!$I$137)*AD81,AD83))</f>
        <v>39.5736381609878</v>
      </c>
      <c r="AE85" s="116" t="n">
        <f aca="false">IF(AND($C$31&gt;0,AE$39&gt;10),MIN(AE83,MAX(01_Supuestos!$I$137*AE81,AD85*(1-1/MAX(1,$C$31)))),MIN(IF(AE$39&lt;=10,01_Supuestos!$I$136,01_Supuestos!$I$137)*AE81,AE83))</f>
        <v>40.2575570308551</v>
      </c>
      <c r="AF85" s="116" t="n">
        <f aca="false">IF(AND($C$31&gt;0,AF$39&gt;10),MIN(AF83,MAX(01_Supuestos!$I$137*AF81,AE85*(1-1/MAX(1,$C$31)))),MIN(IF(AF$39&lt;=10,01_Supuestos!$I$136,01_Supuestos!$I$137)*AF81,AF83))</f>
        <v>40.9446944360721</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95.1227722265819</v>
      </c>
      <c r="M87" s="116" t="n">
        <f aca="false">M83-M85-M86</f>
        <v>116.937286988959</v>
      </c>
      <c r="N87" s="116" t="n">
        <f aca="false">N83-N85-N86</f>
        <v>125.840037713673</v>
      </c>
      <c r="O87" s="116" t="n">
        <f aca="false">O83-O85-O86</f>
        <v>128.479138535279</v>
      </c>
      <c r="P87" s="116" t="n">
        <f aca="false">P83-P85-P86</f>
        <v>131.388853204598</v>
      </c>
      <c r="Q87" s="116" t="n">
        <f aca="false">Q83-Q85-Q86</f>
        <v>134.376121526952</v>
      </c>
      <c r="R87" s="116" t="n">
        <f aca="false">R83-R85-R86</f>
        <v>137.450622997526</v>
      </c>
      <c r="S87" s="116" t="n">
        <f aca="false">S83-S85-S86</f>
        <v>140.613644446018</v>
      </c>
      <c r="T87" s="116" t="n">
        <f aca="false">T83-T85-T86</f>
        <v>143.867049925013</v>
      </c>
      <c r="U87" s="116" t="n">
        <f aca="false">U83-U85-U86</f>
        <v>147.211804001879</v>
      </c>
      <c r="V87" s="116" t="n">
        <f aca="false">V83-V85-V86</f>
        <v>150.648925111</v>
      </c>
      <c r="W87" s="116" t="n">
        <f aca="false">W83-W85-W86</f>
        <v>154.189899310465</v>
      </c>
      <c r="X87" s="116" t="n">
        <f aca="false">X83-X85-X86</f>
        <v>157.835793344648</v>
      </c>
      <c r="Y87" s="116" t="n">
        <f aca="false">Y83-Y85-Y86</f>
        <v>161.587717301183</v>
      </c>
      <c r="Z87" s="116" t="n">
        <f aca="false">Z83-Z85-Z86</f>
        <v>165.446827954777</v>
      </c>
      <c r="AA87" s="116" t="n">
        <f aca="false">AA83-AA85-AA86</f>
        <v>169.414328222254</v>
      </c>
      <c r="AB87" s="116" t="n">
        <f aca="false">AB83-AB85-AB86</f>
        <v>173.491239324949</v>
      </c>
      <c r="AC87" s="116" t="n">
        <f aca="false">AC83-AC85-AC86</f>
        <v>177.678631702108</v>
      </c>
      <c r="AD87" s="116" t="n">
        <f aca="false">AD83-AD85-AD86</f>
        <v>181.977624422296</v>
      </c>
      <c r="AE87" s="116" t="n">
        <f aca="false">AE83-AE85-AE86</f>
        <v>186.389384591844</v>
      </c>
      <c r="AF87" s="116" t="n">
        <f aca="false">AF83-AF85-AF86</f>
        <v>190.915126843949</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0.459989099869183</v>
      </c>
      <c r="M90" s="116" t="n">
        <f aca="false">M83-L83-M73+M185-M228</f>
        <v>1.3857873418291</v>
      </c>
      <c r="N90" s="116" t="n">
        <f aca="false">N83-M83-N73+N185-N228</f>
        <v>-0.566251438149159</v>
      </c>
      <c r="O90" s="116" t="n">
        <f aca="false">O83-N83-O73+O185-O228</f>
        <v>-0.849094562983865</v>
      </c>
      <c r="P90" s="116" t="n">
        <f aca="false">P83-O83-P73+P185-P228</f>
        <v>-0.0802078782744147</v>
      </c>
      <c r="Q90" s="116" t="n">
        <f aca="false">Q83-P83-Q73+Q185-Q228</f>
        <v>0.107726043585608</v>
      </c>
      <c r="R90" s="116" t="n">
        <f aca="false">R83-Q83-R73+R185-R228</f>
        <v>0.105291430639667</v>
      </c>
      <c r="S90" s="116" t="n">
        <f aca="false">S83-R83-S73+S185-S228</f>
        <v>0.108449028216384</v>
      </c>
      <c r="T90" s="116" t="n">
        <f aca="false">T83-S83-T73+T185-T228</f>
        <v>0.111454195297867</v>
      </c>
      <c r="U90" s="116" t="n">
        <f aca="false">U83-T83-U73+U185-U228</f>
        <v>0.114430751672195</v>
      </c>
      <c r="V90" s="116" t="n">
        <f aca="false">V83-U83-V73+V185-V228</f>
        <v>0.117415717001194</v>
      </c>
      <c r="W90" s="116" t="n">
        <f aca="false">W83-V83-W73+W185-W228</f>
        <v>0.121648220884786</v>
      </c>
      <c r="X90" s="116" t="n">
        <f aca="false">X83-W83-X73+X185-X228</f>
        <v>0.125352282344096</v>
      </c>
      <c r="Y90" s="116" t="n">
        <f aca="false">Y83-X83-Y73+Y185-Y228</f>
        <v>0.128772519772483</v>
      </c>
      <c r="Z90" s="116" t="n">
        <f aca="false">Z83-Y83-Z73+Z185-Z228</f>
        <v>0.13223398837772</v>
      </c>
      <c r="AA90" s="116" t="n">
        <f aca="false">AA83-Z83-AA73+AA185-AA228</f>
        <v>0.135738178240331</v>
      </c>
      <c r="AB90" s="116" t="n">
        <f aca="false">AB83-AA83-AB73+AB185-AB228</f>
        <v>0.139260076396326</v>
      </c>
      <c r="AC90" s="116" t="n">
        <f aca="false">AC83-AB83-AC73+AC185-AC228</f>
        <v>0.142813785142607</v>
      </c>
      <c r="AD90" s="116" t="n">
        <f aca="false">AD83-AC83-AD73+AD185-AD228</f>
        <v>0.146407900544247</v>
      </c>
      <c r="AE90" s="116" t="n">
        <f aca="false">AE83-AD83-AE73+AE185-AE228</f>
        <v>0.150043846076628</v>
      </c>
      <c r="AF90" s="116" t="n">
        <f aca="false">AF83-AE83-AF73+AF185-AF228</f>
        <v>0.153723036106683</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0.459989099869183</v>
      </c>
      <c r="M92" s="116" t="n">
        <f aca="false">IF(M90&gt;0,IF($C$20="BC",MIN(M90-M91,MAX(0,L276+M53-M75)),MIN(M90,MAX(0,L276+M53-M75))),0)</f>
        <v>1.3857873418291</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0.107726043585608</v>
      </c>
      <c r="R92" s="116" t="n">
        <f aca="false">IF(R90&gt;0,IF($C$20="BC",MIN(R90-R91,MAX(0,Q276+R53-R75)),MIN(R90,MAX(0,Q276+R53-R75))),0)</f>
        <v>0.105291430639667</v>
      </c>
      <c r="S92" s="116" t="n">
        <f aca="false">IF(S90&gt;0,IF($C$20="BC",MIN(S90-S91,MAX(0,R276+S53-S75)),MIN(S90,MAX(0,R276+S53-S75))),0)</f>
        <v>0.108449028216384</v>
      </c>
      <c r="T92" s="116" t="n">
        <f aca="false">IF(T90&gt;0,IF($C$20="BC",MIN(T90-T91,MAX(0,S276+T53-T75)),MIN(T90,MAX(0,S276+T53-T75))),0)</f>
        <v>0.111454195297867</v>
      </c>
      <c r="U92" s="116" t="n">
        <f aca="false">IF(U90&gt;0,IF($C$20="BC",MIN(U90-U91,MAX(0,T276+U53-U75)),MIN(U90,MAX(0,T276+U53-U75))),0)</f>
        <v>0.114430751672195</v>
      </c>
      <c r="V92" s="116" t="n">
        <f aca="false">IF(V90&gt;0,IF($C$20="BC",MIN(V90-V91,MAX(0,U276+V53-V75)),MIN(V90,MAX(0,U276+V53-V75))),0)</f>
        <v>0.117415717001194</v>
      </c>
      <c r="W92" s="116" t="n">
        <f aca="false">IF(W90&gt;0,IF($C$20="BC",MIN(W90-W91,MAX(0,V276+W53-W75)),MIN(W90,MAX(0,V276+W53-W75))),0)</f>
        <v>0.121648220884786</v>
      </c>
      <c r="X92" s="116" t="n">
        <f aca="false">IF(X90&gt;0,IF($C$20="BC",MIN(X90-X91,MAX(0,W276+X53-X75)),MIN(X90,MAX(0,W276+X53-X75))),0)</f>
        <v>0.125352282344096</v>
      </c>
      <c r="Y92" s="116" t="n">
        <f aca="false">IF(Y90&gt;0,IF($C$20="BC",MIN(Y90-Y91,MAX(0,X276+Y53-Y75)),MIN(Y90,MAX(0,X276+Y53-Y75))),0)</f>
        <v>0.128772519772483</v>
      </c>
      <c r="Z92" s="116" t="n">
        <f aca="false">IF(Z90&gt;0,IF($C$20="BC",MIN(Z90-Z91,MAX(0,Y276+Z53-Z75)),MIN(Z90,MAX(0,Y276+Z53-Z75))),0)</f>
        <v>0.13223398837772</v>
      </c>
      <c r="AA92" s="116" t="n">
        <f aca="false">IF(AA90&gt;0,IF($C$20="BC",MIN(AA90-AA91,MAX(0,Z276+AA53-AA75)),MIN(AA90,MAX(0,Z276+AA53-AA75))),0)</f>
        <v>0.135738178240331</v>
      </c>
      <c r="AB92" s="116" t="n">
        <f aca="false">IF(AB90&gt;0,IF($C$20="BC",MIN(AB90-AB91,MAX(0,AA276+AB53-AB75)),MIN(AB90,MAX(0,AA276+AB53-AB75))),0)</f>
        <v>0.139260076396326</v>
      </c>
      <c r="AC92" s="116" t="n">
        <f aca="false">IF(AC90&gt;0,IF($C$20="BC",MIN(AC90-AC91,MAX(0,AB276+AC53-AC75)),MIN(AC90,MAX(0,AB276+AC53-AC75))),0)</f>
        <v>0.142813785142607</v>
      </c>
      <c r="AD92" s="116" t="n">
        <f aca="false">IF(AD90&gt;0,IF($C$20="BC",MIN(AD90-AD91,MAX(0,AC276+AD53-AD75)),MIN(AD90,MAX(0,AC276+AD53-AD75))),0)</f>
        <v>0.146407900544247</v>
      </c>
      <c r="AE92" s="116" t="n">
        <f aca="false">IF(AE90&gt;0,IF($C$20="BC",MIN(AE90-AE91,MAX(0,AD276+AE53-AE75)),MIN(AE90,MAX(0,AD276+AE53-AE75))),0)</f>
        <v>0.150043846076628</v>
      </c>
      <c r="AF92" s="116" t="n">
        <f aca="false">IF(AF90&gt;0,IF($C$20="BC",MIN(AF90-AF91,MAX(0,AE276+AF53-AF75)),MIN(AF90,MAX(0,AE276+AF53-AF75))),0)</f>
        <v>0.153723036106683</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0.566251438149159</v>
      </c>
      <c r="O94" s="116" t="n">
        <f aca="false">IF(O90&lt;0,-O90-O93,0)</f>
        <v>0.849094562983865</v>
      </c>
      <c r="P94" s="116" t="n">
        <f aca="false">IF(P90&lt;0,-P90-P93,0)</f>
        <v>0.0802078782744147</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8.74497890063019</v>
      </c>
      <c r="M100" s="116" t="n">
        <f aca="false">$C$21*$C$22*M81</f>
        <v>9.06048979389419</v>
      </c>
      <c r="N100" s="116" t="n">
        <f aca="false">$C$21*$C$22*N81</f>
        <v>9.37996079698507</v>
      </c>
      <c r="O100" s="116" t="n">
        <f aca="false">$C$21*$C$22*O81</f>
        <v>9.68077324391857</v>
      </c>
      <c r="P100" s="116" t="n">
        <f aca="false">$C$21*$C$22*P81</f>
        <v>9.91853286752615</v>
      </c>
      <c r="Q100" s="116" t="n">
        <f aca="false">$C$21*$C$22*Q81</f>
        <v>10.1582175572632</v>
      </c>
      <c r="R100" s="116" t="n">
        <f aca="false">$C$21*$C$22*R81</f>
        <v>10.3972396692622</v>
      </c>
      <c r="S100" s="116" t="n">
        <f aca="false">$C$21*$C$22*S81</f>
        <v>10.6358238084724</v>
      </c>
      <c r="T100" s="116" t="n">
        <f aca="false">$C$21*$C$22*T81</f>
        <v>10.8740172038218</v>
      </c>
      <c r="U100" s="116" t="n">
        <f aca="false">$C$21*$C$22*U81</f>
        <v>11.1121822899792</v>
      </c>
      <c r="V100" s="116" t="n">
        <f aca="false">$C$21*$C$22*V81</f>
        <v>11.3506792769563</v>
      </c>
      <c r="W100" s="116" t="n">
        <f aca="false">$C$21*$C$22*W81</f>
        <v>11.586395259689</v>
      </c>
      <c r="X100" s="116" t="n">
        <f aca="false">$C$21*$C$22*X81</f>
        <v>11.8197069006478</v>
      </c>
      <c r="Y100" s="116" t="n">
        <f aca="false">$C$21*$C$22*Y81</f>
        <v>12.05099325616</v>
      </c>
      <c r="Z100" s="116" t="n">
        <f aca="false">$C$21*$C$22*Z81</f>
        <v>12.2806350491625</v>
      </c>
      <c r="AA100" s="116" t="n">
        <f aca="false">$C$21*$C$22*AA81</f>
        <v>12.5090152471208</v>
      </c>
      <c r="AB100" s="116" t="n">
        <f aca="false">$C$21*$C$22*AB81</f>
        <v>12.7365954132771</v>
      </c>
      <c r="AC100" s="116" t="n">
        <f aca="false">$C$21*$C$22*AC81</f>
        <v>12.9638391502206</v>
      </c>
      <c r="AD100" s="116" t="n">
        <f aca="false">$C$21*$C$22*AD81</f>
        <v>13.1912127203293</v>
      </c>
      <c r="AE100" s="116" t="n">
        <f aca="false">$C$21*$C$22*AE81</f>
        <v>13.4191856769517</v>
      </c>
      <c r="AF100" s="116" t="n">
        <f aca="false">$C$21*$C$22*AF81</f>
        <v>13.6482314786907</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0.00874497890063019</v>
      </c>
      <c r="N102" s="116" t="n">
        <f aca="false">M104*$C$24</f>
        <v>0.00906048979389419</v>
      </c>
      <c r="O102" s="116" t="n">
        <f aca="false">N104*$C$24</f>
        <v>0.00937996079698507</v>
      </c>
      <c r="P102" s="116" t="n">
        <f aca="false">O104*$C$24</f>
        <v>0.00968077324391857</v>
      </c>
      <c r="Q102" s="116" t="n">
        <f aca="false">P104*$C$24</f>
        <v>0.00991853286752615</v>
      </c>
      <c r="R102" s="116" t="n">
        <f aca="false">Q104*$C$24</f>
        <v>0.0101582175572632</v>
      </c>
      <c r="S102" s="116" t="n">
        <f aca="false">R104*$C$24</f>
        <v>0.0103972396692622</v>
      </c>
      <c r="T102" s="116" t="n">
        <f aca="false">S104*$C$24</f>
        <v>0.0106358238084724</v>
      </c>
      <c r="U102" s="116" t="n">
        <f aca="false">T104*$C$24</f>
        <v>0.0108740172038218</v>
      </c>
      <c r="V102" s="116" t="n">
        <f aca="false">U104*$C$24</f>
        <v>0.0111121822899792</v>
      </c>
      <c r="W102" s="116" t="n">
        <f aca="false">V104*$C$24</f>
        <v>0.0113506792769563</v>
      </c>
      <c r="X102" s="116" t="n">
        <f aca="false">W104*$C$24</f>
        <v>0.011586395259689</v>
      </c>
      <c r="Y102" s="116" t="n">
        <f aca="false">X104*$C$24</f>
        <v>0.0118197069006478</v>
      </c>
      <c r="Z102" s="116" t="n">
        <f aca="false">Y104*$C$24</f>
        <v>0.01205099325616</v>
      </c>
      <c r="AA102" s="116" t="n">
        <f aca="false">Z104*$C$24</f>
        <v>0.0122806350491625</v>
      </c>
      <c r="AB102" s="116" t="n">
        <f aca="false">AA104*$C$24</f>
        <v>0.0125090152471208</v>
      </c>
      <c r="AC102" s="116" t="n">
        <f aca="false">AB104*$C$24</f>
        <v>0.0127365954132771</v>
      </c>
      <c r="AD102" s="116" t="n">
        <f aca="false">AC104*$C$24</f>
        <v>0.0129638391502206</v>
      </c>
      <c r="AE102" s="116" t="n">
        <f aca="false">AD104*$C$24</f>
        <v>0.0131912127203293</v>
      </c>
      <c r="AF102" s="116" t="n">
        <f aca="false">AE104*$C$24</f>
        <v>0.0134191856769517</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0.325045098565004</v>
      </c>
      <c r="M103" s="116" t="n">
        <f aca="false">MIN(MAX(0,M100-L104-M101),MAX(0,L276))</f>
        <v>0.315510893264005</v>
      </c>
      <c r="N103" s="116" t="n">
        <f aca="false">MIN(MAX(0,N100-M104-N101),MAX(0,M276))</f>
        <v>0.319471003090873</v>
      </c>
      <c r="O103" s="116" t="n">
        <f aca="false">MIN(MAX(0,O100-N104-O101),MAX(0,N276))</f>
        <v>0.300812446933506</v>
      </c>
      <c r="P103" s="116" t="n">
        <f aca="false">MIN(MAX(0,P100-O104-P101),MAX(0,O276))</f>
        <v>0.237759623607582</v>
      </c>
      <c r="Q103" s="116" t="n">
        <f aca="false">MIN(MAX(0,Q100-P104-Q101),MAX(0,P276))</f>
        <v>0.239684689737075</v>
      </c>
      <c r="R103" s="116" t="n">
        <f aca="false">MIN(MAX(0,R100-Q104-R101),MAX(0,Q276))</f>
        <v>0.239022111998978</v>
      </c>
      <c r="S103" s="116" t="n">
        <f aca="false">MIN(MAX(0,S100-R104-S101),MAX(0,R276))</f>
        <v>0.238584139210221</v>
      </c>
      <c r="T103" s="116" t="n">
        <f aca="false">MIN(MAX(0,T100-S104-T101),MAX(0,S276))</f>
        <v>0.238193395349422</v>
      </c>
      <c r="U103" s="116" t="n">
        <f aca="false">MIN(MAX(0,U100-T104-U101),MAX(0,T276))</f>
        <v>0.238165086157366</v>
      </c>
      <c r="V103" s="116" t="n">
        <f aca="false">MIN(MAX(0,V100-U104-V101),MAX(0,U276))</f>
        <v>0.238496986977056</v>
      </c>
      <c r="W103" s="116" t="n">
        <f aca="false">MIN(MAX(0,W100-V104-W101),MAX(0,V276))</f>
        <v>0.235715982732756</v>
      </c>
      <c r="X103" s="116" t="n">
        <f aca="false">MIN(MAX(0,X100-W104-X101),MAX(0,W276))</f>
        <v>0.233311640958746</v>
      </c>
      <c r="Y103" s="116" t="n">
        <f aca="false">MIN(MAX(0,Y100-X104-Y101),MAX(0,X276))</f>
        <v>0.231286355512214</v>
      </c>
      <c r="Z103" s="116" t="n">
        <f aca="false">MIN(MAX(0,Z100-Y104-Z101),MAX(0,Y276))</f>
        <v>0.229641793002559</v>
      </c>
      <c r="AA103" s="116" t="n">
        <f aca="false">MIN(MAX(0,AA100-Z104-AA101),MAX(0,Z276))</f>
        <v>0.228380197958263</v>
      </c>
      <c r="AB103" s="116" t="n">
        <f aca="false">MIN(MAX(0,AB100-AA104-AB101),MAX(0,AA276))</f>
        <v>0.22758016615624</v>
      </c>
      <c r="AC103" s="116" t="n">
        <f aca="false">MIN(MAX(0,AC100-AB104-AC101),MAX(0,AB276))</f>
        <v>0.227243736943523</v>
      </c>
      <c r="AD103" s="116" t="n">
        <f aca="false">MIN(MAX(0,AD100-AC104-AD101),MAX(0,AC276))</f>
        <v>0.227373570108707</v>
      </c>
      <c r="AE103" s="116" t="n">
        <f aca="false">MIN(MAX(0,AE100-AD104-AE101),MAX(0,AD276))</f>
        <v>0.227972956622409</v>
      </c>
      <c r="AF103" s="116" t="n">
        <f aca="false">MIN(MAX(0,AF100-AE104-AF101),MAX(0,AE276))</f>
        <v>0.22904580173901</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8.74497890063019</v>
      </c>
      <c r="M104" s="136" t="n">
        <f aca="false">L104+M101+M103</f>
        <v>9.06048979389419</v>
      </c>
      <c r="N104" s="136" t="n">
        <f aca="false">M104+N101+N103</f>
        <v>9.37996079698507</v>
      </c>
      <c r="O104" s="136" t="n">
        <f aca="false">N104+O101+O103</f>
        <v>9.68077324391857</v>
      </c>
      <c r="P104" s="136" t="n">
        <f aca="false">O104+P101+P103</f>
        <v>9.91853286752615</v>
      </c>
      <c r="Q104" s="136" t="n">
        <f aca="false">P104+Q101+Q103</f>
        <v>10.1582175572632</v>
      </c>
      <c r="R104" s="136" t="n">
        <f aca="false">Q104+R101+R103</f>
        <v>10.3972396692622</v>
      </c>
      <c r="S104" s="136" t="n">
        <f aca="false">R104+S101+S103</f>
        <v>10.6358238084724</v>
      </c>
      <c r="T104" s="136" t="n">
        <f aca="false">S104+T101+T103</f>
        <v>10.8740172038218</v>
      </c>
      <c r="U104" s="136" t="n">
        <f aca="false">T104+U101+U103</f>
        <v>11.1121822899792</v>
      </c>
      <c r="V104" s="136" t="n">
        <f aca="false">U104+V101+V103</f>
        <v>11.3506792769563</v>
      </c>
      <c r="W104" s="136" t="n">
        <f aca="false">V104+W101+W103</f>
        <v>11.586395259689</v>
      </c>
      <c r="X104" s="136" t="n">
        <f aca="false">W104+X101+X103</f>
        <v>11.8197069006478</v>
      </c>
      <c r="Y104" s="136" t="n">
        <f aca="false">X104+Y101+Y103</f>
        <v>12.05099325616</v>
      </c>
      <c r="Z104" s="136" t="n">
        <f aca="false">Y104+Z101+Z103</f>
        <v>12.2806350491625</v>
      </c>
      <c r="AA104" s="136" t="n">
        <f aca="false">Z104+AA101+AA103</f>
        <v>12.5090152471208</v>
      </c>
      <c r="AB104" s="136" t="n">
        <f aca="false">AA104+AB101+AB103</f>
        <v>12.7365954132771</v>
      </c>
      <c r="AC104" s="136" t="n">
        <f aca="false">AB104+AC101+AC103</f>
        <v>12.9638391502206</v>
      </c>
      <c r="AD104" s="136" t="n">
        <f aca="false">AC104+AD101+AD103</f>
        <v>13.1912127203293</v>
      </c>
      <c r="AE104" s="136" t="n">
        <f aca="false">AD104+AE101+AE103</f>
        <v>13.4191856769517</v>
      </c>
      <c r="AF104" s="136" t="n">
        <f aca="false">AE104+AF101+AF103</f>
        <v>13.6482314786907</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68.0979582039688</v>
      </c>
      <c r="M105" s="139" t="n">
        <f aca="false">M104/($C$36*(1+$C$23)^(M$39-1))</f>
        <v>70.5548706638538</v>
      </c>
      <c r="N105" s="139" t="n">
        <f aca="false">N104/($C$36*(1+$C$23)^(N$39-1))</f>
        <v>73.0426208646341</v>
      </c>
      <c r="O105" s="139" t="n">
        <f aca="false">O104/($C$36*(1+$C$23)^(O$39-1))</f>
        <v>75.3850751656999</v>
      </c>
      <c r="P105" s="139" t="n">
        <f aca="false">P104/($C$36*(1+$C$23)^(P$39-1))</f>
        <v>77.2365313092766</v>
      </c>
      <c r="Q105" s="139" t="n">
        <f aca="false">Q104/($C$36*(1+$C$23)^(Q$39-1))</f>
        <v>79.1029781205629</v>
      </c>
      <c r="R105" s="139" t="n">
        <f aca="false">R104/($C$36*(1+$C$23)^(R$39-1))</f>
        <v>80.9642653778206</v>
      </c>
      <c r="S105" s="139" t="n">
        <f aca="false">S104/($C$36*(1+$C$23)^(S$39-1))</f>
        <v>82.8221421005302</v>
      </c>
      <c r="T105" s="139" t="n">
        <f aca="false">T104/($C$36*(1+$C$23)^(T$39-1))</f>
        <v>84.6769760647148</v>
      </c>
      <c r="U105" s="139" t="n">
        <f aca="false">U104/($C$36*(1+$C$23)^(U$39-1))</f>
        <v>86.5315895826068</v>
      </c>
      <c r="V105" s="139" t="n">
        <f aca="false">V104/($C$36*(1+$C$23)^(V$39-1))</f>
        <v>88.3887876428292</v>
      </c>
      <c r="W105" s="139" t="n">
        <f aca="false">W104/($C$36*(1+$C$23)^(W$39-1))</f>
        <v>90.2243297662053</v>
      </c>
      <c r="X105" s="139" t="n">
        <f aca="false">X104/($C$36*(1+$C$23)^(X$39-1))</f>
        <v>92.0411490581722</v>
      </c>
      <c r="Y105" s="139" t="n">
        <f aca="false">Y104/($C$36*(1+$C$23)^(Y$39-1))</f>
        <v>93.8421972653536</v>
      </c>
      <c r="Z105" s="139" t="n">
        <f aca="false">Z104/($C$36*(1+$C$23)^(Z$39-1))</f>
        <v>95.6304391124146</v>
      </c>
      <c r="AA105" s="139" t="n">
        <f aca="false">AA104/($C$36*(1+$C$23)^(AA$39-1))</f>
        <v>97.408856802371</v>
      </c>
      <c r="AB105" s="139" t="n">
        <f aca="false">AB104/($C$36*(1+$C$23)^(AB$39-1))</f>
        <v>99.1810445708107</v>
      </c>
      <c r="AC105" s="139" t="n">
        <f aca="false">AC104/($C$36*(1+$C$23)^(AC$39-1))</f>
        <v>100.950612533905</v>
      </c>
      <c r="AD105" s="139" t="n">
        <f aca="false">AD104/($C$36*(1+$C$23)^(AD$39-1))</f>
        <v>102.721191519846</v>
      </c>
      <c r="AE105" s="139" t="n">
        <f aca="false">AE104/($C$36*(1+$C$23)^(AE$39-1))</f>
        <v>104.496437983916</v>
      </c>
      <c r="AF105" s="139" t="n">
        <f aca="false">AF104/($C$36*(1+$C$23)^(AF$39-1))</f>
        <v>106.280038791974</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5.80581329777888</v>
      </c>
      <c r="M107" s="116" t="n">
        <f aca="false">M87*(1-$C$340)*$C$175+M85*01_Supuestos!$I$126+M55*M88</f>
        <v>6.41106504808816</v>
      </c>
      <c r="N107" s="116" t="n">
        <f aca="false">N87*(1-$C$340)*$C$175+N85*01_Supuestos!$I$126+N55*N88</f>
        <v>6.57689195626177</v>
      </c>
      <c r="O107" s="116" t="n">
        <f aca="false">O87*(1-$C$340)*$C$175+O85*01_Supuestos!$I$126+O55*O88</f>
        <v>6.72740578558033</v>
      </c>
      <c r="P107" s="116" t="n">
        <f aca="false">P87*(1-$C$340)*$C$175+P85*01_Supuestos!$I$126+P55*P88</f>
        <v>6.88200215023493</v>
      </c>
      <c r="Q107" s="116" t="n">
        <f aca="false">Q87*(1-$C$340)*$C$175+Q85*01_Supuestos!$I$126+Q55*Q88</f>
        <v>7.04018566482423</v>
      </c>
      <c r="R107" s="116" t="n">
        <f aca="false">R87*(1-$C$340)*$C$175+R85*01_Supuestos!$I$126+R55*R88</f>
        <v>7.20206218156251</v>
      </c>
      <c r="S107" s="116" t="n">
        <f aca="false">S87*(1-$C$340)*$C$175+S85*01_Supuestos!$I$126+S55*S88</f>
        <v>7.36771451184095</v>
      </c>
      <c r="T107" s="116" t="n">
        <f aca="false">T87*(1-$C$340)*$C$175+T85*01_Supuestos!$I$126+T55*T88</f>
        <v>7.53722899104226</v>
      </c>
      <c r="U107" s="116" t="n">
        <f aca="false">U87*(1-$C$340)*$C$175+U85*01_Supuestos!$I$126+U55*U88</f>
        <v>7.71069115370908</v>
      </c>
      <c r="V107" s="116" t="n">
        <f aca="false">V87*(1-$C$340)*$C$175+V85*01_Supuestos!$I$126+V55*V88</f>
        <v>7.88818859536209</v>
      </c>
      <c r="W107" s="116" t="n">
        <f aca="false">W87*(1-$C$340)*$C$175+W85*01_Supuestos!$I$126+W55*W88</f>
        <v>8.0698418097175</v>
      </c>
      <c r="X107" s="116" t="n">
        <f aca="false">X87*(1-$C$340)*$C$175+X85*01_Supuestos!$I$126+X55*X88</f>
        <v>8.25574247075808</v>
      </c>
      <c r="Y107" s="116" t="n">
        <f aca="false">Y87*(1-$C$340)*$C$175+Y85*01_Supuestos!$I$126+Y55*Y88</f>
        <v>8.44598441658383</v>
      </c>
      <c r="Z107" s="116" t="n">
        <f aca="false">Z87*(1-$C$340)*$C$175+Z85*01_Supuestos!$I$126+Z55*Z88</f>
        <v>8.64066370612656</v>
      </c>
      <c r="AA107" s="116" t="n">
        <f aca="false">AA87*(1-$C$340)*$C$175+AA85*01_Supuestos!$I$126+AA55*AA88</f>
        <v>8.83987866544237</v>
      </c>
      <c r="AB107" s="116" t="n">
        <f aca="false">AB87*(1-$C$340)*$C$175+AB85*01_Supuestos!$I$126+AB55*AB88</f>
        <v>9.04372926300149</v>
      </c>
      <c r="AC107" s="116" t="n">
        <f aca="false">AC87*(1-$C$340)*$C$175+AC85*01_Supuestos!$I$126+AC55*AC88</f>
        <v>9.25231784263205</v>
      </c>
      <c r="AD107" s="116" t="n">
        <f aca="false">AD87*(1-$C$340)*$C$175+AD85*01_Supuestos!$I$126+AD55*AD88</f>
        <v>9.46574917306549</v>
      </c>
      <c r="AE107" s="116" t="n">
        <f aca="false">AE87*(1-$C$340)*$C$175+AE85*01_Supuestos!$I$126+AE55*AE88</f>
        <v>9.68413049865277</v>
      </c>
      <c r="AF107" s="116" t="n">
        <f aca="false">AF87*(1-$C$340)*$C$175+AF85*01_Supuestos!$I$126+AF55*AF88</f>
        <v>9.90757159152578</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2.28439055019087</v>
      </c>
      <c r="M109" s="116" t="n">
        <f aca="false">(M70+L121)*(0.3*$C$5+0.25*01_Supuestos!$I$134)/0.55-L227*$C$5</f>
        <v>2.39630679976982</v>
      </c>
      <c r="N109" s="116" t="n">
        <f aca="false">(N70+M121)*(0.3*$C$5+0.25*01_Supuestos!$I$134)/0.55-M227*$C$5</f>
        <v>2.53692517910237</v>
      </c>
      <c r="O109" s="116" t="n">
        <f aca="false">(O70+N121)*(0.3*$C$5+0.25*01_Supuestos!$I$134)/0.55-N227*$C$5</f>
        <v>2.68068818589129</v>
      </c>
      <c r="P109" s="116" t="n">
        <f aca="false">(P70+O121)*(0.3*$C$5+0.25*01_Supuestos!$I$134)/0.55-O227*$C$5</f>
        <v>2.82769405637166</v>
      </c>
      <c r="Q109" s="116" t="n">
        <f aca="false">(Q70+P121)*(0.3*$C$5+0.25*01_Supuestos!$I$134)/0.55-P227*$C$5</f>
        <v>2.97354364581574</v>
      </c>
      <c r="R109" s="116" t="n">
        <f aca="false">(R70+Q121)*(0.3*$C$5+0.25*01_Supuestos!$I$134)/0.55-Q227*$C$5</f>
        <v>3.11800526245209</v>
      </c>
      <c r="S109" s="116" t="n">
        <f aca="false">(S70+R121)*(0.3*$C$5+0.25*01_Supuestos!$I$134)/0.55-R227*$C$5</f>
        <v>3.26135859834583</v>
      </c>
      <c r="T109" s="116" t="n">
        <f aca="false">(T70+S121)*(0.3*$C$5+0.25*01_Supuestos!$I$134)/0.55-S227*$C$5</f>
        <v>3.40371364672614</v>
      </c>
      <c r="U109" s="116" t="n">
        <f aca="false">(U70+T121)*(0.3*$C$5+0.25*01_Supuestos!$I$134)/0.55-T227*$C$5</f>
        <v>3.5454764064404</v>
      </c>
      <c r="V109" s="116" t="n">
        <f aca="false">(V70+U121)*(0.3*$C$5+0.25*01_Supuestos!$I$134)/0.55-U227*$C$5</f>
        <v>3.68704875514696</v>
      </c>
      <c r="W109" s="116" t="n">
        <f aca="false">(W70+V121)*(0.3*$C$5+0.25*01_Supuestos!$I$134)/0.55-V227*$C$5</f>
        <v>3.8288289415197</v>
      </c>
      <c r="X109" s="116" t="n">
        <f aca="false">(X70+W121)*(0.3*$C$5+0.25*01_Supuestos!$I$134)/0.55-W227*$C$5</f>
        <v>3.97121639528297</v>
      </c>
      <c r="Y109" s="116" t="n">
        <f aca="false">(Y70+X121)*(0.3*$C$5+0.25*01_Supuestos!$I$134)/0.55-X227*$C$5</f>
        <v>4.11461047608524</v>
      </c>
      <c r="Z109" s="116" t="n">
        <f aca="false">(Z70+Y121)*(0.3*$C$5+0.25*01_Supuestos!$I$134)/0.55-Y227*$C$5</f>
        <v>4.25940976287451</v>
      </c>
      <c r="AA109" s="116" t="n">
        <f aca="false">(AA70+Z121)*(0.3*$C$5+0.25*01_Supuestos!$I$134)/0.55-Z227*$C$5</f>
        <v>4.40601257572406</v>
      </c>
      <c r="AB109" s="116" t="n">
        <f aca="false">(AB70+AA121)*(0.3*$C$5+0.25*01_Supuestos!$I$134)/0.55-AA227*$C$5</f>
        <v>4.55481739457068</v>
      </c>
      <c r="AC109" s="116" t="n">
        <f aca="false">(AC70+AB121)*(0.3*$C$5+0.25*01_Supuestos!$I$134)/0.55-AB227*$C$5</f>
        <v>4.70622342453405</v>
      </c>
      <c r="AD109" s="116" t="n">
        <f aca="false">(AD70+AC121)*(0.3*$C$5+0.25*01_Supuestos!$I$134)/0.55-AC227*$C$5</f>
        <v>4.86063118128042</v>
      </c>
      <c r="AE109" s="116" t="n">
        <f aca="false">(AE70+AD121)*(0.3*$C$5+0.25*01_Supuestos!$I$134)/0.55-AD227*$C$5</f>
        <v>5.01844308569594</v>
      </c>
      <c r="AF109" s="116" t="n">
        <f aca="false">(AF70+AE121)*(0.3*$C$5+0.25*01_Supuestos!$I$134)/0.55-AE227*$C$5</f>
        <v>5.1800640417759</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1.2286350843469</v>
      </c>
      <c r="F110" s="116" t="n">
        <f aca="false">E120*$C$10</f>
        <v>1.85752021492381</v>
      </c>
      <c r="G110" s="116" t="n">
        <f aca="false">F120*$C$10</f>
        <v>2.16515359000362</v>
      </c>
      <c r="H110" s="116" t="n">
        <f aca="false">G120*$C$10</f>
        <v>2.54956750465803</v>
      </c>
      <c r="I110" s="116" t="n">
        <f aca="false">H120*$C$10</f>
        <v>2.99211665248276</v>
      </c>
      <c r="J110" s="116" t="n">
        <f aca="false">I120*$C$10</f>
        <v>3.49600720239699</v>
      </c>
      <c r="K110" s="116" t="n">
        <f aca="false">J120*$C$10</f>
        <v>4.0464219473949</v>
      </c>
      <c r="L110" s="116" t="n">
        <f aca="false">K120*$C$10</f>
        <v>4.64192118986067</v>
      </c>
      <c r="M110" s="116" t="n">
        <f aca="false">L120*$C$10</f>
        <v>5.23867896028262</v>
      </c>
      <c r="N110" s="116" t="n">
        <f aca="false">M120*$C$10</f>
        <v>5.22707268823451</v>
      </c>
      <c r="O110" s="116" t="n">
        <f aca="false">N120*$C$10</f>
        <v>5.28484764879621</v>
      </c>
      <c r="P110" s="116" t="n">
        <f aca="false">O120*$C$10</f>
        <v>5.354403609326</v>
      </c>
      <c r="Q110" s="116" t="n">
        <f aca="false">P120*$C$10</f>
        <v>5.40051453686906</v>
      </c>
      <c r="R110" s="116" t="n">
        <f aca="false">Q120*$C$10</f>
        <v>5.44127103079824</v>
      </c>
      <c r="S110" s="116" t="n">
        <f aca="false">R120*$C$10</f>
        <v>5.4698991315574</v>
      </c>
      <c r="T110" s="116" t="n">
        <f aca="false">S120*$C$10</f>
        <v>5.49944902231777</v>
      </c>
      <c r="U110" s="116" t="n">
        <f aca="false">T120*$C$10</f>
        <v>5.52994980955593</v>
      </c>
      <c r="V110" s="116" t="n">
        <f aca="false">U120*$C$10</f>
        <v>5.56141586946547</v>
      </c>
      <c r="W110" s="116" t="n">
        <f aca="false">V120*$C$10</f>
        <v>5.59386101191566</v>
      </c>
      <c r="X110" s="116" t="n">
        <f aca="false">W120*$C$10</f>
        <v>5.6273779040557</v>
      </c>
      <c r="Y110" s="116" t="n">
        <f aca="false">X120*$C$10</f>
        <v>5.66199992198842</v>
      </c>
      <c r="Z110" s="116" t="n">
        <f aca="false">Y120*$C$10</f>
        <v>5.69775249798299</v>
      </c>
      <c r="AA110" s="116" t="n">
        <f aca="false">Z120*$C$10</f>
        <v>5.73465034817995</v>
      </c>
      <c r="AB110" s="116" t="n">
        <f aca="false">AA120*$C$10</f>
        <v>5.7727087951219</v>
      </c>
      <c r="AC110" s="116" t="n">
        <f aca="false">AB120*$C$10</f>
        <v>5.81194204149418</v>
      </c>
      <c r="AD110" s="116" t="n">
        <f aca="false">AC120*$C$10</f>
        <v>5.85236449945433</v>
      </c>
      <c r="AE110" s="116" t="n">
        <f aca="false">AD120*$C$10</f>
        <v>5.89399098099547</v>
      </c>
      <c r="AF110" s="116" t="n">
        <f aca="false">AE120*$C$10</f>
        <v>5.93683694674035</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0.349799156025208</v>
      </c>
      <c r="M112" s="116" t="n">
        <f aca="false">M81*$C$7</f>
        <v>0.362419591755768</v>
      </c>
      <c r="N112" s="116" t="n">
        <f aca="false">N81*$C$7</f>
        <v>0.375198431879403</v>
      </c>
      <c r="O112" s="116" t="n">
        <f aca="false">O81*$C$7</f>
        <v>0.387230929756743</v>
      </c>
      <c r="P112" s="116" t="n">
        <f aca="false">P81*$C$7</f>
        <v>0.396741314701046</v>
      </c>
      <c r="Q112" s="116" t="n">
        <f aca="false">Q81*$C$7</f>
        <v>0.406328702290529</v>
      </c>
      <c r="R112" s="116" t="n">
        <f aca="false">R81*$C$7</f>
        <v>0.415889586770488</v>
      </c>
      <c r="S112" s="116" t="n">
        <f aca="false">S81*$C$7</f>
        <v>0.425432952338897</v>
      </c>
      <c r="T112" s="116" t="n">
        <f aca="false">T81*$C$7</f>
        <v>0.434960688152874</v>
      </c>
      <c r="U112" s="116" t="n">
        <f aca="false">U81*$C$7</f>
        <v>0.444487291599169</v>
      </c>
      <c r="V112" s="116" t="n">
        <f aca="false">V81*$C$7</f>
        <v>0.454027171078251</v>
      </c>
      <c r="W112" s="116" t="n">
        <f aca="false">W81*$C$7</f>
        <v>0.463455810387561</v>
      </c>
      <c r="X112" s="116" t="n">
        <f aca="false">X81*$C$7</f>
        <v>0.472788276025911</v>
      </c>
      <c r="Y112" s="116" t="n">
        <f aca="false">Y81*$C$7</f>
        <v>0.482039730246399</v>
      </c>
      <c r="Z112" s="116" t="n">
        <f aca="false">Z81*$C$7</f>
        <v>0.491225401966502</v>
      </c>
      <c r="AA112" s="116" t="n">
        <f aca="false">AA81*$C$7</f>
        <v>0.500360609884832</v>
      </c>
      <c r="AB112" s="116" t="n">
        <f aca="false">AB81*$C$7</f>
        <v>0.509463816531082</v>
      </c>
      <c r="AC112" s="116" t="n">
        <f aca="false">AC81*$C$7</f>
        <v>0.518553566008823</v>
      </c>
      <c r="AD112" s="116" t="n">
        <f aca="false">AD81*$C$7</f>
        <v>0.527648508813171</v>
      </c>
      <c r="AE112" s="116" t="n">
        <f aca="false">AE81*$C$7</f>
        <v>0.536767427078068</v>
      </c>
      <c r="AF112" s="116" t="n">
        <f aca="false">AF81*$C$7</f>
        <v>0.545929259147628</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-2.47949637376709</v>
      </c>
      <c r="F113" s="136" t="n">
        <f aca="false">F107+F109+F110-F111-F112-F108-F97-F98-F102+F184-F190-F229-F265-F268-F274</f>
        <v>-6.30123517222942</v>
      </c>
      <c r="G113" s="136" t="n">
        <f aca="false">G107+G109+G110-G111-G112-G108-G97-G98-G102+G184-G190-G229-G265-G268-G274</f>
        <v>-4.97591948674164</v>
      </c>
      <c r="H113" s="136" t="n">
        <f aca="false">H107+H109+H110-H111-H112-H108-H97-H98-H102+H184-H190-H229-H265-H268-H274</f>
        <v>-3.78573367514692</v>
      </c>
      <c r="I113" s="136" t="n">
        <f aca="false">I107+I109+I110-I111-I112-I108-I97-I98-I102+I184-I190-I229-I265-I268-I274</f>
        <v>-2.54618059436743</v>
      </c>
      <c r="J113" s="136" t="n">
        <f aca="false">J107+J109+J110-J111-J112-J108-J97-J98-J102+J184-J190-J229-J265-J268-J274</f>
        <v>-1.25210463335795</v>
      </c>
      <c r="K113" s="136" t="n">
        <f aca="false">K107+K109+K110-K111-K112-K108-K97-K98-K102+K184-K190-K229-K265-K268-K274</f>
        <v>0.0833046933371094</v>
      </c>
      <c r="L113" s="136" t="n">
        <f aca="false">L107+L109+L110-L111-L112-L108-L97-L98-L102+L184-L190-L229-L265-L268-L274</f>
        <v>1.46201448326148</v>
      </c>
      <c r="M113" s="136" t="n">
        <f aca="false">M107+M109+M110-M111-M112-M108-M97-M98-M102+M184-M190-M229-M265-M268-M274</f>
        <v>2.62494433983946</v>
      </c>
      <c r="N113" s="136" t="n">
        <f aca="false">N107+N109+N110-N111-N112-N108-N97-N98-N102+N184-N190-N229-N265-N268-N274</f>
        <v>2.70574328743183</v>
      </c>
      <c r="O113" s="136" t="n">
        <f aca="false">O107+O109+O110-O111-O112-O108-O97-O98-O102+O184-O190-O229-O265-O268-O274</f>
        <v>2.78983077546357</v>
      </c>
      <c r="P113" s="136" t="n">
        <f aca="false">P107+P109+P110-P111-P112-P108-P97-P98-P102+P184-P190-P229-P265-P268-P274</f>
        <v>2.6869170159464</v>
      </c>
      <c r="Q113" s="136" t="n">
        <f aca="false">Q107+Q109+Q110-Q111-Q112-Q108-Q97-Q98-Q102+Q184-Q190-Q229-Q265-Q268-Q274</f>
        <v>2.57330100394646</v>
      </c>
      <c r="R113" s="136" t="n">
        <f aca="false">R107+R109+R110-R111-R112-R108-R97-R98-R102+R184-R190-R229-R265-R268-R274</f>
        <v>2.47060153399999</v>
      </c>
      <c r="S113" s="136" t="n">
        <f aca="false">S107+S109+S110-S111-S112-S108-S97-S98-S102+S184-S190-S229-S265-S268-S274</f>
        <v>2.37162200222654</v>
      </c>
      <c r="T113" s="136" t="n">
        <f aca="false">T107+T109+T110-T111-T112-T108-T97-T98-T102+T184-T190-T229-T265-T268-T274</f>
        <v>2.28886831382793</v>
      </c>
      <c r="U113" s="136" t="n">
        <f aca="false">U107+U109+U110-U111-U112-U108-U97-U98-U102+U184-U190-U229-U265-U268-U274</f>
        <v>2.22214832005262</v>
      </c>
      <c r="V113" s="136" t="n">
        <f aca="false">V107+V109+V110-V111-V112-V108-V97-V98-V102+V184-V190-V229-V265-V268-V274</f>
        <v>2.17129030488484</v>
      </c>
      <c r="W113" s="136" t="n">
        <f aca="false">W107+W109+W110-W111-W112-W108-W97-W98-W102+W184-W190-W229-W265-W268-W274</f>
        <v>2.13632565221895</v>
      </c>
      <c r="X113" s="136" t="n">
        <f aca="false">X107+X109+X110-X111-X112-X108-X97-X98-X102+X184-X190-X229-X265-X268-X274</f>
        <v>2.1172324015446</v>
      </c>
      <c r="Y113" s="136" t="n">
        <f aca="false">Y107+Y109+Y110-Y111-Y112-Y108-Y97-Y98-Y102+Y184-Y190-Y229-Y265-Y268-Y274</f>
        <v>2.11395810443515</v>
      </c>
      <c r="Z113" s="136" t="n">
        <f aca="false">Z107+Z109+Z110-Z111-Z112-Z108-Z97-Z98-Z102+Z184-Z190-Z229-Z265-Z268-Z274</f>
        <v>2.12647195545965</v>
      </c>
      <c r="AA113" s="136" t="n">
        <f aca="false">AA107+AA109+AA110-AA111-AA112-AA108-AA97-AA98-AA102+AA184-AA190-AA229-AA265-AA268-AA274</f>
        <v>2.15476041922554</v>
      </c>
      <c r="AB113" s="136" t="n">
        <f aca="false">AB107+AB109+AB110-AB111-AB112-AB108-AB97-AB98-AB102+AB184-AB190-AB229-AB265-AB268-AB274</f>
        <v>2.1988334199796</v>
      </c>
      <c r="AC113" s="136" t="n">
        <f aca="false">AC107+AC109+AC110-AC111-AC112-AC108-AC97-AC98-AC102+AC184-AC190-AC229-AC265-AC268-AC274</f>
        <v>2.25872517735701</v>
      </c>
      <c r="AD113" s="136" t="n">
        <f aca="false">AD107+AD109+AD110-AD111-AD112-AD108-AD97-AD98-AD102+AD184-AD190-AD229-AD265-AD268-AD274</f>
        <v>2.33449458760426</v>
      </c>
      <c r="AE113" s="136" t="n">
        <f aca="false">AE107+AE109+AE110-AE111-AE112-AE108-AE97-AE98-AE102+AE184-AE190-AE229-AE265-AE268-AE274</f>
        <v>2.42622450044459</v>
      </c>
      <c r="AF113" s="136" t="n">
        <f aca="false">AF107+AF109+AF110-AF111-AF112-AF108-AF97-AF98-AF102+AF184-AF190-AF229-AF265-AF268-AF274</f>
        <v>2.53402113916174</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35.1038595527686</v>
      </c>
      <c r="E114" s="116" t="n">
        <f aca="false">D120+E53+E56-E57+(E58-E65)+E113-E92+E94-E95-E103+E60-E245</f>
        <v>53.0720061406802</v>
      </c>
      <c r="F114" s="116" t="n">
        <f aca="false">E120+F53+F56-F57+(F58-F65)+F113-F92+F94-F95-F103+F60-F245</f>
        <v>61.8615311429605</v>
      </c>
      <c r="G114" s="116" t="n">
        <f aca="false">F120+G53+G56-G57+(G58-G65)+G113-G92+G94-G95-G103+G60-G245</f>
        <v>72.8447858473724</v>
      </c>
      <c r="H114" s="116" t="n">
        <f aca="false">G120+H53+H56-H57+(H58-H65)+H113-H92+H94-H95-H103+H60-H245</f>
        <v>85.489047213793</v>
      </c>
      <c r="I114" s="116" t="n">
        <f aca="false">H120+I53+I56-I57+(I58-I65)+I113-I92+I94-I95-I103+I60-I245</f>
        <v>99.8859200684854</v>
      </c>
      <c r="J114" s="116" t="n">
        <f aca="false">I120+J53+J56-J57+(J58-J65)+J113-J92+J94-J95-J103+J60-J245</f>
        <v>115.612055639854</v>
      </c>
      <c r="K114" s="116" t="n">
        <f aca="false">J120+K53+K56-K57+(K58-K65)+K113-K92+K94-K95-K103+K60-K245</f>
        <v>132.709624403642</v>
      </c>
      <c r="L114" s="116" t="n">
        <f aca="false">K120+L53+L56-L57+(L58-L65)+L113-L92+L94-L95-L103+L60-L245</f>
        <v>151.138556205622</v>
      </c>
      <c r="M114" s="116" t="n">
        <f aca="false">L120+M53+M56-M57+(M58-M65)+M113-M92+M94-M95-M103+M60-M245</f>
        <v>151.969878289397</v>
      </c>
      <c r="N114" s="116" t="n">
        <f aca="false">M120+N53+N56-N57+(N58-N65)+N113-N92+N94-N95-N103+N60-N245</f>
        <v>153.701390395895</v>
      </c>
      <c r="O114" s="116" t="n">
        <f aca="false">N120+O53+O56-O57+(O58-O65)+O113-O92+O94-O95-O103+O60-O245</f>
        <v>155.772791041921</v>
      </c>
      <c r="P114" s="116" t="n">
        <f aca="false">O120+P53+P56-P57+(P58-P65)+P113-P92+P94-P95-P103+P60-P245</f>
        <v>156.987332355062</v>
      </c>
      <c r="Q114" s="116" t="n">
        <f aca="false">P120+Q53+Q56-Q57+(Q58-Q65)+Q113-Q92+Q94-Q95-Q103+Q60-Q245</f>
        <v>158.038187598182</v>
      </c>
      <c r="R114" s="116" t="n">
        <f aca="false">Q120+R53+R56-R57+(R58-R65)+R113-R92+R94-R95-R103+R60-R245</f>
        <v>158.753433864211</v>
      </c>
      <c r="S114" s="116" t="n">
        <f aca="false">R120+S53+S56-S57+(S58-S65)+S113-S92+S94-S95-S103+S60-S245</f>
        <v>159.498736925591</v>
      </c>
      <c r="T114" s="116" t="n">
        <f aca="false">S120+T53+T56-T57+(T58-T65)+T113-T92+T94-T95-T103+T60-T245</f>
        <v>160.28743430114</v>
      </c>
      <c r="U114" s="116" t="n">
        <f aca="false">T120+U53+U56-U57+(U58-U65)+U113-U92+U94-U95-U103+U60-U245</f>
        <v>161.119744590495</v>
      </c>
      <c r="V114" s="116" t="n">
        <f aca="false">U120+V53+V56-V57+(V58-V65)+V113-V92+V94-V95-V103+V60-V245</f>
        <v>161.995890645332</v>
      </c>
      <c r="W114" s="116" t="n">
        <f aca="false">V120+W53+W56-W57+(W58-W65)+W113-W92+W94-W95-W103+W60-W245</f>
        <v>162.918551482382</v>
      </c>
      <c r="X114" s="116" t="n">
        <f aca="false">W120+X53+X56-X57+(X58-X65)+X113-X92+X94-X95-X103+X60-X245</f>
        <v>163.888658744071</v>
      </c>
      <c r="Y114" s="116" t="n">
        <f aca="false">X120+Y53+Y56-Y57+(Y58-Y65)+Y113-Y92+Y94-Y95-Y103+Y60-Y245</f>
        <v>164.906886618235</v>
      </c>
      <c r="Z114" s="116" t="n">
        <f aca="false">Y120+Z53+Z56-Z57+(Z58-Z65)+Z113-Z92+Z94-Z95-Z103+Z60-Z245</f>
        <v>165.973624760601</v>
      </c>
      <c r="AA114" s="116" t="n">
        <f aca="false">Z120+AA53+AA56-AA57+(AA58-AA65)+AA113-AA92+AA94-AA95-AA103+AA60-AA245</f>
        <v>167.089297422708</v>
      </c>
      <c r="AB114" s="116" t="n">
        <f aca="false">AA120+AB53+AB56-AB57+(AB58-AB65)+AB113-AB92+AB94-AB95-AB103+AB60-AB245</f>
        <v>168.254320319813</v>
      </c>
      <c r="AC114" s="116" t="n">
        <f aca="false">AB120+AC53+AC56-AC57+(AC58-AC65)+AC113-AC92+AC94-AC95-AC103+AC60-AC245</f>
        <v>169.469139447481</v>
      </c>
      <c r="AD114" s="116" t="n">
        <f aca="false">AC120+AD53+AD56-AD57+(AD58-AD65)+AD113-AD92+AD94-AD95-AD103+AD60-AD245</f>
        <v>170.734236901761</v>
      </c>
      <c r="AE114" s="116" t="n">
        <f aca="false">AD120+AE53+AE56-AE57+(AE58-AE65)+AE113-AE92+AE94-AE95-AE103+AE60-AE245</f>
        <v>172.050137264455</v>
      </c>
      <c r="AF114" s="116" t="n">
        <f aca="false">AE120+AF53+AF56-AF57+(AF58-AF65)+AF113-AF92+AF94-AF95-AF103+AF60-AF245</f>
        <v>173.417406999192</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0.0833046933371094</v>
      </c>
      <c r="L115" s="116" t="n">
        <f aca="false">IF(L113&gt;0,MIN(L113,01_Supuestos!$I$106*L81),0)</f>
        <v>1.46201448326148</v>
      </c>
      <c r="M115" s="116" t="n">
        <f aca="false">IF(M113&gt;0,MIN(M113,01_Supuestos!$I$106*M81),0)</f>
        <v>2.62494433983946</v>
      </c>
      <c r="N115" s="116" t="n">
        <f aca="false">IF(N113&gt;0,MIN(N113,01_Supuestos!$I$106*N81),0)</f>
        <v>2.70574328743183</v>
      </c>
      <c r="O115" s="116" t="n">
        <f aca="false">IF(O113&gt;0,MIN(O113,01_Supuestos!$I$106*O81),0)</f>
        <v>2.78983077546357</v>
      </c>
      <c r="P115" s="116" t="n">
        <f aca="false">IF(P113&gt;0,MIN(P113,01_Supuestos!$I$106*P81),0)</f>
        <v>2.6869170159464</v>
      </c>
      <c r="Q115" s="116" t="n">
        <f aca="false">IF(Q113&gt;0,MIN(Q113,01_Supuestos!$I$106*Q81),0)</f>
        <v>2.57330100394646</v>
      </c>
      <c r="R115" s="116" t="n">
        <f aca="false">IF(R113&gt;0,MIN(R113,01_Supuestos!$I$106*R81),0)</f>
        <v>2.47060153399999</v>
      </c>
      <c r="S115" s="116" t="n">
        <f aca="false">IF(S113&gt;0,MIN(S113,01_Supuestos!$I$106*S81),0)</f>
        <v>2.37162200222654</v>
      </c>
      <c r="T115" s="116" t="n">
        <f aca="false">IF(T113&gt;0,MIN(T113,01_Supuestos!$I$106*T81),0)</f>
        <v>2.28886831382793</v>
      </c>
      <c r="U115" s="116" t="n">
        <f aca="false">IF(U113&gt;0,MIN(U113,01_Supuestos!$I$106*U81),0)</f>
        <v>2.22214832005262</v>
      </c>
      <c r="V115" s="116" t="n">
        <f aca="false">IF(V113&gt;0,MIN(V113,01_Supuestos!$I$106*V81),0)</f>
        <v>2.17129030488484</v>
      </c>
      <c r="W115" s="116" t="n">
        <f aca="false">IF(W113&gt;0,MIN(W113,01_Supuestos!$I$106*W81),0)</f>
        <v>2.13632565221895</v>
      </c>
      <c r="X115" s="116" t="n">
        <f aca="false">IF(X113&gt;0,MIN(X113,01_Supuestos!$I$106*X81),0)</f>
        <v>2.1172324015446</v>
      </c>
      <c r="Y115" s="116" t="n">
        <f aca="false">IF(Y113&gt;0,MIN(Y113,01_Supuestos!$I$106*Y81),0)</f>
        <v>2.11395810443515</v>
      </c>
      <c r="Z115" s="116" t="n">
        <f aca="false">IF(Z113&gt;0,MIN(Z113,01_Supuestos!$I$106*Z81),0)</f>
        <v>2.12647195545965</v>
      </c>
      <c r="AA115" s="116" t="n">
        <f aca="false">IF(AA113&gt;0,MIN(AA113,01_Supuestos!$I$106*AA81),0)</f>
        <v>2.15476041922554</v>
      </c>
      <c r="AB115" s="116" t="n">
        <f aca="false">IF(AB113&gt;0,MIN(AB113,01_Supuestos!$I$106*AB81),0)</f>
        <v>2.1988334199796</v>
      </c>
      <c r="AC115" s="116" t="n">
        <f aca="false">IF(AC113&gt;0,MIN(AC113,01_Supuestos!$I$106*AC81),0)</f>
        <v>2.25872517735701</v>
      </c>
      <c r="AD115" s="116" t="n">
        <f aca="false">IF(AD113&gt;0,MIN(AD113,01_Supuestos!$I$106*AD81),0)</f>
        <v>2.33449458760426</v>
      </c>
      <c r="AE115" s="116" t="n">
        <f aca="false">IF(AE113&gt;0,MIN(AE113,01_Supuestos!$I$106*AE81),0)</f>
        <v>2.42622450044459</v>
      </c>
      <c r="AF115" s="116" t="n">
        <f aca="false">IF(AF113&gt;0,MIN(AF113,01_Supuestos!$I$106*AF81),0)</f>
        <v>2.53402113916174</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35.1038595527686</v>
      </c>
      <c r="E120" s="136" t="n">
        <f aca="false">E114-E115+E118+E119</f>
        <v>53.0720061406802</v>
      </c>
      <c r="F120" s="136" t="n">
        <f aca="false">F114-F115+F118+F119</f>
        <v>61.8615311429605</v>
      </c>
      <c r="G120" s="136" t="n">
        <f aca="false">G114-G115+G118+G119</f>
        <v>72.8447858473724</v>
      </c>
      <c r="H120" s="136" t="n">
        <f aca="false">H114-H115+H118+H119</f>
        <v>85.489047213793</v>
      </c>
      <c r="I120" s="136" t="n">
        <f aca="false">I114-I115+I118+I119</f>
        <v>99.8859200684854</v>
      </c>
      <c r="J120" s="136" t="n">
        <f aca="false">J114-J115+J118+J119</f>
        <v>115.612055639854</v>
      </c>
      <c r="K120" s="136" t="n">
        <f aca="false">K114-K115+K118+K119</f>
        <v>132.626319710305</v>
      </c>
      <c r="L120" s="136" t="n">
        <f aca="false">L114-L115+L118+L119</f>
        <v>149.676541722361</v>
      </c>
      <c r="M120" s="136" t="n">
        <f aca="false">M114-M115+M118+M119</f>
        <v>149.344933949558</v>
      </c>
      <c r="N120" s="136" t="n">
        <f aca="false">N114-N115+N118+N119</f>
        <v>150.995647108463</v>
      </c>
      <c r="O120" s="136" t="n">
        <f aca="false">O114-O115+O118+O119</f>
        <v>152.982960266457</v>
      </c>
      <c r="P120" s="136" t="n">
        <f aca="false">P114-P115+P118+P119</f>
        <v>154.300415339116</v>
      </c>
      <c r="Q120" s="136" t="n">
        <f aca="false">Q114-Q115+Q118+Q119</f>
        <v>155.464886594235</v>
      </c>
      <c r="R120" s="136" t="n">
        <f aca="false">R114-R115+R118+R119</f>
        <v>156.282832330211</v>
      </c>
      <c r="S120" s="136" t="n">
        <f aca="false">S114-S115+S118+S119</f>
        <v>157.127114923365</v>
      </c>
      <c r="T120" s="136" t="n">
        <f aca="false">T114-T115+T118+T119</f>
        <v>157.998565987312</v>
      </c>
      <c r="U120" s="136" t="n">
        <f aca="false">U114-U115+U118+U119</f>
        <v>158.897596270442</v>
      </c>
      <c r="V120" s="136" t="n">
        <f aca="false">V114-V115+V118+V119</f>
        <v>159.824600340447</v>
      </c>
      <c r="W120" s="136" t="n">
        <f aca="false">W114-W115+W118+W119</f>
        <v>160.782225830163</v>
      </c>
      <c r="X120" s="136" t="n">
        <f aca="false">X114-X115+X118+X119</f>
        <v>161.771426342526</v>
      </c>
      <c r="Y120" s="136" t="n">
        <f aca="false">Y114-Y115+Y118+Y119</f>
        <v>162.7929285138</v>
      </c>
      <c r="Z120" s="136" t="n">
        <f aca="false">Z114-Z115+Z118+Z119</f>
        <v>163.847152805141</v>
      </c>
      <c r="AA120" s="136" t="n">
        <f aca="false">AA114-AA115+AA118+AA119</f>
        <v>164.934537003483</v>
      </c>
      <c r="AB120" s="136" t="n">
        <f aca="false">AB114-AB115+AB118+AB119</f>
        <v>166.055486899834</v>
      </c>
      <c r="AC120" s="136" t="n">
        <f aca="false">AC114-AC115+AC118+AC119</f>
        <v>167.210414270124</v>
      </c>
      <c r="AD120" s="136" t="n">
        <f aca="false">AD114-AD115+AD118+AD119</f>
        <v>168.399742314156</v>
      </c>
      <c r="AE120" s="136" t="n">
        <f aca="false">AE114-AE115+AE118+AE119</f>
        <v>169.62391276401</v>
      </c>
      <c r="AF120" s="136" t="n">
        <f aca="false">AF114-AF115+AF118+AF119</f>
        <v>170.883385860031</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0.0833046933371094</v>
      </c>
      <c r="L121" s="116" t="n">
        <f aca="false">K121+L115</f>
        <v>1.54531917659859</v>
      </c>
      <c r="M121" s="116" t="n">
        <f aca="false">L121+M115</f>
        <v>4.17026351643805</v>
      </c>
      <c r="N121" s="116" t="n">
        <f aca="false">M121+N115</f>
        <v>6.87600680386988</v>
      </c>
      <c r="O121" s="116" t="n">
        <f aca="false">N121+O115</f>
        <v>9.66583757933345</v>
      </c>
      <c r="P121" s="116" t="n">
        <f aca="false">O121+P115</f>
        <v>12.3527545952799</v>
      </c>
      <c r="Q121" s="116" t="n">
        <f aca="false">P121+Q115</f>
        <v>14.9260555992263</v>
      </c>
      <c r="R121" s="116" t="n">
        <f aca="false">Q121+R115</f>
        <v>17.3966571332263</v>
      </c>
      <c r="S121" s="116" t="n">
        <f aca="false">R121+S115</f>
        <v>19.7682791354528</v>
      </c>
      <c r="T121" s="116" t="n">
        <f aca="false">S121+T115</f>
        <v>22.0571474492808</v>
      </c>
      <c r="U121" s="116" t="n">
        <f aca="false">T121+U115</f>
        <v>24.2792957693334</v>
      </c>
      <c r="V121" s="116" t="n">
        <f aca="false">U121+V115</f>
        <v>26.4505860742182</v>
      </c>
      <c r="W121" s="116" t="n">
        <f aca="false">V121+W115</f>
        <v>28.5869117264372</v>
      </c>
      <c r="X121" s="116" t="n">
        <f aca="false">W121+X115</f>
        <v>30.7041441279818</v>
      </c>
      <c r="Y121" s="116" t="n">
        <f aca="false">X121+Y115</f>
        <v>32.8181022324169</v>
      </c>
      <c r="Z121" s="116" t="n">
        <f aca="false">Y121+Z115</f>
        <v>34.9445741878766</v>
      </c>
      <c r="AA121" s="116" t="n">
        <f aca="false">Z121+AA115</f>
        <v>37.0993346071021</v>
      </c>
      <c r="AB121" s="116" t="n">
        <f aca="false">AA121+AB115</f>
        <v>39.2981680270817</v>
      </c>
      <c r="AC121" s="116" t="n">
        <f aca="false">AB121+AC115</f>
        <v>41.5568932044388</v>
      </c>
      <c r="AD121" s="116" t="n">
        <f aca="false">AC121+AD115</f>
        <v>43.891387792043</v>
      </c>
      <c r="AE121" s="116" t="n">
        <f aca="false">AD121+AE115</f>
        <v>46.3176122924876</v>
      </c>
      <c r="AF121" s="116" t="n">
        <f aca="false">AE121+AF115</f>
        <v>48.8516334316493</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0.340687329426486</v>
      </c>
      <c r="E122" s="87" t="n">
        <f aca="false">E276/(E81+E115)</f>
        <v>0.381737198412432</v>
      </c>
      <c r="F122" s="87" t="n">
        <f aca="false">F276/(F81+F115)</f>
        <v>0.226719564465731</v>
      </c>
      <c r="G122" s="87" t="n">
        <f aca="false">G276/(G81+G115)</f>
        <v>0.255097769127962</v>
      </c>
      <c r="H122" s="87" t="n">
        <f aca="false">H276/(H81+H115)</f>
        <v>0.286586063531629</v>
      </c>
      <c r="I122" s="87" t="n">
        <f aca="false">I276/(I81+I115)</f>
        <v>0.321083568129139</v>
      </c>
      <c r="J122" s="87" t="n">
        <f aca="false">J276/(J81+J115)</f>
        <v>0.356913160169047</v>
      </c>
      <c r="K122" s="87" t="n">
        <f aca="false">K276/(K81+K115)</f>
        <v>0.393689328973593</v>
      </c>
      <c r="L122" s="87" t="n">
        <f aca="false">L276/(L81+L115)</f>
        <v>0.42611183440998</v>
      </c>
      <c r="M122" s="87" t="n">
        <f aca="false">M276/(M81+M115)</f>
        <v>0.409114283826572</v>
      </c>
      <c r="N122" s="87" t="n">
        <f aca="false">N276/(N81+N115)</f>
        <v>0.399560674453524</v>
      </c>
      <c r="O122" s="87" t="n">
        <f aca="false">O276/(O81+O115)</f>
        <v>0.392243120744913</v>
      </c>
      <c r="P122" s="87" t="n">
        <f aca="false">P276/(P81+P115)</f>
        <v>0.386303228181534</v>
      </c>
      <c r="Q122" s="87" t="n">
        <f aca="false">Q276/(Q81+Q115)</f>
        <v>0.380200843580303</v>
      </c>
      <c r="R122" s="87" t="n">
        <f aca="false">R276/(R81+R115)</f>
        <v>0.373560478982447</v>
      </c>
      <c r="S122" s="87" t="n">
        <f aca="false">S276/(S81+S115)</f>
        <v>0.367287131432294</v>
      </c>
      <c r="T122" s="87" t="n">
        <f aca="false">T276/(T81+T115)</f>
        <v>0.361346429403055</v>
      </c>
      <c r="U122" s="87" t="n">
        <f aca="false">U276/(U81+U115)</f>
        <v>0.355706824326738</v>
      </c>
      <c r="V122" s="87" t="n">
        <f aca="false">V276/(V81+V115)</f>
        <v>0.350340068784712</v>
      </c>
      <c r="W122" s="87" t="n">
        <f aca="false">W276/(W81+W115)</f>
        <v>0.345328482559305</v>
      </c>
      <c r="X122" s="87" t="n">
        <f aca="false">X276/(X81+X115)</f>
        <v>0.340639187105234</v>
      </c>
      <c r="Y122" s="87" t="n">
        <f aca="false">Y276/(Y81+Y115)</f>
        <v>0.33624225619001</v>
      </c>
      <c r="Z122" s="87" t="n">
        <f aca="false">Z276/(Z81+Z115)</f>
        <v>0.332110125583629</v>
      </c>
      <c r="AA122" s="87" t="n">
        <f aca="false">AA276/(AA81+AA115)</f>
        <v>0.328217894914708</v>
      </c>
      <c r="AB122" s="87" t="n">
        <f aca="false">AB276/(AB81+AB115)</f>
        <v>0.324540958609577</v>
      </c>
      <c r="AC122" s="87" t="n">
        <f aca="false">AC276/(AC81+AC115)</f>
        <v>0.321056966396266</v>
      </c>
      <c r="AD122" s="87" t="n">
        <f aca="false">AD276/(AD81+AD115)</f>
        <v>0.317745552656548</v>
      </c>
      <c r="AE122" s="87" t="n">
        <f aca="false">AE276/(AE81+AE115)</f>
        <v>0.31458811183594</v>
      </c>
      <c r="AF122" s="87" t="n">
        <f aca="false">AF276/(AF81+AF115)</f>
        <v>0.311567596231194</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2.47949637376709</v>
      </c>
      <c r="F127" s="116" t="n">
        <f aca="false">MAX(0,-F113)</f>
        <v>6.30123517222942</v>
      </c>
      <c r="G127" s="116" t="n">
        <f aca="false">MAX(0,-G113)</f>
        <v>4.97591948674164</v>
      </c>
      <c r="H127" s="116" t="n">
        <f aca="false">MAX(0,-H113)</f>
        <v>3.78573367514692</v>
      </c>
      <c r="I127" s="116" t="n">
        <f aca="false">MAX(0,-I113)</f>
        <v>2.54618059436743</v>
      </c>
      <c r="J127" s="116" t="n">
        <f aca="false">MAX(0,-J113)</f>
        <v>1.25210463335795</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4.73640836108542</v>
      </c>
      <c r="D128" s="116" t="n">
        <f aca="false">IF(AVERAGE(E127:I127)&gt;0,D120/AVERAGE(E127:I127),99)</f>
        <v>8.73727392289992</v>
      </c>
      <c r="E128" s="116" t="n">
        <f aca="false">IF(AVERAGE(F127:J127)&gt;0,E120/AVERAGE(F127:J127),99)</f>
        <v>14.0691155740294</v>
      </c>
      <c r="F128" s="116" t="n">
        <f aca="false">IF(AVERAGE(G127:K127)&gt;0,F120/AVERAGE(G127:K127),99)</f>
        <v>24.626526509921</v>
      </c>
      <c r="G128" s="116" t="n">
        <f aca="false">IF(AVERAGE(H127:L127)&gt;0,G120/AVERAGE(H127:L127),99)</f>
        <v>48.0251874239025</v>
      </c>
      <c r="H128" s="116" t="n">
        <f aca="false">IF(AVERAGE(I127:M127)&gt;0,H120/AVERAGE(I127:M127),99)</f>
        <v>112.536371136336</v>
      </c>
      <c r="I128" s="116" t="n">
        <f aca="false">IF(AVERAGE(J127:N127)&gt;0,I120/AVERAGE(J127:N127),99)</f>
        <v>398.872096657796</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-1.16225927861473</v>
      </c>
      <c r="S134" s="116" t="n">
        <f aca="false">-S56</f>
        <v>-1.1913157605801</v>
      </c>
      <c r="T134" s="116" t="n">
        <f aca="false">-T56</f>
        <v>-1.2210986545946</v>
      </c>
      <c r="U134" s="116" t="n">
        <f aca="false">-U56</f>
        <v>-1.25162612095947</v>
      </c>
      <c r="V134" s="116" t="n">
        <f aca="false">-V56</f>
        <v>-1.28291677398346</v>
      </c>
      <c r="W134" s="116" t="n">
        <f aca="false">-W56</f>
        <v>-1.31498969333304</v>
      </c>
      <c r="X134" s="116" t="n">
        <f aca="false">-X56</f>
        <v>-1.34786443566637</v>
      </c>
      <c r="Y134" s="116" t="n">
        <f aca="false">-Y56</f>
        <v>-1.38156104655803</v>
      </c>
      <c r="Z134" s="116" t="n">
        <f aca="false">-Z56</f>
        <v>-1.41610007272198</v>
      </c>
      <c r="AA134" s="116" t="n">
        <f aca="false">-AA56</f>
        <v>-1.45150257454003</v>
      </c>
      <c r="AB134" s="116" t="n">
        <f aca="false">-AB56</f>
        <v>-1.48779013890353</v>
      </c>
      <c r="AC134" s="116" t="n">
        <f aca="false">-AC56</f>
        <v>-1.52498489237611</v>
      </c>
      <c r="AD134" s="116" t="n">
        <f aca="false">-AD56</f>
        <v>-1.56310951468552</v>
      </c>
      <c r="AE134" s="116" t="n">
        <f aca="false">-AE56</f>
        <v>-1.60218725255266</v>
      </c>
      <c r="AF134" s="116" t="n">
        <f aca="false">-AF56</f>
        <v>-1.64224193386647</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-17.8977098596176</v>
      </c>
      <c r="G140" s="116" t="n">
        <f aca="false">SUM(G133:G139)</f>
        <v>-17.9084533563974</v>
      </c>
      <c r="H140" s="116" t="n">
        <f aca="false">SUM(H133:H139)</f>
        <v>-17.9169020879832</v>
      </c>
      <c r="I140" s="116" t="n">
        <f aca="false">SUM(I133:I139)</f>
        <v>-17.9232027289801</v>
      </c>
      <c r="J140" s="116" t="n">
        <f aca="false">SUM(J133:J139)</f>
        <v>-17.9274924714095</v>
      </c>
      <c r="K140" s="116" t="n">
        <f aca="false">SUM(K133:K139)</f>
        <v>-17.9298996395416</v>
      </c>
      <c r="L140" s="116" t="n">
        <f aca="false">SUM(L133:L139)</f>
        <v>-17.9305442652544</v>
      </c>
      <c r="M140" s="116" t="n">
        <f aca="false">SUM(M133:M139)</f>
        <v>2.67413164707173</v>
      </c>
      <c r="N140" s="116" t="n">
        <f aca="false">SUM(N133:N139)</f>
        <v>2.65791430162299</v>
      </c>
      <c r="O140" s="116" t="n">
        <f aca="false">SUM(O133:O139)</f>
        <v>2.64625849627186</v>
      </c>
      <c r="P140" s="116" t="n">
        <f aca="false">SUM(P133:P139)</f>
        <v>2.65459820436939</v>
      </c>
      <c r="Q140" s="116" t="n">
        <f aca="false">SUM(Q133:Q139)</f>
        <v>2.66098965287782</v>
      </c>
      <c r="R140" s="116" t="n">
        <f aca="false">SUM(R133:R139)</f>
        <v>3.05246372085953</v>
      </c>
      <c r="S140" s="116" t="n">
        <f aca="false">SUM(S133:S139)</f>
        <v>3.0639262032534</v>
      </c>
      <c r="T140" s="116" t="n">
        <f aca="false">SUM(T133:T139)</f>
        <v>3.07340847680883</v>
      </c>
      <c r="U140" s="116" t="n">
        <f aca="false">SUM(U133:U139)</f>
        <v>3.08096700691835</v>
      </c>
      <c r="V140" s="116" t="n">
        <f aca="false">SUM(V133:V139)</f>
        <v>3.0866541135796</v>
      </c>
      <c r="W140" s="116" t="n">
        <f aca="false">SUM(W133:W139)</f>
        <v>3.09051822242724</v>
      </c>
      <c r="X140" s="116" t="n">
        <f aca="false">SUM(X133:X139)</f>
        <v>3.09260409908193</v>
      </c>
      <c r="Y140" s="116" t="n">
        <f aca="false">SUM(Y133:Y139)</f>
        <v>3.09295306787975</v>
      </c>
      <c r="Z140" s="116" t="n">
        <f aca="false">SUM(Z133:Z139)</f>
        <v>3.09160321597572</v>
      </c>
      <c r="AA140" s="116" t="n">
        <f aca="false">SUM(AA133:AA139)</f>
        <v>3.08858958375102</v>
      </c>
      <c r="AB140" s="116" t="n">
        <f aca="false">SUM(AB133:AB139)</f>
        <v>3.08394434239277</v>
      </c>
      <c r="AC140" s="116" t="n">
        <f aca="false">SUM(AC133:AC139)</f>
        <v>3.07769695945859</v>
      </c>
      <c r="AD140" s="116" t="n">
        <f aca="false">SUM(AD133:AD139)</f>
        <v>3.06987435318552</v>
      </c>
      <c r="AE140" s="116" t="n">
        <f aca="false">SUM(AE133:AE139)</f>
        <v>3.06050103625309</v>
      </c>
      <c r="AF140" s="116" t="n">
        <f aca="false">SUM(AF133:AF139)</f>
        <v>3.04959924966409</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-1.679035948921</v>
      </c>
      <c r="M141" s="116" t="n">
        <f aca="false">-M85*01_Supuestos!$I$126</f>
        <v>-1.3432287591368</v>
      </c>
      <c r="N141" s="116" t="n">
        <f aca="false">-N85*01_Supuestos!$I$126</f>
        <v>-1.12559529563821</v>
      </c>
      <c r="O141" s="116" t="n">
        <f aca="false">-O85*01_Supuestos!$I$126</f>
        <v>-1.16169278927023</v>
      </c>
      <c r="P141" s="116" t="n">
        <f aca="false">-P85*01_Supuestos!$I$126</f>
        <v>-1.19022394410314</v>
      </c>
      <c r="Q141" s="116" t="n">
        <f aca="false">-Q85*01_Supuestos!$I$126</f>
        <v>-1.21898610687159</v>
      </c>
      <c r="R141" s="116" t="n">
        <f aca="false">-R85*01_Supuestos!$I$126</f>
        <v>-1.24766876031146</v>
      </c>
      <c r="S141" s="116" t="n">
        <f aca="false">-S85*01_Supuestos!$I$126</f>
        <v>-1.27629885701669</v>
      </c>
      <c r="T141" s="116" t="n">
        <f aca="false">-T85*01_Supuestos!$I$126</f>
        <v>-1.30488206445862</v>
      </c>
      <c r="U141" s="116" t="n">
        <f aca="false">-U85*01_Supuestos!$I$126</f>
        <v>-1.33346187479751</v>
      </c>
      <c r="V141" s="116" t="n">
        <f aca="false">-V85*01_Supuestos!$I$126</f>
        <v>-1.36208151323475</v>
      </c>
      <c r="W141" s="116" t="n">
        <f aca="false">-W85*01_Supuestos!$I$126</f>
        <v>-1.39036743116268</v>
      </c>
      <c r="X141" s="116" t="n">
        <f aca="false">-X85*01_Supuestos!$I$126</f>
        <v>-1.41836482807773</v>
      </c>
      <c r="Y141" s="116" t="n">
        <f aca="false">-Y85*01_Supuestos!$I$126</f>
        <v>-1.4461191907392</v>
      </c>
      <c r="Z141" s="116" t="n">
        <f aca="false">-Z85*01_Supuestos!$I$126</f>
        <v>-1.47367620589951</v>
      </c>
      <c r="AA141" s="116" t="n">
        <f aca="false">-AA85*01_Supuestos!$I$126</f>
        <v>-1.5010818296545</v>
      </c>
      <c r="AB141" s="116" t="n">
        <f aca="false">-AB85*01_Supuestos!$I$126</f>
        <v>-1.52839144959325</v>
      </c>
      <c r="AC141" s="116" t="n">
        <f aca="false">-AC85*01_Supuestos!$I$126</f>
        <v>-1.55566069802647</v>
      </c>
      <c r="AD141" s="116" t="n">
        <f aca="false">-AD85*01_Supuestos!$I$126</f>
        <v>-1.58294552643951</v>
      </c>
      <c r="AE141" s="116" t="n">
        <f aca="false">-AE85*01_Supuestos!$I$126</f>
        <v>-1.6103022812342</v>
      </c>
      <c r="AF141" s="116" t="n">
        <f aca="false">-AF85*01_Supuestos!$I$126</f>
        <v>-1.63778777744288</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1.13334926552167</v>
      </c>
      <c r="M142" s="116" t="n">
        <f aca="false">M85*01_Supuestos!$I$101</f>
        <v>0.906679412417338</v>
      </c>
      <c r="N142" s="116" t="n">
        <f aca="false">N85*01_Supuestos!$I$101</f>
        <v>0.75977682455579</v>
      </c>
      <c r="O142" s="116" t="n">
        <f aca="false">O85*01_Supuestos!$I$101</f>
        <v>0.784142632757404</v>
      </c>
      <c r="P142" s="116" t="n">
        <f aca="false">P85*01_Supuestos!$I$101</f>
        <v>0.803401162269618</v>
      </c>
      <c r="Q142" s="116" t="n">
        <f aca="false">Q85*01_Supuestos!$I$101</f>
        <v>0.822815622138322</v>
      </c>
      <c r="R142" s="116" t="n">
        <f aca="false">R85*01_Supuestos!$I$101</f>
        <v>0.842176413210239</v>
      </c>
      <c r="S142" s="116" t="n">
        <f aca="false">S85*01_Supuestos!$I$101</f>
        <v>0.861501728486267</v>
      </c>
      <c r="T142" s="116" t="n">
        <f aca="false">T85*01_Supuestos!$I$101</f>
        <v>0.88079539350957</v>
      </c>
      <c r="U142" s="116" t="n">
        <f aca="false">U85*01_Supuestos!$I$101</f>
        <v>0.900086765488316</v>
      </c>
      <c r="V142" s="116" t="n">
        <f aca="false">V85*01_Supuestos!$I$101</f>
        <v>0.919405021433458</v>
      </c>
      <c r="W142" s="116" t="n">
        <f aca="false">W85*01_Supuestos!$I$101</f>
        <v>0.938498016034811</v>
      </c>
      <c r="X142" s="116" t="n">
        <f aca="false">X85*01_Supuestos!$I$101</f>
        <v>0.95739625895247</v>
      </c>
      <c r="Y142" s="116" t="n">
        <f aca="false">Y85*01_Supuestos!$I$101</f>
        <v>0.976130453748959</v>
      </c>
      <c r="Z142" s="116" t="n">
        <f aca="false">Z85*01_Supuestos!$I$101</f>
        <v>0.994731438982166</v>
      </c>
      <c r="AA142" s="116" t="n">
        <f aca="false">AA85*01_Supuestos!$I$101</f>
        <v>1.01323023501679</v>
      </c>
      <c r="AB142" s="116" t="n">
        <f aca="false">AB85*01_Supuestos!$I$101</f>
        <v>1.03166422847544</v>
      </c>
      <c r="AC142" s="116" t="n">
        <f aca="false">AC85*01_Supuestos!$I$101</f>
        <v>1.05007097116787</v>
      </c>
      <c r="AD142" s="116" t="n">
        <f aca="false">AD85*01_Supuestos!$I$101</f>
        <v>1.06848823034667</v>
      </c>
      <c r="AE142" s="116" t="n">
        <f aca="false">AE85*01_Supuestos!$I$101</f>
        <v>1.08695403983309</v>
      </c>
      <c r="AF142" s="116" t="n">
        <f aca="false">AF85*01_Supuestos!$I$101</f>
        <v>1.10550674977395</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-18.32336341453</v>
      </c>
      <c r="G148" s="136" t="n">
        <f aca="false">G140+G141+G142+G144+G145+G146+G147</f>
        <v>-18.3539212501793</v>
      </c>
      <c r="H148" s="136" t="n">
        <f aca="false">H140+H141+H142+H144+H145+H146+H147</f>
        <v>-18.3822523984975</v>
      </c>
      <c r="I148" s="136" t="n">
        <f aca="false">I140+I141+I142+I144+I145+I146+I147</f>
        <v>-18.4085032886281</v>
      </c>
      <c r="J148" s="136" t="n">
        <f aca="false">J140+J141+J142+J144+J145+J146+J147</f>
        <v>-18.4328109267804</v>
      </c>
      <c r="K148" s="136" t="n">
        <f aca="false">K140+K141+K142+K144+K145+K146+K147</f>
        <v>-18.4553035087905</v>
      </c>
      <c r="L148" s="136" t="n">
        <f aca="false">L140+L141+L142+L144+L145+L146+L147</f>
        <v>-18.4762309486537</v>
      </c>
      <c r="M148" s="136" t="n">
        <f aca="false">M140+M141+M142+M144+M145+M146+M147</f>
        <v>2.23758230035227</v>
      </c>
      <c r="N148" s="136" t="n">
        <f aca="false">N140+N141+N142+N144+N145+N146+N147</f>
        <v>2.29209583054057</v>
      </c>
      <c r="O148" s="136" t="n">
        <f aca="false">O140+O141+O142+O144+O145+O146+O147</f>
        <v>2.26870833975904</v>
      </c>
      <c r="P148" s="136" t="n">
        <f aca="false">P140+P141+P142+P144+P145+P146+P147</f>
        <v>2.26777542253587</v>
      </c>
      <c r="Q148" s="136" t="n">
        <f aca="false">Q140+Q141+Q142+Q144+Q145+Q146+Q147</f>
        <v>2.26481916814456</v>
      </c>
      <c r="R148" s="136" t="n">
        <f aca="false">R140+R141+R142+R144+R145+R146+R147</f>
        <v>2.6469713737583</v>
      </c>
      <c r="S148" s="136" t="n">
        <f aca="false">S140+S141+S142+S144+S145+S146+S147</f>
        <v>2.64912907472297</v>
      </c>
      <c r="T148" s="136" t="n">
        <f aca="false">T140+T141+T142+T144+T145+T146+T147</f>
        <v>2.64932180585978</v>
      </c>
      <c r="U148" s="136" t="n">
        <f aca="false">U140+U141+U142+U144+U145+U146+U147</f>
        <v>2.64759189760916</v>
      </c>
      <c r="V148" s="136" t="n">
        <f aca="false">V140+V141+V142+V144+V145+V146+V147</f>
        <v>2.64397762177831</v>
      </c>
      <c r="W148" s="136" t="n">
        <f aca="false">W140+W141+W142+W144+W145+W146+W147</f>
        <v>2.63864880729936</v>
      </c>
      <c r="X148" s="136" t="n">
        <f aca="false">X140+X141+X142+X144+X145+X146+X147</f>
        <v>2.63163552995667</v>
      </c>
      <c r="Y148" s="136" t="n">
        <f aca="false">Y140+Y141+Y142+Y144+Y145+Y146+Y147</f>
        <v>2.62296433088951</v>
      </c>
      <c r="Z148" s="136" t="n">
        <f aca="false">Z140+Z141+Z142+Z144+Z145+Z146+Z147</f>
        <v>2.61265844905838</v>
      </c>
      <c r="AA148" s="136" t="n">
        <f aca="false">AA140+AA141+AA142+AA144+AA145+AA146+AA147</f>
        <v>2.60073798911331</v>
      </c>
      <c r="AB148" s="136" t="n">
        <f aca="false">AB140+AB141+AB142+AB144+AB145+AB146+AB147</f>
        <v>2.58721712127496</v>
      </c>
      <c r="AC148" s="136" t="n">
        <f aca="false">AC140+AC141+AC142+AC144+AC145+AC146+AC147</f>
        <v>2.57210723259999</v>
      </c>
      <c r="AD148" s="136" t="n">
        <f aca="false">AD140+AD141+AD142+AD144+AD145+AD146+AD147</f>
        <v>2.55541705709268</v>
      </c>
      <c r="AE148" s="136" t="n">
        <f aca="false">AE140+AE141+AE142+AE144+AE145+AE146+AE147</f>
        <v>2.53715279485198</v>
      </c>
      <c r="AF148" s="136" t="n">
        <f aca="false">AF140+AF141+AF142+AF144+AF145+AF146+AF147</f>
        <v>2.51731822199516</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-74.9602655252644</v>
      </c>
      <c r="G149" s="138" t="n">
        <f aca="false">F149+G148</f>
        <v>-93.3141867754437</v>
      </c>
      <c r="H149" s="138" t="n">
        <f aca="false">G149+H148</f>
        <v>-111.696439173941</v>
      </c>
      <c r="I149" s="138" t="n">
        <f aca="false">H149+I148</f>
        <v>-130.104942462569</v>
      </c>
      <c r="J149" s="138" t="n">
        <f aca="false">I149+J148</f>
        <v>-148.53775338935</v>
      </c>
      <c r="K149" s="138" t="n">
        <f aca="false">J149+K148</f>
        <v>-166.99305689814</v>
      </c>
      <c r="L149" s="138" t="n">
        <f aca="false">K149+L148</f>
        <v>-185.469287846794</v>
      </c>
      <c r="M149" s="138" t="n">
        <f aca="false">L149+M148</f>
        <v>-183.231705546442</v>
      </c>
      <c r="N149" s="138" t="n">
        <f aca="false">M149+N148</f>
        <v>-180.939609715901</v>
      </c>
      <c r="O149" s="138" t="n">
        <f aca="false">N149+O148</f>
        <v>-178.670901376142</v>
      </c>
      <c r="P149" s="138" t="n">
        <f aca="false">O149+P148</f>
        <v>-176.403125953606</v>
      </c>
      <c r="Q149" s="138" t="n">
        <f aca="false">P149+Q148</f>
        <v>-174.138306785462</v>
      </c>
      <c r="R149" s="138" t="n">
        <f aca="false">Q149+R148</f>
        <v>-171.491335411703</v>
      </c>
      <c r="S149" s="138" t="n">
        <f aca="false">R149+S148</f>
        <v>-168.84220633698</v>
      </c>
      <c r="T149" s="138" t="n">
        <f aca="false">S149+T148</f>
        <v>-166.19288453112</v>
      </c>
      <c r="U149" s="138" t="n">
        <f aca="false">T149+U148</f>
        <v>-163.545292633511</v>
      </c>
      <c r="V149" s="138" t="n">
        <f aca="false">U149+V148</f>
        <v>-160.901315011733</v>
      </c>
      <c r="W149" s="138" t="n">
        <f aca="false">V149+W148</f>
        <v>-158.262666204434</v>
      </c>
      <c r="X149" s="138" t="n">
        <f aca="false">W149+X148</f>
        <v>-155.631030674477</v>
      </c>
      <c r="Y149" s="138" t="n">
        <f aca="false">X149+Y148</f>
        <v>-153.008066343587</v>
      </c>
      <c r="Z149" s="138" t="n">
        <f aca="false">Y149+Z148</f>
        <v>-150.395407894529</v>
      </c>
      <c r="AA149" s="138" t="n">
        <f aca="false">Z149+AA148</f>
        <v>-147.794669905416</v>
      </c>
      <c r="AB149" s="138" t="n">
        <f aca="false">AA149+AB148</f>
        <v>-145.207452784141</v>
      </c>
      <c r="AC149" s="138" t="n">
        <f aca="false">AB149+AC148</f>
        <v>-142.635345551541</v>
      </c>
      <c r="AD149" s="138" t="n">
        <f aca="false">AC149+AD148</f>
        <v>-140.079928494448</v>
      </c>
      <c r="AE149" s="138" t="n">
        <f aca="false">AD149+AE148</f>
        <v>-137.542775699596</v>
      </c>
      <c r="AF149" s="138" t="n">
        <f aca="false">AE149+AF148</f>
        <v>-135.025457477601</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35.1038595527686</v>
      </c>
      <c r="E153" s="116" t="n">
        <f aca="false">E120</f>
        <v>53.0720061406802</v>
      </c>
      <c r="F153" s="116" t="n">
        <f aca="false">F120</f>
        <v>61.8615311429605</v>
      </c>
      <c r="G153" s="116" t="n">
        <f aca="false">G120</f>
        <v>72.8447858473724</v>
      </c>
      <c r="H153" s="116" t="n">
        <f aca="false">H120</f>
        <v>85.489047213793</v>
      </c>
      <c r="I153" s="116" t="n">
        <f aca="false">I120</f>
        <v>99.8859200684854</v>
      </c>
      <c r="J153" s="116" t="n">
        <f aca="false">J120</f>
        <v>115.612055639854</v>
      </c>
      <c r="K153" s="116" t="n">
        <f aca="false">K120</f>
        <v>132.626319710305</v>
      </c>
      <c r="L153" s="116" t="n">
        <f aca="false">L120</f>
        <v>149.676541722361</v>
      </c>
      <c r="M153" s="116" t="n">
        <f aca="false">M120</f>
        <v>149.344933949558</v>
      </c>
      <c r="N153" s="116" t="n">
        <f aca="false">N120</f>
        <v>150.995647108463</v>
      </c>
      <c r="O153" s="116" t="n">
        <f aca="false">O120</f>
        <v>152.982960266457</v>
      </c>
      <c r="P153" s="116" t="n">
        <f aca="false">P120</f>
        <v>154.300415339116</v>
      </c>
      <c r="Q153" s="116" t="n">
        <f aca="false">Q120</f>
        <v>155.464886594235</v>
      </c>
      <c r="R153" s="116" t="n">
        <f aca="false">R120</f>
        <v>156.282832330211</v>
      </c>
      <c r="S153" s="116" t="n">
        <f aca="false">S120</f>
        <v>157.127114923365</v>
      </c>
      <c r="T153" s="116" t="n">
        <f aca="false">T120</f>
        <v>157.998565987312</v>
      </c>
      <c r="U153" s="116" t="n">
        <f aca="false">U120</f>
        <v>158.897596270442</v>
      </c>
      <c r="V153" s="116" t="n">
        <f aca="false">V120</f>
        <v>159.824600340447</v>
      </c>
      <c r="W153" s="116" t="n">
        <f aca="false">W120</f>
        <v>160.782225830163</v>
      </c>
      <c r="X153" s="116" t="n">
        <f aca="false">X120</f>
        <v>161.771426342526</v>
      </c>
      <c r="Y153" s="116" t="n">
        <f aca="false">Y120</f>
        <v>162.7929285138</v>
      </c>
      <c r="Z153" s="116" t="n">
        <f aca="false">Z120</f>
        <v>163.847152805141</v>
      </c>
      <c r="AA153" s="116" t="n">
        <f aca="false">AA120</f>
        <v>164.934537003483</v>
      </c>
      <c r="AB153" s="116" t="n">
        <f aca="false">AB120</f>
        <v>166.055486899834</v>
      </c>
      <c r="AC153" s="116" t="n">
        <f aca="false">AC120</f>
        <v>167.210414270124</v>
      </c>
      <c r="AD153" s="116" t="n">
        <f aca="false">AD120</f>
        <v>168.399742314156</v>
      </c>
      <c r="AE153" s="116" t="n">
        <f aca="false">AE120</f>
        <v>169.62391276401</v>
      </c>
      <c r="AF153" s="116" t="n">
        <f aca="false">AF120</f>
        <v>170.883385860031</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8.74497890063019</v>
      </c>
      <c r="M154" s="116" t="n">
        <f aca="false">M104</f>
        <v>9.06048979389419</v>
      </c>
      <c r="N154" s="116" t="n">
        <f aca="false">N104</f>
        <v>9.37996079698507</v>
      </c>
      <c r="O154" s="116" t="n">
        <f aca="false">O104</f>
        <v>9.68077324391857</v>
      </c>
      <c r="P154" s="116" t="n">
        <f aca="false">P104</f>
        <v>9.91853286752615</v>
      </c>
      <c r="Q154" s="116" t="n">
        <f aca="false">Q104</f>
        <v>10.1582175572632</v>
      </c>
      <c r="R154" s="116" t="n">
        <f aca="false">R104</f>
        <v>10.3972396692622</v>
      </c>
      <c r="S154" s="116" t="n">
        <f aca="false">S104</f>
        <v>10.6358238084724</v>
      </c>
      <c r="T154" s="116" t="n">
        <f aca="false">T104</f>
        <v>10.8740172038218</v>
      </c>
      <c r="U154" s="116" t="n">
        <f aca="false">U104</f>
        <v>11.1121822899792</v>
      </c>
      <c r="V154" s="116" t="n">
        <f aca="false">V104</f>
        <v>11.3506792769563</v>
      </c>
      <c r="W154" s="116" t="n">
        <f aca="false">W104</f>
        <v>11.586395259689</v>
      </c>
      <c r="X154" s="116" t="n">
        <f aca="false">X104</f>
        <v>11.8197069006478</v>
      </c>
      <c r="Y154" s="116" t="n">
        <f aca="false">Y104</f>
        <v>12.05099325616</v>
      </c>
      <c r="Z154" s="116" t="n">
        <f aca="false">Z104</f>
        <v>12.2806350491625</v>
      </c>
      <c r="AA154" s="116" t="n">
        <f aca="false">AA104</f>
        <v>12.5090152471208</v>
      </c>
      <c r="AB154" s="116" t="n">
        <f aca="false">AB104</f>
        <v>12.7365954132771</v>
      </c>
      <c r="AC154" s="116" t="n">
        <f aca="false">AC104</f>
        <v>12.9638391502206</v>
      </c>
      <c r="AD154" s="116" t="n">
        <f aca="false">AD104</f>
        <v>13.1912127203293</v>
      </c>
      <c r="AE154" s="116" t="n">
        <f aca="false">AE104</f>
        <v>13.4191856769517</v>
      </c>
      <c r="AF154" s="116" t="n">
        <f aca="false">AF104</f>
        <v>13.6482314786907</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89.3239159395288</v>
      </c>
      <c r="L155" s="116" t="n">
        <f aca="false">L70+L121-L227</f>
        <v>98.1093069913369</v>
      </c>
      <c r="M155" s="116" t="n">
        <f aca="false">M70+M121-M227</f>
        <v>104.007155099332</v>
      </c>
      <c r="N155" s="116" t="n">
        <f aca="false">N70+N121-N227</f>
        <v>110.037193172532</v>
      </c>
      <c r="O155" s="116" t="n">
        <f aca="false">O70+O121-O227</f>
        <v>116.203561717018</v>
      </c>
      <c r="P155" s="116" t="n">
        <f aca="false">P70+P121-P227</f>
        <v>122.320127093209</v>
      </c>
      <c r="Q155" s="116" t="n">
        <f aca="false">Q70+Q121-Q227</f>
        <v>128.377070634612</v>
      </c>
      <c r="R155" s="116" t="n">
        <f aca="false">R70+R121-R227</f>
        <v>134.386208791589</v>
      </c>
      <c r="S155" s="116" t="n">
        <f aca="false">S70+S121-S227</f>
        <v>140.352178086089</v>
      </c>
      <c r="T155" s="116" t="n">
        <f aca="false">T70+T121-T227</f>
        <v>146.292137983011</v>
      </c>
      <c r="U155" s="116" t="n">
        <f aca="false">U70+U121-U227</f>
        <v>152.223073207916</v>
      </c>
      <c r="V155" s="116" t="n">
        <f aca="false">V70+V121-V227</f>
        <v>158.161814561102</v>
      </c>
      <c r="W155" s="116" t="n">
        <f aca="false">W70+W121-W227</f>
        <v>164.125242408822</v>
      </c>
      <c r="X155" s="116" t="n">
        <f aca="false">X70+X121-X227</f>
        <v>170.130233740439</v>
      </c>
      <c r="Y155" s="116" t="n">
        <f aca="false">Y70+Y121-Y227</f>
        <v>176.193632092657</v>
      </c>
      <c r="Z155" s="116" t="n">
        <f aca="false">Z70+Z121-Z227</f>
        <v>182.332269615535</v>
      </c>
      <c r="AA155" s="116" t="n">
        <f aca="false">AA70+AA121-AA227</f>
        <v>188.562984776782</v>
      </c>
      <c r="AB155" s="116" t="n">
        <f aca="false">AB70+AB121-AB227</f>
        <v>194.902646267201</v>
      </c>
      <c r="AC155" s="116" t="n">
        <f aca="false">AC70+AC121-AC227</f>
        <v>201.368177753798</v>
      </c>
      <c r="AD155" s="116" t="n">
        <f aca="false">AD70+AD121-AD227</f>
        <v>207.976583026391</v>
      </c>
      <c r="AE155" s="116" t="n">
        <f aca="false">AE70+AE121-AE227</f>
        <v>214.744970433734</v>
      </c>
      <c r="AF155" s="116" t="n">
        <f aca="false">AF70+AF121-AF227</f>
        <v>221.690576752758</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79.95545280556</v>
      </c>
      <c r="E156" s="136" t="n">
        <f aca="false">SUM(E152:E155)+E187</f>
        <v>120.991004323071</v>
      </c>
      <c r="F156" s="136" t="n">
        <f aca="false">SUM(F152:F155)+F187</f>
        <v>209.017221261074</v>
      </c>
      <c r="G156" s="136" t="n">
        <f aca="false">SUM(G152:G155)+G187</f>
        <v>251.029805243165</v>
      </c>
      <c r="H156" s="136" t="n">
        <f aca="false">SUM(H152:H155)+H187</f>
        <v>286.734520809523</v>
      </c>
      <c r="I156" s="136" t="n">
        <f aca="false">SUM(I152:I155)+I187</f>
        <v>324.582149440378</v>
      </c>
      <c r="J156" s="136" t="n">
        <f aca="false">SUM(J152:J155)+J187</f>
        <v>364.158038396588</v>
      </c>
      <c r="K156" s="136" t="n">
        <f aca="false">SUM(K152:K155)+K187</f>
        <v>405.513251389247</v>
      </c>
      <c r="L156" s="136" t="n">
        <f aca="false">SUM(L152:L155)+L187</f>
        <v>448.702200436235</v>
      </c>
      <c r="M156" s="136" t="n">
        <f aca="false">SUM(M152:M155)+M187</f>
        <v>469.810278066891</v>
      </c>
      <c r="N156" s="136" t="n">
        <f aca="false">SUM(N152:N155)+N187</f>
        <v>482.580647384242</v>
      </c>
      <c r="O156" s="136" t="n">
        <f aca="false">SUM(O152:O155)+O187</f>
        <v>495.915001998699</v>
      </c>
      <c r="P156" s="136" t="n">
        <f aca="false">SUM(P152:P155)+P187</f>
        <v>508.578879326897</v>
      </c>
      <c r="Q156" s="136" t="n">
        <f aca="false">SUM(Q152:Q155)+Q187</f>
        <v>521.146894305779</v>
      </c>
      <c r="R156" s="136" t="n">
        <f aca="false">SUM(R152:R155)+R187</f>
        <v>533.437374859682</v>
      </c>
      <c r="S156" s="136" t="n">
        <f aca="false">SUM(S152:S155)+S187</f>
        <v>545.830746050124</v>
      </c>
      <c r="T156" s="136" t="n">
        <f aca="false">SUM(T152:T155)+T187</f>
        <v>558.347809878683</v>
      </c>
      <c r="U156" s="136" t="n">
        <f aca="false">SUM(U152:U155)+U187</f>
        <v>571.00915151308</v>
      </c>
      <c r="V156" s="136" t="n">
        <f aca="false">SUM(V152:V155)+V187</f>
        <v>583.835248817378</v>
      </c>
      <c r="W156" s="136" t="n">
        <f aca="false">SUM(W152:W155)+W187</f>
        <v>596.84547569424</v>
      </c>
      <c r="X156" s="136" t="n">
        <f aca="false">SUM(X152:X155)+X187</f>
        <v>610.061066259678</v>
      </c>
      <c r="Y156" s="136" t="n">
        <f aca="false">SUM(Y152:Y155)+Y187</f>
        <v>623.50306622203</v>
      </c>
      <c r="Z156" s="136" t="n">
        <f aca="false">SUM(Z152:Z155)+Z187</f>
        <v>637.192276613519</v>
      </c>
      <c r="AA156" s="136" t="n">
        <f aca="false">SUM(AA152:AA155)+AA187</f>
        <v>651.14959721137</v>
      </c>
      <c r="AB156" s="136" t="n">
        <f aca="false">SUM(AB152:AB155)+AB187</f>
        <v>665.396079148528</v>
      </c>
      <c r="AC156" s="136" t="n">
        <f aca="false">SUM(AC152:AC155)+AC187</f>
        <v>679.952912805427</v>
      </c>
      <c r="AD156" s="136" t="n">
        <f aca="false">SUM(AD152:AD155)+AD187</f>
        <v>694.841460769682</v>
      </c>
      <c r="AE156" s="136" t="n">
        <f aca="false">SUM(AE152:AE155)+AE187</f>
        <v>710.083291805803</v>
      </c>
      <c r="AF156" s="136" t="n">
        <f aca="false">SUM(AF152:AF155)+AF187</f>
        <v>725.700207150002</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336.880656775944</v>
      </c>
      <c r="L157" s="116" t="n">
        <f aca="false">L69+L80+L121</f>
        <v>351.261170508469</v>
      </c>
      <c r="M157" s="116" t="n">
        <f aca="false">M69+M80+M121</f>
        <v>365.044536095607</v>
      </c>
      <c r="N157" s="116" t="n">
        <f aca="false">N69+N80+N121</f>
        <v>377.904175166834</v>
      </c>
      <c r="O157" s="116" t="n">
        <f aca="false">O69+O80+O121</f>
        <v>390.020760532206</v>
      </c>
      <c r="P157" s="116" t="n">
        <f aca="false">P69+P80+P121</f>
        <v>399.428231716992</v>
      </c>
      <c r="Q157" s="116" t="n">
        <f aca="false">Q69+Q80+Q121</f>
        <v>408.902003294476</v>
      </c>
      <c r="R157" s="116" t="n">
        <f aca="false">R69+R80+R121</f>
        <v>418.360188304488</v>
      </c>
      <c r="S157" s="116" t="n">
        <f aca="false">S69+S80+S121</f>
        <v>427.804574341124</v>
      </c>
      <c r="T157" s="116" t="n">
        <f aca="false">T69+T80+T121</f>
        <v>437.249556466702</v>
      </c>
      <c r="U157" s="116" t="n">
        <f aca="false">U69+U80+U121</f>
        <v>446.709439919221</v>
      </c>
      <c r="V157" s="116" t="n">
        <f aca="false">V69+V80+V121</f>
        <v>456.198461383136</v>
      </c>
      <c r="W157" s="116" t="n">
        <f aca="false">W69+W80+W121</f>
        <v>465.59213603978</v>
      </c>
      <c r="X157" s="116" t="n">
        <f aca="false">X69+X80+X121</f>
        <v>474.905508427456</v>
      </c>
      <c r="Y157" s="116" t="n">
        <f aca="false">Y69+Y80+Y121</f>
        <v>484.153688350835</v>
      </c>
      <c r="Z157" s="116" t="n">
        <f aca="false">Z69+Z80+Z121</f>
        <v>493.351873921961</v>
      </c>
      <c r="AA157" s="116" t="n">
        <f aca="false">AA69+AA80+AA121</f>
        <v>502.515370304058</v>
      </c>
      <c r="AB157" s="116" t="n">
        <f aca="false">AB69+AB80+AB121</f>
        <v>511.662649951062</v>
      </c>
      <c r="AC157" s="116" t="n">
        <f aca="false">AC69+AC80+AC121</f>
        <v>520.81229118618</v>
      </c>
      <c r="AD157" s="116" t="n">
        <f aca="false">AD69+AD80+AD121</f>
        <v>529.983003400775</v>
      </c>
      <c r="AE157" s="116" t="n">
        <f aca="false">AE69+AE80+AE121</f>
        <v>539.193651578512</v>
      </c>
      <c r="AF157" s="116" t="n">
        <f aca="false">AF69+AF80+AF121</f>
        <v>548.46328028679</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187.652339662692</v>
      </c>
      <c r="M159" s="116" t="n">
        <f aca="false">M72</f>
        <v>201.492878723063</v>
      </c>
      <c r="N159" s="116" t="n">
        <f aca="false">N72</f>
        <v>206.829277243367</v>
      </c>
      <c r="O159" s="116" t="n">
        <f aca="false">O72</f>
        <v>212.558232271394</v>
      </c>
      <c r="P159" s="116" t="n">
        <f aca="false">P72</f>
        <v>217.630537405409</v>
      </c>
      <c r="Q159" s="116" t="n">
        <f aca="false">Q72</f>
        <v>222.629726854445</v>
      </c>
      <c r="R159" s="116" t="n">
        <f aca="false">R72</f>
        <v>227.748809972758</v>
      </c>
      <c r="S159" s="116" t="n">
        <f aca="false">S72</f>
        <v>232.98489610812</v>
      </c>
      <c r="T159" s="116" t="n">
        <f aca="false">T72</f>
        <v>238.340901385162</v>
      </c>
      <c r="U159" s="116" t="n">
        <f aca="false">U72</f>
        <v>243.819681673695</v>
      </c>
      <c r="V159" s="116" t="n">
        <f aca="false">V72</f>
        <v>249.424120850822</v>
      </c>
      <c r="W159" s="116" t="n">
        <f aca="false">W72</f>
        <v>255.155930186632</v>
      </c>
      <c r="X159" s="116" t="n">
        <f aca="false">X72</f>
        <v>261.018664984786</v>
      </c>
      <c r="Y159" s="116" t="n">
        <f aca="false">Y72</f>
        <v>267.015705548363</v>
      </c>
      <c r="Z159" s="116" t="n">
        <f aca="false">Z72</f>
        <v>273.150178344251</v>
      </c>
      <c r="AA159" s="116" t="n">
        <f aca="false">AA72</f>
        <v>279.425281206316</v>
      </c>
      <c r="AB159" s="116" t="n">
        <f aca="false">AB72</f>
        <v>285.844311514151</v>
      </c>
      <c r="AC159" s="116" t="n">
        <f aca="false">AC72</f>
        <v>292.410628792077</v>
      </c>
      <c r="AD159" s="116" t="n">
        <f aca="false">AD72</f>
        <v>299.127661969053</v>
      </c>
      <c r="AE159" s="116" t="n">
        <f aca="false">AE72</f>
        <v>305.998918345278</v>
      </c>
      <c r="AF159" s="116" t="n">
        <f aca="false">AF72</f>
        <v>313.027985436587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507.964694653947</v>
      </c>
      <c r="L160" s="136" t="n">
        <f aca="false">SUM(L157:L159)</f>
        <v>538.913510171161</v>
      </c>
      <c r="M160" s="136" t="n">
        <f aca="false">SUM(M157:M159)</f>
        <v>566.53741481867</v>
      </c>
      <c r="N160" s="136" t="n">
        <f aca="false">SUM(N157:N159)</f>
        <v>584.733452410201</v>
      </c>
      <c r="O160" s="136" t="n">
        <f aca="false">SUM(O157:O159)</f>
        <v>602.578992803601</v>
      </c>
      <c r="P160" s="136" t="n">
        <f aca="false">SUM(P157:P159)</f>
        <v>617.058769122401</v>
      </c>
      <c r="Q160" s="136" t="n">
        <f aca="false">SUM(Q157:Q159)</f>
        <v>631.531730148921</v>
      </c>
      <c r="R160" s="136" t="n">
        <f aca="false">SUM(R157:R159)</f>
        <v>646.108998277246</v>
      </c>
      <c r="S160" s="136" t="n">
        <f aca="false">SUM(S157:S159)</f>
        <v>660.789470449243</v>
      </c>
      <c r="T160" s="136" t="n">
        <f aca="false">SUM(T157:T159)</f>
        <v>675.590457851864</v>
      </c>
      <c r="U160" s="136" t="n">
        <f aca="false">SUM(U157:U159)</f>
        <v>690.529121592916</v>
      </c>
      <c r="V160" s="136" t="n">
        <f aca="false">SUM(V157:V159)</f>
        <v>705.622582233958</v>
      </c>
      <c r="W160" s="136" t="n">
        <f aca="false">SUM(W157:W159)</f>
        <v>720.748066226412</v>
      </c>
      <c r="X160" s="136" t="n">
        <f aca="false">SUM(X157:X159)</f>
        <v>735.924173412241</v>
      </c>
      <c r="Y160" s="136" t="n">
        <f aca="false">SUM(Y157:Y159)</f>
        <v>751.169393899197</v>
      </c>
      <c r="Z160" s="136" t="n">
        <f aca="false">SUM(Z157:Z159)</f>
        <v>766.502052266213</v>
      </c>
      <c r="AA160" s="136" t="n">
        <f aca="false">SUM(AA157:AA159)</f>
        <v>781.940651510374</v>
      </c>
      <c r="AB160" s="136" t="n">
        <f aca="false">SUM(AB157:AB159)</f>
        <v>797.506961465212</v>
      </c>
      <c r="AC160" s="136" t="n">
        <f aca="false">SUM(AC157:AC159)</f>
        <v>813.222919978257</v>
      </c>
      <c r="AD160" s="136" t="n">
        <f aca="false">SUM(AD157:AD159)</f>
        <v>829.110665369828</v>
      </c>
      <c r="AE160" s="136" t="n">
        <f aca="false">SUM(AE157:AE159)</f>
        <v>845.19256992379</v>
      </c>
      <c r="AF160" s="136" t="n">
        <f aca="false">SUM(AF157:AF159)</f>
        <v>861.491265723377</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-58.2803884221606</v>
      </c>
      <c r="E161" s="138" t="n">
        <f aca="false">E156-E160</f>
        <v>-72.8220340547052</v>
      </c>
      <c r="F161" s="138" t="n">
        <f aca="false">F156-F160</f>
        <v>-150.53882087251</v>
      </c>
      <c r="G161" s="138" t="n">
        <f aca="false">G156-G160</f>
        <v>-143.453546630034</v>
      </c>
      <c r="H161" s="138" t="n">
        <f aca="false">H156-H160</f>
        <v>-135.14560929965</v>
      </c>
      <c r="I161" s="138" t="n">
        <f aca="false">I156-I160</f>
        <v>-125.563981380522</v>
      </c>
      <c r="J161" s="138" t="n">
        <f aca="false">J156-J160</f>
        <v>-114.652485747762</v>
      </c>
      <c r="K161" s="138" t="n">
        <f aca="false">K156-K160</f>
        <v>-102.4514432647</v>
      </c>
      <c r="L161" s="138" t="n">
        <f aca="false">L156-L160</f>
        <v>-90.2113097349264</v>
      </c>
      <c r="M161" s="138" t="n">
        <f aca="false">M156-M160</f>
        <v>-96.7271367517795</v>
      </c>
      <c r="N161" s="138" t="n">
        <f aca="false">N156-N160</f>
        <v>-102.152805025959</v>
      </c>
      <c r="O161" s="138" t="n">
        <f aca="false">O156-O160</f>
        <v>-106.663990804902</v>
      </c>
      <c r="P161" s="138" t="n">
        <f aca="false">P156-P160</f>
        <v>-108.479889795504</v>
      </c>
      <c r="Q161" s="138" t="n">
        <f aca="false">Q156-Q160</f>
        <v>-110.384835843142</v>
      </c>
      <c r="R161" s="138" t="n">
        <f aca="false">R156-R160</f>
        <v>-112.671623417564</v>
      </c>
      <c r="S161" s="138" t="n">
        <f aca="false">S156-S160</f>
        <v>-114.95872439912</v>
      </c>
      <c r="T161" s="138" t="n">
        <f aca="false">T156-T160</f>
        <v>-117.242647973181</v>
      </c>
      <c r="U161" s="138" t="n">
        <f aca="false">U156-U160</f>
        <v>-119.519970079836</v>
      </c>
      <c r="V161" s="138" t="n">
        <f aca="false">V156-V160</f>
        <v>-121.78733341658</v>
      </c>
      <c r="W161" s="138" t="n">
        <f aca="false">W156-W160</f>
        <v>-123.902590532172</v>
      </c>
      <c r="X161" s="138" t="n">
        <f aca="false">X156-X160</f>
        <v>-125.863107152564</v>
      </c>
      <c r="Y161" s="138" t="n">
        <f aca="false">Y156-Y160</f>
        <v>-127.666327677167</v>
      </c>
      <c r="Z161" s="138" t="n">
        <f aca="false">Z156-Z160</f>
        <v>-129.309775652694</v>
      </c>
      <c r="AA161" s="138" t="n">
        <f aca="false">AA156-AA160</f>
        <v>-130.791054299003</v>
      </c>
      <c r="AB161" s="138" t="n">
        <f aca="false">AB156-AB160</f>
        <v>-132.110882316685</v>
      </c>
      <c r="AC161" s="138" t="n">
        <f aca="false">AC156-AC160</f>
        <v>-133.27000717283</v>
      </c>
      <c r="AD161" s="138" t="n">
        <f aca="false">AD156-AD160</f>
        <v>-134.269204600146</v>
      </c>
      <c r="AE161" s="138" t="n">
        <f aca="false">AE156-AE160</f>
        <v>-135.109278117987</v>
      </c>
      <c r="AF161" s="138" t="n">
        <f aca="false">AF156-AF160</f>
        <v>-135.791058573375</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-58.2803884221606</v>
      </c>
      <c r="E163" s="116" t="n">
        <f aca="false">D163+E53+E56+E58+E118+E119+E60+E113+E101-E115-E162</f>
        <v>-72.8220340547052</v>
      </c>
      <c r="F163" s="116" t="n">
        <f aca="false">E163+F53+F56+F58+F118+F119+F60+F113+F101-F115-F162</f>
        <v>-150.53882087251</v>
      </c>
      <c r="G163" s="116" t="n">
        <f aca="false">F163+G53+G56+G58+G118+G119+G60+G113+G101-G115-G162</f>
        <v>-143.453546630034</v>
      </c>
      <c r="H163" s="116" t="n">
        <f aca="false">G163+H53+H56+H58+H118+H119+H60+H113+H101-H115-H162</f>
        <v>-135.14560929965</v>
      </c>
      <c r="I163" s="116" t="n">
        <f aca="false">H163+I53+I56+I58+I118+I119+I60+I113+I101-I115-I162</f>
        <v>-125.563981380522</v>
      </c>
      <c r="J163" s="116" t="n">
        <f aca="false">I163+J53+J56+J58+J118+J119+J60+J113+J101-J115-J162</f>
        <v>-114.652485747762</v>
      </c>
      <c r="K163" s="116" t="n">
        <f aca="false">J163+K53+K56+K58+K118+K119+K60+K113+K101-K115-K162</f>
        <v>-102.4514432647</v>
      </c>
      <c r="L163" s="116" t="n">
        <f aca="false">K163+L53+L56+L58+L118+L119+L60+L113+L101-L115-L162</f>
        <v>-90.2113097349265</v>
      </c>
      <c r="M163" s="116" t="n">
        <f aca="false">L163+M53+M56+M58+M118+M119+M60+M113+M101-M115-M162</f>
        <v>-96.7271367517796</v>
      </c>
      <c r="N163" s="116" t="n">
        <f aca="false">M163+N53+N56+N58+N118+N119+N60+N113+N101-N115-N162</f>
        <v>-102.152805025959</v>
      </c>
      <c r="O163" s="116" t="n">
        <f aca="false">N163+O53+O56+O58+O118+O119+O60+O113+O101-O115-O162</f>
        <v>-106.663990804902</v>
      </c>
      <c r="P163" s="116" t="n">
        <f aca="false">O163+P53+P56+P58+P118+P119+P60+P113+P101-P115-P162</f>
        <v>-108.479889795505</v>
      </c>
      <c r="Q163" s="116" t="n">
        <f aca="false">P163+Q53+Q56+Q58+Q118+Q119+Q60+Q113+Q101-Q115-Q162</f>
        <v>-110.384835843142</v>
      </c>
      <c r="R163" s="116" t="n">
        <f aca="false">Q163+R53+R56+R58+R118+R119+R60+R113+R101-R115-R162</f>
        <v>-112.671623417564</v>
      </c>
      <c r="S163" s="116" t="n">
        <f aca="false">R163+S53+S56+S58+S118+S119+S60+S113+S101-S115-S162</f>
        <v>-114.95872439912</v>
      </c>
      <c r="T163" s="116" t="n">
        <f aca="false">S163+T53+T56+T58+T118+T119+T60+T113+T101-T115-T162</f>
        <v>-117.242647973181</v>
      </c>
      <c r="U163" s="116" t="n">
        <f aca="false">T163+U53+U56+U58+U118+U119+U60+U113+U101-U115-U162</f>
        <v>-119.519970079836</v>
      </c>
      <c r="V163" s="116" t="n">
        <f aca="false">U163+V53+V56+V58+V118+V119+V60+V113+V101-V115-V162</f>
        <v>-121.78733341658</v>
      </c>
      <c r="W163" s="116" t="n">
        <f aca="false">V163+W53+W56+W58+W118+W119+W60+W113+W101-W115-W162</f>
        <v>-123.902590532172</v>
      </c>
      <c r="X163" s="116" t="n">
        <f aca="false">W163+X53+X56+X58+X118+X119+X60+X113+X101-X115-X162</f>
        <v>-125.863107152564</v>
      </c>
      <c r="Y163" s="116" t="n">
        <f aca="false">X163+Y53+Y56+Y58+Y118+Y119+Y60+Y113+Y101-Y115-Y162</f>
        <v>-127.666327677167</v>
      </c>
      <c r="Z163" s="116" t="n">
        <f aca="false">Y163+Z53+Z56+Z58+Z118+Z119+Z60+Z113+Z101-Z115-Z162</f>
        <v>-129.309775652694</v>
      </c>
      <c r="AA163" s="116" t="n">
        <f aca="false">Z163+AA53+AA56+AA58+AA118+AA119+AA60+AA113+AA101-AA115-AA162</f>
        <v>-130.791054299003</v>
      </c>
      <c r="AB163" s="116" t="n">
        <f aca="false">AA163+AB53+AB56+AB58+AB118+AB119+AB60+AB113+AB101-AB115-AB162</f>
        <v>-132.110882316685</v>
      </c>
      <c r="AC163" s="116" t="n">
        <f aca="false">AB163+AC53+AC56+AC58+AC118+AC119+AC60+AC113+AC101-AC115-AC162</f>
        <v>-133.27000717283</v>
      </c>
      <c r="AD163" s="116" t="n">
        <f aca="false">AC163+AD53+AD56+AD58+AD118+AD119+AD60+AD113+AD101-AD115-AD162</f>
        <v>-134.269204600146</v>
      </c>
      <c r="AE163" s="116" t="n">
        <f aca="false">AD163+AE53+AE56+AE58+AE118+AE119+AE60+AE113+AE101-AE115-AE162</f>
        <v>-135.109278117987</v>
      </c>
      <c r="AF163" s="116" t="n">
        <f aca="false">AE163+AF53+AF56+AF58+AF118+AF119+AF60+AF113+AF101-AF115-AF162</f>
        <v>-135.791058573375</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-78.2974655252644</v>
      </c>
      <c r="G192" s="142" t="n">
        <f aca="false">G149-SUM($C$191:G191)</f>
        <v>-98.8761867754437</v>
      </c>
      <c r="H192" s="142" t="n">
        <f aca="false">H149-SUM($C$191:H191)</f>
        <v>-120.039439173941</v>
      </c>
      <c r="I192" s="142" t="n">
        <f aca="false">I149-SUM($C$191:I191)</f>
        <v>-141.785142462569</v>
      </c>
      <c r="J192" s="142" t="n">
        <f aca="false">J149-SUM($C$191:J191)</f>
        <v>-164.11135338935</v>
      </c>
      <c r="K192" s="142" t="n">
        <f aca="false">K149-SUM($C$191:K191)</f>
        <v>-187.01625689814</v>
      </c>
      <c r="L192" s="142" t="n">
        <f aca="false">L149-SUM($C$191:L191)</f>
        <v>-210.498287846794</v>
      </c>
      <c r="M192" s="142" t="n">
        <f aca="false">M149-SUM($C$191:M191)</f>
        <v>-213.822705546442</v>
      </c>
      <c r="N192" s="142" t="n">
        <f aca="false">N149-SUM($C$191:N191)</f>
        <v>-217.092609715901</v>
      </c>
      <c r="O192" s="142" t="n">
        <f aca="false">O149-SUM($C$191:O191)</f>
        <v>-220.385901376142</v>
      </c>
      <c r="P192" s="142" t="n">
        <f aca="false">P149-SUM($C$191:P191)</f>
        <v>-223.680125953606</v>
      </c>
      <c r="Q192" s="142" t="n">
        <f aca="false">Q149-SUM($C$191:Q191)</f>
        <v>-226.977306785462</v>
      </c>
      <c r="R192" s="142" t="n">
        <f aca="false">R149-SUM($C$191:R191)</f>
        <v>-229.892335411703</v>
      </c>
      <c r="S192" s="142" t="n">
        <f aca="false">S149-SUM($C$191:S191)</f>
        <v>-232.80520633698</v>
      </c>
      <c r="T192" s="142" t="n">
        <f aca="false">T149-SUM($C$191:T191)</f>
        <v>-235.71788453112</v>
      </c>
      <c r="U192" s="142" t="n">
        <f aca="false">U149-SUM($C$191:U191)</f>
        <v>-238.632292633511</v>
      </c>
      <c r="V192" s="142" t="n">
        <f aca="false">V149-SUM($C$191:V191)</f>
        <v>-241.550315011733</v>
      </c>
      <c r="W192" s="142" t="n">
        <f aca="false">W149-SUM($C$191:W191)</f>
        <v>-244.473666204434</v>
      </c>
      <c r="X192" s="142" t="n">
        <f aca="false">X149-SUM($C$191:X191)</f>
        <v>-247.404030674477</v>
      </c>
      <c r="Y192" s="142" t="n">
        <f aca="false">Y149-SUM($C$191:Y191)</f>
        <v>-250.343066343587</v>
      </c>
      <c r="Z192" s="142" t="n">
        <f aca="false">Z149-SUM($C$191:Z191)</f>
        <v>-253.292407894529</v>
      </c>
      <c r="AA192" s="142" t="n">
        <f aca="false">AA149-SUM($C$191:AA191)</f>
        <v>-256.253669905416</v>
      </c>
      <c r="AB192" s="142" t="n">
        <f aca="false">AB149-SUM($C$191:AB191)</f>
        <v>-259.228452784141</v>
      </c>
      <c r="AC192" s="142" t="n">
        <f aca="false">AC149-SUM($C$191:AC191)</f>
        <v>-262.218345551541</v>
      </c>
      <c r="AD192" s="142" t="n">
        <f aca="false">AD149-SUM($C$191:AD191)</f>
        <v>-265.224928494448</v>
      </c>
      <c r="AE192" s="142" t="n">
        <f aca="false">AE149-SUM($C$191:AE191)</f>
        <v>-268.249775699596</v>
      </c>
      <c r="AF192" s="142" t="n">
        <f aca="false">AF149-SUM($C$191:AF191)</f>
        <v>-271.294457477601</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4.25" hidden="false" customHeight="true" outlineLevel="0" collapsed="false">
      <c r="B196" s="7" t="s">
        <v>1394</v>
      </c>
    </row>
    <row r="197" customFormat="false" ht="14.25" hidden="false" customHeight="true" outlineLevel="0" collapsed="false">
      <c r="B197" s="103" t="s">
        <v>1395</v>
      </c>
      <c r="C197" s="150" t="n">
        <v>0.25</v>
      </c>
    </row>
    <row r="198" customFormat="false" ht="14.25" hidden="false" customHeight="true" outlineLevel="0" collapsed="false">
      <c r="B198" s="103" t="s">
        <v>1396</v>
      </c>
      <c r="C198" s="153" t="n">
        <v>16</v>
      </c>
    </row>
    <row r="199" customFormat="false" ht="14.25" hidden="false" customHeight="true" outlineLevel="0" collapsed="false">
      <c r="B199" s="83" t="s">
        <v>1397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0.349799156025208</v>
      </c>
      <c r="M221" s="116" t="n">
        <f aca="false">M112</f>
        <v>0.362419591755768</v>
      </c>
      <c r="N221" s="116" t="n">
        <f aca="false">N112</f>
        <v>0.375198431879403</v>
      </c>
      <c r="O221" s="116" t="n">
        <f aca="false">O112</f>
        <v>0.387230929756743</v>
      </c>
      <c r="P221" s="116" t="n">
        <f aca="false">P112</f>
        <v>0.396741314701046</v>
      </c>
      <c r="Q221" s="116" t="n">
        <f aca="false">Q112</f>
        <v>0.406328702290529</v>
      </c>
      <c r="R221" s="116" t="n">
        <f aca="false">R112</f>
        <v>0.415889586770488</v>
      </c>
      <c r="S221" s="116" t="n">
        <f aca="false">S112</f>
        <v>0.425432952338897</v>
      </c>
      <c r="T221" s="116" t="n">
        <f aca="false">T112</f>
        <v>0.434960688152874</v>
      </c>
      <c r="U221" s="116" t="n">
        <f aca="false">U112</f>
        <v>0.444487291599169</v>
      </c>
      <c r="V221" s="116" t="n">
        <f aca="false">V112</f>
        <v>0.454027171078251</v>
      </c>
      <c r="W221" s="116" t="n">
        <f aca="false">W112</f>
        <v>0.463455810387561</v>
      </c>
      <c r="X221" s="116" t="n">
        <f aca="false">X112</f>
        <v>0.472788276025911</v>
      </c>
      <c r="Y221" s="116" t="n">
        <f aca="false">Y112</f>
        <v>0.482039730246399</v>
      </c>
      <c r="Z221" s="116" t="n">
        <f aca="false">Z112</f>
        <v>0.491225401966502</v>
      </c>
      <c r="AA221" s="116" t="n">
        <f aca="false">AA112</f>
        <v>0.500360609884832</v>
      </c>
      <c r="AB221" s="116" t="n">
        <f aca="false">AB112</f>
        <v>0.509463816531082</v>
      </c>
      <c r="AC221" s="116" t="n">
        <f aca="false">AC112</f>
        <v>0.518553566008823</v>
      </c>
      <c r="AD221" s="116" t="n">
        <f aca="false">AD112</f>
        <v>0.527648508813171</v>
      </c>
      <c r="AE221" s="116" t="n">
        <f aca="false">AE112</f>
        <v>0.536767427078068</v>
      </c>
      <c r="AF221" s="116" t="n">
        <f aca="false">AF112</f>
        <v>0.545929259147628</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7.39838392993862</v>
      </c>
      <c r="M222" s="87" t="n">
        <f aca="false">IF(M221&gt;0,M220/M221,0)</f>
        <v>7.53612816243275</v>
      </c>
      <c r="N222" s="87" t="n">
        <f aca="false">IF(N221&gt;0,N220/N221,0)</f>
        <v>7.48647671890607</v>
      </c>
      <c r="O222" s="87" t="n">
        <f aca="false">IF(O221&gt;0,O220/O221,0)</f>
        <v>7.31768765715383</v>
      </c>
      <c r="P222" s="87" t="n">
        <f aca="false">IF(P221&gt;0,P220/P221,0)</f>
        <v>6.68164678788126</v>
      </c>
      <c r="Q222" s="87" t="n">
        <f aca="false">IF(Q221&gt;0,Q220/Q221,0)</f>
        <v>6.10324038070963</v>
      </c>
      <c r="R222" s="87" t="n">
        <f aca="false">IF(R221&gt;0,R220/R221,0)</f>
        <v>5.57836547806344</v>
      </c>
      <c r="S222" s="87" t="n">
        <f aca="false">IF(S221&gt;0,S220/S221,0)</f>
        <v>5.10153558024717</v>
      </c>
      <c r="T222" s="87" t="n">
        <f aca="false">IF(T221&gt;0,T220/T221,0)</f>
        <v>4.6679809280795</v>
      </c>
      <c r="U222" s="87" t="n">
        <f aca="false">IF(U221&gt;0,U220/U221,0)</f>
        <v>4.27333329050371</v>
      </c>
      <c r="V222" s="87" t="n">
        <f aca="false">IF(V221&gt;0,V220/V221,0)</f>
        <v>3.91373400161447</v>
      </c>
      <c r="W222" s="87" t="n">
        <f aca="false">IF(W221&gt;0,W220/W221,0)</f>
        <v>3.5868387451771</v>
      </c>
      <c r="X222" s="87" t="n">
        <f aca="false">IF(X221&gt;0,X220/X221,0)</f>
        <v>3.28927754057896</v>
      </c>
      <c r="Y222" s="87" t="n">
        <f aca="false">IF(Y221&gt;0,Y220/Y221,0)</f>
        <v>3.0180846604817</v>
      </c>
      <c r="Z222" s="87" t="n">
        <f aca="false">IF(Z221&gt;0,Z220/Z221,0)</f>
        <v>2.77064236514483</v>
      </c>
      <c r="AA222" s="87" t="n">
        <f aca="false">IF(AA221&gt;0,AA220/AA221,0)</f>
        <v>2.54463331426053</v>
      </c>
      <c r="AB222" s="87" t="n">
        <f aca="false">IF(AB221&gt;0,AB220/AB221,0)</f>
        <v>2.33798656767908</v>
      </c>
      <c r="AC222" s="87" t="n">
        <f aca="false">IF(AC221&gt;0,AC220/AC221,0)</f>
        <v>2.14886318639638</v>
      </c>
      <c r="AD222" s="87" t="n">
        <f aca="false">IF(AD221&gt;0,AD220/AD221,0)</f>
        <v>1.9756258969518</v>
      </c>
      <c r="AE222" s="87" t="n">
        <f aca="false">IF(AE221&gt;0,AE220/AE221,0)</f>
        <v>1.81681332543506</v>
      </c>
      <c r="AF222" s="87" t="n">
        <f aca="false">IF(AF221&gt;0,AF220/AF221,0)</f>
        <v>1.67111802476258</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2.23814929861778</v>
      </c>
      <c r="M223" s="88" t="n">
        <f aca="false">M220-M221</f>
        <v>2.36882090029225</v>
      </c>
      <c r="N223" s="88" t="n">
        <f aca="false">N220-N221</f>
        <v>2.43371589335581</v>
      </c>
      <c r="O223" s="88" t="n">
        <f aca="false">O220-O221</f>
        <v>2.44640406539237</v>
      </c>
      <c r="P223" s="88" t="n">
        <f aca="false">P220-P221</f>
        <v>2.25414401629099</v>
      </c>
      <c r="Q223" s="88" t="n">
        <f aca="false">Q220-Q221</f>
        <v>2.07359304137037</v>
      </c>
      <c r="R223" s="88" t="n">
        <f aca="false">R220-R221</f>
        <v>1.90409452675607</v>
      </c>
      <c r="S223" s="88" t="n">
        <f aca="false">S220-S221</f>
        <v>1.74492839102759</v>
      </c>
      <c r="T223" s="88" t="n">
        <f aca="false">T220-T221</f>
        <v>1.59542750860908</v>
      </c>
      <c r="U223" s="88" t="n">
        <f aca="false">U220-U221</f>
        <v>1.45495504879739</v>
      </c>
      <c r="V223" s="88" t="n">
        <f aca="false">V220-V221</f>
        <v>1.32291440602753</v>
      </c>
      <c r="W223" s="88" t="n">
        <f aca="false">W220-W221</f>
        <v>1.198885446988</v>
      </c>
      <c r="X223" s="88" t="n">
        <f aca="false">X220-X221</f>
        <v>1.08234358175516</v>
      </c>
      <c r="Y223" s="88" t="n">
        <f aca="false">Y220-Y221</f>
        <v>0.972796985352993</v>
      </c>
      <c r="Z223" s="88" t="n">
        <f aca="false">Z220-Z221</f>
        <v>0.869784507557187</v>
      </c>
      <c r="AA223" s="88" t="n">
        <f aca="false">AA220-AA221</f>
        <v>0.772873667171828</v>
      </c>
      <c r="AB223" s="88" t="n">
        <f aca="false">AB220-AB221</f>
        <v>0.681655743237107</v>
      </c>
      <c r="AC223" s="88" t="n">
        <f aca="false">AC220-AC221</f>
        <v>0.595747102162103</v>
      </c>
      <c r="AD223" s="88" t="n">
        <f aca="false">AD220-AD221</f>
        <v>0.514787549686129</v>
      </c>
      <c r="AE223" s="88" t="n">
        <f aca="false">AE220-AE221</f>
        <v>0.438438787096856</v>
      </c>
      <c r="AF223" s="88" t="n">
        <f aca="false">AF220-AF221</f>
        <v>0.366382966059252</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0.0353755274227365</v>
      </c>
      <c r="F233" s="1" t="n">
        <f aca="false">IF(E81&gt;0,(F107+F109+F110+F184-F108-F229)/E81,0)</f>
        <v>0.046240631504257</v>
      </c>
      <c r="G233" s="1" t="n">
        <f aca="false">IF(F81&gt;0,(G107+G109+G110+G184-G108-G229)/F81,0)</f>
        <v>0.026948009554355</v>
      </c>
      <c r="H233" s="1" t="n">
        <f aca="false">IF(G81&gt;0,(H107+H109+H110+H184-H108-H229)/G81,0)</f>
        <v>0.0298571010358753</v>
      </c>
      <c r="I233" s="1" t="n">
        <f aca="false">IF(H81&gt;0,(I107+I109+I110+I184-I108-I229)/H81,0)</f>
        <v>0.0327590448602859</v>
      </c>
      <c r="J233" s="1" t="n">
        <f aca="false">IF(I81&gt;0,(J107+J109+J110+J184-J108-J229)/I81,0)</f>
        <v>0.0356649182099065</v>
      </c>
      <c r="K233" s="1" t="n">
        <f aca="false">IF(J81&gt;0,(K107+K109+K110+K184-K108-K229)/J81,0)</f>
        <v>0.0385284326396078</v>
      </c>
      <c r="L233" s="1" t="n">
        <f aca="false">IF(K81&gt;0,(L107+L109+L110+L184-L108-L229)/K81,0)</f>
        <v>0.0413558761980113</v>
      </c>
      <c r="M233" s="1" t="n">
        <f aca="false">IF(L81&gt;0,(M107+M109+M110+M184-M108-M229)/L81,0)</f>
        <v>0.043653601984696</v>
      </c>
      <c r="N233" s="1" t="n">
        <f aca="false">IF(M81&gt;0,(N107+N109+N110+N184-N108-N229)/M81,0)</f>
        <v>0.0430246685756301</v>
      </c>
      <c r="O233" s="1" t="n">
        <f aca="false">IF(N81&gt;0,(O107+O109+O110+O184-O108-O229)/N81,0)</f>
        <v>0.0425743590563347</v>
      </c>
      <c r="P233" s="1" t="n">
        <f aca="false">IF(O81&gt;0,(P107+P109+P110+P184-P108-P229)/O81,0)</f>
        <v>0.0422860112395598</v>
      </c>
      <c r="Q233" s="1" t="n">
        <f aca="false">IF(P81&gt;0,(Q107+Q109+Q110+Q184-Q108-Q229)/P81,0)</f>
        <v>0.042230876760939</v>
      </c>
      <c r="R233" s="1" t="n">
        <f aca="false">IF(Q81&gt;0,(R107+R109+R110+R184-R108-R229)/Q81,0)</f>
        <v>0.0421645317236719</v>
      </c>
      <c r="S233" s="1" t="n">
        <f aca="false">IF(R81&gt;0,(S107+S109+S110+S184-S108-S229)/R81,0)</f>
        <v>0.0420828848912004</v>
      </c>
      <c r="T233" s="1" t="n">
        <f aca="false">IF(S81&gt;0,(T107+T109+T110+T184-T108-T229)/S81,0)</f>
        <v>0.0420172408812999</v>
      </c>
      <c r="U233" s="1" t="n">
        <f aca="false">IF(T81&gt;0,(U107+U109+U110+U184-U108-U229)/T81,0)</f>
        <v>0.0419675914839104</v>
      </c>
      <c r="V233" s="1" t="n">
        <f aca="false">IF(U81&gt;0,(V107+V109+V110+V184-V108-V229)/U81,0)</f>
        <v>0.0419327071478779</v>
      </c>
      <c r="W233" s="1" t="n">
        <f aca="false">IF(V81&gt;0,(W107+W109+W110+W184-W108-W229)/V81,0)</f>
        <v>0.0419115395195171</v>
      </c>
      <c r="X233" s="1" t="n">
        <f aca="false">IF(W81&gt;0,(X107+X109+X110+X184-X108-X229)/W81,0)</f>
        <v>0.0419157998501938</v>
      </c>
      <c r="Y233" s="1" t="n">
        <f aca="false">IF(X81&gt;0,(Y107+Y109+Y110+Y184-Y108-Y229)/X81,0)</f>
        <v>0.0419437855690212</v>
      </c>
      <c r="Z233" s="1" t="n">
        <f aca="false">IF(Y81&gt;0,(Z107+Z109+Z110+Z184-Z108-Z229)/Y81,0)</f>
        <v>0.0419939321640797</v>
      </c>
      <c r="AA233" s="1" t="n">
        <f aca="false">IF(Z81&gt;0,(AA107+AA109+AA110+AA184-AA108-AA229)/Z81,0)</f>
        <v>0.0420647881412566</v>
      </c>
      <c r="AB233" s="1" t="n">
        <f aca="false">IF(AA81&gt;0,(AB107+AB109+AB110+AB184-AB108-AB229)/AA81,0)</f>
        <v>0.0421550161625004</v>
      </c>
      <c r="AC233" s="1" t="n">
        <f aca="false">IF(AB81&gt;0,(AC107+AC109+AC110+AC184-AC108-AC229)/AB81,0)</f>
        <v>0.0422631209506909</v>
      </c>
      <c r="AD233" s="1" t="n">
        <f aca="false">IF(AC81&gt;0,(AD107+AD109+AD110+AD184-AD108-AD229)/AC81,0)</f>
        <v>0.0423877068417957</v>
      </c>
      <c r="AE233" s="1" t="n">
        <f aca="false">IF(AD81&gt;0,(AE107+AE109+AE110+AE184-AE108-AE229)/AD81,0)</f>
        <v>0.0425274620570753</v>
      </c>
      <c r="AF233" s="1" t="n">
        <f aca="false">IF(AE81&gt;0,(AF107+AF109+AF110+AF184-AF108-AF229)/AE81,0)</f>
        <v>0.0426811455139993</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0.230355790038912</v>
      </c>
      <c r="F234" s="1" t="n">
        <f aca="false">(F232+E232)/2*F233</f>
        <v>0.558656712324482</v>
      </c>
      <c r="G234" s="1" t="n">
        <f aca="false">(G232+F232)/2*G233</f>
        <v>0.521466710721946</v>
      </c>
      <c r="H234" s="1" t="n">
        <f aca="false">(H232+G232)/2*H233</f>
        <v>0.780803624544456</v>
      </c>
      <c r="I234" s="1" t="n">
        <f aca="false">(I232+H232)/2*I233</f>
        <v>1.06510398583486</v>
      </c>
      <c r="J234" s="1" t="n">
        <f aca="false">(J232+I232)/2*J233</f>
        <v>1.37184770154413</v>
      </c>
      <c r="K234" s="1" t="n">
        <f aca="false">(K232+J232)/2*K233</f>
        <v>1.69651063438852</v>
      </c>
      <c r="L234" s="1" t="n">
        <f aca="false">(L232+K232)/2*L233</f>
        <v>2.03642110532199</v>
      </c>
      <c r="M234" s="1" t="n">
        <f aca="false">(M232+L232)/2*M233</f>
        <v>2.32201757160244</v>
      </c>
      <c r="N234" s="1" t="n">
        <f aca="false">(N232+M232)/2*N233</f>
        <v>2.38363324871292</v>
      </c>
      <c r="O234" s="1" t="n">
        <f aca="false">(O232+N232)/2*O233</f>
        <v>2.4022792075912</v>
      </c>
      <c r="P234" s="1" t="n">
        <f aca="false">(P232+O232)/2*P233</f>
        <v>2.31918488154799</v>
      </c>
      <c r="Q234" s="1" t="n">
        <f aca="false">(Q232+P232)/2*Q233</f>
        <v>2.16678481253822</v>
      </c>
      <c r="R234" s="1" t="n">
        <f aca="false">(R232+Q232)/2*R233</f>
        <v>2.02385782786019</v>
      </c>
      <c r="S234" s="1" t="n">
        <f aca="false">(S232+R232)/2*S233</f>
        <v>1.88966690984155</v>
      </c>
      <c r="T234" s="1" t="n">
        <f aca="false">(T232+S232)/2*T233</f>
        <v>1.76503905309586</v>
      </c>
      <c r="U234" s="1" t="n">
        <f aca="false">(U232+T232)/2*U233</f>
        <v>1.64925522584464</v>
      </c>
      <c r="V234" s="1" t="n">
        <f aca="false">(V232+U232)/2*V233</f>
        <v>1.54160730175794</v>
      </c>
      <c r="W234" s="1" t="n">
        <f aca="false">(W232+V232)/2*W233</f>
        <v>1.44145638436161</v>
      </c>
      <c r="X234" s="1" t="n">
        <f aca="false">(X232+W232)/2*X233</f>
        <v>1.34862959118285</v>
      </c>
      <c r="Y234" s="1" t="n">
        <f aca="false">(Y232+X232)/2*Y233</f>
        <v>1.26249476411363</v>
      </c>
      <c r="Z234" s="1" t="n">
        <f aca="false">(Z232+Y232)/2*Z233</f>
        <v>1.18248472159871</v>
      </c>
      <c r="AA234" s="1" t="n">
        <f aca="false">(AA232+Z232)/2*AA233</f>
        <v>1.10808923620839</v>
      </c>
      <c r="AB234" s="1" t="n">
        <f aca="false">(AB232+AA232)/2*AB233</f>
        <v>1.03884875821471</v>
      </c>
      <c r="AC234" s="1" t="n">
        <f aca="false">(AC232+AB232)/2*AC233</f>
        <v>0.974342539355603</v>
      </c>
      <c r="AD234" s="1" t="n">
        <f aca="false">(AD232+AC232)/2*AD233</f>
        <v>0.914191241050316</v>
      </c>
      <c r="AE234" s="1" t="n">
        <f aca="false">(AE232+AD232)/2*AE233</f>
        <v>0.858052051959043</v>
      </c>
      <c r="AF234" s="1" t="n">
        <f aca="false">(AF232+AE232)/2*AF233</f>
        <v>0.805614491716116</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0.188727116952576</v>
      </c>
      <c r="F236" s="1" t="n">
        <f aca="false">MAX(0,F234-F235)</f>
        <v>0.479470272348824</v>
      </c>
      <c r="G236" s="1" t="n">
        <f aca="false">MAX(0,G234-G235)</f>
        <v>0.407144717479139</v>
      </c>
      <c r="H236" s="1" t="n">
        <f aca="false">MAX(0,H234-H235)</f>
        <v>0.63361207579728</v>
      </c>
      <c r="I236" s="1" t="n">
        <f aca="false">MAX(0,I234-I235)</f>
        <v>0.887162738318464</v>
      </c>
      <c r="J236" s="1" t="n">
        <f aca="false">MAX(0,J234-J235)</f>
        <v>1.16513989604151</v>
      </c>
      <c r="K236" s="1" t="n">
        <f aca="false">MAX(0,K234-K235)</f>
        <v>1.46289151295447</v>
      </c>
      <c r="L236" s="1" t="n">
        <f aca="false">MAX(0,L234-L235)</f>
        <v>1.77762625985769</v>
      </c>
      <c r="M236" s="1" t="n">
        <f aca="false">MAX(0,M234-M235)</f>
        <v>2.04889352239763</v>
      </c>
      <c r="N236" s="1" t="n">
        <f aca="false">MAX(0,N234-N235)</f>
        <v>2.10274181618939</v>
      </c>
      <c r="O236" s="1" t="n">
        <f aca="false">MAX(0,O234-O235)</f>
        <v>2.11891570807629</v>
      </c>
      <c r="P236" s="1" t="n">
        <f aca="false">MAX(0,P234-P235)</f>
        <v>2.05409634844879</v>
      </c>
      <c r="Q236" s="1" t="n">
        <f aca="false">MAX(0,Q234-Q235)</f>
        <v>1.91879263817213</v>
      </c>
      <c r="R236" s="1" t="n">
        <f aca="false">MAX(0,R234-R235)</f>
        <v>1.79185941650754</v>
      </c>
      <c r="S236" s="1" t="n">
        <f aca="false">MAX(0,S234-S235)</f>
        <v>1.6726307755049</v>
      </c>
      <c r="T236" s="1" t="n">
        <f aca="false">MAX(0,T234-T235)</f>
        <v>1.56200023341966</v>
      </c>
      <c r="U236" s="1" t="n">
        <f aca="false">MAX(0,U234-U235)</f>
        <v>1.45931099180499</v>
      </c>
      <c r="V236" s="1" t="n">
        <f aca="false">MAX(0,V234-V235)</f>
        <v>1.36391314404736</v>
      </c>
      <c r="W236" s="1" t="n">
        <f aca="false">MAX(0,W234-W235)</f>
        <v>1.27522225862406</v>
      </c>
      <c r="X236" s="1" t="n">
        <f aca="false">MAX(0,X234-X235)</f>
        <v>1.19311640540474</v>
      </c>
      <c r="Y236" s="1" t="n">
        <f aca="false">MAX(0,Y234-Y235)</f>
        <v>1.11701109255369</v>
      </c>
      <c r="Z236" s="1" t="n">
        <f aca="false">MAX(0,Z234-Z235)</f>
        <v>1.04638373064634</v>
      </c>
      <c r="AA236" s="1" t="n">
        <f aca="false">MAX(0,AA234-AA235)</f>
        <v>0.980765808502726</v>
      </c>
      <c r="AB236" s="1" t="n">
        <f aca="false">MAX(0,AB234-AB235)</f>
        <v>0.919736802237896</v>
      </c>
      <c r="AC236" s="1" t="n">
        <f aca="false">MAX(0,AC234-AC235)</f>
        <v>0.86291247253851</v>
      </c>
      <c r="AD236" s="1" t="n">
        <f aca="false">MAX(0,AD234-AD235)</f>
        <v>0.809947635200386</v>
      </c>
      <c r="AE236" s="1" t="n">
        <f aca="false">MAX(0,AE234-AE235)</f>
        <v>0.76053143054155</v>
      </c>
      <c r="AF236" s="1" t="n">
        <f aca="false">MAX(0,AF234-AF235)</f>
        <v>0.714383269195428</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0.739838392993862</v>
      </c>
      <c r="M238" s="1" t="n">
        <f aca="false">IF(M112&gt;0,M235/M112,0)</f>
        <v>0.753612816243275</v>
      </c>
      <c r="N238" s="1" t="n">
        <f aca="false">IF(N112&gt;0,N235/N112,0)</f>
        <v>0.748647671890606</v>
      </c>
      <c r="O238" s="1" t="n">
        <f aca="false">IF(O112&gt;0,O235/O112,0)</f>
        <v>0.731768765715383</v>
      </c>
      <c r="P238" s="1" t="n">
        <f aca="false">IF(P112&gt;0,P235/P112,0)</f>
        <v>0.668164678788126</v>
      </c>
      <c r="Q238" s="1" t="n">
        <f aca="false">IF(Q112&gt;0,Q235/Q112,0)</f>
        <v>0.610324038070963</v>
      </c>
      <c r="R238" s="1" t="n">
        <f aca="false">IF(R112&gt;0,R235/R112,0)</f>
        <v>0.557836547806344</v>
      </c>
      <c r="S238" s="1" t="n">
        <f aca="false">IF(S112&gt;0,S235/S112,0)</f>
        <v>0.510153558024717</v>
      </c>
      <c r="T238" s="1" t="n">
        <f aca="false">IF(T112&gt;0,T235/T112,0)</f>
        <v>0.46679809280795</v>
      </c>
      <c r="U238" s="1" t="n">
        <f aca="false">IF(U112&gt;0,U235/U112,0)</f>
        <v>0.42733332905037</v>
      </c>
      <c r="V238" s="1" t="n">
        <f aca="false">IF(V112&gt;0,V235/V112,0)</f>
        <v>0.391373400161447</v>
      </c>
      <c r="W238" s="1" t="n">
        <f aca="false">IF(W112&gt;0,W235/W112,0)</f>
        <v>0.35868387451771</v>
      </c>
      <c r="X238" s="1" t="n">
        <f aca="false">IF(X112&gt;0,X235/X112,0)</f>
        <v>0.328927754057896</v>
      </c>
      <c r="Y238" s="1" t="n">
        <f aca="false">IF(Y112&gt;0,Y235/Y112,0)</f>
        <v>0.301808466048169</v>
      </c>
      <c r="Z238" s="1" t="n">
        <f aca="false">IF(Z112&gt;0,Z235/Z112,0)</f>
        <v>0.277064236514483</v>
      </c>
      <c r="AA238" s="1" t="n">
        <f aca="false">IF(AA112&gt;0,AA235/AA112,0)</f>
        <v>0.254463331426053</v>
      </c>
      <c r="AB238" s="1" t="n">
        <f aca="false">IF(AB112&gt;0,AB235/AB112,0)</f>
        <v>0.233798656767908</v>
      </c>
      <c r="AC238" s="1" t="n">
        <f aca="false">IF(AC112&gt;0,AC235/AC112,0)</f>
        <v>0.214886318639638</v>
      </c>
      <c r="AD238" s="1" t="n">
        <f aca="false">IF(AD112&gt;0,AD235/AD112,0)</f>
        <v>0.19756258969518</v>
      </c>
      <c r="AE238" s="1" t="n">
        <f aca="false">IF(AE112&gt;0,AE235/AE112,0)</f>
        <v>0.181681332543506</v>
      </c>
      <c r="AF238" s="1" t="n">
        <f aca="false">IF(AF112&gt;0,AF235/AF112,0)</f>
        <v>0.167111802476258</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0.188727116952576</v>
      </c>
      <c r="F243" s="1" t="n">
        <f aca="false">F236</f>
        <v>0.479470272348824</v>
      </c>
      <c r="G243" s="1" t="n">
        <f aca="false">G236</f>
        <v>0.407144717479139</v>
      </c>
      <c r="H243" s="1" t="n">
        <f aca="false">H236</f>
        <v>0.63361207579728</v>
      </c>
      <c r="I243" s="1" t="n">
        <f aca="false">I236</f>
        <v>0.887162738318464</v>
      </c>
      <c r="J243" s="1" t="n">
        <f aca="false">J236</f>
        <v>1.16513989604151</v>
      </c>
      <c r="K243" s="1" t="n">
        <f aca="false">K236</f>
        <v>1.46289151295447</v>
      </c>
      <c r="L243" s="1" t="n">
        <f aca="false">L236</f>
        <v>1.77762625985769</v>
      </c>
      <c r="M243" s="1" t="n">
        <f aca="false">M236</f>
        <v>2.04889352239763</v>
      </c>
      <c r="N243" s="1" t="n">
        <f aca="false">N236</f>
        <v>2.10274181618939</v>
      </c>
      <c r="O243" s="1" t="n">
        <f aca="false">O236</f>
        <v>2.11891570807629</v>
      </c>
      <c r="P243" s="1" t="n">
        <f aca="false">P236</f>
        <v>2.05409634844879</v>
      </c>
      <c r="Q243" s="1" t="n">
        <f aca="false">Q236</f>
        <v>1.91879263817213</v>
      </c>
      <c r="R243" s="1" t="n">
        <f aca="false">R236</f>
        <v>1.79185941650754</v>
      </c>
      <c r="S243" s="1" t="n">
        <f aca="false">S236</f>
        <v>1.6726307755049</v>
      </c>
      <c r="T243" s="1" t="n">
        <f aca="false">T236</f>
        <v>1.56200023341966</v>
      </c>
      <c r="U243" s="1" t="n">
        <f aca="false">U236</f>
        <v>1.45931099180499</v>
      </c>
      <c r="V243" s="1" t="n">
        <f aca="false">V236</f>
        <v>1.36391314404736</v>
      </c>
      <c r="W243" s="1" t="n">
        <f aca="false">W236</f>
        <v>1.27522225862406</v>
      </c>
      <c r="X243" s="1" t="n">
        <f aca="false">X236</f>
        <v>1.19311640540474</v>
      </c>
      <c r="Y243" s="1" t="n">
        <f aca="false">Y236</f>
        <v>1.11701109255369</v>
      </c>
      <c r="Z243" s="1" t="n">
        <f aca="false">Z236</f>
        <v>1.04638373064634</v>
      </c>
      <c r="AA243" s="1" t="n">
        <f aca="false">AA236</f>
        <v>0.980765808502726</v>
      </c>
      <c r="AB243" s="1" t="n">
        <f aca="false">AB236</f>
        <v>0.919736802237896</v>
      </c>
      <c r="AC243" s="1" t="n">
        <f aca="false">AC236</f>
        <v>0.86291247253851</v>
      </c>
      <c r="AD243" s="1" t="n">
        <f aca="false">AD236</f>
        <v>0.809947635200386</v>
      </c>
      <c r="AE243" s="1" t="n">
        <f aca="false">AE236</f>
        <v>0.76053143054155</v>
      </c>
      <c r="AF243" s="1" t="n">
        <f aca="false">AF236</f>
        <v>0.714383269195428</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0.283849755680774</v>
      </c>
      <c r="F247" s="1" t="n">
        <f aca="false">MAX(0,E248+F243-F244-F245-F246)</f>
        <v>0.763320028029599</v>
      </c>
      <c r="G247" s="1" t="n">
        <f aca="false">MAX(0,F248+G243-G244-G245-G246)</f>
        <v>1.17046474550874</v>
      </c>
      <c r="H247" s="1" t="n">
        <f aca="false">MAX(0,G248+H243-H244-H245-H246)</f>
        <v>1.80407682130602</v>
      </c>
      <c r="I247" s="1" t="n">
        <f aca="false">MAX(0,H248+I243-I244-I245-I246)</f>
        <v>2.69123955962448</v>
      </c>
      <c r="J247" s="1" t="n">
        <f aca="false">MAX(0,I248+J243-J244-J245-J246)</f>
        <v>3.85637945566599</v>
      </c>
      <c r="K247" s="1" t="n">
        <f aca="false">MAX(0,J248+K243-K244-K245-K246)</f>
        <v>5.31927096862046</v>
      </c>
      <c r="L247" s="1" t="n">
        <f aca="false">MAX(0,K248+L243-L244-L245-L246)</f>
        <v>7.09689722847815</v>
      </c>
      <c r="M247" s="1" t="n">
        <f aca="false">MAX(0,L248+M243-M244-M245-M246)</f>
        <v>9.14579075087578</v>
      </c>
      <c r="N247" s="1" t="n">
        <f aca="false">MAX(0,M248+N243-N244-N245-N246)</f>
        <v>11.2485325670652</v>
      </c>
      <c r="O247" s="1" t="n">
        <f aca="false">MAX(0,N248+O243-O244-O245-O246)</f>
        <v>13.3674482751415</v>
      </c>
      <c r="P247" s="1" t="n">
        <f aca="false">MAX(0,O248+P243-P244-P245-P246)</f>
        <v>15.4215446235902</v>
      </c>
      <c r="Q247" s="1" t="n">
        <f aca="false">MAX(0,P248+Q243-Q244-Q245-Q246)</f>
        <v>17.3403372617624</v>
      </c>
      <c r="R247" s="1" t="n">
        <f aca="false">MAX(0,Q248+R243-R244-R245-R246)</f>
        <v>19.1321966782699</v>
      </c>
      <c r="S247" s="1" t="n">
        <f aca="false">MAX(0,R248+S243-S244-S245-S246)</f>
        <v>20.8048274537748</v>
      </c>
      <c r="T247" s="1" t="n">
        <f aca="false">MAX(0,S248+T243-T244-T245-T246)</f>
        <v>22.3668276871945</v>
      </c>
      <c r="U247" s="1" t="n">
        <f aca="false">MAX(0,T248+U243-U244-U245-U246)</f>
        <v>23.8261386789995</v>
      </c>
      <c r="V247" s="1" t="n">
        <f aca="false">MAX(0,U248+V243-V244-V245-V246)</f>
        <v>25.1900518230468</v>
      </c>
      <c r="W247" s="1" t="n">
        <f aca="false">MAX(0,V248+W243-W244-W245-W246)</f>
        <v>26.4652740816709</v>
      </c>
      <c r="X247" s="1" t="n">
        <f aca="false">MAX(0,W248+X243-X244-X245-X246)</f>
        <v>27.6583904870756</v>
      </c>
      <c r="Y247" s="1" t="n">
        <f aca="false">MAX(0,X248+Y243-Y244-Y245-Y246)</f>
        <v>28.7754015796293</v>
      </c>
      <c r="Z247" s="1" t="n">
        <f aca="false">MAX(0,Y248+Z243-Z244-Z245-Z246)</f>
        <v>29.8217853102757</v>
      </c>
      <c r="AA247" s="1" t="n">
        <f aca="false">MAX(0,Z248+AA243-AA244-AA245-AA246)</f>
        <v>30.8025511187784</v>
      </c>
      <c r="AB247" s="1" t="n">
        <f aca="false">MAX(0,AA248+AB243-AB244-AB245-AB246)</f>
        <v>31.7222879210163</v>
      </c>
      <c r="AC247" s="1" t="n">
        <f aca="false">MAX(0,AB248+AC243-AC244-AC245-AC246)</f>
        <v>32.5852003935548</v>
      </c>
      <c r="AD247" s="1" t="n">
        <f aca="false">MAX(0,AC248+AD243-AD244-AD245-AD246)</f>
        <v>33.3951480287552</v>
      </c>
      <c r="AE247" s="1" t="n">
        <f aca="false">MAX(0,AD248+AE243-AE244-AE245-AE246)</f>
        <v>34.1556794592967</v>
      </c>
      <c r="AF247" s="1" t="n">
        <f aca="false">MAX(0,AE248+AF243-AF244-AF245-AF246)</f>
        <v>34.8700627284922</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0.283849755680774</v>
      </c>
      <c r="F248" s="1" t="n">
        <f aca="false">MIN(F247,MAX(0,F276))</f>
        <v>0.763320028029599</v>
      </c>
      <c r="G248" s="1" t="n">
        <f aca="false">MIN(G247,MAX(0,G276))</f>
        <v>1.17046474550874</v>
      </c>
      <c r="H248" s="1" t="n">
        <f aca="false">MIN(H247,MAX(0,H276))</f>
        <v>1.80407682130602</v>
      </c>
      <c r="I248" s="1" t="n">
        <f aca="false">MIN(I247,MAX(0,I276))</f>
        <v>2.69123955962448</v>
      </c>
      <c r="J248" s="1" t="n">
        <f aca="false">MIN(J247,MAX(0,J276))</f>
        <v>3.85637945566599</v>
      </c>
      <c r="K248" s="1" t="n">
        <f aca="false">MIN(K247,MAX(0,K276))</f>
        <v>5.31927096862046</v>
      </c>
      <c r="L248" s="1" t="n">
        <f aca="false">MIN(L247,MAX(0,L276))</f>
        <v>7.09689722847815</v>
      </c>
      <c r="M248" s="1" t="n">
        <f aca="false">MIN(M247,MAX(0,M276))</f>
        <v>9.14579075087578</v>
      </c>
      <c r="N248" s="1" t="n">
        <f aca="false">MIN(N247,MAX(0,N276))</f>
        <v>11.2485325670652</v>
      </c>
      <c r="O248" s="1" t="n">
        <f aca="false">MIN(O247,MAX(0,O276))</f>
        <v>13.3674482751415</v>
      </c>
      <c r="P248" s="1" t="n">
        <f aca="false">MIN(P247,MAX(0,P276))</f>
        <v>15.4215446235902</v>
      </c>
      <c r="Q248" s="1" t="n">
        <f aca="false">MIN(Q247,MAX(0,Q276))</f>
        <v>17.3403372617624</v>
      </c>
      <c r="R248" s="1" t="n">
        <f aca="false">MIN(R247,MAX(0,R276))</f>
        <v>19.1321966782699</v>
      </c>
      <c r="S248" s="1" t="n">
        <f aca="false">MIN(S247,MAX(0,S276))</f>
        <v>20.8048274537748</v>
      </c>
      <c r="T248" s="1" t="n">
        <f aca="false">MIN(T247,MAX(0,T276))</f>
        <v>22.3668276871945</v>
      </c>
      <c r="U248" s="1" t="n">
        <f aca="false">MIN(U247,MAX(0,U276))</f>
        <v>23.8261386789995</v>
      </c>
      <c r="V248" s="1" t="n">
        <f aca="false">MIN(V247,MAX(0,V276))</f>
        <v>25.1900518230468</v>
      </c>
      <c r="W248" s="1" t="n">
        <f aca="false">MIN(W247,MAX(0,W276))</f>
        <v>26.4652740816709</v>
      </c>
      <c r="X248" s="1" t="n">
        <f aca="false">MIN(X247,MAX(0,X276))</f>
        <v>27.6583904870756</v>
      </c>
      <c r="Y248" s="1" t="n">
        <f aca="false">MIN(Y247,MAX(0,Y276))</f>
        <v>28.7754015796293</v>
      </c>
      <c r="Z248" s="1" t="n">
        <f aca="false">MIN(Z247,MAX(0,Z276))</f>
        <v>29.8217853102757</v>
      </c>
      <c r="AA248" s="1" t="n">
        <f aca="false">MIN(AA247,MAX(0,AA276))</f>
        <v>30.8025511187784</v>
      </c>
      <c r="AB248" s="1" t="n">
        <f aca="false">MIN(AB247,MAX(0,AB276))</f>
        <v>31.7222879210163</v>
      </c>
      <c r="AC248" s="1" t="n">
        <f aca="false">MIN(AC247,MAX(0,AC276))</f>
        <v>32.5852003935548</v>
      </c>
      <c r="AD248" s="1" t="n">
        <f aca="false">MIN(AD247,MAX(0,AD276))</f>
        <v>33.3951480287552</v>
      </c>
      <c r="AE248" s="1" t="n">
        <f aca="false">MIN(AE247,MAX(0,AE276))</f>
        <v>34.1556794592967</v>
      </c>
      <c r="AF248" s="1" t="n">
        <f aca="false">MIN(AF247,MAX(0,AF276))</f>
        <v>34.8700627284922</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35.0087369140404</v>
      </c>
      <c r="E250" s="1" t="n">
        <f aca="false">E120-E248</f>
        <v>52.7881563849995</v>
      </c>
      <c r="F250" s="1" t="n">
        <f aca="false">F120-F248</f>
        <v>61.0982111149309</v>
      </c>
      <c r="G250" s="1" t="n">
        <f aca="false">G120-G248</f>
        <v>71.6743211018636</v>
      </c>
      <c r="H250" s="1" t="n">
        <f aca="false">H120-H248</f>
        <v>83.684970392487</v>
      </c>
      <c r="I250" s="1" t="n">
        <f aca="false">I120-I248</f>
        <v>97.1946805088609</v>
      </c>
      <c r="J250" s="1" t="n">
        <f aca="false">J120-J248</f>
        <v>111.755676184188</v>
      </c>
      <c r="K250" s="1" t="n">
        <f aca="false">K120-K248</f>
        <v>127.307048741684</v>
      </c>
      <c r="L250" s="1" t="n">
        <f aca="false">L120-L248</f>
        <v>142.579644493882</v>
      </c>
      <c r="M250" s="1" t="n">
        <f aca="false">M120-M248</f>
        <v>140.199143198682</v>
      </c>
      <c r="N250" s="1" t="n">
        <f aca="false">N120-N248</f>
        <v>139.747114541398</v>
      </c>
      <c r="O250" s="1" t="n">
        <f aca="false">O120-O248</f>
        <v>139.615511991316</v>
      </c>
      <c r="P250" s="1" t="n">
        <f aca="false">P120-P248</f>
        <v>138.878870715526</v>
      </c>
      <c r="Q250" s="1" t="n">
        <f aca="false">Q120-Q248</f>
        <v>138.124549332473</v>
      </c>
      <c r="R250" s="1" t="n">
        <f aca="false">R120-R248</f>
        <v>137.150635651941</v>
      </c>
      <c r="S250" s="1" t="n">
        <f aca="false">S120-S248</f>
        <v>136.32228746959</v>
      </c>
      <c r="T250" s="1" t="n">
        <f aca="false">T120-T248</f>
        <v>135.631738300118</v>
      </c>
      <c r="U250" s="1" t="n">
        <f aca="false">U120-U248</f>
        <v>135.071457591443</v>
      </c>
      <c r="V250" s="1" t="n">
        <f aca="false">V120-V248</f>
        <v>134.6345485174</v>
      </c>
      <c r="W250" s="1" t="n">
        <f aca="false">W120-W248</f>
        <v>134.316951748492</v>
      </c>
      <c r="X250" s="1" t="n">
        <f aca="false">X120-X248</f>
        <v>134.113035855451</v>
      </c>
      <c r="Y250" s="1" t="n">
        <f aca="false">Y120-Y248</f>
        <v>134.01752693417</v>
      </c>
      <c r="Z250" s="1" t="n">
        <f aca="false">Z120-Z248</f>
        <v>134.025367494866</v>
      </c>
      <c r="AA250" s="1" t="n">
        <f aca="false">AA120-AA248</f>
        <v>134.131985884704</v>
      </c>
      <c r="AB250" s="1" t="n">
        <f aca="false">AB120-AB248</f>
        <v>134.333198978817</v>
      </c>
      <c r="AC250" s="1" t="n">
        <f aca="false">AC120-AC248</f>
        <v>134.625213876569</v>
      </c>
      <c r="AD250" s="1" t="n">
        <f aca="false">AD120-AD248</f>
        <v>135.004594285401</v>
      </c>
      <c r="AE250" s="1" t="n">
        <f aca="false">AE120-AE248</f>
        <v>135.468233304713</v>
      </c>
      <c r="AF250" s="1" t="n">
        <f aca="false">AF120-AF248</f>
        <v>136.013323131539</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0.00270974872678057</v>
      </c>
      <c r="E252" s="1" t="n">
        <f aca="false">IF(E120&gt;0,E248/E120,0)</f>
        <v>0.00534838941132848</v>
      </c>
      <c r="F252" s="1" t="n">
        <f aca="false">IF(F120&gt;0,F248/F120,0)</f>
        <v>0.0123391712737531</v>
      </c>
      <c r="G252" s="1" t="n">
        <f aca="false">IF(G120&gt;0,G248/G120,0)</f>
        <v>0.0160679276065297</v>
      </c>
      <c r="H252" s="1" t="n">
        <f aca="false">IF(H120&gt;0,H248/H120,0)</f>
        <v>0.0211030170542706</v>
      </c>
      <c r="I252" s="1" t="n">
        <f aca="false">IF(I120&gt;0,I248/I120,0)</f>
        <v>0.0269431323031241</v>
      </c>
      <c r="J252" s="1" t="n">
        <f aca="false">IF(J120&gt;0,J248/J120,0)</f>
        <v>0.033356205235889</v>
      </c>
      <c r="K252" s="1" t="n">
        <f aca="false">IF(K120&gt;0,K248/K120,0)</f>
        <v>0.0401072048160525</v>
      </c>
      <c r="L252" s="1" t="n">
        <f aca="false">IF(L120&gt;0,L248/L120,0)</f>
        <v>0.0474148931209434</v>
      </c>
      <c r="M252" s="1" t="n">
        <f aca="false">IF(M120&gt;0,M248/M120,0)</f>
        <v>0.0612393772524272</v>
      </c>
      <c r="N252" s="1" t="n">
        <f aca="false">IF(N120&gt;0,N248/N120,0)</f>
        <v>0.0744957406552596</v>
      </c>
      <c r="O252" s="1" t="n">
        <f aca="false">IF(O120&gt;0,O248/O120,0)</f>
        <v>0.0873786744083053</v>
      </c>
      <c r="P252" s="1" t="n">
        <f aca="false">IF(P120&gt;0,P248/P120,0)</f>
        <v>0.0999449326801702</v>
      </c>
      <c r="Q252" s="1" t="n">
        <f aca="false">IF(Q120&gt;0,Q248/Q120,0)</f>
        <v>0.111538609403298</v>
      </c>
      <c r="R252" s="1" t="n">
        <f aca="false">IF(R120&gt;0,R248/R120,0)</f>
        <v>0.122420334933816</v>
      </c>
      <c r="S252" s="1" t="n">
        <f aca="false">IF(S120&gt;0,S248/S120,0)</f>
        <v>0.132407620822936</v>
      </c>
      <c r="T252" s="1" t="n">
        <f aca="false">IF(T120&gt;0,T248/T120,0)</f>
        <v>0.141563485386257</v>
      </c>
      <c r="U252" s="1" t="n">
        <f aca="false">IF(U120&gt;0,U248/U120,0)</f>
        <v>0.149946501635227</v>
      </c>
      <c r="V252" s="1" t="n">
        <f aca="false">IF(V120&gt;0,V248/V120,0)</f>
        <v>0.157610604183516</v>
      </c>
      <c r="W252" s="1" t="n">
        <f aca="false">IF(W120&gt;0,W248/W120,0)</f>
        <v>0.16460323238482</v>
      </c>
      <c r="X252" s="1" t="n">
        <f aca="false">IF(X120&gt;0,X248/X120,0)</f>
        <v>0.17097203821714</v>
      </c>
      <c r="Y252" s="1" t="n">
        <f aca="false">IF(Y120&gt;0,Y248/Y120,0)</f>
        <v>0.176760758850714</v>
      </c>
      <c r="Z252" s="1" t="n">
        <f aca="false">IF(Z120&gt;0,Z248/Z120,0)</f>
        <v>0.182009786558463</v>
      </c>
      <c r="AA252" s="1" t="n">
        <f aca="false">IF(AA120&gt;0,AA248/AA120,0)</f>
        <v>0.186756222671107</v>
      </c>
      <c r="AB252" s="1" t="n">
        <f aca="false">IF(AB120&gt;0,AB248/AB120,0)</f>
        <v>0.191034265192041</v>
      </c>
      <c r="AC252" s="1" t="n">
        <f aca="false">IF(AC120&gt;0,AC248/AC120,0)</f>
        <v>0.194875424092391</v>
      </c>
      <c r="AD252" s="1" t="n">
        <f aca="false">IF(AD120&gt;0,AD248/AD120,0)</f>
        <v>0.198308783433025</v>
      </c>
      <c r="AE252" s="1" t="n">
        <f aca="false">IF(AE120&gt;0,AE248/AE120,0)</f>
        <v>0.201361228512727</v>
      </c>
      <c r="AF252" s="1" t="n">
        <f aca="false">IF(AF120&gt;0,AF248/AF120,0)</f>
        <v>0.204057653428368</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0.349799156025208</v>
      </c>
      <c r="M254" s="116" t="n">
        <f aca="false">M112</f>
        <v>0.362419591755768</v>
      </c>
      <c r="N254" s="116" t="n">
        <f aca="false">N112</f>
        <v>0.375198431879403</v>
      </c>
      <c r="O254" s="116" t="n">
        <f aca="false">O112</f>
        <v>0.387230929756743</v>
      </c>
      <c r="P254" s="116" t="n">
        <f aca="false">P112</f>
        <v>0.396741314701046</v>
      </c>
      <c r="Q254" s="116" t="n">
        <f aca="false">Q112</f>
        <v>0.406328702290529</v>
      </c>
      <c r="R254" s="116" t="n">
        <f aca="false">R112</f>
        <v>0.415889586770488</v>
      </c>
      <c r="S254" s="116" t="n">
        <f aca="false">S112</f>
        <v>0.425432952338897</v>
      </c>
      <c r="T254" s="116" t="n">
        <f aca="false">T112</f>
        <v>0.434960688152874</v>
      </c>
      <c r="U254" s="116" t="n">
        <f aca="false">U112</f>
        <v>0.444487291599169</v>
      </c>
      <c r="V254" s="116" t="n">
        <f aca="false">V112</f>
        <v>0.454027171078251</v>
      </c>
      <c r="W254" s="116" t="n">
        <f aca="false">W112</f>
        <v>0.463455810387561</v>
      </c>
      <c r="X254" s="116" t="n">
        <f aca="false">X112</f>
        <v>0.472788276025911</v>
      </c>
      <c r="Y254" s="116" t="n">
        <f aca="false">Y112</f>
        <v>0.482039730246399</v>
      </c>
      <c r="Z254" s="116" t="n">
        <f aca="false">Z112</f>
        <v>0.491225401966502</v>
      </c>
      <c r="AA254" s="116" t="n">
        <f aca="false">AA112</f>
        <v>0.500360609884832</v>
      </c>
      <c r="AB254" s="116" t="n">
        <f aca="false">AB112</f>
        <v>0.509463816531082</v>
      </c>
      <c r="AC254" s="116" t="n">
        <f aca="false">AC112</f>
        <v>0.518553566008823</v>
      </c>
      <c r="AD254" s="116" t="n">
        <f aca="false">AD112</f>
        <v>0.527648508813171</v>
      </c>
      <c r="AE254" s="116" t="n">
        <f aca="false">AE112</f>
        <v>0.536767427078068</v>
      </c>
      <c r="AF254" s="116" t="n">
        <f aca="false">AF112</f>
        <v>0.545929259147628</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0.0910043105609089</v>
      </c>
      <c r="M256" s="1" t="n">
        <f aca="false">MIN(M254-M255,MAX(0,M107-M108+M109+M110+M184-M229-M235))</f>
        <v>0.0892955425509657</v>
      </c>
      <c r="N256" s="1" t="n">
        <f aca="false">MIN(N254-N255,MAX(0,N107-N108+N109+N110+N184-N229-N235))</f>
        <v>0.0943069993558816</v>
      </c>
      <c r="O256" s="1" t="n">
        <f aca="false">MIN(O254-O255,MAX(0,O107-O108+O109+O110+O184-O229-O235))</f>
        <v>0.103867430241831</v>
      </c>
      <c r="P256" s="1" t="n">
        <f aca="false">MIN(P254-P255,MAX(0,P107-P108+P109+P110+P184-P229-P235))</f>
        <v>0.131652781601843</v>
      </c>
      <c r="Q256" s="1" t="n">
        <f aca="false">MIN(Q254-Q255,MAX(0,Q107-Q108+Q109+Q110+Q184-Q229-Q235))</f>
        <v>0.158336527924439</v>
      </c>
      <c r="R256" s="1" t="n">
        <f aca="false">MIN(R254-R255,MAX(0,R107-R108+R109+R110+R184-R229-R235))</f>
        <v>0.183891175417832</v>
      </c>
      <c r="S256" s="1" t="n">
        <f aca="false">MIN(S254-S255,MAX(0,S107-S108+S109+S110+S184-S229-S235))</f>
        <v>0.208396818002249</v>
      </c>
      <c r="T256" s="1" t="n">
        <f aca="false">MIN(T254-T255,MAX(0,T107-T108+T109+T110+T184-T229-T235))</f>
        <v>0.231921868476679</v>
      </c>
      <c r="U256" s="1" t="n">
        <f aca="false">MIN(U254-U255,MAX(0,U107-U108+U109+U110+U184-U229-U235))</f>
        <v>0.254543057559513</v>
      </c>
      <c r="V256" s="1" t="n">
        <f aca="false">MIN(V254-V255,MAX(0,V107-V108+V109+V110+V184-V229-V235))</f>
        <v>0.276333013367673</v>
      </c>
      <c r="W256" s="1" t="n">
        <f aca="false">MIN(W254-W255,MAX(0,W107-W108+W109+W110+W184-W229-W235))</f>
        <v>0.297221684650005</v>
      </c>
      <c r="X256" s="1" t="n">
        <f aca="false">MIN(X254-X255,MAX(0,X107-X108+X109+X110+X184-X229-X235))</f>
        <v>0.317275090247803</v>
      </c>
      <c r="Y256" s="1" t="n">
        <f aca="false">MIN(Y254-Y255,MAX(0,Y107-Y108+Y109+Y110+Y184-Y229-Y235))</f>
        <v>0.33655605868646</v>
      </c>
      <c r="Z256" s="1" t="n">
        <f aca="false">MIN(Z254-Z255,MAX(0,Z107-Z108+Z109+Z110+Z184-Z229-Z235))</f>
        <v>0.355124411014133</v>
      </c>
      <c r="AA256" s="1" t="n">
        <f aca="false">MIN(AA254-AA255,MAX(0,AA107-AA108+AA109+AA110+AA184-AA229-AA235))</f>
        <v>0.373037182179166</v>
      </c>
      <c r="AB256" s="1" t="n">
        <f aca="false">MIN(AB254-AB255,MAX(0,AB107-AB108+AB109+AB110+AB184-AB229-AB235))</f>
        <v>0.390351860554263</v>
      </c>
      <c r="AC256" s="1" t="n">
        <f aca="false">MIN(AC254-AC255,MAX(0,AC107-AC108+AC109+AC110+AC184-AC229-AC235))</f>
        <v>0.40712349919173</v>
      </c>
      <c r="AD256" s="1" t="n">
        <f aca="false">MIN(AD254-AD255,MAX(0,AD107-AD108+AD109+AD110+AD184-AD229-AD235))</f>
        <v>0.423404902963241</v>
      </c>
      <c r="AE256" s="1" t="n">
        <f aca="false">MIN(AE254-AE255,MAX(0,AE107-AE108+AE109+AE110+AE184-AE229-AE235))</f>
        <v>0.439246805660575</v>
      </c>
      <c r="AF256" s="1" t="n">
        <f aca="false">MIN(AF254-AF255,MAX(0,AF107-AF108+AF109+AF110+AF184-AF229-AF235))</f>
        <v>0.45469803662694</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187.652339662692</v>
      </c>
      <c r="M261" s="1" t="n">
        <f aca="false">(M83-M326)+M181</f>
        <v>201.492878723063</v>
      </c>
      <c r="N261" s="1" t="n">
        <f aca="false">(N83-N326)+N181</f>
        <v>206.829277243367</v>
      </c>
      <c r="O261" s="1" t="n">
        <f aca="false">(O83-O326)+O181</f>
        <v>212.558232271394</v>
      </c>
      <c r="P261" s="1" t="n">
        <f aca="false">(P83-P326)+P181</f>
        <v>217.630537405409</v>
      </c>
      <c r="Q261" s="1" t="n">
        <f aca="false">(Q83-Q326)+Q181</f>
        <v>222.629726854445</v>
      </c>
      <c r="R261" s="1" t="n">
        <f aca="false">(R83-R326)+R181</f>
        <v>227.748809972758</v>
      </c>
      <c r="S261" s="1" t="n">
        <f aca="false">(S83-S326)+S181</f>
        <v>232.98489610812</v>
      </c>
      <c r="T261" s="1" t="n">
        <f aca="false">(T83-T326)+T181</f>
        <v>238.340901385162</v>
      </c>
      <c r="U261" s="1" t="n">
        <f aca="false">(U83-U326)+U181</f>
        <v>243.819681673695</v>
      </c>
      <c r="V261" s="1" t="n">
        <f aca="false">(V83-V326)+V181</f>
        <v>249.424120850822</v>
      </c>
      <c r="W261" s="1" t="n">
        <f aca="false">(W83-W326)+W181</f>
        <v>255.155930186632</v>
      </c>
      <c r="X261" s="1" t="n">
        <f aca="false">(X83-X326)+X181</f>
        <v>261.018664984786</v>
      </c>
      <c r="Y261" s="1" t="n">
        <f aca="false">(Y83-Y326)+Y181</f>
        <v>267.015705548363</v>
      </c>
      <c r="Z261" s="1" t="n">
        <f aca="false">(Z83-Z326)+Z181</f>
        <v>273.150178344251</v>
      </c>
      <c r="AA261" s="1" t="n">
        <f aca="false">(AA83-AA326)+AA181</f>
        <v>279.425281206316</v>
      </c>
      <c r="AB261" s="1" t="n">
        <f aca="false">(AB83-AB326)+AB181</f>
        <v>285.844311514151</v>
      </c>
      <c r="AC261" s="1" t="n">
        <f aca="false">(AC83-AC326)+AC181</f>
        <v>292.410628792077</v>
      </c>
      <c r="AD261" s="1" t="n">
        <f aca="false">(AD83-AD326)+AD181</f>
        <v>299.127661969053</v>
      </c>
      <c r="AE261" s="1" t="n">
        <f aca="false">(AE83-AE326)+AE181</f>
        <v>305.998918345278</v>
      </c>
      <c r="AF261" s="1" t="n">
        <f aca="false">(AF83-AF326)+AF181</f>
        <v>313.027985436587</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9.38261698313461</v>
      </c>
      <c r="M262" s="1" t="n">
        <f aca="false">$C$260*M261</f>
        <v>10.0746439361531</v>
      </c>
      <c r="N262" s="1" t="n">
        <f aca="false">$C$260*N261</f>
        <v>10.3414638621683</v>
      </c>
      <c r="O262" s="1" t="n">
        <f aca="false">$C$260*O261</f>
        <v>10.6279116135697</v>
      </c>
      <c r="P262" s="1" t="n">
        <f aca="false">$C$260*P261</f>
        <v>10.8815268702704</v>
      </c>
      <c r="Q262" s="1" t="n">
        <f aca="false">$C$260*Q261</f>
        <v>11.1314863427223</v>
      </c>
      <c r="R262" s="1" t="n">
        <f aca="false">$C$260*R261</f>
        <v>11.3874404986379</v>
      </c>
      <c r="S262" s="1" t="n">
        <f aca="false">$C$260*S261</f>
        <v>11.649244805406</v>
      </c>
      <c r="T262" s="1" t="n">
        <f aca="false">$C$260*T261</f>
        <v>11.9170450692581</v>
      </c>
      <c r="U262" s="1" t="n">
        <f aca="false">$C$260*U261</f>
        <v>12.1909840836847</v>
      </c>
      <c r="V262" s="1" t="n">
        <f aca="false">$C$260*V261</f>
        <v>12.4712060425411</v>
      </c>
      <c r="W262" s="1" t="n">
        <f aca="false">$C$260*W261</f>
        <v>12.7577965093316</v>
      </c>
      <c r="X262" s="1" t="n">
        <f aca="false">$C$260*X261</f>
        <v>13.0509332492393</v>
      </c>
      <c r="Y262" s="1" t="n">
        <f aca="false">$C$260*Y261</f>
        <v>13.3507852774181</v>
      </c>
      <c r="Z262" s="1" t="n">
        <f aca="false">$C$260*Z261</f>
        <v>13.6575089172126</v>
      </c>
      <c r="AA262" s="1" t="n">
        <f aca="false">$C$260*AA261</f>
        <v>13.9712640603158</v>
      </c>
      <c r="AB262" s="1" t="n">
        <f aca="false">$C$260*AB261</f>
        <v>14.2922155757075</v>
      </c>
      <c r="AC262" s="1" t="n">
        <f aca="false">$C$260*AC261</f>
        <v>14.6205314396039</v>
      </c>
      <c r="AD262" s="1" t="n">
        <f aca="false">$C$260*AD261</f>
        <v>14.9563830984526</v>
      </c>
      <c r="AE262" s="1" t="n">
        <f aca="false">$C$260*AE261</f>
        <v>15.2999459172639</v>
      </c>
      <c r="AF262" s="1" t="n">
        <f aca="false">$C$260*AF261</f>
        <v>15.6513992718294</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43.9305875036706</v>
      </c>
      <c r="M263" s="1" t="n">
        <f aca="false">MAX(0,(M70+L121-L227)*0.25/0.55)</f>
        <v>46.0828230724965</v>
      </c>
      <c r="N263" s="1" t="n">
        <f aca="false">MAX(0,(N70+M121-M227)*0.25/0.55)</f>
        <v>48.7870226750456</v>
      </c>
      <c r="O263" s="1" t="n">
        <f aca="false">MAX(0,(O70+N121-N227)*0.25/0.55)</f>
        <v>51.5516958825247</v>
      </c>
      <c r="P263" s="1" t="n">
        <f aca="false">MAX(0,(P70+O121-O227)*0.25/0.55)</f>
        <v>54.3787318533012</v>
      </c>
      <c r="Q263" s="1" t="n">
        <f aca="false">MAX(0,(Q70+P121-P227)*0.25/0.55)</f>
        <v>57.1835316503027</v>
      </c>
      <c r="R263" s="1" t="n">
        <f aca="false">MAX(0,(R70+Q121-Q227)*0.25/0.55)</f>
        <v>59.9616396625403</v>
      </c>
      <c r="S263" s="1" t="n">
        <f aca="false">MAX(0,(S70+R121-R227)*0.25/0.55)</f>
        <v>62.7184345835736</v>
      </c>
      <c r="T263" s="1" t="n">
        <f aca="false">MAX(0,(T70+S121-S227)*0.25/0.55)</f>
        <v>65.4560316678104</v>
      </c>
      <c r="U263" s="1" t="n">
        <f aca="false">MAX(0,(U70+T121-T227)*0.25/0.55)</f>
        <v>68.1822385853924</v>
      </c>
      <c r="V263" s="1" t="n">
        <f aca="false">MAX(0,(V70+U121-U227)*0.25/0.55)</f>
        <v>70.9047837528262</v>
      </c>
      <c r="W263" s="1" t="n">
        <f aca="false">MAX(0,(W70+V121-V227)*0.25/0.55)</f>
        <v>73.6313257984558</v>
      </c>
      <c r="X263" s="1" t="n">
        <f aca="false">MAX(0,(X70+W121-W227)*0.25/0.55)</f>
        <v>76.369546063134</v>
      </c>
      <c r="Y263" s="1" t="n">
        <f aca="false">MAX(0,(Y70+X121-X227)*0.25/0.55)</f>
        <v>79.1271245401007</v>
      </c>
      <c r="Z263" s="1" t="n">
        <f aca="false">MAX(0,(Z70+Y121-Y227)*0.25/0.55)</f>
        <v>81.9117262091251</v>
      </c>
      <c r="AA263" s="1" t="n">
        <f aca="false">MAX(0,(AA70+Z121-Z227)*0.25/0.55)</f>
        <v>84.7310110716165</v>
      </c>
      <c r="AB263" s="1" t="n">
        <f aca="false">MAX(0,(AB70+AA121-AA227)*0.25/0.55)</f>
        <v>87.5926422032823</v>
      </c>
      <c r="AC263" s="1" t="n">
        <f aca="false">MAX(0,(AC70+AB121-AB227)*0.25/0.55)</f>
        <v>90.5042966256549</v>
      </c>
      <c r="AD263" s="1" t="n">
        <f aca="false">MAX(0,(AD70+AC121-AC227)*0.25/0.55)</f>
        <v>93.4736765630851</v>
      </c>
      <c r="AE263" s="1" t="n">
        <f aca="false">MAX(0,(AE70+AD121-AD227)*0.25/0.55)</f>
        <v>96.5085208787681</v>
      </c>
      <c r="AF263" s="1" t="n">
        <f aca="false">MAX(0,(AF70+AE121-AE227)*0.25/0.55)</f>
        <v>99.6166161879981</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0.213578226841393</v>
      </c>
      <c r="M266" s="1" t="n">
        <f aca="false">IF(M263&gt;0,M262/M263,0)</f>
        <v>0.218620372287174</v>
      </c>
      <c r="N266" s="1" t="n">
        <f aca="false">IF(N263&gt;0,N262/N263,0)</f>
        <v>0.211971612431639</v>
      </c>
      <c r="O266" s="1" t="n">
        <f aca="false">IF(O263&gt;0,O262/O263,0)</f>
        <v>0.206160271386386</v>
      </c>
      <c r="P266" s="1" t="n">
        <f aca="false">IF(P263&gt;0,P262/P263,0)</f>
        <v>0.200106300743198</v>
      </c>
      <c r="Q266" s="1" t="n">
        <f aca="false">IF(Q263&gt;0,Q262/Q263,0)</f>
        <v>0.19466244951073</v>
      </c>
      <c r="R266" s="1" t="n">
        <f aca="false">IF(R263&gt;0,R262/R263,0)</f>
        <v>0.189912093176997</v>
      </c>
      <c r="S266" s="1" t="n">
        <f aca="false">IF(S263&gt;0,S262/S263,0)</f>
        <v>0.185738768557483</v>
      </c>
      <c r="T266" s="1" t="n">
        <f aca="false">IF(T263&gt;0,T262/T263,0)</f>
        <v>0.182061832433368</v>
      </c>
      <c r="U266" s="1" t="n">
        <f aca="false">IF(U263&gt;0,U262/U263,0)</f>
        <v>0.178799997427726</v>
      </c>
      <c r="V266" s="1" t="n">
        <f aca="false">IF(V263&gt;0,V262/V263,0)</f>
        <v>0.175886666349843</v>
      </c>
      <c r="W266" s="1" t="n">
        <f aca="false">IF(W263&gt;0,W262/W263,0)</f>
        <v>0.17326588066949</v>
      </c>
      <c r="X266" s="1" t="n">
        <f aca="false">IF(X263&gt;0,X262/X263,0)</f>
        <v>0.170891853127557</v>
      </c>
      <c r="Y266" s="1" t="n">
        <f aca="false">IF(Y263&gt;0,Y262/Y263,0)</f>
        <v>0.168725773304856</v>
      </c>
      <c r="Z266" s="1" t="n">
        <f aca="false">IF(Z263&gt;0,Z262/Z263,0)</f>
        <v>0.16673447806904</v>
      </c>
      <c r="AA266" s="1" t="n">
        <f aca="false">IF(AA263&gt;0,AA262/AA263,0)</f>
        <v>0.16488961814119</v>
      </c>
      <c r="AB266" s="1" t="n">
        <f aca="false">IF(AB263&gt;0,AB262/AB263,0)</f>
        <v>0.163166850733177</v>
      </c>
      <c r="AC266" s="1" t="n">
        <f aca="false">IF(AC263&gt;0,AC262/AC263,0)</f>
        <v>0.161545163983512</v>
      </c>
      <c r="AD266" s="1" t="n">
        <f aca="false">IF(AD263&gt;0,AD262/AD263,0)</f>
        <v>0.160006363806163</v>
      </c>
      <c r="AE266" s="1" t="n">
        <f aca="false">IF(AE263&gt;0,AE262/AE263,0)</f>
        <v>0.158534663861271</v>
      </c>
      <c r="AF266" s="1" t="n">
        <f aca="false">IF(AF263&gt;0,AF262/AF263,0)</f>
        <v>0.157116351375475</v>
      </c>
    </row>
    <row r="267" customFormat="false" ht="14.25" hidden="false" customHeight="true" outlineLevel="0" collapsed="false">
      <c r="B267" s="1" t="s">
        <v>1262</v>
      </c>
      <c r="C267" s="1" t="n">
        <f aca="false">C120-C264</f>
        <v>17.9458778419531</v>
      </c>
      <c r="D267" s="1" t="n">
        <f aca="false">D120-D264</f>
        <v>33.1280169060563</v>
      </c>
      <c r="E267" s="1" t="n">
        <f aca="false">E120-E264</f>
        <v>50.0498831427186</v>
      </c>
      <c r="F267" s="1" t="n">
        <f aca="false">F120-F264</f>
        <v>61.8615311429605</v>
      </c>
      <c r="G267" s="1" t="n">
        <f aca="false">G120-G264</f>
        <v>72.8447858473724</v>
      </c>
      <c r="H267" s="1" t="n">
        <f aca="false">H120-H264</f>
        <v>85.489047213793</v>
      </c>
      <c r="I267" s="1" t="n">
        <f aca="false">I120-I264</f>
        <v>99.8859200684854</v>
      </c>
      <c r="J267" s="1" t="n">
        <f aca="false">J120-J264</f>
        <v>115.612055639854</v>
      </c>
      <c r="K267" s="1" t="n">
        <f aca="false">K120-K264</f>
        <v>132.626319710305</v>
      </c>
      <c r="L267" s="1" t="n">
        <f aca="false">L120-L264</f>
        <v>149.676541722361</v>
      </c>
      <c r="M267" s="1" t="n">
        <f aca="false">M120-M264</f>
        <v>149.344933949558</v>
      </c>
      <c r="N267" s="1" t="n">
        <f aca="false">N120-N264</f>
        <v>150.995647108463</v>
      </c>
      <c r="O267" s="1" t="n">
        <f aca="false">O120-O264</f>
        <v>152.982960266457</v>
      </c>
      <c r="P267" s="1" t="n">
        <f aca="false">P120-P264</f>
        <v>154.300415339116</v>
      </c>
      <c r="Q267" s="1" t="n">
        <f aca="false">Q120-Q264</f>
        <v>155.464886594235</v>
      </c>
      <c r="R267" s="1" t="n">
        <f aca="false">R120-R264</f>
        <v>156.282832330211</v>
      </c>
      <c r="S267" s="1" t="n">
        <f aca="false">S120-S264</f>
        <v>157.127114923365</v>
      </c>
      <c r="T267" s="1" t="n">
        <f aca="false">T120-T264</f>
        <v>157.998565987312</v>
      </c>
      <c r="U267" s="1" t="n">
        <f aca="false">U120-U264</f>
        <v>158.897596270442</v>
      </c>
      <c r="V267" s="1" t="n">
        <f aca="false">V120-V264</f>
        <v>159.824600340447</v>
      </c>
      <c r="W267" s="1" t="n">
        <f aca="false">W120-W264</f>
        <v>160.782225830163</v>
      </c>
      <c r="X267" s="1" t="n">
        <f aca="false">X120-X264</f>
        <v>161.771426342526</v>
      </c>
      <c r="Y267" s="1" t="n">
        <f aca="false">Y120-Y264</f>
        <v>162.7929285138</v>
      </c>
      <c r="Z267" s="1" t="n">
        <f aca="false">Z120-Z264</f>
        <v>163.847152805141</v>
      </c>
      <c r="AA267" s="1" t="n">
        <f aca="false">AA120-AA264</f>
        <v>164.934537003483</v>
      </c>
      <c r="AB267" s="1" t="n">
        <f aca="false">AB120-AB264</f>
        <v>166.055486899834</v>
      </c>
      <c r="AC267" s="1" t="n">
        <f aca="false">AC120-AC264</f>
        <v>167.210414270124</v>
      </c>
      <c r="AD267" s="1" t="n">
        <f aca="false">AD120-AD264</f>
        <v>168.399742314156</v>
      </c>
      <c r="AE267" s="1" t="n">
        <f aca="false">AE120-AE264</f>
        <v>169.62391276401</v>
      </c>
      <c r="AF267" s="1" t="n">
        <f aca="false">AF120-AF264</f>
        <v>170.883385860031</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9.38261698313461</v>
      </c>
      <c r="M270" s="1" t="n">
        <f aca="false">01_Supuestos!$C$173*M261</f>
        <v>10.0746439361531</v>
      </c>
      <c r="N270" s="1" t="n">
        <f aca="false">01_Supuestos!$C$173*N261</f>
        <v>10.3414638621683</v>
      </c>
      <c r="O270" s="1" t="n">
        <f aca="false">01_Supuestos!$C$173*O261</f>
        <v>10.6279116135697</v>
      </c>
      <c r="P270" s="1" t="n">
        <f aca="false">01_Supuestos!$C$173*P261</f>
        <v>10.8815268702704</v>
      </c>
      <c r="Q270" s="1" t="n">
        <f aca="false">01_Supuestos!$C$173*Q261</f>
        <v>11.1314863427223</v>
      </c>
      <c r="R270" s="1" t="n">
        <f aca="false">01_Supuestos!$C$173*R261</f>
        <v>11.3874404986379</v>
      </c>
      <c r="S270" s="1" t="n">
        <f aca="false">01_Supuestos!$C$173*S261</f>
        <v>11.649244805406</v>
      </c>
      <c r="T270" s="1" t="n">
        <f aca="false">01_Supuestos!$C$173*T261</f>
        <v>11.9170450692581</v>
      </c>
      <c r="U270" s="1" t="n">
        <f aca="false">01_Supuestos!$C$173*U261</f>
        <v>12.1909840836847</v>
      </c>
      <c r="V270" s="1" t="n">
        <f aca="false">01_Supuestos!$C$173*V261</f>
        <v>12.4712060425411</v>
      </c>
      <c r="W270" s="1" t="n">
        <f aca="false">01_Supuestos!$C$173*W261</f>
        <v>12.7577965093316</v>
      </c>
      <c r="X270" s="1" t="n">
        <f aca="false">01_Supuestos!$C$173*X261</f>
        <v>13.0509332492393</v>
      </c>
      <c r="Y270" s="1" t="n">
        <f aca="false">01_Supuestos!$C$173*Y261</f>
        <v>13.3507852774181</v>
      </c>
      <c r="Z270" s="1" t="n">
        <f aca="false">01_Supuestos!$C$173*Z261</f>
        <v>13.6575089172126</v>
      </c>
      <c r="AA270" s="1" t="n">
        <f aca="false">01_Supuestos!$C$173*AA261</f>
        <v>13.9712640603158</v>
      </c>
      <c r="AB270" s="1" t="n">
        <f aca="false">01_Supuestos!$C$173*AB261</f>
        <v>14.2922155757075</v>
      </c>
      <c r="AC270" s="1" t="n">
        <f aca="false">01_Supuestos!$C$173*AC261</f>
        <v>14.6205314396039</v>
      </c>
      <c r="AD270" s="1" t="n">
        <f aca="false">01_Supuestos!$C$173*AD261</f>
        <v>14.9563830984526</v>
      </c>
      <c r="AE270" s="1" t="n">
        <f aca="false">01_Supuestos!$C$173*AE261</f>
        <v>15.2999459172639</v>
      </c>
      <c r="AF270" s="1" t="n">
        <f aca="false">01_Supuestos!$C$173*AF261</f>
        <v>15.6513992718294</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9.38261698313461</v>
      </c>
      <c r="M271" s="1" t="n">
        <f aca="false">MIN(M270,M263)</f>
        <v>10.0746439361531</v>
      </c>
      <c r="N271" s="1" t="n">
        <f aca="false">MIN(N270,N263)</f>
        <v>10.3414638621683</v>
      </c>
      <c r="O271" s="1" t="n">
        <f aca="false">MIN(O270,O263)</f>
        <v>10.6279116135697</v>
      </c>
      <c r="P271" s="1" t="n">
        <f aca="false">MIN(P270,P263)</f>
        <v>10.8815268702704</v>
      </c>
      <c r="Q271" s="1" t="n">
        <f aca="false">MIN(Q270,Q263)</f>
        <v>11.1314863427223</v>
      </c>
      <c r="R271" s="1" t="n">
        <f aca="false">MIN(R270,R263)</f>
        <v>11.3874404986379</v>
      </c>
      <c r="S271" s="1" t="n">
        <f aca="false">MIN(S270,S263)</f>
        <v>11.649244805406</v>
      </c>
      <c r="T271" s="1" t="n">
        <f aca="false">MIN(T270,T263)</f>
        <v>11.9170450692581</v>
      </c>
      <c r="U271" s="1" t="n">
        <f aca="false">MIN(U270,U263)</f>
        <v>12.1909840836847</v>
      </c>
      <c r="V271" s="1" t="n">
        <f aca="false">MIN(V270,V263)</f>
        <v>12.4712060425411</v>
      </c>
      <c r="W271" s="1" t="n">
        <f aca="false">MIN(W270,W263)</f>
        <v>12.7577965093316</v>
      </c>
      <c r="X271" s="1" t="n">
        <f aca="false">MIN(X270,X263)</f>
        <v>13.0509332492393</v>
      </c>
      <c r="Y271" s="1" t="n">
        <f aca="false">MIN(Y270,Y263)</f>
        <v>13.3507852774181</v>
      </c>
      <c r="Z271" s="1" t="n">
        <f aca="false">MIN(Z270,Z263)</f>
        <v>13.6575089172126</v>
      </c>
      <c r="AA271" s="1" t="n">
        <f aca="false">MIN(AA270,AA263)</f>
        <v>13.9712640603158</v>
      </c>
      <c r="AB271" s="1" t="n">
        <f aca="false">MIN(AB270,AB263)</f>
        <v>14.2922155757075</v>
      </c>
      <c r="AC271" s="1" t="n">
        <f aca="false">MIN(AC270,AC263)</f>
        <v>14.6205314396039</v>
      </c>
      <c r="AD271" s="1" t="n">
        <f aca="false">MIN(AD270,AD263)</f>
        <v>14.9563830984526</v>
      </c>
      <c r="AE271" s="1" t="n">
        <f aca="false">MIN(AE270,AE263)</f>
        <v>15.2999459172639</v>
      </c>
      <c r="AF271" s="1" t="n">
        <f aca="false">MIN(AF270,AF263)</f>
        <v>15.6513992718294</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0.0938261698313462</v>
      </c>
      <c r="M274" s="1" t="n">
        <f aca="false">IF(01_Supuestos!$C$174="Sí",01_Supuestos!$C$172*M271,01_Supuestos!$I$134*(M271+MIN(MIN(M270-M271,MAX(0,L120)),M264))+$C$10*MAX(0,MIN(M270-M271,MAX(0,L120))-M264))</f>
        <v>0.100746439361531</v>
      </c>
      <c r="N274" s="1" t="n">
        <f aca="false">IF(01_Supuestos!$C$174="Sí",01_Supuestos!$C$172*N271,01_Supuestos!$I$134*(N271+MIN(MIN(N270-N271,MAX(0,M120)),N264))+$C$10*MAX(0,MIN(N270-N271,MAX(0,M120))-N264))</f>
        <v>0.103414638621683</v>
      </c>
      <c r="O274" s="1" t="n">
        <f aca="false">IF(01_Supuestos!$C$174="Sí",01_Supuestos!$C$172*O271,01_Supuestos!$I$134*(O271+MIN(MIN(O270-O271,MAX(0,N120)),O264))+$C$10*MAX(0,MIN(O270-O271,MAX(0,N120))-O264))</f>
        <v>0.106279116135697</v>
      </c>
      <c r="P274" s="1" t="n">
        <f aca="false">IF(01_Supuestos!$C$174="Sí",01_Supuestos!$C$172*P271,01_Supuestos!$I$134*(P271+MIN(MIN(P270-P271,MAX(0,O120)),P264))+$C$10*MAX(0,MIN(P270-P271,MAX(0,O120))-P264))</f>
        <v>0.108815268702704</v>
      </c>
      <c r="Q274" s="1" t="n">
        <f aca="false">IF(01_Supuestos!$C$174="Sí",01_Supuestos!$C$172*Q271,01_Supuestos!$I$134*(Q271+MIN(MIN(Q270-Q271,MAX(0,P120)),Q264))+$C$10*MAX(0,MIN(Q270-Q271,MAX(0,P120))-Q264))</f>
        <v>0.111314863427223</v>
      </c>
      <c r="R274" s="1" t="n">
        <f aca="false">IF(01_Supuestos!$C$174="Sí",01_Supuestos!$C$172*R271,01_Supuestos!$I$134*(R271+MIN(MIN(R270-R271,MAX(0,Q120)),R264))+$C$10*MAX(0,MIN(R270-R271,MAX(0,Q120))-R264))</f>
        <v>0.113874404986379</v>
      </c>
      <c r="S274" s="1" t="n">
        <f aca="false">IF(01_Supuestos!$C$174="Sí",01_Supuestos!$C$172*S271,01_Supuestos!$I$134*(S271+MIN(MIN(S270-S271,MAX(0,R120)),S264))+$C$10*MAX(0,MIN(S270-S271,MAX(0,R120))-S264))</f>
        <v>0.11649244805406</v>
      </c>
      <c r="T274" s="1" t="n">
        <f aca="false">IF(01_Supuestos!$C$174="Sí",01_Supuestos!$C$172*T271,01_Supuestos!$I$134*(T271+MIN(MIN(T270-T271,MAX(0,S120)),T264))+$C$10*MAX(0,MIN(T270-T271,MAX(0,S120))-T264))</f>
        <v>0.119170450692581</v>
      </c>
      <c r="U274" s="1" t="n">
        <f aca="false">IF(01_Supuestos!$C$174="Sí",01_Supuestos!$C$172*U271,01_Supuestos!$I$134*(U271+MIN(MIN(U270-U271,MAX(0,T120)),U264))+$C$10*MAX(0,MIN(U270-U271,MAX(0,T120))-U264))</f>
        <v>0.121909840836847</v>
      </c>
      <c r="V274" s="1" t="n">
        <f aca="false">IF(01_Supuestos!$C$174="Sí",01_Supuestos!$C$172*V271,01_Supuestos!$I$134*(V271+MIN(MIN(V270-V271,MAX(0,U120)),V264))+$C$10*MAX(0,MIN(V270-V271,MAX(0,U120))-V264))</f>
        <v>0.124712060425411</v>
      </c>
      <c r="W274" s="1" t="n">
        <f aca="false">IF(01_Supuestos!$C$174="Sí",01_Supuestos!$C$172*W271,01_Supuestos!$I$134*(W271+MIN(MIN(W270-W271,MAX(0,V120)),W264))+$C$10*MAX(0,MIN(W270-W271,MAX(0,V120))-W264))</f>
        <v>0.127577965093316</v>
      </c>
      <c r="X274" s="1" t="n">
        <f aca="false">IF(01_Supuestos!$C$174="Sí",01_Supuestos!$C$172*X271,01_Supuestos!$I$134*(X271+MIN(MIN(X270-X271,MAX(0,W120)),X264))+$C$10*MAX(0,MIN(X270-X271,MAX(0,W120))-X264))</f>
        <v>0.130509332492393</v>
      </c>
      <c r="Y274" s="1" t="n">
        <f aca="false">IF(01_Supuestos!$C$174="Sí",01_Supuestos!$C$172*Y271,01_Supuestos!$I$134*(Y271+MIN(MIN(Y270-Y271,MAX(0,X120)),Y264))+$C$10*MAX(0,MIN(Y270-Y271,MAX(0,X120))-Y264))</f>
        <v>0.133507852774181</v>
      </c>
      <c r="Z274" s="1" t="n">
        <f aca="false">IF(01_Supuestos!$C$174="Sí",01_Supuestos!$C$172*Z271,01_Supuestos!$I$134*(Z271+MIN(MIN(Z270-Z271,MAX(0,Y120)),Z264))+$C$10*MAX(0,MIN(Z270-Z271,MAX(0,Y120))-Z264))</f>
        <v>0.136575089172126</v>
      </c>
      <c r="AA274" s="1" t="n">
        <f aca="false">IF(01_Supuestos!$C$174="Sí",01_Supuestos!$C$172*AA271,01_Supuestos!$I$134*(AA271+MIN(MIN(AA270-AA271,MAX(0,Z120)),AA264))+$C$10*MAX(0,MIN(AA270-AA271,MAX(0,Z120))-AA264))</f>
        <v>0.139712640603158</v>
      </c>
      <c r="AB274" s="1" t="n">
        <f aca="false">IF(01_Supuestos!$C$174="Sí",01_Supuestos!$C$172*AB271,01_Supuestos!$I$134*(AB271+MIN(MIN(AB270-AB271,MAX(0,AA120)),AB264))+$C$10*MAX(0,MIN(AB270-AB271,MAX(0,AA120))-AB264))</f>
        <v>0.142922155757075</v>
      </c>
      <c r="AC274" s="1" t="n">
        <f aca="false">IF(01_Supuestos!$C$174="Sí",01_Supuestos!$C$172*AC271,01_Supuestos!$I$134*(AC271+MIN(MIN(AC270-AC271,MAX(0,AB120)),AC264))+$C$10*MAX(0,MIN(AC270-AC271,MAX(0,AB120))-AC264))</f>
        <v>0.146205314396039</v>
      </c>
      <c r="AD274" s="1" t="n">
        <f aca="false">IF(01_Supuestos!$C$174="Sí",01_Supuestos!$C$172*AD271,01_Supuestos!$I$134*(AD271+MIN(MIN(AD270-AD271,MAX(0,AC120)),AD264))+$C$10*MAX(0,MIN(AD270-AD271,MAX(0,AC120))-AD264))</f>
        <v>0.149563830984526</v>
      </c>
      <c r="AE274" s="1" t="n">
        <f aca="false">IF(01_Supuestos!$C$174="Sí",01_Supuestos!$C$172*AE271,01_Supuestos!$I$134*(AE271+MIN(MIN(AE270-AE271,MAX(0,AD120)),AE264))+$C$10*MAX(0,MIN(AE270-AE271,MAX(0,AD120))-AE264))</f>
        <v>0.152999459172639</v>
      </c>
      <c r="AF274" s="1" t="n">
        <f aca="false">IF(01_Supuestos!$C$174="Sí",01_Supuestos!$C$172*AF271,01_Supuestos!$I$134*(AF271+MIN(MIN(AF270-AF271,MAX(0,AE120)),AF264))+$C$10*MAX(0,MIN(AF270-AF271,MAX(0,AE120))-AF264))</f>
        <v>0.156513992718294</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33.1280169060563</v>
      </c>
      <c r="E276" s="1" t="n">
        <f aca="false">E120-MAX(E264,E272)</f>
        <v>50.0498831427186</v>
      </c>
      <c r="F276" s="1" t="n">
        <f aca="false">F120-MAX(F264,F272)</f>
        <v>61.8615311429605</v>
      </c>
      <c r="G276" s="1" t="n">
        <f aca="false">G120-MAX(G264,G272)</f>
        <v>72.8447858473724</v>
      </c>
      <c r="H276" s="1" t="n">
        <f aca="false">H120-MAX(H264,H272)</f>
        <v>85.489047213793</v>
      </c>
      <c r="I276" s="1" t="n">
        <f aca="false">I120-MAX(I264,I272)</f>
        <v>99.8859200684854</v>
      </c>
      <c r="J276" s="1" t="n">
        <f aca="false">J120-MAX(J264,J272)</f>
        <v>115.612055639854</v>
      </c>
      <c r="K276" s="1" t="n">
        <f aca="false">K120-MAX(K264,K272)</f>
        <v>132.626319710305</v>
      </c>
      <c r="L276" s="1" t="n">
        <f aca="false">L120-MAX(L264,L272)</f>
        <v>149.676541722361</v>
      </c>
      <c r="M276" s="1" t="n">
        <f aca="false">M120-MAX(M264,M272)</f>
        <v>149.344933949558</v>
      </c>
      <c r="N276" s="1" t="n">
        <f aca="false">N120-MAX(N264,N272)</f>
        <v>150.995647108463</v>
      </c>
      <c r="O276" s="1" t="n">
        <f aca="false">O120-MAX(O264,O272)</f>
        <v>152.982960266457</v>
      </c>
      <c r="P276" s="1" t="n">
        <f aca="false">P120-MAX(P264,P272)</f>
        <v>154.300415339116</v>
      </c>
      <c r="Q276" s="1" t="n">
        <f aca="false">Q120-MAX(Q264,Q272)</f>
        <v>155.464886594235</v>
      </c>
      <c r="R276" s="1" t="n">
        <f aca="false">R120-MAX(R264,R272)</f>
        <v>156.282832330211</v>
      </c>
      <c r="S276" s="1" t="n">
        <f aca="false">S120-MAX(S264,S272)</f>
        <v>157.127114923365</v>
      </c>
      <c r="T276" s="1" t="n">
        <f aca="false">T120-MAX(T264,T272)</f>
        <v>157.998565987312</v>
      </c>
      <c r="U276" s="1" t="n">
        <f aca="false">U120-MAX(U264,U272)</f>
        <v>158.897596270442</v>
      </c>
      <c r="V276" s="1" t="n">
        <f aca="false">V120-MAX(V264,V272)</f>
        <v>159.824600340447</v>
      </c>
      <c r="W276" s="1" t="n">
        <f aca="false">W120-MAX(W264,W272)</f>
        <v>160.782225830163</v>
      </c>
      <c r="X276" s="1" t="n">
        <f aca="false">X120-MAX(X264,X272)</f>
        <v>161.771426342526</v>
      </c>
      <c r="Y276" s="1" t="n">
        <f aca="false">Y120-MAX(Y264,Y272)</f>
        <v>162.7929285138</v>
      </c>
      <c r="Z276" s="1" t="n">
        <f aca="false">Z120-MAX(Z264,Z272)</f>
        <v>163.847152805141</v>
      </c>
      <c r="AA276" s="1" t="n">
        <f aca="false">AA120-MAX(AA264,AA272)</f>
        <v>164.934537003483</v>
      </c>
      <c r="AB276" s="1" t="n">
        <f aca="false">AB120-MAX(AB264,AB272)</f>
        <v>166.055486899834</v>
      </c>
      <c r="AC276" s="1" t="n">
        <f aca="false">AC120-MAX(AC264,AC272)</f>
        <v>167.210414270124</v>
      </c>
      <c r="AD276" s="1" t="n">
        <f aca="false">AD120-MAX(AD264,AD272)</f>
        <v>168.399742314156</v>
      </c>
      <c r="AE276" s="1" t="n">
        <f aca="false">AE120-MAX(AE264,AE272)</f>
        <v>169.62391276401</v>
      </c>
      <c r="AF276" s="1" t="n">
        <f aca="false">AF120-MAX(AF264,AF272)</f>
        <v>170.883385860031</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39.9515643351644</v>
      </c>
      <c r="M284" s="1" t="n">
        <f aca="false">$C$279*M87</f>
        <v>49.1136605353627</v>
      </c>
      <c r="N284" s="1" t="n">
        <f aca="false">$C$279*N87</f>
        <v>52.8528158397428</v>
      </c>
      <c r="O284" s="1" t="n">
        <f aca="false">$C$279*O87</f>
        <v>53.9612381848173</v>
      </c>
      <c r="P284" s="1" t="n">
        <f aca="false">$C$279*P87</f>
        <v>55.1833183459313</v>
      </c>
      <c r="Q284" s="1" t="n">
        <f aca="false">$C$279*Q87</f>
        <v>56.4379710413199</v>
      </c>
      <c r="R284" s="1" t="n">
        <f aca="false">$C$279*R87</f>
        <v>57.729261658961</v>
      </c>
      <c r="S284" s="1" t="n">
        <f aca="false">$C$279*S87</f>
        <v>59.0577306673275</v>
      </c>
      <c r="T284" s="1" t="n">
        <f aca="false">$C$279*T87</f>
        <v>60.4241609685053</v>
      </c>
      <c r="U284" s="1" t="n">
        <f aca="false">$C$279*U87</f>
        <v>61.8289576807893</v>
      </c>
      <c r="V284" s="1" t="n">
        <f aca="false">$C$279*V87</f>
        <v>63.27254854662</v>
      </c>
      <c r="W284" s="1" t="n">
        <f aca="false">$C$279*W87</f>
        <v>64.7597577103952</v>
      </c>
      <c r="X284" s="1" t="n">
        <f aca="false">$C$279*X87</f>
        <v>66.291033204752</v>
      </c>
      <c r="Y284" s="1" t="n">
        <f aca="false">$C$279*Y87</f>
        <v>67.8668412664967</v>
      </c>
      <c r="Z284" s="1" t="n">
        <f aca="false">$C$279*Z87</f>
        <v>69.4876677410064</v>
      </c>
      <c r="AA284" s="1" t="n">
        <f aca="false">$C$279*AA87</f>
        <v>71.1540178533469</v>
      </c>
      <c r="AB284" s="1" t="n">
        <f aca="false">$C$279*AB87</f>
        <v>72.8663205164785</v>
      </c>
      <c r="AC284" s="1" t="n">
        <f aca="false">$C$279*AC87</f>
        <v>74.6250253148854</v>
      </c>
      <c r="AD284" s="1" t="n">
        <f aca="false">$C$279*AD87</f>
        <v>76.4306022573642</v>
      </c>
      <c r="AE284" s="1" t="n">
        <f aca="false">$C$279*AE87</f>
        <v>78.2835415285745</v>
      </c>
      <c r="AF284" s="1" t="n">
        <f aca="false">$C$279*AF87</f>
        <v>80.1843532744586</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1.99558063854146</v>
      </c>
      <c r="N285" s="1" t="n">
        <f aca="false">MAX(M284*(1-$C$340)/$C$280,M284-N341-N284)</f>
        <v>2.45322734374137</v>
      </c>
      <c r="O285" s="1" t="n">
        <f aca="false">MAX(N284*(1-$C$340)/$C$280,N284-O341-O284)</f>
        <v>2.63999815119515</v>
      </c>
      <c r="P285" s="1" t="n">
        <f aca="false">MAX(O284*(1-$C$340)/$C$280,O284-P341-P284)</f>
        <v>2.69536384733162</v>
      </c>
      <c r="Q285" s="1" t="n">
        <f aca="false">MAX(P284*(1-$C$340)/$C$280,P284-Q341-Q284)</f>
        <v>2.75640675137927</v>
      </c>
      <c r="R285" s="1" t="n">
        <f aca="false">MAX(Q284*(1-$C$340)/$C$280,Q284-R341-R284)</f>
        <v>2.81907665351393</v>
      </c>
      <c r="S285" s="1" t="n">
        <f aca="false">MAX(R284*(1-$C$340)/$C$280,R284-S341-S284)</f>
        <v>2.8835766198651</v>
      </c>
      <c r="T285" s="1" t="n">
        <f aca="false">MAX(S284*(1-$C$340)/$C$280,S284-T341-T284)</f>
        <v>2.94993364683301</v>
      </c>
      <c r="U285" s="1" t="n">
        <f aca="false">MAX(T284*(1-$C$340)/$C$280,T284-U341-U284)</f>
        <v>3.01818684037684</v>
      </c>
      <c r="V285" s="1" t="n">
        <f aca="false">MAX(U284*(1-$C$340)/$C$280,U284-V341-V284)</f>
        <v>3.08835643615543</v>
      </c>
      <c r="W285" s="1" t="n">
        <f aca="false">MAX(V284*(1-$C$340)/$C$280,V284-W341-W284)</f>
        <v>3.16046379990367</v>
      </c>
      <c r="X285" s="1" t="n">
        <f aca="false">MAX(W284*(1-$C$340)/$C$280,W284-X341-X284)</f>
        <v>3.23474989763424</v>
      </c>
      <c r="Y285" s="1" t="n">
        <f aca="false">MAX(X284*(1-$C$340)/$C$280,X284-Y341-Y284)</f>
        <v>3.31123710857736</v>
      </c>
      <c r="Z285" s="1" t="n">
        <f aca="false">MAX(Y284*(1-$C$340)/$C$280,Y284-Z341-Z284)</f>
        <v>3.38994872126151</v>
      </c>
      <c r="AA285" s="1" t="n">
        <f aca="false">MAX(Z284*(1-$C$340)/$C$280,Z284-AA341-AA284)</f>
        <v>3.47090900366327</v>
      </c>
      <c r="AB285" s="1" t="n">
        <f aca="false">MAX(AA284*(1-$C$340)/$C$280,AA284-AB341-AB284)</f>
        <v>3.55414319177468</v>
      </c>
      <c r="AC285" s="1" t="n">
        <f aca="false">MAX(AB284*(1-$C$340)/$C$280,AB284-AC341-AC284)</f>
        <v>3.6396727097981</v>
      </c>
      <c r="AD285" s="1" t="n">
        <f aca="false">MAX(AC284*(1-$C$340)/$C$280,AC284-AD341-AD284)</f>
        <v>3.72752001447853</v>
      </c>
      <c r="AE285" s="1" t="n">
        <f aca="false">MAX(AD284*(1-$C$340)/$C$280,AD284-AE341-AE284)</f>
        <v>3.81770858275534</v>
      </c>
      <c r="AF285" s="1" t="n">
        <f aca="false">MAX(AE284*(1-$C$340)/$C$280,AE284-AF341-AF284)</f>
        <v>3.9102628993523</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7.45431134650823</v>
      </c>
      <c r="M286" s="1" t="n">
        <f aca="false">M284-L284+M285+M341</f>
        <v>11.197628403075</v>
      </c>
      <c r="N286" s="1" t="n">
        <f aca="false">N284-M284+N285+N341</f>
        <v>6.2414963086568</v>
      </c>
      <c r="O286" s="1" t="n">
        <f aca="false">O284-N284+O285+O341</f>
        <v>3.80127331210938</v>
      </c>
      <c r="P286" s="1" t="n">
        <f aca="false">P284-O284+P285+P341</f>
        <v>3.97140524663045</v>
      </c>
      <c r="Q286" s="1" t="n">
        <f aca="false">Q284-P284+Q285+Q341</f>
        <v>4.06624276511379</v>
      </c>
      <c r="R286" s="1" t="n">
        <f aca="false">R284-Q284+R285+R341</f>
        <v>4.16680524219637</v>
      </c>
      <c r="S286" s="1" t="n">
        <f aca="false">S284-R284+S285+S341</f>
        <v>4.26977488989052</v>
      </c>
      <c r="T286" s="1" t="n">
        <f aca="false">T284-S284+T285+T341</f>
        <v>4.37542167867811</v>
      </c>
      <c r="U286" s="1" t="n">
        <f aca="false">U284-T284+U285+U341</f>
        <v>4.48340771362943</v>
      </c>
      <c r="V286" s="1" t="n">
        <f aca="false">V284-U284+V285+V341</f>
        <v>4.59377625966688</v>
      </c>
      <c r="W286" s="1" t="n">
        <f aca="false">W284-V284+W285+W341</f>
        <v>4.71094551222545</v>
      </c>
      <c r="X286" s="1" t="n">
        <f aca="false">X284-W284+X285+X341</f>
        <v>4.8307851497015</v>
      </c>
      <c r="Y286" s="1" t="n">
        <f aca="false">Y284-X284+Y285+Y341</f>
        <v>4.9533362035268</v>
      </c>
      <c r="Z286" s="1" t="n">
        <f aca="false">Z284-Y284+Z285+Z341</f>
        <v>5.07864203703771</v>
      </c>
      <c r="AA286" s="1" t="n">
        <f aca="false">AA284-Z284+AA285+AA341</f>
        <v>5.20674678374473</v>
      </c>
      <c r="AB286" s="1" t="n">
        <f aca="false">AB284-AA284+AB285+AB341</f>
        <v>5.33759987275969</v>
      </c>
      <c r="AC286" s="1" t="n">
        <f aca="false">AC284-AB284+AC285+AC341</f>
        <v>5.47124382872149</v>
      </c>
      <c r="AD286" s="1" t="n">
        <f aca="false">AD284-AC284+AD285+AD341</f>
        <v>5.60772198227221</v>
      </c>
      <c r="AE286" s="1" t="n">
        <f aca="false">AE284-AD284+AE285+AE341</f>
        <v>5.74707845622298</v>
      </c>
      <c r="AF286" s="1" t="n">
        <f aca="false">AF284-AE284+AF285+AF341</f>
        <v>5.889358186765</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1.71619934914566</v>
      </c>
      <c r="M287" s="1" t="n">
        <f aca="false">M284*(1-$C$340)*$C$175</f>
        <v>2.10977551561758</v>
      </c>
      <c r="N287" s="1" t="n">
        <f aca="false">N284*(1-$C$340)*$C$175</f>
        <v>2.27039841002783</v>
      </c>
      <c r="O287" s="1" t="n">
        <f aca="false">O284*(1-$C$340)*$C$175</f>
        <v>2.3180129087052</v>
      </c>
      <c r="P287" s="1" t="n">
        <f aca="false">P284*(1-$C$340)*$C$175</f>
        <v>2.37050980618617</v>
      </c>
      <c r="Q287" s="1" t="n">
        <f aca="false">Q284*(1-$C$340)*$C$175</f>
        <v>2.42440592202198</v>
      </c>
      <c r="R287" s="1" t="n">
        <f aca="false">R284*(1-$C$340)*$C$175</f>
        <v>2.47987589308399</v>
      </c>
      <c r="S287" s="1" t="n">
        <f aca="false">S284*(1-$C$340)*$C$175</f>
        <v>2.53694293627639</v>
      </c>
      <c r="T287" s="1" t="n">
        <f aca="false">T284*(1-$C$340)*$C$175</f>
        <v>2.59564068272408</v>
      </c>
      <c r="U287" s="1" t="n">
        <f aca="false">U284*(1-$C$340)*$C$175</f>
        <v>2.65598653509367</v>
      </c>
      <c r="V287" s="1" t="n">
        <f aca="false">V284*(1-$C$340)*$C$175</f>
        <v>2.71799886791716</v>
      </c>
      <c r="W287" s="1" t="n">
        <f aca="false">W284*(1-$C$340)*$C$175</f>
        <v>2.78188491196545</v>
      </c>
      <c r="X287" s="1" t="n">
        <f aca="false">X284*(1-$C$340)*$C$175</f>
        <v>2.84766391337653</v>
      </c>
      <c r="Y287" s="1" t="n">
        <f aca="false">Y284*(1-$C$340)*$C$175</f>
        <v>2.9153559002849</v>
      </c>
      <c r="Z287" s="1" t="n">
        <f aca="false">Z284*(1-$C$340)*$C$175</f>
        <v>2.98498174315041</v>
      </c>
      <c r="AA287" s="1" t="n">
        <f aca="false">AA284*(1-$C$340)*$C$175</f>
        <v>3.05656314492622</v>
      </c>
      <c r="AB287" s="1" t="n">
        <f aca="false">AB284*(1-$C$340)*$C$175</f>
        <v>3.13011853042637</v>
      </c>
      <c r="AC287" s="1" t="n">
        <f aca="false">AC284*(1-$C$340)*$C$175</f>
        <v>3.20566721245153</v>
      </c>
      <c r="AD287" s="1" t="n">
        <f aca="false">AD284*(1-$C$340)*$C$175</f>
        <v>3.2832293811696</v>
      </c>
      <c r="AE287" s="1" t="n">
        <f aca="false">AE284*(1-$C$340)*$C$175</f>
        <v>3.36282609344297</v>
      </c>
      <c r="AF287" s="1" t="n">
        <f aca="false">AF284*(1-$C$340)*$C$175</f>
        <v>3.44447926361092</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55.1712078914175</v>
      </c>
      <c r="M289" s="1" t="n">
        <f aca="false">(1-$C$279)*M87</f>
        <v>67.8236264535962</v>
      </c>
      <c r="N289" s="1" t="n">
        <f aca="false">(1-$C$279)*N87</f>
        <v>72.9872218739306</v>
      </c>
      <c r="O289" s="1" t="n">
        <f aca="false">(1-$C$279)*O87</f>
        <v>74.517900350462</v>
      </c>
      <c r="P289" s="1" t="n">
        <f aca="false">(1-$C$279)*P87</f>
        <v>76.2055348586671</v>
      </c>
      <c r="Q289" s="1" t="n">
        <f aca="false">(1-$C$279)*Q87</f>
        <v>77.9381504856322</v>
      </c>
      <c r="R289" s="1" t="n">
        <f aca="false">(1-$C$279)*R87</f>
        <v>79.7213613385652</v>
      </c>
      <c r="S289" s="1" t="n">
        <f aca="false">(1-$C$279)*S87</f>
        <v>81.5559137786903</v>
      </c>
      <c r="T289" s="1" t="n">
        <f aca="false">(1-$C$279)*T87</f>
        <v>83.4428889565073</v>
      </c>
      <c r="U289" s="1" t="n">
        <f aca="false">(1-$C$279)*U87</f>
        <v>85.3828463210901</v>
      </c>
      <c r="V289" s="1" t="n">
        <f aca="false">(1-$C$279)*V87</f>
        <v>87.37637656438</v>
      </c>
      <c r="W289" s="1" t="n">
        <f aca="false">(1-$C$279)*W87</f>
        <v>89.4301416000695</v>
      </c>
      <c r="X289" s="1" t="n">
        <f aca="false">(1-$C$279)*X87</f>
        <v>91.5447601398957</v>
      </c>
      <c r="Y289" s="1" t="n">
        <f aca="false">(1-$C$279)*Y87</f>
        <v>93.7208760346859</v>
      </c>
      <c r="Z289" s="1" t="n">
        <f aca="false">(1-$C$279)*Z87</f>
        <v>95.9591602137708</v>
      </c>
      <c r="AA289" s="1" t="n">
        <f aca="false">(1-$C$279)*AA87</f>
        <v>98.2603103689076</v>
      </c>
      <c r="AB289" s="1" t="n">
        <f aca="false">(1-$C$279)*AB87</f>
        <v>100.62491880847</v>
      </c>
      <c r="AC289" s="1" t="n">
        <f aca="false">(1-$C$279)*AC87</f>
        <v>103.053606387223</v>
      </c>
      <c r="AD289" s="1" t="n">
        <f aca="false">(1-$C$279)*AD87</f>
        <v>105.547022164932</v>
      </c>
      <c r="AE289" s="1" t="n">
        <f aca="false">(1-$C$279)*AE87</f>
        <v>108.10584306327</v>
      </c>
      <c r="AF289" s="1" t="n">
        <f aca="false">(1-$C$279)*AF87</f>
        <v>110.730773569491</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11.0232073367052</v>
      </c>
      <c r="N290" s="1" t="n">
        <f aca="false">MAX(M289*(1-$C$340)/$C$281+IF(AND(01_Supuestos!$C$189&gt;0,N$39=01_Supuestos!$C$189),01_Supuestos!$C$190*M289*(1-$C$340)*(1-1/$C$281),0),M289-N342-N289)</f>
        <v>13.5511605654285</v>
      </c>
      <c r="O290" s="1" t="n">
        <f aca="false">MAX(N289*(1-$C$340)/$C$281+IF(AND(01_Supuestos!$C$189&gt;0,O$39=01_Supuestos!$C$189),01_Supuestos!$C$190*N289*(1-$C$340)*(1-1/$C$281),0),N289-O342-O289)</f>
        <v>14.5828469304113</v>
      </c>
      <c r="P290" s="1" t="n">
        <f aca="false">MAX(O289*(1-$C$340)/$C$281+IF(AND(01_Supuestos!$C$189&gt;0,P$39=01_Supuestos!$C$189),01_Supuestos!$C$190*O289*(1-$C$340)*(1-1/$C$281),0),O289-P342-P289)</f>
        <v>14.8886764900223</v>
      </c>
      <c r="Q290" s="1" t="n">
        <f aca="false">MAX(P289*(1-$C$340)/$C$281+IF(AND(01_Supuestos!$C$189&gt;0,Q$39=01_Supuestos!$C$189),01_Supuestos!$C$190*P289*(1-$C$340)*(1-1/$C$281),0),P289-Q342-Q289)</f>
        <v>15.2258658647617</v>
      </c>
      <c r="R290" s="1" t="n">
        <f aca="false">MAX(Q289*(1-$C$340)/$C$281+IF(AND(01_Supuestos!$C$189&gt;0,R$39=01_Supuestos!$C$189),01_Supuestos!$C$190*Q289*(1-$C$340)*(1-1/$C$281),0),Q289-R342-R289)</f>
        <v>15.5720424670293</v>
      </c>
      <c r="S290" s="1" t="n">
        <f aca="false">MAX(R289*(1-$C$340)/$C$281+IF(AND(01_Supuestos!$C$189&gt;0,S$39=01_Supuestos!$C$189),01_Supuestos!$C$190*R289*(1-$C$340)*(1-1/$C$281),0),R289-S342-S289)</f>
        <v>15.9283279954453</v>
      </c>
      <c r="T290" s="1" t="n">
        <f aca="false">MAX(S289*(1-$C$340)/$C$281+IF(AND(01_Supuestos!$C$189&gt;0,T$39=01_Supuestos!$C$189),01_Supuestos!$C$190*S289*(1-$C$340)*(1-1/$C$281),0),S289-T342-T289)</f>
        <v>16.2948715729823</v>
      </c>
      <c r="U290" s="1" t="n">
        <f aca="false">MAX(T289*(1-$C$340)/$C$281+IF(AND(01_Supuestos!$C$189&gt;0,U$39=01_Supuestos!$C$189),01_Supuestos!$C$190*T289*(1-$C$340)*(1-1/$C$281),0),T289-U342-U289)</f>
        <v>16.6718892135102</v>
      </c>
      <c r="V290" s="1" t="n">
        <f aca="false">MAX(U289*(1-$C$340)/$C$281+IF(AND(01_Supuestos!$C$189&gt;0,V$39=01_Supuestos!$C$189),01_Supuestos!$C$190*U289*(1-$C$340)*(1-1/$C$281),0),U289-V342-V289)</f>
        <v>17.0594926949538</v>
      </c>
      <c r="W290" s="1" t="n">
        <f aca="false">MAX(V289*(1-$C$340)/$C$281+IF(AND(01_Supuestos!$C$189&gt;0,W$39=01_Supuestos!$C$189),01_Supuestos!$C$190*V289*(1-$C$340)*(1-1/$C$281),0),V289-W342-W289)</f>
        <v>17.4578000375631</v>
      </c>
      <c r="X290" s="1" t="n">
        <f aca="false">MAX(W289*(1-$C$340)/$C$281+IF(AND(01_Supuestos!$C$189&gt;0,X$39=01_Supuestos!$C$189),01_Supuestos!$C$190*W289*(1-$C$340)*(1-1/$C$281),0),W289-X342-X289)</f>
        <v>17.8681422916939</v>
      </c>
      <c r="Y290" s="1" t="n">
        <f aca="false">MAX(X289*(1-$C$340)/$C$281+IF(AND(01_Supuestos!$C$189&gt;0,Y$39=01_Supuestos!$C$189),01_Supuestos!$C$190*X289*(1-$C$340)*(1-1/$C$281),0),X289-Y342-Y289)</f>
        <v>18.2906430759512</v>
      </c>
      <c r="Z290" s="1" t="n">
        <f aca="false">MAX(Y289*(1-$C$340)/$C$281+IF(AND(01_Supuestos!$C$189&gt;0,Z$39=01_Supuestos!$C$189),01_Supuestos!$C$190*Y289*(1-$C$340)*(1-1/$C$281),0),Y289-Z342-Z289)</f>
        <v>18.7254310317303</v>
      </c>
      <c r="AA290" s="1" t="n">
        <f aca="false">MAX(Z289*(1-$C$340)/$C$281+IF(AND(01_Supuestos!$C$189&gt;0,AA$39=01_Supuestos!$C$189),01_Supuestos!$C$190*Z289*(1-$C$340)*(1-1/$C$281),0),Z289-AA342-AA289)</f>
        <v>19.1726402107114</v>
      </c>
      <c r="AB290" s="1" t="n">
        <f aca="false">MAX(AA289*(1-$C$340)/$C$281+IF(AND(01_Supuestos!$C$189&gt;0,AB$39=01_Supuestos!$C$189),01_Supuestos!$C$190*AA289*(1-$C$340)*(1-1/$C$281),0),AA289-AB342-AB289)</f>
        <v>19.6324100117077</v>
      </c>
      <c r="AC290" s="1" t="n">
        <f aca="false">MAX(AB289*(1-$C$340)/$C$281+IF(AND(01_Supuestos!$C$189&gt;0,AC$39=01_Supuestos!$C$189),01_Supuestos!$C$190*AB289*(1-$C$340)*(1-1/$C$281),0),AB289-AC342-AC289)</f>
        <v>20.1048587779324</v>
      </c>
      <c r="AD290" s="1" t="n">
        <f aca="false">MAX(AC289*(1-$C$340)/$C$281+IF(AND(01_Supuestos!$C$189&gt;0,AD$39=01_Supuestos!$C$189),01_Supuestos!$C$190*AC289*(1-$C$340)*(1-1/$C$281),0),AC289-AD342-AD289)</f>
        <v>20.5901105561671</v>
      </c>
      <c r="AE290" s="1" t="n">
        <f aca="false">MAX(AD289*(1-$C$340)/$C$281+IF(AND(01_Supuestos!$C$189&gt;0,AE$39=01_Supuestos!$C$189),01_Supuestos!$C$190*AD289*(1-$C$340)*(1-1/$C$281),0),AD289-AE342-AE289)</f>
        <v>21.0882950285533</v>
      </c>
      <c r="AF290" s="1" t="n">
        <f aca="false">MAX(AE289*(1-$C$340)/$C$281+IF(AND(01_Supuestos!$C$189&gt;0,AF$39=01_Supuestos!$C$189),01_Supuestos!$C$190*AE289*(1-$C$340)*(1-1/$C$281),0),AE289-AF342-AF289)</f>
        <v>21.5995474440413</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17.3799161953361</v>
      </c>
      <c r="M291" s="1" t="n">
        <f aca="false">M289-L289+M290+M342</f>
        <v>23.7307971067753</v>
      </c>
      <c r="N291" s="1" t="n">
        <f aca="false">N289-M289+N290+N342</f>
        <v>18.7825796122165</v>
      </c>
      <c r="O291" s="1" t="n">
        <f aca="false">O289-N289+O290+O342</f>
        <v>16.1865126288167</v>
      </c>
      <c r="P291" s="1" t="n">
        <f aca="false">P289-O289+P290+P342</f>
        <v>16.6508288985778</v>
      </c>
      <c r="Q291" s="1" t="n">
        <f aca="false">Q289-P289+Q290+Q342</f>
        <v>17.0346870265855</v>
      </c>
      <c r="R291" s="1" t="n">
        <f aca="false">R289-Q289+R290+R342</f>
        <v>17.4331914704479</v>
      </c>
      <c r="S291" s="1" t="n">
        <f aca="false">S289-R289+S290+S342</f>
        <v>17.842601796909</v>
      </c>
      <c r="T291" s="1" t="n">
        <f aca="false">T289-S289+T290+T342</f>
        <v>18.263402664578</v>
      </c>
      <c r="U291" s="1" t="n">
        <f aca="false">U289-T289+U290+U342</f>
        <v>18.6952894670495</v>
      </c>
      <c r="V291" s="1" t="n">
        <f aca="false">V289-U289+V290+V342</f>
        <v>19.1384057845649</v>
      </c>
      <c r="W291" s="1" t="n">
        <f aca="false">W289-V289+W290+W342</f>
        <v>19.598941449817</v>
      </c>
      <c r="X291" s="1" t="n">
        <f aca="false">X289-W289+X290+X342</f>
        <v>20.0721909731201</v>
      </c>
      <c r="Y291" s="1" t="n">
        <f aca="false">Y289-X289+Y290+Y342</f>
        <v>20.5583037308813</v>
      </c>
      <c r="Z291" s="1" t="n">
        <f aca="false">Z289-Y289+Z290+Z342</f>
        <v>21.0574360868498</v>
      </c>
      <c r="AA291" s="1" t="n">
        <f aca="false">AA289-Z289+AA290+AA342</f>
        <v>21.569749526062</v>
      </c>
      <c r="AB291" s="1" t="n">
        <f aca="false">AB289-AA289+AB290+AB342</f>
        <v>22.0952787616394</v>
      </c>
      <c r="AC291" s="1" t="n">
        <f aca="false">AC289-AB289+AC290+AC342</f>
        <v>22.6341712754932</v>
      </c>
      <c r="AD291" s="1" t="n">
        <f aca="false">AD289-AC289+AD290+AD342</f>
        <v>23.1865799402632</v>
      </c>
      <c r="AE291" s="1" t="n">
        <f aca="false">AE289-AD289+AE290+AE342</f>
        <v>23.7526629490563</v>
      </c>
      <c r="AF291" s="1" t="n">
        <f aca="false">AF289-AE289+AF290+AF342</f>
        <v>24.3325837933255</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2.36998957739162</v>
      </c>
      <c r="M292" s="1" t="n">
        <f aca="false">M289*(1-$C$340)*$C$175</f>
        <v>2.91349952156713</v>
      </c>
      <c r="N292" s="1" t="n">
        <f aca="false">N289*(1-$C$340)*$C$175</f>
        <v>3.13531209003843</v>
      </c>
      <c r="O292" s="1" t="n">
        <f aca="false">O289*(1-$C$340)*$C$175</f>
        <v>3.2010654453548</v>
      </c>
      <c r="P292" s="1" t="n">
        <f aca="false">P289*(1-$C$340)*$C$175</f>
        <v>3.27356116092376</v>
      </c>
      <c r="Q292" s="1" t="n">
        <f aca="false">Q289*(1-$C$340)*$C$175</f>
        <v>3.3479891304113</v>
      </c>
      <c r="R292" s="1" t="n">
        <f aca="false">R289*(1-$C$340)*$C$175</f>
        <v>3.42459051902075</v>
      </c>
      <c r="S292" s="1" t="n">
        <f aca="false">S289*(1-$C$340)*$C$175</f>
        <v>3.5033973881912</v>
      </c>
      <c r="T292" s="1" t="n">
        <f aca="false">T289*(1-$C$340)*$C$175</f>
        <v>3.58445618090468</v>
      </c>
      <c r="U292" s="1" t="n">
        <f aca="false">U289*(1-$C$340)*$C$175</f>
        <v>3.66779092941507</v>
      </c>
      <c r="V292" s="1" t="n">
        <f aca="false">V289*(1-$C$340)*$C$175</f>
        <v>3.75342700807607</v>
      </c>
      <c r="W292" s="1" t="n">
        <f aca="false">W289*(1-$C$340)*$C$175</f>
        <v>3.84165059271419</v>
      </c>
      <c r="X292" s="1" t="n">
        <f aca="false">X289*(1-$C$340)*$C$175</f>
        <v>3.9324882613295</v>
      </c>
      <c r="Y292" s="1" t="n">
        <f aca="false">Y289*(1-$C$340)*$C$175</f>
        <v>4.025967671822</v>
      </c>
      <c r="Z292" s="1" t="n">
        <f aca="false">Z289*(1-$C$340)*$C$175</f>
        <v>4.12211764530295</v>
      </c>
      <c r="AA292" s="1" t="n">
        <f aca="false">AA289*(1-$C$340)*$C$175</f>
        <v>4.22096815251716</v>
      </c>
      <c r="AB292" s="1" t="n">
        <f aca="false">AB289*(1-$C$340)*$C$175</f>
        <v>4.32254463725546</v>
      </c>
      <c r="AC292" s="1" t="n">
        <f aca="false">AC289*(1-$C$340)*$C$175</f>
        <v>4.42687376957593</v>
      </c>
      <c r="AD292" s="1" t="n">
        <f aca="false">AD289*(1-$C$340)*$C$175</f>
        <v>4.53398343113897</v>
      </c>
      <c r="AE292" s="1" t="n">
        <f aca="false">AE289*(1-$C$340)*$C$175</f>
        <v>4.64390270046887</v>
      </c>
      <c r="AF292" s="1" t="n">
        <f aca="false">AF289*(1-$C$340)*$C$175</f>
        <v>4.7566618402246</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41.9758987230249</v>
      </c>
      <c r="M294" s="116" t="n">
        <f aca="false">M85</f>
        <v>33.5807189784199</v>
      </c>
      <c r="N294" s="116" t="n">
        <f aca="false">N85</f>
        <v>28.1398823909552</v>
      </c>
      <c r="O294" s="116" t="n">
        <f aca="false">O85</f>
        <v>29.0423197317557</v>
      </c>
      <c r="P294" s="116" t="n">
        <f aca="false">P85</f>
        <v>29.7555986025785</v>
      </c>
      <c r="Q294" s="116" t="n">
        <f aca="false">Q85</f>
        <v>30.4746526717897</v>
      </c>
      <c r="R294" s="116" t="n">
        <f aca="false">R85</f>
        <v>31.1917190077866</v>
      </c>
      <c r="S294" s="116" t="n">
        <f aca="false">S85</f>
        <v>31.9074714254173</v>
      </c>
      <c r="T294" s="116" t="n">
        <f aca="false">T85</f>
        <v>32.6220516114655</v>
      </c>
      <c r="U294" s="116" t="n">
        <f aca="false">U85</f>
        <v>33.3365468699376</v>
      </c>
      <c r="V294" s="116" t="n">
        <f aca="false">V85</f>
        <v>34.0520378308688</v>
      </c>
      <c r="W294" s="116" t="n">
        <f aca="false">W85</f>
        <v>34.7591857790671</v>
      </c>
      <c r="X294" s="116" t="n">
        <f aca="false">X85</f>
        <v>35.4591207019433</v>
      </c>
      <c r="Y294" s="116" t="n">
        <f aca="false">Y85</f>
        <v>36.15297976848</v>
      </c>
      <c r="Z294" s="116" t="n">
        <f aca="false">Z85</f>
        <v>36.8419051474876</v>
      </c>
      <c r="AA294" s="116" t="n">
        <f aca="false">AA85</f>
        <v>37.5270457413624</v>
      </c>
      <c r="AB294" s="116" t="n">
        <f aca="false">AB85</f>
        <v>38.2097862398311</v>
      </c>
      <c r="AC294" s="116" t="n">
        <f aca="false">AC85</f>
        <v>38.8915174506617</v>
      </c>
      <c r="AD294" s="116" t="n">
        <f aca="false">AD85</f>
        <v>39.5736381609878</v>
      </c>
      <c r="AE294" s="116" t="n">
        <f aca="false">AE85</f>
        <v>40.2575570308551</v>
      </c>
      <c r="AF294" s="116" t="n">
        <f aca="false">AF85</f>
        <v>40.9446944360721</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8.39517974460498</v>
      </c>
      <c r="N295" s="1" t="n">
        <f aca="false">MAX(M294/$C$282,M294-N294)</f>
        <v>5.44083658746472</v>
      </c>
      <c r="O295" s="1" t="n">
        <f aca="false">MAX(N294/$C$282,N294-O294)</f>
        <v>2.81398823909552</v>
      </c>
      <c r="P295" s="1" t="n">
        <f aca="false">MAX(O294/$C$282,O294-P294)</f>
        <v>2.90423197317557</v>
      </c>
      <c r="Q295" s="1" t="n">
        <f aca="false">MAX(P294/$C$282,P294-Q294)</f>
        <v>2.97555986025785</v>
      </c>
      <c r="R295" s="1" t="n">
        <f aca="false">MAX(Q294/$C$282,Q294-R294)</f>
        <v>3.04746526717897</v>
      </c>
      <c r="S295" s="1" t="n">
        <f aca="false">MAX(R294/$C$282,R294-S294)</f>
        <v>3.11917190077866</v>
      </c>
      <c r="T295" s="1" t="n">
        <f aca="false">MAX(S294/$C$282,S294-T294)</f>
        <v>3.19074714254173</v>
      </c>
      <c r="U295" s="1" t="n">
        <f aca="false">MAX(T294/$C$282,T294-U294)</f>
        <v>3.26220516114655</v>
      </c>
      <c r="V295" s="1" t="n">
        <f aca="false">MAX(U294/$C$282,U294-V294)</f>
        <v>3.33365468699376</v>
      </c>
      <c r="W295" s="1" t="n">
        <f aca="false">MAX(V294/$C$282,V294-W294)</f>
        <v>3.40520378308688</v>
      </c>
      <c r="X295" s="1" t="n">
        <f aca="false">MAX(W294/$C$282,W294-X294)</f>
        <v>3.47591857790671</v>
      </c>
      <c r="Y295" s="1" t="n">
        <f aca="false">MAX(X294/$C$282,X294-Y294)</f>
        <v>3.54591207019433</v>
      </c>
      <c r="Z295" s="1" t="n">
        <f aca="false">MAX(Y294/$C$282,Y294-Z294)</f>
        <v>3.615297976848</v>
      </c>
      <c r="AA295" s="1" t="n">
        <f aca="false">MAX(Z294/$C$282,Z294-AA294)</f>
        <v>3.68419051474876</v>
      </c>
      <c r="AB295" s="1" t="n">
        <f aca="false">MAX(AA294/$C$282,AA294-AB294)</f>
        <v>3.75270457413624</v>
      </c>
      <c r="AC295" s="1" t="n">
        <f aca="false">MAX(AB294/$C$282,AB294-AC294)</f>
        <v>3.82097862398311</v>
      </c>
      <c r="AD295" s="1" t="n">
        <f aca="false">MAX(AC294/$C$282,AC294-AD294)</f>
        <v>3.88915174506617</v>
      </c>
      <c r="AE295" s="1" t="n">
        <f aca="false">MAX(AD294/$C$282,AD294-AE294)</f>
        <v>3.95736381609878</v>
      </c>
      <c r="AF295" s="1" t="n">
        <f aca="false">MAX(AE294/$C$282,AE294-AF294)</f>
        <v>4.02575570308551</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5.60178469810331</v>
      </c>
      <c r="M296" s="1" t="n">
        <f aca="false">M294-L294+M295</f>
        <v>0</v>
      </c>
      <c r="N296" s="1" t="n">
        <f aca="false">N294-M294+N295</f>
        <v>0</v>
      </c>
      <c r="O296" s="1" t="n">
        <f aca="false">O294-N294+O295</f>
        <v>3.71642557989603</v>
      </c>
      <c r="P296" s="1" t="n">
        <f aca="false">P294-O294+P295</f>
        <v>3.61751084399832</v>
      </c>
      <c r="Q296" s="1" t="n">
        <f aca="false">Q294-P294+Q295</f>
        <v>3.69461392946908</v>
      </c>
      <c r="R296" s="1" t="n">
        <f aca="false">R294-Q294+R295</f>
        <v>3.7645316031759</v>
      </c>
      <c r="S296" s="1" t="n">
        <f aca="false">S294-R294+S295</f>
        <v>3.83492431840932</v>
      </c>
      <c r="T296" s="1" t="n">
        <f aca="false">T294-S294+T295</f>
        <v>3.90532732858999</v>
      </c>
      <c r="U296" s="1" t="n">
        <f aca="false">U294-T294+U295</f>
        <v>3.97670041961865</v>
      </c>
      <c r="V296" s="1" t="n">
        <f aca="false">V294-U294+V295</f>
        <v>4.04914564792493</v>
      </c>
      <c r="W296" s="1" t="n">
        <f aca="false">W294-V294+W295</f>
        <v>4.11235173128516</v>
      </c>
      <c r="X296" s="1" t="n">
        <f aca="false">X294-W294+X295</f>
        <v>4.17585350078295</v>
      </c>
      <c r="Y296" s="1" t="n">
        <f aca="false">Y294-X294+Y295</f>
        <v>4.23977113673097</v>
      </c>
      <c r="Z296" s="1" t="n">
        <f aca="false">Z294-Y294+Z295</f>
        <v>4.30422335585567</v>
      </c>
      <c r="AA296" s="1" t="n">
        <f aca="false">AA294-Z294+AA295</f>
        <v>4.36933110862355</v>
      </c>
      <c r="AB296" s="1" t="n">
        <f aca="false">AB294-AA294+AB295</f>
        <v>4.43544507260497</v>
      </c>
      <c r="AC296" s="1" t="n">
        <f aca="false">AC294-AB294+AC295</f>
        <v>4.50270983481368</v>
      </c>
      <c r="AD296" s="1" t="n">
        <f aca="false">AD294-AC294+AD295</f>
        <v>4.5712724553923</v>
      </c>
      <c r="AE296" s="1" t="n">
        <f aca="false">AE294-AD294+AE295</f>
        <v>4.64128268596601</v>
      </c>
      <c r="AF296" s="1" t="n">
        <f aca="false">AF294-AE294+AF295</f>
        <v>4.71289310830254</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1.679035948921</v>
      </c>
      <c r="M297" s="1" t="n">
        <f aca="false">M294*01_Supuestos!$I$126</f>
        <v>1.3432287591368</v>
      </c>
      <c r="N297" s="1" t="n">
        <f aca="false">N294*01_Supuestos!$I$126</f>
        <v>1.12559529563821</v>
      </c>
      <c r="O297" s="1" t="n">
        <f aca="false">O294*01_Supuestos!$I$126</f>
        <v>1.16169278927023</v>
      </c>
      <c r="P297" s="1" t="n">
        <f aca="false">P294*01_Supuestos!$I$126</f>
        <v>1.19022394410314</v>
      </c>
      <c r="Q297" s="1" t="n">
        <f aca="false">Q294*01_Supuestos!$I$126</f>
        <v>1.21898610687159</v>
      </c>
      <c r="R297" s="1" t="n">
        <f aca="false">R294*01_Supuestos!$I$126</f>
        <v>1.24766876031146</v>
      </c>
      <c r="S297" s="1" t="n">
        <f aca="false">S294*01_Supuestos!$I$126</f>
        <v>1.27629885701669</v>
      </c>
      <c r="T297" s="1" t="n">
        <f aca="false">T294*01_Supuestos!$I$126</f>
        <v>1.30488206445862</v>
      </c>
      <c r="U297" s="1" t="n">
        <f aca="false">U294*01_Supuestos!$I$126</f>
        <v>1.33346187479751</v>
      </c>
      <c r="V297" s="1" t="n">
        <f aca="false">V294*01_Supuestos!$I$126</f>
        <v>1.36208151323475</v>
      </c>
      <c r="W297" s="1" t="n">
        <f aca="false">W294*01_Supuestos!$I$126</f>
        <v>1.39036743116268</v>
      </c>
      <c r="X297" s="1" t="n">
        <f aca="false">X294*01_Supuestos!$I$126</f>
        <v>1.41836482807773</v>
      </c>
      <c r="Y297" s="1" t="n">
        <f aca="false">Y294*01_Supuestos!$I$126</f>
        <v>1.4461191907392</v>
      </c>
      <c r="Z297" s="1" t="n">
        <f aca="false">Z294*01_Supuestos!$I$126</f>
        <v>1.47367620589951</v>
      </c>
      <c r="AA297" s="1" t="n">
        <f aca="false">AA294*01_Supuestos!$I$126</f>
        <v>1.5010818296545</v>
      </c>
      <c r="AB297" s="1" t="n">
        <f aca="false">AB294*01_Supuestos!$I$126</f>
        <v>1.52839144959325</v>
      </c>
      <c r="AC297" s="1" t="n">
        <f aca="false">AC294*01_Supuestos!$I$126</f>
        <v>1.55566069802647</v>
      </c>
      <c r="AD297" s="1" t="n">
        <f aca="false">AD294*01_Supuestos!$I$126</f>
        <v>1.58294552643951</v>
      </c>
      <c r="AE297" s="1" t="n">
        <f aca="false">AE294*01_Supuestos!$I$126</f>
        <v>1.6103022812342</v>
      </c>
      <c r="AF297" s="1" t="n">
        <f aca="false">AF294*01_Supuestos!$I$126</f>
        <v>1.63778777744288</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34.9284255098503</v>
      </c>
      <c r="N299" s="1" t="n">
        <f aca="false">N286+N291+N296</f>
        <v>25.0240759208733</v>
      </c>
      <c r="O299" s="1" t="n">
        <f aca="false">O286+O291+O296</f>
        <v>23.7042115208221</v>
      </c>
      <c r="P299" s="1" t="n">
        <f aca="false">P286+P291+P296</f>
        <v>24.2397449892066</v>
      </c>
      <c r="Q299" s="1" t="n">
        <f aca="false">Q286+Q291+Q296</f>
        <v>24.7955437211684</v>
      </c>
      <c r="R299" s="1" t="n">
        <f aca="false">R286+R291+R296</f>
        <v>25.3645283158202</v>
      </c>
      <c r="S299" s="1" t="n">
        <f aca="false">S286+S291+S296</f>
        <v>25.9473010052088</v>
      </c>
      <c r="T299" s="1" t="n">
        <f aca="false">T286+T291+T296</f>
        <v>26.5441516718461</v>
      </c>
      <c r="U299" s="1" t="n">
        <f aca="false">U286+U291+U296</f>
        <v>27.1553976002975</v>
      </c>
      <c r="V299" s="1" t="n">
        <f aca="false">V286+V291+V296</f>
        <v>27.7813276921567</v>
      </c>
      <c r="W299" s="1" t="n">
        <f aca="false">W286+W291+W296</f>
        <v>28.4222386933276</v>
      </c>
      <c r="X299" s="1" t="n">
        <f aca="false">X286+X291+X296</f>
        <v>29.0788296236045</v>
      </c>
      <c r="Y299" s="1" t="n">
        <f aca="false">Y286+Y291+Y296</f>
        <v>29.7514110711391</v>
      </c>
      <c r="Z299" s="1" t="n">
        <f aca="false">Z286+Z291+Z296</f>
        <v>30.4403014797431</v>
      </c>
      <c r="AA299" s="1" t="n">
        <f aca="false">AA286+AA291+AA296</f>
        <v>31.1458274184303</v>
      </c>
      <c r="AB299" s="1" t="n">
        <f aca="false">AB286+AB291+AB296</f>
        <v>31.8683237070041</v>
      </c>
      <c r="AC299" s="1" t="n">
        <f aca="false">AC286+AC291+AC296</f>
        <v>32.6081249390284</v>
      </c>
      <c r="AD299" s="1" t="n">
        <f aca="false">AD286+AD291+AD296</f>
        <v>33.3655743779277</v>
      </c>
      <c r="AE299" s="1" t="n">
        <f aca="false">AE286+AE291+AE296</f>
        <v>34.1410240912453</v>
      </c>
      <c r="AF299" s="1" t="n">
        <f aca="false">AF286+AF291+AF296</f>
        <v>34.934835088393</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21.4139677198517</v>
      </c>
      <c r="N300" s="1" t="n">
        <f aca="false">N285+N290+N295</f>
        <v>21.4452244966346</v>
      </c>
      <c r="O300" s="1" t="n">
        <f aca="false">O285+O290+O295</f>
        <v>20.036833320702</v>
      </c>
      <c r="P300" s="1" t="n">
        <f aca="false">P285+P290+P295</f>
        <v>20.4882723105295</v>
      </c>
      <c r="Q300" s="1" t="n">
        <f aca="false">Q285+Q290+Q295</f>
        <v>20.9578324763988</v>
      </c>
      <c r="R300" s="1" t="n">
        <f aca="false">R285+R290+R295</f>
        <v>21.4385843877222</v>
      </c>
      <c r="S300" s="1" t="n">
        <f aca="false">S285+S290+S295</f>
        <v>21.9310765160891</v>
      </c>
      <c r="T300" s="1" t="n">
        <f aca="false">T285+T290+T295</f>
        <v>22.4355523623571</v>
      </c>
      <c r="U300" s="1" t="n">
        <f aca="false">U285+U290+U295</f>
        <v>22.9522812150335</v>
      </c>
      <c r="V300" s="1" t="n">
        <f aca="false">V285+V290+V295</f>
        <v>23.481503818103</v>
      </c>
      <c r="W300" s="1" t="n">
        <f aca="false">W285+W290+W295</f>
        <v>24.0234676205537</v>
      </c>
      <c r="X300" s="1" t="n">
        <f aca="false">X285+X290+X295</f>
        <v>24.5788107672348</v>
      </c>
      <c r="Y300" s="1" t="n">
        <f aca="false">Y285+Y290+Y295</f>
        <v>25.1477922547228</v>
      </c>
      <c r="Z300" s="1" t="n">
        <f aca="false">Z285+Z290+Z295</f>
        <v>25.7306777298398</v>
      </c>
      <c r="AA300" s="1" t="n">
        <f aca="false">AA285+AA290+AA295</f>
        <v>26.3277397291234</v>
      </c>
      <c r="AB300" s="1" t="n">
        <f aca="false">AB285+AB290+AB295</f>
        <v>26.9392577776187</v>
      </c>
      <c r="AC300" s="1" t="n">
        <f aca="false">AC285+AC290+AC295</f>
        <v>27.5655101117136</v>
      </c>
      <c r="AD300" s="1" t="n">
        <f aca="false">AD285+AD290+AD295</f>
        <v>28.2067823157118</v>
      </c>
      <c r="AE300" s="1" t="n">
        <f aca="false">AE285+AE290+AE295</f>
        <v>28.8633674274075</v>
      </c>
      <c r="AF300" s="1" t="n">
        <f aca="false">AF285+AF290+AF295</f>
        <v>29.5355660464791</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5.76522487545828</v>
      </c>
      <c r="M302" s="1" t="n">
        <f aca="false">M287+M292+M297</f>
        <v>6.3665037963215</v>
      </c>
      <c r="N302" s="1" t="n">
        <f aca="false">N287+N292+N297</f>
        <v>6.53130579570447</v>
      </c>
      <c r="O302" s="1" t="n">
        <f aca="false">O287+O292+O297</f>
        <v>6.68077114333022</v>
      </c>
      <c r="P302" s="1" t="n">
        <f aca="false">P287+P292+P297</f>
        <v>6.83429491121307</v>
      </c>
      <c r="Q302" s="1" t="n">
        <f aca="false">Q287+Q292+Q297</f>
        <v>6.99138115930487</v>
      </c>
      <c r="R302" s="1" t="n">
        <f aca="false">R287+R292+R297</f>
        <v>7.1521351724162</v>
      </c>
      <c r="S302" s="1" t="n">
        <f aca="false">S287+S292+S297</f>
        <v>7.31663918148428</v>
      </c>
      <c r="T302" s="1" t="n">
        <f aca="false">T287+T292+T297</f>
        <v>7.48497892808738</v>
      </c>
      <c r="U302" s="1" t="n">
        <f aca="false">U287+U292+U297</f>
        <v>7.65723933930624</v>
      </c>
      <c r="V302" s="1" t="n">
        <f aca="false">V287+V292+V297</f>
        <v>7.83350738922798</v>
      </c>
      <c r="W302" s="1" t="n">
        <f aca="false">W287+W292+W297</f>
        <v>8.01390293584232</v>
      </c>
      <c r="X302" s="1" t="n">
        <f aca="false">X287+X292+X297</f>
        <v>8.19851700278376</v>
      </c>
      <c r="Y302" s="1" t="n">
        <f aca="false">Y287+Y292+Y297</f>
        <v>8.3874427628461</v>
      </c>
      <c r="Z302" s="1" t="n">
        <f aca="false">Z287+Z292+Z297</f>
        <v>8.58077559435287</v>
      </c>
      <c r="AA302" s="1" t="n">
        <f aca="false">AA287+AA292+AA297</f>
        <v>8.77861312709788</v>
      </c>
      <c r="AB302" s="1" t="n">
        <f aca="false">AB287+AB292+AB297</f>
        <v>8.98105461727507</v>
      </c>
      <c r="AC302" s="1" t="n">
        <f aca="false">AC287+AC292+AC297</f>
        <v>9.18820168005393</v>
      </c>
      <c r="AD302" s="1" t="n">
        <f aca="false">AD287+AD292+AD297</f>
        <v>9.40015833874807</v>
      </c>
      <c r="AE302" s="1" t="n">
        <f aca="false">AE287+AE292+AE297</f>
        <v>9.61703107514605</v>
      </c>
      <c r="AF302" s="1" t="n">
        <f aca="false">AF287+AF292+AF297</f>
        <v>9.83892888127841</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349.799156025208</v>
      </c>
      <c r="M307" s="116" t="n">
        <f aca="false">M81</f>
        <v>362.419591755768</v>
      </c>
      <c r="N307" s="116" t="n">
        <f aca="false">N81</f>
        <v>375.198431879403</v>
      </c>
      <c r="O307" s="116" t="n">
        <f aca="false">O81</f>
        <v>387.230929756743</v>
      </c>
      <c r="P307" s="116" t="n">
        <f aca="false">P81</f>
        <v>396.741314701046</v>
      </c>
      <c r="Q307" s="116" t="n">
        <f aca="false">Q81</f>
        <v>406.328702290529</v>
      </c>
      <c r="R307" s="116" t="n">
        <f aca="false">R81</f>
        <v>415.889586770488</v>
      </c>
      <c r="S307" s="116" t="n">
        <f aca="false">S81</f>
        <v>425.432952338897</v>
      </c>
      <c r="T307" s="116" t="n">
        <f aca="false">T81</f>
        <v>434.960688152874</v>
      </c>
      <c r="U307" s="116" t="n">
        <f aca="false">U81</f>
        <v>444.487291599169</v>
      </c>
      <c r="V307" s="116" t="n">
        <f aca="false">V81</f>
        <v>454.027171078251</v>
      </c>
      <c r="W307" s="116" t="n">
        <f aca="false">W81</f>
        <v>463.455810387561</v>
      </c>
      <c r="X307" s="116" t="n">
        <f aca="false">X81</f>
        <v>472.788276025911</v>
      </c>
      <c r="Y307" s="116" t="n">
        <f aca="false">Y81</f>
        <v>482.0397302464</v>
      </c>
      <c r="Z307" s="116" t="n">
        <f aca="false">Z81</f>
        <v>491.225401966502</v>
      </c>
      <c r="AA307" s="116" t="n">
        <f aca="false">AA81</f>
        <v>500.360609884832</v>
      </c>
      <c r="AB307" s="116" t="n">
        <f aca="false">AB81</f>
        <v>509.463816531082</v>
      </c>
      <c r="AC307" s="116" t="n">
        <f aca="false">AC81</f>
        <v>518.553566008823</v>
      </c>
      <c r="AD307" s="116" t="n">
        <f aca="false">AD81</f>
        <v>527.648508813171</v>
      </c>
      <c r="AE307" s="116" t="n">
        <f aca="false">AE81</f>
        <v>536.767427078068</v>
      </c>
      <c r="AF307" s="116" t="n">
        <f aca="false">AF81</f>
        <v>545.929259147628</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212.700485075601</v>
      </c>
      <c r="M309" s="1" t="n">
        <f aca="false">M307-M308</f>
        <v>211.901585788389</v>
      </c>
      <c r="N309" s="1" t="n">
        <f aca="false">N307-N308</f>
        <v>221.218511774774</v>
      </c>
      <c r="O309" s="1" t="n">
        <f aca="false">O307-O308</f>
        <v>229.709471489708</v>
      </c>
      <c r="P309" s="1" t="n">
        <f aca="false">P307-P308</f>
        <v>235.596862893869</v>
      </c>
      <c r="Q309" s="1" t="n">
        <f aca="false">Q307-Q308</f>
        <v>241.477928091787</v>
      </c>
      <c r="R309" s="1" t="n">
        <f aca="false">R307-R308</f>
        <v>247.247244765175</v>
      </c>
      <c r="S309" s="1" t="n">
        <f aca="false">S307-S308</f>
        <v>252.911836467462</v>
      </c>
      <c r="T309" s="1" t="n">
        <f aca="false">T307-T308</f>
        <v>258.471586616396</v>
      </c>
      <c r="U309" s="1" t="n">
        <f aca="false">U307-U308</f>
        <v>263.938940727352</v>
      </c>
      <c r="V309" s="1" t="n">
        <f aca="false">V307-V308</f>
        <v>269.326208136382</v>
      </c>
      <c r="W309" s="1" t="n">
        <f aca="false">W307-W308</f>
        <v>274.506725298029</v>
      </c>
      <c r="X309" s="1" t="n">
        <f aca="false">X307-X308</f>
        <v>279.49336197932</v>
      </c>
      <c r="Y309" s="1" t="n">
        <f aca="false">Y307-Y308</f>
        <v>284.299033176737</v>
      </c>
      <c r="Z309" s="1" t="n">
        <f aca="false">Z307-Z308</f>
        <v>288.936668864237</v>
      </c>
      <c r="AA309" s="1" t="n">
        <f aca="false">AA307-AA308</f>
        <v>293.419235921216</v>
      </c>
      <c r="AB309" s="1" t="n">
        <f aca="false">AB307-AB308</f>
        <v>297.762790966302</v>
      </c>
      <c r="AC309" s="1" t="n">
        <f aca="false">AC307-AC308</f>
        <v>301.983416856053</v>
      </c>
      <c r="AD309" s="1" t="n">
        <f aca="false">AD307-AD308</f>
        <v>306.097246229888</v>
      </c>
      <c r="AE309" s="1" t="n">
        <f aca="false">AE307-AE308</f>
        <v>310.120485455368</v>
      </c>
      <c r="AF309" s="1" t="n">
        <f aca="false">AF307-AF308</f>
        <v>314.069437867607</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39.1935396607209</v>
      </c>
      <c r="M310" s="1" t="n">
        <f aca="false">IF(M307&gt;0,100*M308/M307,0)</f>
        <v>41.5314208699876</v>
      </c>
      <c r="N310" s="1" t="n">
        <f aca="false">IF(N307&gt;0,100*N308/N307,0)</f>
        <v>41.0395958568721</v>
      </c>
      <c r="O310" s="1" t="n">
        <f aca="false">IF(O307&gt;0,100*O308/O307,0)</f>
        <v>40.6789453430255</v>
      </c>
      <c r="P310" s="1" t="n">
        <f aca="false">IF(P307&gt;0,100*P308/P307,0)</f>
        <v>40.6170080695032</v>
      </c>
      <c r="Q310" s="1" t="n">
        <f aca="false">IF(Q307&gt;0,100*Q308/Q307,0)</f>
        <v>40.5707923829786</v>
      </c>
      <c r="R310" s="1" t="n">
        <f aca="false">IF(R307&gt;0,100*R308/R307,0)</f>
        <v>40.5497870997139</v>
      </c>
      <c r="S310" s="1" t="n">
        <f aca="false">IF(S307&gt;0,100*S308/S307,0)</f>
        <v>40.5518930592866</v>
      </c>
      <c r="T310" s="1" t="n">
        <f aca="false">IF(T307&gt;0,100*T308/T307,0)</f>
        <v>40.5758741751963</v>
      </c>
      <c r="U310" s="1" t="n">
        <f aca="false">IF(U307&gt;0,100*U308/U307,0)</f>
        <v>40.6194629822246</v>
      </c>
      <c r="V310" s="1" t="n">
        <f aca="false">IF(V307&gt;0,100*V308/V307,0)</f>
        <v>40.6805968249059</v>
      </c>
      <c r="W310" s="1" t="n">
        <f aca="false">IF(W307&gt;0,100*W308/W307,0)</f>
        <v>40.7696010826846</v>
      </c>
      <c r="X310" s="1" t="n">
        <f aca="false">IF(X307&gt;0,100*X308/X307,0)</f>
        <v>40.8840328426413</v>
      </c>
      <c r="Y310" s="1" t="n">
        <f aca="false">IF(Y307&gt;0,100*Y308/Y307,0)</f>
        <v>41.0216595566895</v>
      </c>
      <c r="Z310" s="1" t="n">
        <f aca="false">IF(Z307&gt;0,100*Z308/Z307,0)</f>
        <v>41.1804300617295</v>
      </c>
      <c r="AA310" s="1" t="n">
        <f aca="false">IF(AA307&gt;0,100*AA308/AA307,0)</f>
        <v>41.3584462636354</v>
      </c>
      <c r="AB310" s="1" t="n">
        <f aca="false">IF(AB307&gt;0,100*AB308/AB307,0)</f>
        <v>41.5536920769454</v>
      </c>
      <c r="AC310" s="1" t="n">
        <f aca="false">IF(AC307&gt;0,100*AC308/AC307,0)</f>
        <v>41.7642772799069</v>
      </c>
      <c r="AD310" s="1" t="n">
        <f aca="false">IF(AD307&gt;0,100*AD308/AD307,0)</f>
        <v>41.9884182145448</v>
      </c>
      <c r="AE310" s="1" t="n">
        <f aca="false">IF(AE307&gt;0,100*AE308/AE307,0)</f>
        <v>42.2244216375923</v>
      </c>
      <c r="AF310" s="1" t="n">
        <f aca="false">IF(AF307&gt;0,100*AF308/AF307,0)</f>
        <v>42.4706713177508</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5.76522487545828</v>
      </c>
      <c r="M314" s="1" t="n">
        <f aca="false">M302</f>
        <v>6.3665037963215</v>
      </c>
      <c r="N314" s="1" t="n">
        <f aca="false">N302</f>
        <v>6.53130579570447</v>
      </c>
      <c r="O314" s="1" t="n">
        <f aca="false">O302</f>
        <v>6.68077114333022</v>
      </c>
      <c r="P314" s="1" t="n">
        <f aca="false">P302</f>
        <v>6.83429491121307</v>
      </c>
      <c r="Q314" s="1" t="n">
        <f aca="false">Q302</f>
        <v>6.99138115930487</v>
      </c>
      <c r="R314" s="1" t="n">
        <f aca="false">R302</f>
        <v>7.1521351724162</v>
      </c>
      <c r="S314" s="1" t="n">
        <f aca="false">S302</f>
        <v>7.31663918148428</v>
      </c>
      <c r="T314" s="1" t="n">
        <f aca="false">T302</f>
        <v>7.48497892808738</v>
      </c>
      <c r="U314" s="1" t="n">
        <f aca="false">U302</f>
        <v>7.65723933930624</v>
      </c>
      <c r="V314" s="1" t="n">
        <f aca="false">V302</f>
        <v>7.83350738922798</v>
      </c>
      <c r="W314" s="1" t="n">
        <f aca="false">W302</f>
        <v>8.01390293584232</v>
      </c>
      <c r="X314" s="1" t="n">
        <f aca="false">X302</f>
        <v>8.19851700278376</v>
      </c>
      <c r="Y314" s="1" t="n">
        <f aca="false">Y302</f>
        <v>8.3874427628461</v>
      </c>
      <c r="Z314" s="1" t="n">
        <f aca="false">Z302</f>
        <v>8.58077559435287</v>
      </c>
      <c r="AA314" s="1" t="n">
        <f aca="false">AA302</f>
        <v>8.77861312709788</v>
      </c>
      <c r="AB314" s="1" t="n">
        <f aca="false">AB302</f>
        <v>8.98105461727507</v>
      </c>
      <c r="AC314" s="1" t="n">
        <f aca="false">AC302</f>
        <v>9.18820168005393</v>
      </c>
      <c r="AD314" s="1" t="n">
        <f aca="false">AD302</f>
        <v>9.40015833874807</v>
      </c>
      <c r="AE314" s="1" t="n">
        <f aca="false">AE302</f>
        <v>9.61703107514605</v>
      </c>
      <c r="AF314" s="1" t="n">
        <f aca="false">AF302</f>
        <v>9.83892888127841</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1.16225927861473</v>
      </c>
      <c r="S315" s="116" t="n">
        <f aca="false">S56</f>
        <v>1.1913157605801</v>
      </c>
      <c r="T315" s="116" t="n">
        <f aca="false">T56</f>
        <v>1.2210986545946</v>
      </c>
      <c r="U315" s="116" t="n">
        <f aca="false">U56</f>
        <v>1.25162612095947</v>
      </c>
      <c r="V315" s="116" t="n">
        <f aca="false">V56</f>
        <v>1.28291677398346</v>
      </c>
      <c r="W315" s="116" t="n">
        <f aca="false">W56</f>
        <v>1.31498969333304</v>
      </c>
      <c r="X315" s="116" t="n">
        <f aca="false">X56</f>
        <v>1.34786443566637</v>
      </c>
      <c r="Y315" s="116" t="n">
        <f aca="false">Y56</f>
        <v>1.38156104655803</v>
      </c>
      <c r="Z315" s="116" t="n">
        <f aca="false">Z56</f>
        <v>1.41610007272198</v>
      </c>
      <c r="AA315" s="116" t="n">
        <f aca="false">AA56</f>
        <v>1.45150257454003</v>
      </c>
      <c r="AB315" s="116" t="n">
        <f aca="false">AB56</f>
        <v>1.48779013890353</v>
      </c>
      <c r="AC315" s="116" t="n">
        <f aca="false">AC56</f>
        <v>1.52498489237611</v>
      </c>
      <c r="AD315" s="116" t="n">
        <f aca="false">AD56</f>
        <v>1.56310951468552</v>
      </c>
      <c r="AE315" s="116" t="n">
        <f aca="false">AE56</f>
        <v>1.60218725255266</v>
      </c>
      <c r="AF315" s="116" t="n">
        <f aca="false">AF56</f>
        <v>1.64224193386647</v>
      </c>
    </row>
    <row r="316" customFormat="false" ht="14.25" hidden="false" customHeight="true" outlineLevel="0" collapsed="false">
      <c r="B316" s="84" t="s">
        <v>1308</v>
      </c>
      <c r="C316" s="1" t="n">
        <f aca="false">IF(C313&gt;0,100*(C314+C315)/C313,0)</f>
        <v>57.066429452404</v>
      </c>
      <c r="D316" s="1" t="n">
        <f aca="false">IF(D313&gt;0,100*(D314+D315)/D313,0)</f>
        <v>48.8274483834642</v>
      </c>
      <c r="E316" s="1" t="n">
        <f aca="false">IF(E313&gt;0,100*(E314+E315)/E313,0)</f>
        <v>47.6514402741486</v>
      </c>
      <c r="F316" s="1" t="n">
        <f aca="false">IF(F313&gt;0,100*(F314+F315)/F313,0)</f>
        <v>26.9990174466285</v>
      </c>
      <c r="G316" s="1" t="n">
        <f aca="false">IF(G313&gt;0,100*(G314+G315)/G313,0)</f>
        <v>32.191742531</v>
      </c>
      <c r="H316" s="1" t="n">
        <f aca="false">IF(H313&gt;0,100*(H314+H315)/H313,0)</f>
        <v>37.4787778154359</v>
      </c>
      <c r="I316" s="1" t="n">
        <f aca="false">IF(I313&gt;0,100*(I314+I315)/I313,0)</f>
        <v>42.8359936611859</v>
      </c>
      <c r="J316" s="1" t="n">
        <f aca="false">IF(J313&gt;0,100*(J314+J315)/J313,0)</f>
        <v>48.2405150894827</v>
      </c>
      <c r="K316" s="1" t="n">
        <f aca="false">IF(K313&gt;0,100*(K314+K315)/K313,0)</f>
        <v>53.671045735849</v>
      </c>
      <c r="L316" s="1" t="n">
        <f aca="false">IF(L313&gt;0,100*(L314+L315)/L313,0)</f>
        <v>59.1078634200925</v>
      </c>
      <c r="M316" s="1" t="n">
        <f aca="false">IF(M313&gt;0,100*(M314+M315)/M313,0)</f>
        <v>63.551357072015</v>
      </c>
      <c r="N316" s="1" t="n">
        <f aca="false">IF(N313&gt;0,100*(N314+N315)/N313,0)</f>
        <v>63.9960990320742</v>
      </c>
      <c r="O316" s="1" t="n">
        <f aca="false">IF(O313&gt;0,100*(O314+O315)/O313,0)</f>
        <v>64.0306796587466</v>
      </c>
      <c r="P316" s="1" t="n">
        <f aca="false">IF(P313&gt;0,100*(P314+P315)/P313,0)</f>
        <v>63.0816453777093</v>
      </c>
      <c r="Q316" s="1" t="n">
        <f aca="false">IF(Q313&gt;0,100*(Q314+Q315)/Q313,0)</f>
        <v>62.2773093519876</v>
      </c>
      <c r="R316" s="1" t="n">
        <f aca="false">IF(R313&gt;0,100*(R314+R315)/R313,0)</f>
        <v>58.8749082931117</v>
      </c>
      <c r="S316" s="1" t="n">
        <f aca="false">IF(S313&gt;0,100*(S314+S315)/S313,0)</f>
        <v>58.3620506532954</v>
      </c>
      <c r="T316" s="1" t="n">
        <f aca="false">IF(T313&gt;0,100*(T314+T315)/T313,0)</f>
        <v>57.9559650256504</v>
      </c>
      <c r="U316" s="1" t="n">
        <f aca="false">IF(U313&gt;0,100*(U314+U315)/U313,0)</f>
        <v>57.6445275012572</v>
      </c>
      <c r="V316" s="1" t="n">
        <f aca="false">IF(V313&gt;0,100*(V314+V315)/V313,0)</f>
        <v>57.4175639005443</v>
      </c>
      <c r="W316" s="1" t="n">
        <f aca="false">IF(W313&gt;0,100*(W314+W315)/W313,0)</f>
        <v>57.2666628242919</v>
      </c>
      <c r="X316" s="1" t="n">
        <f aca="false">IF(X313&gt;0,100*(X314+X315)/X313,0)</f>
        <v>57.1844903443748</v>
      </c>
      <c r="Y316" s="1" t="n">
        <f aca="false">IF(Y313&gt;0,100*(Y314+Y315)/Y313,0)</f>
        <v>57.1647656827311</v>
      </c>
      <c r="Z316" s="1" t="n">
        <f aca="false">IF(Z313&gt;0,100*(Z314+Z315)/Z313,0)</f>
        <v>57.2020785707622</v>
      </c>
      <c r="AA316" s="1" t="n">
        <f aca="false">IF(AA313&gt;0,100*(AA314+AA315)/AA313,0)</f>
        <v>57.2917430079107</v>
      </c>
      <c r="AB316" s="1" t="n">
        <f aca="false">IF(AB313&gt;0,100*(AB314+AB315)/AB313,0)</f>
        <v>57.4296755670977</v>
      </c>
      <c r="AC316" s="1" t="n">
        <f aca="false">IF(AC313&gt;0,100*(AC314+AC315)/AC313,0)</f>
        <v>57.612303485932</v>
      </c>
      <c r="AD316" s="1" t="n">
        <f aca="false">IF(AD313&gt;0,100*(AD314+AD315)/AD313,0)</f>
        <v>57.8364860425337</v>
      </c>
      <c r="AE316" s="1" t="n">
        <f aca="false">IF(AE313&gt;0,100*(AE314+AE315)/AE313,0)</f>
        <v>58.0994497358844</v>
      </c>
      <c r="AF316" s="1" t="n">
        <f aca="false">IF(AF313&gt;0,100*(AF314+AF315)/AF313,0)</f>
        <v>58.3987345102687</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11.5866107968908</v>
      </c>
      <c r="M317" s="1" t="n">
        <f aca="false">$C$329*M291</f>
        <v>15.8205314045169</v>
      </c>
      <c r="N317" s="1" t="n">
        <f aca="false">$C$329*N291</f>
        <v>12.5217197414777</v>
      </c>
      <c r="O317" s="1" t="n">
        <f aca="false">$C$329*O291</f>
        <v>10.7910084192111</v>
      </c>
      <c r="P317" s="1" t="n">
        <f aca="false">$C$329*P291</f>
        <v>11.1005525990519</v>
      </c>
      <c r="Q317" s="1" t="n">
        <f aca="false">$C$329*Q291</f>
        <v>11.3564580177237</v>
      </c>
      <c r="R317" s="1" t="n">
        <f aca="false">$C$329*R291</f>
        <v>11.6221276469653</v>
      </c>
      <c r="S317" s="1" t="n">
        <f aca="false">$C$329*S291</f>
        <v>11.895067864606</v>
      </c>
      <c r="T317" s="1" t="n">
        <f aca="false">$C$329*T291</f>
        <v>12.1756017763853</v>
      </c>
      <c r="U317" s="1" t="n">
        <f aca="false">$C$329*U291</f>
        <v>12.4635263113663</v>
      </c>
      <c r="V317" s="1" t="n">
        <f aca="false">$C$329*V291</f>
        <v>12.7589371897099</v>
      </c>
      <c r="W317" s="1" t="n">
        <f aca="false">$C$329*W291</f>
        <v>13.0659609665447</v>
      </c>
      <c r="X317" s="1" t="n">
        <f aca="false">$C$329*X291</f>
        <v>13.3814606487467</v>
      </c>
      <c r="Y317" s="1" t="n">
        <f aca="false">$C$329*Y291</f>
        <v>13.7055358205876</v>
      </c>
      <c r="Z317" s="1" t="n">
        <f aca="false">$C$329*Z291</f>
        <v>14.0382907245665</v>
      </c>
      <c r="AA317" s="1" t="n">
        <f aca="false">$C$329*AA291</f>
        <v>14.3798330173747</v>
      </c>
      <c r="AB317" s="1" t="n">
        <f aca="false">$C$329*AB291</f>
        <v>14.730185841093</v>
      </c>
      <c r="AC317" s="1" t="n">
        <f aca="false">$C$329*AC291</f>
        <v>15.0894475169955</v>
      </c>
      <c r="AD317" s="1" t="n">
        <f aca="false">$C$329*AD291</f>
        <v>15.4577199601754</v>
      </c>
      <c r="AE317" s="1" t="n">
        <f aca="false">$C$329*AE291</f>
        <v>15.8351086327042</v>
      </c>
      <c r="AF317" s="1" t="n">
        <f aca="false">$C$329*AF291</f>
        <v>16.2217225288836</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7.38558569639776</v>
      </c>
      <c r="N318" s="1" t="n">
        <f aca="false">$C$329*(N290+(1-$C$279)*N332)</f>
        <v>9.07932279458808</v>
      </c>
      <c r="O318" s="1" t="n">
        <f aca="false">$C$329*(O290+(1-$C$279)*O332)</f>
        <v>9.77055610152351</v>
      </c>
      <c r="P318" s="1" t="n">
        <f aca="false">$C$329*(P290+(1-$C$279)*P332)</f>
        <v>9.97546292691518</v>
      </c>
      <c r="Q318" s="1" t="n">
        <f aca="false">$C$329*(Q290+(1-$C$279)*Q332)</f>
        <v>10.2013809330802</v>
      </c>
      <c r="R318" s="1" t="n">
        <f aca="false">$C$329*(R290+(1-$C$279)*R332)</f>
        <v>10.4333204116766</v>
      </c>
      <c r="S318" s="1" t="n">
        <f aca="false">$C$329*(S290+(1-$C$279)*S332)</f>
        <v>10.6720329045226</v>
      </c>
      <c r="T318" s="1" t="n">
        <f aca="false">$C$329*(T290+(1-$C$279)*T332)</f>
        <v>10.9176183245073</v>
      </c>
      <c r="U318" s="1" t="n">
        <f aca="false">$C$329*(U290+(1-$C$279)*U332)</f>
        <v>11.1702214016444</v>
      </c>
      <c r="V318" s="1" t="n">
        <f aca="false">$C$329*(V290+(1-$C$279)*V332)</f>
        <v>11.4299170275166</v>
      </c>
      <c r="W318" s="1" t="n">
        <f aca="false">$C$329*(W290+(1-$C$279)*W332)</f>
        <v>11.696784276085</v>
      </c>
      <c r="X318" s="1" t="n">
        <f aca="false">$C$329*(X290+(1-$C$279)*X332)</f>
        <v>11.9717149555293</v>
      </c>
      <c r="Y318" s="1" t="n">
        <f aca="false">$C$329*(Y290+(1-$C$279)*Y332)</f>
        <v>12.2547918907274</v>
      </c>
      <c r="Z318" s="1" t="n">
        <f aca="false">$C$329*(Z290+(1-$C$279)*Z332)</f>
        <v>12.5461012718433</v>
      </c>
      <c r="AA318" s="1" t="n">
        <f aca="false">$C$329*(AA290+(1-$C$279)*AA332)</f>
        <v>12.8457329139501</v>
      </c>
      <c r="AB318" s="1" t="n">
        <f aca="false">$C$329*(AB290+(1-$C$279)*AB332)</f>
        <v>13.1537802147178</v>
      </c>
      <c r="AC318" s="1" t="n">
        <f aca="false">$C$329*(AC290+(1-$C$279)*AC332)</f>
        <v>13.4703224644939</v>
      </c>
      <c r="AD318" s="1" t="n">
        <f aca="false">$C$329*(AD290+(1-$C$279)*AD332)</f>
        <v>13.7954427750362</v>
      </c>
      <c r="AE318" s="1" t="n">
        <f aca="false">$C$329*(AE290+(1-$C$279)*AE332)</f>
        <v>14.1292280338122</v>
      </c>
      <c r="AF318" s="1" t="n">
        <f aca="false">$C$329*(AF290+(1-$C$279)*AF332)</f>
        <v>14.4717688580697</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4.51903315921503</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5.90482050104414</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5.33856906289498</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4.4894744999111</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4.40926662163668</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4.51699266522229</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4.62228409586196</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4.73073312407833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4.84218731937619</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4.95661807104842</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5.0740337880496</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5.19568200893439</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5.32103429127849</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5.44980681105094</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5.58204079942871</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5.71777897766905</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5.85703905406535</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5.99985283920794</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6.14626073975218</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6.2963045858288</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6.45002762193551</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3.47598323906723</v>
      </c>
      <c r="M320" s="1" t="n">
        <f aca="false">01_Supuestos!$C$185*M317</f>
        <v>4.74615942135506</v>
      </c>
      <c r="N320" s="1" t="n">
        <f aca="false">01_Supuestos!$C$185*N317</f>
        <v>3.7565159224433</v>
      </c>
      <c r="O320" s="1" t="n">
        <f aca="false">01_Supuestos!$C$185*O317</f>
        <v>3.23730252576334</v>
      </c>
      <c r="P320" s="1" t="n">
        <f aca="false">01_Supuestos!$C$185*P317</f>
        <v>3.33016577971557</v>
      </c>
      <c r="Q320" s="1" t="n">
        <f aca="false">01_Supuestos!$C$185*Q317</f>
        <v>3.40693740531711</v>
      </c>
      <c r="R320" s="1" t="n">
        <f aca="false">01_Supuestos!$C$185*R317</f>
        <v>3.48663829408959</v>
      </c>
      <c r="S320" s="1" t="n">
        <f aca="false">01_Supuestos!$C$185*S317</f>
        <v>3.5685203593818</v>
      </c>
      <c r="T320" s="1" t="n">
        <f aca="false">01_Supuestos!$C$185*T317</f>
        <v>3.65268053291559</v>
      </c>
      <c r="U320" s="1" t="n">
        <f aca="false">01_Supuestos!$C$185*U317</f>
        <v>3.73905789340989</v>
      </c>
      <c r="V320" s="1" t="n">
        <f aca="false">01_Supuestos!$C$185*V317</f>
        <v>3.82768115691297</v>
      </c>
      <c r="W320" s="1" t="n">
        <f aca="false">01_Supuestos!$C$185*W317</f>
        <v>3.9197882899634</v>
      </c>
      <c r="X320" s="1" t="n">
        <f aca="false">01_Supuestos!$C$185*X317</f>
        <v>4.01443819462402</v>
      </c>
      <c r="Y320" s="1" t="n">
        <f aca="false">01_Supuestos!$C$185*Y317</f>
        <v>4.11166074617627</v>
      </c>
      <c r="Z320" s="1" t="n">
        <f aca="false">01_Supuestos!$C$185*Z317</f>
        <v>4.21148721736995</v>
      </c>
      <c r="AA320" s="1" t="n">
        <f aca="false">01_Supuestos!$C$185*AA317</f>
        <v>4.3139499052124</v>
      </c>
      <c r="AB320" s="1" t="n">
        <f aca="false">01_Supuestos!$C$185*AB317</f>
        <v>4.41905575232789</v>
      </c>
      <c r="AC320" s="1" t="n">
        <f aca="false">01_Supuestos!$C$185*AC317</f>
        <v>4.52683425509865</v>
      </c>
      <c r="AD320" s="1" t="n">
        <f aca="false">01_Supuestos!$C$185*AD317</f>
        <v>4.63731598805263</v>
      </c>
      <c r="AE320" s="1" t="n">
        <f aca="false">01_Supuestos!$C$185*AE317</f>
        <v>4.75053258981125</v>
      </c>
      <c r="AF320" s="1" t="n">
        <f aca="false">01_Supuestos!$C$185*AF317</f>
        <v>4.86651675866509</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4.51903315921503</v>
      </c>
      <c r="M321" s="1" t="n">
        <f aca="false">L321+M320-M323</f>
        <v>5.90482050104414</v>
      </c>
      <c r="N321" s="1" t="n">
        <f aca="false">M321+N320-N323</f>
        <v>5.33856906289498</v>
      </c>
      <c r="O321" s="1" t="n">
        <f aca="false">N321+O320-O323</f>
        <v>4.4894744999111</v>
      </c>
      <c r="P321" s="1" t="n">
        <f aca="false">O321+P320-P323</f>
        <v>4.40926662163668</v>
      </c>
      <c r="Q321" s="1" t="n">
        <f aca="false">P321+Q320-Q323</f>
        <v>4.51699266522229</v>
      </c>
      <c r="R321" s="1" t="n">
        <f aca="false">Q321+R320-R323</f>
        <v>4.62228409586196</v>
      </c>
      <c r="S321" s="1" t="n">
        <f aca="false">R321+S320-S323</f>
        <v>4.73073312407833</v>
      </c>
      <c r="T321" s="1" t="n">
        <f aca="false">S321+T320-T323</f>
        <v>4.84218731937619</v>
      </c>
      <c r="U321" s="1" t="n">
        <f aca="false">T321+U320-U323</f>
        <v>4.95661807104842</v>
      </c>
      <c r="V321" s="1" t="n">
        <f aca="false">U321+V320-V323</f>
        <v>5.0740337880496</v>
      </c>
      <c r="W321" s="1" t="n">
        <f aca="false">V321+W320-W323</f>
        <v>5.19568200893439</v>
      </c>
      <c r="X321" s="1" t="n">
        <f aca="false">W321+X320-X323</f>
        <v>5.32103429127849</v>
      </c>
      <c r="Y321" s="1" t="n">
        <f aca="false">X321+Y320-Y323</f>
        <v>5.44980681105094</v>
      </c>
      <c r="Z321" s="1" t="n">
        <f aca="false">Y321+Z320-Z323</f>
        <v>5.58204079942871</v>
      </c>
      <c r="AA321" s="1" t="n">
        <f aca="false">Z321+AA320-AA323</f>
        <v>5.71777897766905</v>
      </c>
      <c r="AB321" s="1" t="n">
        <f aca="false">AA321+AB320-AB323</f>
        <v>5.85703905406535</v>
      </c>
      <c r="AC321" s="1" t="n">
        <f aca="false">AB321+AC320-AC323</f>
        <v>5.99985283920794</v>
      </c>
      <c r="AD321" s="1" t="n">
        <f aca="false">AC321+AD320-AD323</f>
        <v>6.14626073975218</v>
      </c>
      <c r="AE321" s="1" t="n">
        <f aca="false">AD321+AE320-AE323</f>
        <v>6.2963045858288</v>
      </c>
      <c r="AF321" s="1" t="n">
        <f aca="false">AE321+AF320-AF323</f>
        <v>6.45002762193551</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3.36037207952595</v>
      </c>
      <c r="N323" s="1" t="n">
        <f aca="false">MAX(0,MIN(N318,M321+N320,M321+N320-N319))</f>
        <v>4.32276736059245</v>
      </c>
      <c r="O323" s="1" t="n">
        <f aca="false">MAX(0,MIN(O318,N321+O320,N321+O320-O319))</f>
        <v>4.08639708874722</v>
      </c>
      <c r="P323" s="1" t="n">
        <f aca="false">MAX(0,MIN(P318,O321+P320,O321+P320-P319))</f>
        <v>3.41037365798999</v>
      </c>
      <c r="Q323" s="1" t="n">
        <f aca="false">MAX(0,MIN(Q318,P321+Q320,P321+Q320-Q319))</f>
        <v>3.29921136173149</v>
      </c>
      <c r="R323" s="1" t="n">
        <f aca="false">MAX(0,MIN(R318,Q321+R320,Q321+R320-R319))</f>
        <v>3.38134686344993</v>
      </c>
      <c r="S323" s="1" t="n">
        <f aca="false">MAX(0,MIN(S318,R321+S320,R321+S320-S319))</f>
        <v>3.46007133116543</v>
      </c>
      <c r="T323" s="1" t="n">
        <f aca="false">MAX(0,MIN(T318,S321+T320,S321+T320-T319))</f>
        <v>3.54122633761773</v>
      </c>
      <c r="U323" s="1" t="n">
        <f aca="false">MAX(0,MIN(U318,T321+U320,T321+U320-U319))</f>
        <v>3.62462714173766</v>
      </c>
      <c r="V323" s="1" t="n">
        <f aca="false">MAX(0,MIN(V318,U321+V320,U321+V320-V319))</f>
        <v>3.71026543991179</v>
      </c>
      <c r="W323" s="1" t="n">
        <f aca="false">MAX(0,MIN(W318,V321+W320,V321+W320-W319))</f>
        <v>3.79814006907861</v>
      </c>
      <c r="X323" s="1" t="n">
        <f aca="false">MAX(0,MIN(X318,W321+X320,W321+X320-X319))</f>
        <v>3.88908591227993</v>
      </c>
      <c r="Y323" s="1" t="n">
        <f aca="false">MAX(0,MIN(Y318,X321+Y320,X321+Y320-Y319))</f>
        <v>3.98288822640381</v>
      </c>
      <c r="Z323" s="1" t="n">
        <f aca="false">MAX(0,MIN(Z318,Y321+Z320,Y321+Z320-Z319))</f>
        <v>4.07925322899218</v>
      </c>
      <c r="AA323" s="1" t="n">
        <f aca="false">MAX(0,MIN(AA318,Z321+AA320,Z321+AA320-AA319))</f>
        <v>4.17821172697206</v>
      </c>
      <c r="AB323" s="1" t="n">
        <f aca="false">MAX(0,MIN(AB318,AA321+AB320,AA321+AB320-AB319))</f>
        <v>4.27979567593158</v>
      </c>
      <c r="AC323" s="1" t="n">
        <f aca="false">MAX(0,MIN(AC318,AB321+AC320,AB321+AC320-AC319))</f>
        <v>4.38402046995606</v>
      </c>
      <c r="AD323" s="1" t="n">
        <f aca="false">MAX(0,MIN(AD318,AC321+AD320,AC321+AD320-AD319))</f>
        <v>4.49090808750839</v>
      </c>
      <c r="AE323" s="1" t="n">
        <f aca="false">MAX(0,MIN(AE318,AD321+AE320,AD321+AE320-AE319))</f>
        <v>4.60048874373464</v>
      </c>
      <c r="AF323" s="1" t="n">
        <f aca="false">MAX(0,MIN(AF318,AE321+AF320,AE321+AF320-AF319))</f>
        <v>4.71279372255838</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4.51903315921503</v>
      </c>
      <c r="M326" s="1" t="n">
        <f aca="false">IF(01_Supuestos!$C$184="Sí",M321,$C$172*M83)</f>
        <v>5.90482050104414</v>
      </c>
      <c r="N326" s="1" t="n">
        <f aca="false">IF(01_Supuestos!$C$184="Sí",N321,$C$172*N83)</f>
        <v>5.33856906289498</v>
      </c>
      <c r="O326" s="1" t="n">
        <f aca="false">IF(01_Supuestos!$C$184="Sí",O321,$C$172*O83)</f>
        <v>4.4894744999111</v>
      </c>
      <c r="P326" s="1" t="n">
        <f aca="false">IF(01_Supuestos!$C$184="Sí",P321,$C$172*P83)</f>
        <v>4.40926662163668</v>
      </c>
      <c r="Q326" s="1" t="n">
        <f aca="false">IF(01_Supuestos!$C$184="Sí",Q321,$C$172*Q83)</f>
        <v>4.51699266522229</v>
      </c>
      <c r="R326" s="1" t="n">
        <f aca="false">IF(01_Supuestos!$C$184="Sí",R321,$C$172*R83)</f>
        <v>4.62228409586196</v>
      </c>
      <c r="S326" s="1" t="n">
        <f aca="false">IF(01_Supuestos!$C$184="Sí",S321,$C$172*S83)</f>
        <v>4.73073312407833</v>
      </c>
      <c r="T326" s="1" t="n">
        <f aca="false">IF(01_Supuestos!$C$184="Sí",T321,$C$172*T83)</f>
        <v>4.84218731937619</v>
      </c>
      <c r="U326" s="1" t="n">
        <f aca="false">IF(01_Supuestos!$C$184="Sí",U321,$C$172*U83)</f>
        <v>4.95661807104842</v>
      </c>
      <c r="V326" s="1" t="n">
        <f aca="false">IF(01_Supuestos!$C$184="Sí",V321,$C$172*V83)</f>
        <v>5.0740337880496</v>
      </c>
      <c r="W326" s="1" t="n">
        <f aca="false">IF(01_Supuestos!$C$184="Sí",W321,$C$172*W83)</f>
        <v>5.19568200893439</v>
      </c>
      <c r="X326" s="1" t="n">
        <f aca="false">IF(01_Supuestos!$C$184="Sí",X321,$C$172*X83)</f>
        <v>5.32103429127849</v>
      </c>
      <c r="Y326" s="1" t="n">
        <f aca="false">IF(01_Supuestos!$C$184="Sí",Y321,$C$172*Y83)</f>
        <v>5.44980681105094</v>
      </c>
      <c r="Z326" s="1" t="n">
        <f aca="false">IF(01_Supuestos!$C$184="Sí",Z321,$C$172*Z83)</f>
        <v>5.58204079942871</v>
      </c>
      <c r="AA326" s="1" t="n">
        <f aca="false">IF(01_Supuestos!$C$184="Sí",AA321,$C$172*AA83)</f>
        <v>5.71777897766905</v>
      </c>
      <c r="AB326" s="1" t="n">
        <f aca="false">IF(01_Supuestos!$C$184="Sí",AB321,$C$172*AB83)</f>
        <v>5.85703905406535</v>
      </c>
      <c r="AC326" s="1" t="n">
        <f aca="false">IF(01_Supuestos!$C$184="Sí",AC321,$C$172*AC83)</f>
        <v>5.99985283920794</v>
      </c>
      <c r="AD326" s="1" t="n">
        <f aca="false">IF(01_Supuestos!$C$184="Sí",AD321,$C$172*AD83)</f>
        <v>6.14626073975218</v>
      </c>
      <c r="AE326" s="1" t="n">
        <f aca="false">IF(01_Supuestos!$C$184="Sí",AE321,$C$172*AE83)</f>
        <v>6.2963045858288</v>
      </c>
      <c r="AF326" s="1" t="n">
        <f aca="false">IF(01_Supuestos!$C$184="Sí",AF321,$C$172*AF83)</f>
        <v>6.45002762193551</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0.114206263674219</v>
      </c>
      <c r="N327" s="1" t="n">
        <f aca="false">IF(01_Supuestos!$C$184="Sí",MAX(0.001,IF(M299&gt;0,M320/M299,$C$328*(1-$C$279))),$C$172)</f>
        <v>0.135882432490883</v>
      </c>
      <c r="O327" s="1" t="n">
        <f aca="false">IF(01_Supuestos!$C$184="Sí",MAX(0.001,IF(N299&gt;0,N320/N299,$C$328*(1-$C$279))),$C$172)</f>
        <v>0.150116069593199</v>
      </c>
      <c r="P327" s="1" t="n">
        <f aca="false">IF(01_Supuestos!$C$184="Sí",MAX(0.001,IF(O299&gt;0,O320/O299,$C$328*(1-$C$279))),$C$172)</f>
        <v>0.136570774476917</v>
      </c>
      <c r="Q327" s="1" t="n">
        <f aca="false">IF(01_Supuestos!$C$184="Sí",MAX(0.001,IF(P299&gt;0,P320/P299,$C$328*(1-$C$279))),$C$172)</f>
        <v>0.13738452204008</v>
      </c>
      <c r="R327" s="1" t="n">
        <f aca="false">IF(01_Supuestos!$C$184="Sí",MAX(0.001,IF(Q299&gt;0,Q320/Q299,$C$328*(1-$C$279))),$C$172)</f>
        <v>0.137401197716368</v>
      </c>
      <c r="S327" s="1" t="n">
        <f aca="false">IF(01_Supuestos!$C$184="Sí",MAX(0.001,IF(R299&gt;0,R320/R299,$C$328*(1-$C$279))),$C$172)</f>
        <v>0.137461191892732</v>
      </c>
      <c r="T327" s="1" t="n">
        <f aca="false">IF(01_Supuestos!$C$184="Sí",MAX(0.001,IF(S299&gt;0,S320/S299,$C$328*(1-$C$279))),$C$172)</f>
        <v>0.137529539533435</v>
      </c>
      <c r="U327" s="1" t="n">
        <f aca="false">IF(01_Supuestos!$C$184="Sí",MAX(0.001,IF(T299&gt;0,T320/T299,$C$328*(1-$C$279))),$C$172)</f>
        <v>0.137607732884897</v>
      </c>
      <c r="V327" s="1" t="n">
        <f aca="false">IF(01_Supuestos!$C$184="Sí",MAX(0.001,IF(U299&gt;0,U320/U299,$C$328*(1-$C$279))),$C$172)</f>
        <v>0.137691148862756</v>
      </c>
      <c r="W327" s="1" t="n">
        <f aca="false">IF(01_Supuestos!$C$184="Sí",MAX(0.001,IF(V299&gt;0,V320/V299,$C$328*(1-$C$279))),$C$172)</f>
        <v>0.137778913928351</v>
      </c>
      <c r="X327" s="1" t="n">
        <f aca="false">IF(01_Supuestos!$C$184="Sí",MAX(0.001,IF(W299&gt;0,W320/W299,$C$328*(1-$C$279))),$C$172)</f>
        <v>0.137912721522658</v>
      </c>
      <c r="Y327" s="1" t="n">
        <f aca="false">IF(01_Supuestos!$C$184="Sí",MAX(0.001,IF(X299&gt;0,X320/X299,$C$328*(1-$C$279))),$C$172)</f>
        <v>0.138053637185086</v>
      </c>
      <c r="Z327" s="1" t="n">
        <f aca="false">IF(01_Supuestos!$C$184="Sí",MAX(0.001,IF(Y299&gt;0,Y320/Y299,$C$328*(1-$C$279))),$C$172)</f>
        <v>0.138200528920958</v>
      </c>
      <c r="AA327" s="1" t="n">
        <f aca="false">IF(01_Supuestos!$C$184="Sí",MAX(0.001,IF(Z299&gt;0,Z320/Z299,$C$328*(1-$C$279))),$C$172)</f>
        <v>0.138352349111014</v>
      </c>
      <c r="AB327" s="1" t="n">
        <f aca="false">IF(01_Supuestos!$C$184="Sí",MAX(0.001,IF(AA299&gt;0,AA320/AA299,$C$328*(1-$C$279))),$C$172)</f>
        <v>0.138508116906204</v>
      </c>
      <c r="AC327" s="1" t="n">
        <f aca="false">IF(01_Supuestos!$C$184="Sí",MAX(0.001,IF(AB299&gt;0,AB320/AB299,$C$328*(1-$C$279))),$C$172)</f>
        <v>0.138666087145232</v>
      </c>
      <c r="AD327" s="1" t="n">
        <f aca="false">IF(01_Supuestos!$C$184="Sí",MAX(0.001,IF(AC299&gt;0,AC320/AC299,$C$328*(1-$C$279))),$C$172)</f>
        <v>0.138825346859504</v>
      </c>
      <c r="AE327" s="1" t="n">
        <f aca="false">IF(01_Supuestos!$C$184="Sí",MAX(0.001,IF(AD299&gt;0,AD320/AD299,$C$328*(1-$C$279))),$C$172)</f>
        <v>0.138985048946748</v>
      </c>
      <c r="AF327" s="1" t="n">
        <f aca="false">IF(01_Supuestos!$C$184="Sí",MAX(0.001,IF(AE299&gt;0,AE320/AE299,$C$328*(1-$C$279))),$C$172)</f>
        <v>0.139144408120711</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0.0951227722265819</v>
      </c>
      <c r="N330" s="1" t="n">
        <f aca="false">N343</f>
        <v>0.116937286988959</v>
      </c>
      <c r="O330" s="1" t="n">
        <f aca="false">O343</f>
        <v>0.125840037713673</v>
      </c>
      <c r="P330" s="1" t="n">
        <f aca="false">P343</f>
        <v>0.128479138535279</v>
      </c>
      <c r="Q330" s="1" t="n">
        <f aca="false">Q343</f>
        <v>0.131388853204598</v>
      </c>
      <c r="R330" s="1" t="n">
        <f aca="false">R343</f>
        <v>0.134376121526952</v>
      </c>
      <c r="S330" s="1" t="n">
        <f aca="false">S343</f>
        <v>0.137450622997526</v>
      </c>
      <c r="T330" s="1" t="n">
        <f aca="false">T343</f>
        <v>0.140613644446018</v>
      </c>
      <c r="U330" s="1" t="n">
        <f aca="false">U343</f>
        <v>0.143867049925013</v>
      </c>
      <c r="V330" s="1" t="n">
        <f aca="false">V343</f>
        <v>0.147211804001879</v>
      </c>
      <c r="W330" s="1" t="n">
        <f aca="false">W343</f>
        <v>0.150648925111</v>
      </c>
      <c r="X330" s="1" t="n">
        <f aca="false">X343</f>
        <v>0.154189899310465</v>
      </c>
      <c r="Y330" s="1" t="n">
        <f aca="false">Y343</f>
        <v>0.157835793344648</v>
      </c>
      <c r="Z330" s="1" t="n">
        <f aca="false">Z343</f>
        <v>0.161587717301183</v>
      </c>
      <c r="AA330" s="1" t="n">
        <f aca="false">AA343</f>
        <v>0.165446827954777</v>
      </c>
      <c r="AB330" s="1" t="n">
        <f aca="false">AB343</f>
        <v>0.169414328222254</v>
      </c>
      <c r="AC330" s="1" t="n">
        <f aca="false">AC343</f>
        <v>0.173491239324949</v>
      </c>
      <c r="AD330" s="1" t="n">
        <f aca="false">AD343</f>
        <v>0.177678631702108</v>
      </c>
      <c r="AE330" s="1" t="n">
        <f aca="false">AE343</f>
        <v>0.181977624422296</v>
      </c>
      <c r="AF330" s="1" t="n">
        <f aca="false">AF343</f>
        <v>0.186389384591844</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0.0951227722265819</v>
      </c>
      <c r="N331" s="1" t="n">
        <f aca="false">N330*$C$338</f>
        <v>0.116937286988959</v>
      </c>
      <c r="O331" s="1" t="n">
        <f aca="false">O330*$C$338</f>
        <v>0.125840037713673</v>
      </c>
      <c r="P331" s="1" t="n">
        <f aca="false">P330*$C$338</f>
        <v>0.128479138535279</v>
      </c>
      <c r="Q331" s="1" t="n">
        <f aca="false">Q330*$C$338</f>
        <v>0.131388853204598</v>
      </c>
      <c r="R331" s="1" t="n">
        <f aca="false">R330*$C$338</f>
        <v>0.134376121526952</v>
      </c>
      <c r="S331" s="1" t="n">
        <f aca="false">S330*$C$338</f>
        <v>0.137450622997526</v>
      </c>
      <c r="T331" s="1" t="n">
        <f aca="false">T330*$C$338</f>
        <v>0.140613644446018</v>
      </c>
      <c r="U331" s="1" t="n">
        <f aca="false">U330*$C$338</f>
        <v>0.143867049925013</v>
      </c>
      <c r="V331" s="1" t="n">
        <f aca="false">V330*$C$338</f>
        <v>0.147211804001879</v>
      </c>
      <c r="W331" s="1" t="n">
        <f aca="false">W330*$C$338</f>
        <v>0.150648925111</v>
      </c>
      <c r="X331" s="1" t="n">
        <f aca="false">X330*$C$338</f>
        <v>0.154189899310465</v>
      </c>
      <c r="Y331" s="1" t="n">
        <f aca="false">Y330*$C$338</f>
        <v>0.157835793344648</v>
      </c>
      <c r="Z331" s="1" t="n">
        <f aca="false">Z330*$C$338</f>
        <v>0.161587717301183</v>
      </c>
      <c r="AA331" s="1" t="n">
        <f aca="false">AA330*$C$338</f>
        <v>0.165446827954777</v>
      </c>
      <c r="AB331" s="1" t="n">
        <f aca="false">AB330*$C$338</f>
        <v>0.169414328222254</v>
      </c>
      <c r="AC331" s="1" t="n">
        <f aca="false">AC330*$C$338</f>
        <v>0.173491239324949</v>
      </c>
      <c r="AD331" s="1" t="n">
        <f aca="false">AD330*$C$338</f>
        <v>0.177678631702108</v>
      </c>
      <c r="AE331" s="1" t="n">
        <f aca="false">AE330*$C$338</f>
        <v>0.181977624422296</v>
      </c>
      <c r="AF331" s="1" t="n">
        <f aca="false">AF330*$C$338</f>
        <v>0.186389384591844</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0.0951227722265819</v>
      </c>
      <c r="N332" s="1" t="n">
        <f aca="false">IF($C$339&lt;=0,N331,IF($C$339=1,M331,L331))</f>
        <v>0.116937286988959</v>
      </c>
      <c r="O332" s="1" t="n">
        <f aca="false">IF($C$339&lt;=0,O331,IF($C$339=1,N331,M331))</f>
        <v>0.125840037713673</v>
      </c>
      <c r="P332" s="1" t="n">
        <f aca="false">IF($C$339&lt;=0,P331,IF($C$339=1,O331,N331))</f>
        <v>0.128479138535279</v>
      </c>
      <c r="Q332" s="1" t="n">
        <f aca="false">IF($C$339&lt;=0,Q331,IF($C$339=1,P331,O331))</f>
        <v>0.131388853204598</v>
      </c>
      <c r="R332" s="1" t="n">
        <f aca="false">IF($C$339&lt;=0,R331,IF($C$339=1,Q331,P331))</f>
        <v>0.134376121526952</v>
      </c>
      <c r="S332" s="1" t="n">
        <f aca="false">IF($C$339&lt;=0,S331,IF($C$339=1,R331,Q331))</f>
        <v>0.137450622997526</v>
      </c>
      <c r="T332" s="1" t="n">
        <f aca="false">IF($C$339&lt;=0,T331,IF($C$339=1,S331,R331))</f>
        <v>0.140613644446018</v>
      </c>
      <c r="U332" s="1" t="n">
        <f aca="false">IF($C$339&lt;=0,U331,IF($C$339=1,T331,S331))</f>
        <v>0.143867049925013</v>
      </c>
      <c r="V332" s="1" t="n">
        <f aca="false">IF($C$339&lt;=0,V331,IF($C$339=1,U331,T331))</f>
        <v>0.147211804001879</v>
      </c>
      <c r="W332" s="1" t="n">
        <f aca="false">IF($C$339&lt;=0,W331,IF($C$339=1,V331,U331))</f>
        <v>0.150648925111</v>
      </c>
      <c r="X332" s="1" t="n">
        <f aca="false">IF($C$339&lt;=0,X331,IF($C$339=1,W331,V331))</f>
        <v>0.154189899310465</v>
      </c>
      <c r="Y332" s="1" t="n">
        <f aca="false">IF($C$339&lt;=0,Y331,IF($C$339=1,X331,W331))</f>
        <v>0.157835793344648</v>
      </c>
      <c r="Z332" s="1" t="n">
        <f aca="false">IF($C$339&lt;=0,Z331,IF($C$339=1,Y331,X331))</f>
        <v>0.161587717301183</v>
      </c>
      <c r="AA332" s="1" t="n">
        <f aca="false">IF($C$339&lt;=0,AA331,IF($C$339=1,Z331,Y331))</f>
        <v>0.165446827954777</v>
      </c>
      <c r="AB332" s="1" t="n">
        <f aca="false">IF($C$339&lt;=0,AB331,IF($C$339=1,AA331,Z331))</f>
        <v>0.169414328222254</v>
      </c>
      <c r="AC332" s="1" t="n">
        <f aca="false">IF($C$339&lt;=0,AC331,IF($C$339=1,AB331,AA331))</f>
        <v>0.173491239324949</v>
      </c>
      <c r="AD332" s="1" t="n">
        <f aca="false">IF($C$339&lt;=0,AD331,IF($C$339=1,AC331,AB331))</f>
        <v>0.177678631702108</v>
      </c>
      <c r="AE332" s="1" t="n">
        <f aca="false">IF($C$339&lt;=0,AE331,IF($C$339=1,AD331,AC331))</f>
        <v>0.181977624422296</v>
      </c>
      <c r="AF332" s="1" t="n">
        <f aca="false">IF($C$339&lt;=0,AF331,IF($C$339=1,AE331,AD331))</f>
        <v>0.186389384591844</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0.0399515643351644</v>
      </c>
      <c r="N341" s="1" t="n">
        <f aca="false">M284*$C$340</f>
        <v>0.0491136605353627</v>
      </c>
      <c r="O341" s="1" t="n">
        <f aca="false">N284*$C$340</f>
        <v>0.0528528158397428</v>
      </c>
      <c r="P341" s="1" t="n">
        <f aca="false">O284*$C$340</f>
        <v>0.0539612381848173</v>
      </c>
      <c r="Q341" s="1" t="n">
        <f aca="false">P284*$C$340</f>
        <v>0.0551833183459313</v>
      </c>
      <c r="R341" s="1" t="n">
        <f aca="false">Q284*$C$340</f>
        <v>0.0564379710413199</v>
      </c>
      <c r="S341" s="1" t="n">
        <f aca="false">R284*$C$340</f>
        <v>0.057729261658961</v>
      </c>
      <c r="T341" s="1" t="n">
        <f aca="false">S284*$C$340</f>
        <v>0.0590577306673275</v>
      </c>
      <c r="U341" s="1" t="n">
        <f aca="false">T284*$C$340</f>
        <v>0.0604241609685053</v>
      </c>
      <c r="V341" s="1" t="n">
        <f aca="false">U284*$C$340</f>
        <v>0.0618289576807893</v>
      </c>
      <c r="W341" s="1" t="n">
        <f aca="false">V284*$C$340</f>
        <v>0.06327254854662</v>
      </c>
      <c r="X341" s="1" t="n">
        <f aca="false">W284*$C$340</f>
        <v>0.0647597577103952</v>
      </c>
      <c r="Y341" s="1" t="n">
        <f aca="false">X284*$C$340</f>
        <v>0.066291033204752</v>
      </c>
      <c r="Z341" s="1" t="n">
        <f aca="false">Y284*$C$340</f>
        <v>0.0678668412664967</v>
      </c>
      <c r="AA341" s="1" t="n">
        <f aca="false">Z284*$C$340</f>
        <v>0.0694876677410064</v>
      </c>
      <c r="AB341" s="1" t="n">
        <f aca="false">AA284*$C$340</f>
        <v>0.0711540178533469</v>
      </c>
      <c r="AC341" s="1" t="n">
        <f aca="false">AB284*$C$340</f>
        <v>0.0728663205164785</v>
      </c>
      <c r="AD341" s="1" t="n">
        <f aca="false">AC284*$C$340</f>
        <v>0.0746250253148854</v>
      </c>
      <c r="AE341" s="1" t="n">
        <f aca="false">AD284*$C$340</f>
        <v>0.0764306022573642</v>
      </c>
      <c r="AF341" s="1" t="n">
        <f aca="false">AE284*$C$340</f>
        <v>0.0782835415285745</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0.0551712078914175</v>
      </c>
      <c r="N342" s="1" t="n">
        <f aca="false">M289*$C$340</f>
        <v>0.0678236264535962</v>
      </c>
      <c r="O342" s="1" t="n">
        <f aca="false">N289*$C$340</f>
        <v>0.0729872218739306</v>
      </c>
      <c r="P342" s="1" t="n">
        <f aca="false">O289*$C$340</f>
        <v>0.074517900350462</v>
      </c>
      <c r="Q342" s="1" t="n">
        <f aca="false">P289*$C$340</f>
        <v>0.0762055348586671</v>
      </c>
      <c r="R342" s="1" t="n">
        <f aca="false">Q289*$C$340</f>
        <v>0.0779381504856322</v>
      </c>
      <c r="S342" s="1" t="n">
        <f aca="false">R289*$C$340</f>
        <v>0.0797213613385652</v>
      </c>
      <c r="T342" s="1" t="n">
        <f aca="false">S289*$C$340</f>
        <v>0.0815559137786903</v>
      </c>
      <c r="U342" s="1" t="n">
        <f aca="false">T289*$C$340</f>
        <v>0.0834428889565073</v>
      </c>
      <c r="V342" s="1" t="n">
        <f aca="false">U289*$C$340</f>
        <v>0.0853828463210901</v>
      </c>
      <c r="W342" s="1" t="n">
        <f aca="false">V289*$C$340</f>
        <v>0.08737637656438</v>
      </c>
      <c r="X342" s="1" t="n">
        <f aca="false">W289*$C$340</f>
        <v>0.0894301416000695</v>
      </c>
      <c r="Y342" s="1" t="n">
        <f aca="false">X289*$C$340</f>
        <v>0.0915447601398957</v>
      </c>
      <c r="Z342" s="1" t="n">
        <f aca="false">Y289*$C$340</f>
        <v>0.0937208760346859</v>
      </c>
      <c r="AA342" s="1" t="n">
        <f aca="false">Z289*$C$340</f>
        <v>0.0959591602137708</v>
      </c>
      <c r="AB342" s="1" t="n">
        <f aca="false">AA289*$C$340</f>
        <v>0.0982603103689076</v>
      </c>
      <c r="AC342" s="1" t="n">
        <f aca="false">AB289*$C$340</f>
        <v>0.10062491880847</v>
      </c>
      <c r="AD342" s="1" t="n">
        <f aca="false">AC289*$C$340</f>
        <v>0.103053606387223</v>
      </c>
      <c r="AE342" s="1" t="n">
        <f aca="false">AD289*$C$340</f>
        <v>0.105547022164932</v>
      </c>
      <c r="AF342" s="1" t="n">
        <f aca="false">AE289*$C$340</f>
        <v>0.10810584306327</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0.0951227722265819</v>
      </c>
      <c r="N343" s="1" t="n">
        <f aca="false">N341+N342</f>
        <v>0.116937286988959</v>
      </c>
      <c r="O343" s="1" t="n">
        <f aca="false">O341+O342</f>
        <v>0.125840037713673</v>
      </c>
      <c r="P343" s="1" t="n">
        <f aca="false">P341+P342</f>
        <v>0.128479138535279</v>
      </c>
      <c r="Q343" s="1" t="n">
        <f aca="false">Q341+Q342</f>
        <v>0.131388853204598</v>
      </c>
      <c r="R343" s="1" t="n">
        <f aca="false">R341+R342</f>
        <v>0.134376121526952</v>
      </c>
      <c r="S343" s="1" t="n">
        <f aca="false">S341+S342</f>
        <v>0.137450622997526</v>
      </c>
      <c r="T343" s="1" t="n">
        <f aca="false">T341+T342</f>
        <v>0.140613644446018</v>
      </c>
      <c r="U343" s="1" t="n">
        <f aca="false">U341+U342</f>
        <v>0.143867049925013</v>
      </c>
      <c r="V343" s="1" t="n">
        <f aca="false">V341+V342</f>
        <v>0.147211804001879</v>
      </c>
      <c r="W343" s="1" t="n">
        <f aca="false">W341+W342</f>
        <v>0.150648925111</v>
      </c>
      <c r="X343" s="1" t="n">
        <f aca="false">X341+X342</f>
        <v>0.154189899310465</v>
      </c>
      <c r="Y343" s="1" t="n">
        <f aca="false">Y341+Y342</f>
        <v>0.157835793344648</v>
      </c>
      <c r="Z343" s="1" t="n">
        <f aca="false">Z341+Z342</f>
        <v>0.161587717301183</v>
      </c>
      <c r="AA343" s="1" t="n">
        <f aca="false">AA341+AA342</f>
        <v>0.165446827954777</v>
      </c>
      <c r="AB343" s="1" t="n">
        <f aca="false">AB341+AB342</f>
        <v>0.169414328222254</v>
      </c>
      <c r="AC343" s="1" t="n">
        <f aca="false">AC341+AC342</f>
        <v>0.173491239324949</v>
      </c>
      <c r="AD343" s="1" t="n">
        <f aca="false">AD341+AD342</f>
        <v>0.177678631702108</v>
      </c>
      <c r="AE343" s="1" t="n">
        <f aca="false">AE341+AE342</f>
        <v>0.181977624422296</v>
      </c>
      <c r="AF343" s="1" t="n">
        <f aca="false">AF341+AF342</f>
        <v>0.186389384591844</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1400</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52"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(IF($C$11="Libro",C55*C54,IF(C$39&lt;=20,01_Supuestos!$I$26+(01_Supuestos!$I$27-01_Supuestos!$I$26)*(C$39-1)/19,01_Supuestos!$I$27*IF($C$6="Sí",(1+01_Supuestos!$I$9)^(C$39-20),1))*C55/0.1))*(1-IF(C$39&gt;=$C$198,$C$197,0))</f>
        <v>1.07</v>
      </c>
      <c r="D56" s="116" t="n">
        <f aca="false">(IF($C$11="Libro",D55*D54,IF(D$39&lt;=20,01_Supuestos!$I$26+(01_Supuestos!$I$27-01_Supuestos!$I$26)*(D$39-1)/19,01_Supuestos!$I$27*IF($C$6="Sí",(1+01_Supuestos!$I$9)^(D$39-20),1))*D55/0.1))*(1-IF(D$39&gt;=$C$198,$C$197,0))</f>
        <v>1.09675</v>
      </c>
      <c r="E56" s="116" t="n">
        <f aca="false">(IF($C$11="Libro",E55*E54,IF(E$39&lt;=20,01_Supuestos!$I$26+(01_Supuestos!$I$27-01_Supuestos!$I$26)*(E$39-1)/19,01_Supuestos!$I$27*IF($C$6="Sí",(1+01_Supuestos!$I$9)^(E$39-20),1))*E55/0.1))*(1-IF(E$39&gt;=$C$198,$C$197,0))</f>
        <v>1.12416875</v>
      </c>
      <c r="F56" s="116" t="n">
        <f aca="false">(IF($C$11="Libro",F55*F54,IF(F$39&lt;=20,01_Supuestos!$I$26+(01_Supuestos!$I$27-01_Supuestos!$I$26)*(F$39-1)/19,01_Supuestos!$I$27*IF($C$6="Sí",(1+01_Supuestos!$I$9)^(F$39-20),1))*F55/0.1))*(1-IF(F$39&gt;=$C$198,$C$197,0))</f>
        <v>1.15227296875</v>
      </c>
      <c r="G56" s="116" t="n">
        <f aca="false">(IF($C$11="Libro",G55*G54,IF(G$39&lt;=20,01_Supuestos!$I$26+(01_Supuestos!$I$27-01_Supuestos!$I$26)*(G$39-1)/19,01_Supuestos!$I$27*IF($C$6="Sí",(1+01_Supuestos!$I$9)^(G$39-20),1))*G55/0.1))*(1-IF(G$39&gt;=$C$198,$C$197,0))</f>
        <v>1.18107979296875</v>
      </c>
      <c r="H56" s="116" t="n">
        <f aca="false">(IF($C$11="Libro",H55*H54,IF(H$39&lt;=20,01_Supuestos!$I$26+(01_Supuestos!$I$27-01_Supuestos!$I$26)*(H$39-1)/19,01_Supuestos!$I$27*IF($C$6="Sí",(1+01_Supuestos!$I$9)^(H$39-20),1))*H55/0.1))*(1-IF(H$39&gt;=$C$198,$C$197,0))</f>
        <v>1.21060678779297</v>
      </c>
      <c r="I56" s="116" t="n">
        <f aca="false">(IF($C$11="Libro",I55*I54,IF(I$39&lt;=20,01_Supuestos!$I$26+(01_Supuestos!$I$27-01_Supuestos!$I$26)*(I$39-1)/19,01_Supuestos!$I$27*IF($C$6="Sí",(1+01_Supuestos!$I$9)^(I$39-20),1))*I55/0.1))*(1-IF(I$39&gt;=$C$198,$C$197,0))</f>
        <v>1.24087195748779</v>
      </c>
      <c r="J56" s="116" t="n">
        <f aca="false">(IF($C$11="Libro",J55*J54,IF(J$39&lt;=20,01_Supuestos!$I$26+(01_Supuestos!$I$27-01_Supuestos!$I$26)*(J$39-1)/19,01_Supuestos!$I$27*IF($C$6="Sí",(1+01_Supuestos!$I$9)^(J$39-20),1))*J55/0.1))*(1-IF(J$39&gt;=$C$198,$C$197,0))</f>
        <v>1.27189375642499</v>
      </c>
      <c r="K56" s="116" t="n">
        <f aca="false">(IF($C$11="Libro",K55*K54,IF(K$39&lt;=20,01_Supuestos!$I$26+(01_Supuestos!$I$27-01_Supuestos!$I$26)*(K$39-1)/19,01_Supuestos!$I$27*IF($C$6="Sí",(1+01_Supuestos!$I$9)^(K$39-20),1))*K55/0.1))*(1-IF(K$39&gt;=$C$198,$C$197,0))</f>
        <v>1.30369110033561</v>
      </c>
      <c r="L56" s="116" t="n">
        <f aca="false">(IF($C$11="Libro",L55*L54,IF(L$39&lt;=20,01_Supuestos!$I$26+(01_Supuestos!$I$27-01_Supuestos!$I$26)*(L$39-1)/19,01_Supuestos!$I$27*IF($C$6="Sí",(1+01_Supuestos!$I$9)^(L$39-20),1))*L55/0.1))*(1-IF(L$39&gt;=$C$198,$C$197,0))</f>
        <v>1.336283377844</v>
      </c>
      <c r="M56" s="116" t="n">
        <f aca="false">(IF($C$11="Libro",M55*M54,IF(M$39&lt;=20,01_Supuestos!$I$26+(01_Supuestos!$I$27-01_Supuestos!$I$26)*(M$39-1)/19,01_Supuestos!$I$27*IF($C$6="Sí",(1+01_Supuestos!$I$9)^(M$39-20),1))*M55/0.1))*(1-IF(M$39&gt;=$C$198,$C$197,0))</f>
        <v>1.3696904622901</v>
      </c>
      <c r="N56" s="116" t="n">
        <f aca="false">(IF($C$11="Libro",N55*N54,IF(N$39&lt;=20,01_Supuestos!$I$26+(01_Supuestos!$I$27-01_Supuestos!$I$26)*(N$39-1)/19,01_Supuestos!$I$27*IF($C$6="Sí",(1+01_Supuestos!$I$9)^(N$39-20),1))*N55/0.1))*(1-IF(N$39&gt;=$C$198,$C$197,0))</f>
        <v>1.40393272384735</v>
      </c>
      <c r="O56" s="116" t="n">
        <f aca="false">(IF($C$11="Libro",O55*O54,IF(O$39&lt;=20,01_Supuestos!$I$26+(01_Supuestos!$I$27-01_Supuestos!$I$26)*(O$39-1)/19,01_Supuestos!$I$27*IF($C$6="Sí",(1+01_Supuestos!$I$9)^(O$39-20),1))*O55/0.1))*(1-IF(O$39&gt;=$C$198,$C$197,0))</f>
        <v>1.43903104194354</v>
      </c>
      <c r="P56" s="116" t="n">
        <f aca="false">(IF($C$11="Libro",P55*P54,IF(P$39&lt;=20,01_Supuestos!$I$26+(01_Supuestos!$I$27-01_Supuestos!$I$26)*(P$39-1)/19,01_Supuestos!$I$27*IF($C$6="Sí",(1+01_Supuestos!$I$9)^(P$39-20),1))*P55/0.1))*(1-IF(P$39&gt;=$C$198,$C$197,0))</f>
        <v>1.47500681799213</v>
      </c>
      <c r="Q56" s="116" t="n">
        <f aca="false">(IF($C$11="Libro",Q55*Q54,IF(Q$39&lt;=20,01_Supuestos!$I$26+(01_Supuestos!$I$27-01_Supuestos!$I$26)*(Q$39-1)/19,01_Supuestos!$I$27*IF($C$6="Sí",(1+01_Supuestos!$I$9)^(Q$39-20),1))*Q55/0.1))*(1-IF(Q$39&gt;=$C$198,$C$197,0))</f>
        <v>1.51188198844193</v>
      </c>
      <c r="R56" s="116" t="n">
        <f aca="false">(IF($C$11="Libro",R55*R54,IF(R$39&lt;=20,01_Supuestos!$I$26+(01_Supuestos!$I$27-01_Supuestos!$I$26)*(R$39-1)/19,01_Supuestos!$I$27*IF($C$6="Sí",(1+01_Supuestos!$I$9)^(R$39-20),1))*R55/0.1))*(1-IF(R$39&gt;=$C$198,$C$197,0))</f>
        <v>0.774839519076489</v>
      </c>
      <c r="S56" s="116" t="n">
        <f aca="false">(IF($C$11="Libro",S55*S54,IF(S$39&lt;=20,01_Supuestos!$I$26+(01_Supuestos!$I$27-01_Supuestos!$I$26)*(S$39-1)/19,01_Supuestos!$I$27*IF($C$6="Sí",(1+01_Supuestos!$I$9)^(S$39-20),1))*S55/0.1))*(1-IF(S$39&gt;=$C$198,$C$197,0))</f>
        <v>0.794210507053401</v>
      </c>
      <c r="T56" s="116" t="n">
        <f aca="false">(IF($C$11="Libro",T55*T54,IF(T$39&lt;=20,01_Supuestos!$I$26+(01_Supuestos!$I$27-01_Supuestos!$I$26)*(T$39-1)/19,01_Supuestos!$I$27*IF($C$6="Sí",(1+01_Supuestos!$I$9)^(T$39-20),1))*T55/0.1))*(1-IF(T$39&gt;=$C$198,$C$197,0))</f>
        <v>0.814065769729736</v>
      </c>
      <c r="U56" s="116" t="n">
        <f aca="false">(IF($C$11="Libro",U55*U54,IF(U$39&lt;=20,01_Supuestos!$I$26+(01_Supuestos!$I$27-01_Supuestos!$I$26)*(U$39-1)/19,01_Supuestos!$I$27*IF($C$6="Sí",(1+01_Supuestos!$I$9)^(U$39-20),1))*U55/0.1))*(1-IF(U$39&gt;=$C$198,$C$197,0))</f>
        <v>0.834417413972979</v>
      </c>
      <c r="V56" s="116" t="n">
        <f aca="false">(IF($C$11="Libro",V55*V54,IF(V$39&lt;=20,01_Supuestos!$I$26+(01_Supuestos!$I$27-01_Supuestos!$I$26)*(V$39-1)/19,01_Supuestos!$I$27*IF($C$6="Sí",(1+01_Supuestos!$I$9)^(V$39-20),1))*V55/0.1))*(1-IF(V$39&gt;=$C$198,$C$197,0))</f>
        <v>0.855277849322303</v>
      </c>
      <c r="W56" s="116" t="n">
        <f aca="false">(IF($C$11="Libro",W55*W54,IF(W$39&lt;=20,01_Supuestos!$I$26+(01_Supuestos!$I$27-01_Supuestos!$I$26)*(W$39-1)/19,01_Supuestos!$I$27*IF($C$6="Sí",(1+01_Supuestos!$I$9)^(W$39-20),1))*W55/0.1))*(1-IF(W$39&gt;=$C$198,$C$197,0))</f>
        <v>0.876659795555361</v>
      </c>
      <c r="X56" s="116" t="n">
        <f aca="false">(IF($C$11="Libro",X55*X54,IF(X$39&lt;=20,01_Supuestos!$I$26+(01_Supuestos!$I$27-01_Supuestos!$I$26)*(X$39-1)/19,01_Supuestos!$I$27*IF($C$6="Sí",(1+01_Supuestos!$I$9)^(X$39-20),1))*X55/0.1))*(1-IF(X$39&gt;=$C$198,$C$197,0))</f>
        <v>0.898576290444245</v>
      </c>
      <c r="Y56" s="116" t="n">
        <f aca="false">(IF($C$11="Libro",Y55*Y54,IF(Y$39&lt;=20,01_Supuestos!$I$26+(01_Supuestos!$I$27-01_Supuestos!$I$26)*(Y$39-1)/19,01_Supuestos!$I$27*IF($C$6="Sí",(1+01_Supuestos!$I$9)^(Y$39-20),1))*Y55/0.1))*(1-IF(Y$39&gt;=$C$198,$C$197,0))</f>
        <v>0.921040697705351</v>
      </c>
      <c r="Z56" s="116" t="n">
        <f aca="false">(IF($C$11="Libro",Z55*Z54,IF(Z$39&lt;=20,01_Supuestos!$I$26+(01_Supuestos!$I$27-01_Supuestos!$I$26)*(Z$39-1)/19,01_Supuestos!$I$27*IF($C$6="Sí",(1+01_Supuestos!$I$9)^(Z$39-20),1))*Z55/0.1))*(1-IF(Z$39&gt;=$C$198,$C$197,0))</f>
        <v>0.944066715147985</v>
      </c>
      <c r="AA56" s="116" t="n">
        <f aca="false">(IF($C$11="Libro",AA55*AA54,IF(AA$39&lt;=20,01_Supuestos!$I$26+(01_Supuestos!$I$27-01_Supuestos!$I$26)*(AA$39-1)/19,01_Supuestos!$I$27*IF($C$6="Sí",(1+01_Supuestos!$I$9)^(AA$39-20),1))*AA55/0.1))*(1-IF(AA$39&gt;=$C$198,$C$197,0))</f>
        <v>0.967668383026684</v>
      </c>
      <c r="AB56" s="116" t="n">
        <f aca="false">(IF($C$11="Libro",AB55*AB54,IF(AB$39&lt;=20,01_Supuestos!$I$26+(01_Supuestos!$I$27-01_Supuestos!$I$26)*(AB$39-1)/19,01_Supuestos!$I$27*IF($C$6="Sí",(1+01_Supuestos!$I$9)^(AB$39-20),1))*AB55/0.1))*(1-IF(AB$39&gt;=$C$198,$C$197,0))</f>
        <v>0.991860092602351</v>
      </c>
      <c r="AC56" s="116" t="n">
        <f aca="false">(IF($C$11="Libro",AC55*AC54,IF(AC$39&lt;=20,01_Supuestos!$I$26+(01_Supuestos!$I$27-01_Supuestos!$I$26)*(AC$39-1)/19,01_Supuestos!$I$27*IF($C$6="Sí",(1+01_Supuestos!$I$9)^(AC$39-20),1))*AC55/0.1))*(1-IF(AC$39&gt;=$C$198,$C$197,0))</f>
        <v>1.01665659491741</v>
      </c>
      <c r="AD56" s="116" t="n">
        <f aca="false">(IF($C$11="Libro",AD55*AD54,IF(AD$39&lt;=20,01_Supuestos!$I$26+(01_Supuestos!$I$27-01_Supuestos!$I$26)*(AD$39-1)/19,01_Supuestos!$I$27*IF($C$6="Sí",(1+01_Supuestos!$I$9)^(AD$39-20),1))*AD55/0.1))*(1-IF(AD$39&gt;=$C$198,$C$197,0))</f>
        <v>1.04207300979035</v>
      </c>
      <c r="AE56" s="116" t="n">
        <f aca="false">(IF($C$11="Libro",AE55*AE54,IF(AE$39&lt;=20,01_Supuestos!$I$26+(01_Supuestos!$I$27-01_Supuestos!$I$26)*(AE$39-1)/19,01_Supuestos!$I$27*IF($C$6="Sí",(1+01_Supuestos!$I$9)^(AE$39-20),1))*AE55/0.1))*(1-IF(AE$39&gt;=$C$198,$C$197,0))</f>
        <v>1.0681248350351</v>
      </c>
      <c r="AF56" s="116" t="n">
        <f aca="false">(IF($C$11="Libro",AF55*AF54,IF(AF$39&lt;=20,01_Supuestos!$I$26+(01_Supuestos!$I$27-01_Supuestos!$I$26)*(AF$39-1)/19,01_Supuestos!$I$27*IF($C$6="Sí",(1+01_Supuestos!$I$9)^(AF$39-20),1))*AF55/0.1))*(1-IF(AF$39&gt;=$C$198,$C$197,0))</f>
        <v>1.09482795591098</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187.652339662692</v>
      </c>
      <c r="M72" s="116" t="n">
        <f aca="false">IF($C$173="Sí",(M83-M326)+M181,$C$15*L83)</f>
        <v>201.492878723063</v>
      </c>
      <c r="N72" s="116" t="n">
        <f aca="false">IF($C$173="Sí",(N83-N326)+N181,$C$15*M83)</f>
        <v>206.829277243367</v>
      </c>
      <c r="O72" s="116" t="n">
        <f aca="false">IF($C$173="Sí",(O83-O326)+O181,$C$15*N83)</f>
        <v>212.558232271394</v>
      </c>
      <c r="P72" s="116" t="n">
        <f aca="false">IF($C$173="Sí",(P83-P326)+P181,$C$15*O83)</f>
        <v>217.630537405409</v>
      </c>
      <c r="Q72" s="116" t="n">
        <f aca="false">IF($C$173="Sí",(Q83-Q326)+Q181,$C$15*P83)</f>
        <v>222.629726854445</v>
      </c>
      <c r="R72" s="116" t="n">
        <f aca="false">IF($C$173="Sí",(R83-R326)+R181,$C$15*Q83)</f>
        <v>227.748809972758</v>
      </c>
      <c r="S72" s="116" t="n">
        <f aca="false">IF($C$173="Sí",(S83-S326)+S181,$C$15*R83)</f>
        <v>232.98489610812</v>
      </c>
      <c r="T72" s="116" t="n">
        <f aca="false">IF($C$173="Sí",(T83-T326)+T181,$C$15*S83)</f>
        <v>238.340783415846</v>
      </c>
      <c r="U72" s="116" t="n">
        <f aca="false">IF($C$173="Sí",(U83-U326)+U181,$C$15*T83)</f>
        <v>243.819377130763</v>
      </c>
      <c r="V72" s="116" t="n">
        <f aca="false">IF($C$173="Sí",(V83-V326)+V181,$C$15*U83)</f>
        <v>249.423589440563</v>
      </c>
      <c r="W72" s="116" t="n">
        <f aca="false">IF($C$173="Sí",(W83-W326)+W181,$C$15*V83)</f>
        <v>255.155129865088</v>
      </c>
      <c r="X72" s="116" t="n">
        <f aca="false">IF($C$173="Sí",(X83-X326)+X181,$C$15*W83)</f>
        <v>261.017551881743</v>
      </c>
      <c r="Y72" s="116" t="n">
        <f aca="false">IF($C$173="Sí",(Y83-Y326)+Y181,$C$15*X83)</f>
        <v>267.014233896293</v>
      </c>
      <c r="Z72" s="116" t="n">
        <f aca="false">IF($C$173="Sí",(Z83-Z326)+Z181,$C$15*Y83)</f>
        <v>273.148300411069</v>
      </c>
      <c r="AA72" s="116" t="n">
        <f aca="false">IF($C$173="Sí",(AA83-AA326)+AA181,$C$15*Z83)</f>
        <v>279.422947228523</v>
      </c>
      <c r="AB72" s="116" t="n">
        <f aca="false">IF($C$173="Sí",(AB83-AB326)+AB181,$C$15*AA83)</f>
        <v>285.841469627932</v>
      </c>
      <c r="AC72" s="116" t="n">
        <f aca="false">IF($C$173="Sí",(AC83-AC326)+AC181,$C$15*AB83)</f>
        <v>292.407224962281</v>
      </c>
      <c r="AD72" s="116" t="n">
        <f aca="false">IF($C$173="Sí",(AD83-AD326)+AD181,$C$15*AC83)</f>
        <v>299.123639915998</v>
      </c>
      <c r="AE72" s="116" t="n">
        <f aca="false">IF($C$173="Sí",(AE83-AE326)+AE181,$C$15*AD83)</f>
        <v>305.994219469322</v>
      </c>
      <c r="AF72" s="116" t="n">
        <f aca="false">IF($C$173="Sí",(AF83-AF326)+AF181,$C$15*AE83)</f>
        <v>313.022548740387</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16.5683017846898</v>
      </c>
      <c r="M73" s="116" t="n">
        <f aca="false">M72-L72</f>
        <v>13.8405390603706</v>
      </c>
      <c r="N73" s="116" t="n">
        <f aca="false">N72-M72</f>
        <v>5.33639852030359</v>
      </c>
      <c r="O73" s="116" t="n">
        <f aca="false">O72-N72</f>
        <v>5.72895502802786</v>
      </c>
      <c r="P73" s="116" t="n">
        <f aca="false">P72-O72</f>
        <v>5.07230513401447</v>
      </c>
      <c r="Q73" s="116" t="n">
        <f aca="false">Q72-P72</f>
        <v>4.99918944903638</v>
      </c>
      <c r="R73" s="116" t="n">
        <f aca="false">R72-Q72</f>
        <v>5.11908311831263</v>
      </c>
      <c r="S73" s="116" t="n">
        <f aca="false">S72-R72</f>
        <v>5.23608613536189</v>
      </c>
      <c r="T73" s="116" t="n">
        <f aca="false">T72-S72</f>
        <v>5.35588730772591</v>
      </c>
      <c r="U73" s="116" t="n">
        <f aca="false">U72-T72</f>
        <v>5.47859371491748</v>
      </c>
      <c r="V73" s="116" t="n">
        <f aca="false">V72-U72</f>
        <v>5.60421230979998</v>
      </c>
      <c r="W73" s="116" t="n">
        <f aca="false">W72-V72</f>
        <v>5.73154042452484</v>
      </c>
      <c r="X73" s="116" t="n">
        <f aca="false">X72-W72</f>
        <v>5.86242201665505</v>
      </c>
      <c r="Y73" s="116" t="n">
        <f aca="false">Y72-X72</f>
        <v>5.99668201455029</v>
      </c>
      <c r="Z73" s="116" t="n">
        <f aca="false">Z72-Y72</f>
        <v>6.13406651477618</v>
      </c>
      <c r="AA73" s="116" t="n">
        <f aca="false">AA72-Z72</f>
        <v>6.27464681745363</v>
      </c>
      <c r="AB73" s="116" t="n">
        <f aca="false">AB72-AA72</f>
        <v>6.41852239940926</v>
      </c>
      <c r="AC73" s="116" t="n">
        <f aca="false">AC72-AB72</f>
        <v>6.56575533434898</v>
      </c>
      <c r="AD73" s="116" t="n">
        <f aca="false">AD72-AC72</f>
        <v>6.71641495371688</v>
      </c>
      <c r="AE73" s="116" t="n">
        <f aca="false">AE72-AD72</f>
        <v>6.87057955332409</v>
      </c>
      <c r="AF73" s="116" t="n">
        <f aca="false">AF72-AE72</f>
        <v>7.0283292710651</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17.4899578012604</v>
      </c>
      <c r="N75" s="116" t="n">
        <f aca="false">$C$19*M81</f>
        <v>18.1209795877884</v>
      </c>
      <c r="O75" s="116" t="n">
        <f aca="false">$C$19*N81</f>
        <v>18.7599215939701</v>
      </c>
      <c r="P75" s="116" t="n">
        <f aca="false">$C$19*O81</f>
        <v>19.3615464878371</v>
      </c>
      <c r="Q75" s="116" t="n">
        <f aca="false">$C$19*P81</f>
        <v>19.8370657350523</v>
      </c>
      <c r="R75" s="116" t="n">
        <f aca="false">$C$19*Q81</f>
        <v>20.3164351145265</v>
      </c>
      <c r="S75" s="116" t="n">
        <f aca="false">$C$19*R81</f>
        <v>20.7944793385244</v>
      </c>
      <c r="T75" s="116" t="n">
        <f aca="false">$C$19*S81</f>
        <v>21.2716476169449</v>
      </c>
      <c r="U75" s="116" t="n">
        <f aca="false">$C$19*T81</f>
        <v>21.7473564230645</v>
      </c>
      <c r="V75" s="116" t="n">
        <f aca="false">$C$19*U81</f>
        <v>22.2222984828102</v>
      </c>
      <c r="W75" s="116" t="n">
        <f aca="false">$C$19*V81</f>
        <v>22.6971613310786</v>
      </c>
      <c r="X75" s="116" t="n">
        <f aca="false">$C$19*W81</f>
        <v>23.1656852157849</v>
      </c>
      <c r="Y75" s="116" t="n">
        <f aca="false">$C$19*X81</f>
        <v>23.6285883931091</v>
      </c>
      <c r="Z75" s="116" t="n">
        <f aca="false">$C$19*Y81</f>
        <v>24.0865926921024</v>
      </c>
      <c r="AA75" s="116" t="n">
        <f aca="false">$C$19*Z81</f>
        <v>24.5404220224361</v>
      </c>
      <c r="AB75" s="116" t="n">
        <f aca="false">$C$19*AA81</f>
        <v>24.9908034914406</v>
      </c>
      <c r="AC75" s="116" t="n">
        <f aca="false">$C$19*AB81</f>
        <v>25.438620066682</v>
      </c>
      <c r="AD75" s="116" t="n">
        <f aca="false">$C$19*AC81</f>
        <v>25.8847574220228</v>
      </c>
      <c r="AE75" s="116" t="n">
        <f aca="false">$C$19*AD81</f>
        <v>26.3301051362308</v>
      </c>
      <c r="AF75" s="116" t="n">
        <f aca="false">$C$19*AE81</f>
        <v>26.7755579118393</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649.988715964279</v>
      </c>
      <c r="F76" s="116" t="n">
        <f aca="false">(IF($C$173="Sí",(MAX(0,F74-E96)+MAX(0,E276+F53-F75))/F327,F73+MAX(0,F74-E96)+MAX(0,E276+F53-F75)))+IF($C$173="Sí",MAX(0,$C$226*(F70+E121)*0.3/0.55-E227)/F327,0)</f>
        <v>763.012780646039</v>
      </c>
      <c r="G76" s="116" t="n">
        <f aca="false">(IF($C$173="Sí",(MAX(0,G74-F96)+MAX(0,F276+G53-G75))/G327,G73+MAX(0,G74-F96)+MAX(0,F276+G53-G75)))+IF($C$173="Sí",MAX(0,$C$226*(G70+F121)*0.3/0.55-F227)/G327,0)</f>
        <v>16911.3142551436</v>
      </c>
      <c r="H76" s="116" t="n">
        <f aca="false">(IF($C$173="Sí",(MAX(0,H74-G96)+MAX(0,G276+H53-H75))/H327,H73+MAX(0,H74-G96)+MAX(0,G276+H53-H75)))+IF($C$173="Sí",MAX(0,$C$226*(H70+G121)*0.3/0.55-G227)/H327,0)</f>
        <v>840.812729426237</v>
      </c>
      <c r="I76" s="116" t="n">
        <f aca="false">(IF($C$173="Sí",(MAX(0,I74-H96)+MAX(0,H276+I53-I75))/I327,I73+MAX(0,I74-H96)+MAX(0,H276+I53-I75)))+IF($C$173="Sí",MAX(0,$C$226*(I70+H121)*0.3/0.55-H227)/I327,0)</f>
        <v>915.917464721825</v>
      </c>
      <c r="J76" s="116" t="n">
        <f aca="false">(IF($C$173="Sí",(MAX(0,J74-I96)+MAX(0,I276+J53-J75))/J327,J73+MAX(0,J74-I96)+MAX(0,I276+J53-J75)))+IF($C$173="Sí",MAX(0,$C$226*(J70+I121)*0.3/0.55-I227)/J327,0)</f>
        <v>1008.16606044506</v>
      </c>
      <c r="K76" s="116" t="n">
        <f aca="false">(IF($C$173="Sí",(MAX(0,K74-J96)+MAX(0,J276+K53-K75))/K327,K73+MAX(0,K74-J96)+MAX(0,J276+K53-K75)))+IF($C$173="Sí",MAX(0,$C$226*(K70+J121)*0.3/0.55-J227)/K327,0)</f>
        <v>1111.68683636638</v>
      </c>
      <c r="L76" s="116" t="n">
        <f aca="false">(IF($C$173="Sí",(MAX(0,L74-K96)+MAX(0,K276+L53-L75))/L327,L73+MAX(0,L74-K96)+MAX(0,K276+L53-L75)))+IF($C$173="Sí",MAX(0,$C$226*(L70+K121)*0.3/0.55-K227)/L327,0)</f>
        <v>1225.26134695679</v>
      </c>
      <c r="M76" s="116" t="n">
        <f aca="false">(IF($C$173="Sí",(MAX(0,M74-L96)+MAX(0,L276+M53-M75))/M327,M73+MAX(0,M74-L96)+MAX(0,L276+M53-M75)))+IF($C$173="Sí",MAX(0,$C$226*(M70+L121)*0.3/0.55-L227)/M327,0)</f>
        <v>1157.43725141181</v>
      </c>
      <c r="N76" s="116" t="n">
        <f aca="false">(IF($C$173="Sí",(MAX(0,N74-M96)+MAX(0,M276+N53-N75))/N327,N73+MAX(0,N74-M96)+MAX(0,M276+N53-N75)))+IF($C$173="Sí",MAX(0,$C$226*(N70+M121)*0.3/0.55-M227)/N327,0)</f>
        <v>965.716847691652</v>
      </c>
      <c r="O76" s="116" t="n">
        <f aca="false">(IF($C$173="Sí",(MAX(0,O74-N96)+MAX(0,N276+O53-O75))/O327,O73+MAX(0,O74-N96)+MAX(0,N276+O53-O75)))+IF($C$173="Sí",MAX(0,$C$226*(O70+N121)*0.3/0.55-N227)/O327,0)</f>
        <v>880.889873235027</v>
      </c>
      <c r="P76" s="116" t="n">
        <f aca="false">(IF($C$173="Sí",(MAX(0,P74-O96)+MAX(0,O276+P53-P75))/P327,P73+MAX(0,P74-O96)+MAX(0,O276+P53-P75)))+IF($C$173="Sí",MAX(0,$C$226*(P70+O121)*0.3/0.55-O227)/P327,0)</f>
        <v>978.404159238361</v>
      </c>
      <c r="Q76" s="116" t="n">
        <f aca="false">(IF($C$173="Sí",(MAX(0,Q74-P96)+MAX(0,P276+Q53-Q75))/Q327,Q73+MAX(0,Q74-P96)+MAX(0,P276+Q53-Q75)))+IF($C$173="Sí",MAX(0,$C$226*(Q70+P121)*0.3/0.55-P227)/Q327,0)</f>
        <v>978.73725225638</v>
      </c>
      <c r="R76" s="116" t="n">
        <f aca="false">(IF($C$173="Sí",(MAX(0,R74-Q96)+MAX(0,Q276+R53-R75))/R327,R73+MAX(0,R74-Q96)+MAX(0,Q276+R53-R75)))+IF($C$173="Sí",MAX(0,$C$226*(R70+Q121)*0.3/0.55-Q227)/R327,0)</f>
        <v>983.604609900785</v>
      </c>
      <c r="S76" s="116" t="n">
        <f aca="false">(IF($C$173="Sí",(MAX(0,S74-R96)+MAX(0,R276+S53-S75))/S327,S73+MAX(0,S74-R96)+MAX(0,R276+S53-S75)))+IF($C$173="Sí",MAX(0,$C$226*(S70+R121)*0.3/0.55-R227)/S327,0)</f>
        <v>982.829636291639</v>
      </c>
      <c r="T76" s="116" t="n">
        <f aca="false">(IF($C$173="Sí",(MAX(0,T74-S96)+MAX(0,S276+T53-T75))/T327,T73+MAX(0,T74-S96)+MAX(0,S276+T53-T75)))+IF($C$173="Sí",MAX(0,$C$226*(T70+S121)*0.3/0.55-S227)/T327,0)</f>
        <v>982.123133339787</v>
      </c>
      <c r="U76" s="116" t="n">
        <f aca="false">(IF($C$173="Sí",(MAX(0,U74-T96)+MAX(0,T276+U53-U75))/U327,U73+MAX(0,U74-T96)+MAX(0,T276+U53-U75)))+IF($C$173="Sí",MAX(0,$C$226*(U70+T121)*0.3/0.55-T227)/U327,0)</f>
        <v>981.452917059013</v>
      </c>
      <c r="V76" s="116" t="n">
        <f aca="false">(IF($C$173="Sí",(MAX(0,V74-U96)+MAX(0,U276+V53-V75))/V327,V73+MAX(0,V74-U96)+MAX(0,U276+V53-V75)))+IF($C$173="Sí",MAX(0,$C$226*(V70+U121)*0.3/0.55-U227)/V327,0)</f>
        <v>980.875476502594</v>
      </c>
      <c r="W76" s="116" t="n">
        <f aca="false">(IF($C$173="Sí",(MAX(0,W74-V96)+MAX(0,V276+W53-W75))/W327,W73+MAX(0,W74-V96)+MAX(0,V276+W53-W75)))+IF($C$173="Sí",MAX(0,$C$226*(W70+V121)*0.3/0.55-V227)/W327,0)</f>
        <v>980.393399757257</v>
      </c>
      <c r="X76" s="116" t="n">
        <f aca="false">(IF($C$173="Sí",(MAX(0,X74-W96)+MAX(0,W276+X53-X75))/X327,X73+MAX(0,X74-W96)+MAX(0,W276+X53-X75)))+IF($C$173="Sí",MAX(0,$C$226*(X70+W121)*0.3/0.55-W227)/X327,0)</f>
        <v>979.773230293233</v>
      </c>
      <c r="Y76" s="116" t="n">
        <f aca="false">(IF($C$173="Sí",(MAX(0,Y74-X96)+MAX(0,X276+Y53-Y75))/Y327,Y73+MAX(0,Y74-X96)+MAX(0,X276+Y53-Y75)))+IF($C$173="Sí",MAX(0,$C$226*(Y70+X121)*0.3/0.55-X227)/Y327,0)</f>
        <v>979.292061150424</v>
      </c>
      <c r="Z76" s="116" t="n">
        <f aca="false">(IF($C$173="Sí",(MAX(0,Z74-Y96)+MAX(0,Y276+Z53-Z75))/Z327,Z73+MAX(0,Z74-Y96)+MAX(0,Y276+Z53-Z75)))+IF($C$173="Sí",MAX(0,$C$226*(Z70+Y121)*0.3/0.55-Y227)/Z327,0)</f>
        <v>978.955821535107</v>
      </c>
      <c r="AA76" s="116" t="n">
        <f aca="false">(IF($C$173="Sí",(MAX(0,AA74-Z96)+MAX(0,Z276+AA53-AA75))/AA327,AA73+MAX(0,AA74-Z96)+MAX(0,Z276+AA53-AA75)))+IF($C$173="Sí",MAX(0,$C$226*(AA70+Z121)*0.3/0.55-Z227)/AA327,0)</f>
        <v>978.767488281546</v>
      </c>
      <c r="AB76" s="116" t="n">
        <f aca="false">(IF($C$173="Sí",(MAX(0,AB74-AA96)+MAX(0,AA276+AB53-AB75))/AB327,AB73+MAX(0,AB74-AA96)+MAX(0,AA276+AB53-AB75)))+IF($C$173="Sí",MAX(0,$C$226*(AB70+AA121)*0.3/0.55-AA227)/AB327,0)</f>
        <v>978.729562912144</v>
      </c>
      <c r="AC76" s="116" t="n">
        <f aca="false">(IF($C$173="Sí",(MAX(0,AC74-AB96)+MAX(0,AB276+AC53-AC75))/AC327,AC73+MAX(0,AC74-AB96)+MAX(0,AB276+AC53-AC75)))+IF($C$173="Sí",MAX(0,$C$226*(AC70+AB121)*0.3/0.55-AB227)/AC327,0)</f>
        <v>978.848491050083</v>
      </c>
      <c r="AD76" s="116" t="n">
        <f aca="false">(IF($C$173="Sí",(MAX(0,AD74-AC96)+MAX(0,AC276+AD53-AD75))/AD327,AD73+MAX(0,AD74-AC96)+MAX(0,AC276+AD53-AD75)))+IF($C$173="Sí",MAX(0,$C$226*(AD70+AC121)*0.3/0.55-AC227)/AD327,0)</f>
        <v>979.124777002676</v>
      </c>
      <c r="AE76" s="116" t="n">
        <f aca="false">(IF($C$173="Sí",(MAX(0,AE74-AD96)+MAX(0,AD276+AE53-AE75))/AE327,AE73+MAX(0,AE74-AD96)+MAX(0,AD276+AE53-AE75)))+IF($C$173="Sí",MAX(0,$C$226*(AE70+AD121)*0.3/0.55-AD227)/AE327,0)</f>
        <v>979.558453070113</v>
      </c>
      <c r="AF76" s="116" t="n">
        <f aca="false">(IF($C$173="Sí",(MAX(0,AF74-AE96)+MAX(0,AE276+AF53-AF75))/AF327,AF73+MAX(0,AF74-AE96)+MAX(0,AE276+AF53-AF75)))+IF($C$173="Sí",MAX(0,$C$226*(AF70+AE121)*0.3/0.55-AE227)/AF327,0)</f>
        <v>980.149161004799</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349.799156025208</v>
      </c>
      <c r="M81" s="116" t="n">
        <f aca="false">M69+M80+L121</f>
        <v>362.419591755768</v>
      </c>
      <c r="N81" s="116" t="n">
        <f aca="false">N69+N80+M121</f>
        <v>375.198431879403</v>
      </c>
      <c r="O81" s="116" t="n">
        <f aca="false">O69+O80+N121</f>
        <v>387.230929756743</v>
      </c>
      <c r="P81" s="116" t="n">
        <f aca="false">P69+P80+O121</f>
        <v>396.741314701046</v>
      </c>
      <c r="Q81" s="116" t="n">
        <f aca="false">Q69+Q80+P121</f>
        <v>406.328702290529</v>
      </c>
      <c r="R81" s="116" t="n">
        <f aca="false">R69+R80+Q121</f>
        <v>415.889586770488</v>
      </c>
      <c r="S81" s="116" t="n">
        <f aca="false">S69+S80+R121</f>
        <v>425.432952338897</v>
      </c>
      <c r="T81" s="116" t="n">
        <f aca="false">T69+T80+S121</f>
        <v>434.94712846129</v>
      </c>
      <c r="U81" s="116" t="n">
        <f aca="false">U69+U80+T121</f>
        <v>444.445969656203</v>
      </c>
      <c r="V81" s="116" t="n">
        <f aca="false">V69+V80+U121</f>
        <v>453.943226621573</v>
      </c>
      <c r="W81" s="116" t="n">
        <f aca="false">W69+W80+V121</f>
        <v>463.313704315697</v>
      </c>
      <c r="X81" s="116" t="n">
        <f aca="false">X69+X80+W121</f>
        <v>472.571767862181</v>
      </c>
      <c r="Y81" s="116" t="n">
        <f aca="false">Y69+Y80+X121</f>
        <v>481.731853842048</v>
      </c>
      <c r="Z81" s="116" t="n">
        <f aca="false">Z69+Z80+Y121</f>
        <v>490.808440448722</v>
      </c>
      <c r="AA81" s="116" t="n">
        <f aca="false">AA69+AA80+Z121</f>
        <v>499.816069828813</v>
      </c>
      <c r="AB81" s="116" t="n">
        <f aca="false">AB69+AB80+AA121</f>
        <v>508.772401333639</v>
      </c>
      <c r="AC81" s="116" t="n">
        <f aca="false">AC69+AC80+AB121</f>
        <v>517.695148440455</v>
      </c>
      <c r="AD81" s="116" t="n">
        <f aca="false">AD69+AD80+AC121</f>
        <v>526.602102724617</v>
      </c>
      <c r="AE81" s="116" t="n">
        <f aca="false">AE69+AE80+AD121</f>
        <v>535.511158236787</v>
      </c>
      <c r="AF81" s="116" t="n">
        <f aca="false">AF69+AF80+AE121</f>
        <v>544.440335178943</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41.9758987230249</v>
      </c>
      <c r="M85" s="116" t="n">
        <f aca="false">IF(AND($C$31&gt;0,M$39&gt;10),MIN(M83,MAX(01_Supuestos!$I$137*M81,L85*(1-1/MAX(1,$C$31)))),MIN(IF(M$39&lt;=10,01_Supuestos!$I$136,01_Supuestos!$I$137)*M81,M83))</f>
        <v>33.5807189784199</v>
      </c>
      <c r="N85" s="116" t="n">
        <f aca="false">IF(AND($C$31&gt;0,N$39&gt;10),MIN(N83,MAX(01_Supuestos!$I$137*N81,M85*(1-1/MAX(1,$C$31)))),MIN(IF(N$39&lt;=10,01_Supuestos!$I$136,01_Supuestos!$I$137)*N81,N83))</f>
        <v>28.1398823909552</v>
      </c>
      <c r="O85" s="116" t="n">
        <f aca="false">IF(AND($C$31&gt;0,O$39&gt;10),MIN(O83,MAX(01_Supuestos!$I$137*O81,N85*(1-1/MAX(1,$C$31)))),MIN(IF(O$39&lt;=10,01_Supuestos!$I$136,01_Supuestos!$I$137)*O81,O83))</f>
        <v>29.0423197317557</v>
      </c>
      <c r="P85" s="116" t="n">
        <f aca="false">IF(AND($C$31&gt;0,P$39&gt;10),MIN(P83,MAX(01_Supuestos!$I$137*P81,O85*(1-1/MAX(1,$C$31)))),MIN(IF(P$39&lt;=10,01_Supuestos!$I$136,01_Supuestos!$I$137)*P81,P83))</f>
        <v>29.7555986025785</v>
      </c>
      <c r="Q85" s="116" t="n">
        <f aca="false">IF(AND($C$31&gt;0,Q$39&gt;10),MIN(Q83,MAX(01_Supuestos!$I$137*Q81,P85*(1-1/MAX(1,$C$31)))),MIN(IF(Q$39&lt;=10,01_Supuestos!$I$136,01_Supuestos!$I$137)*Q81,Q83))</f>
        <v>30.4746526717897</v>
      </c>
      <c r="R85" s="116" t="n">
        <f aca="false">IF(AND($C$31&gt;0,R$39&gt;10),MIN(R83,MAX(01_Supuestos!$I$137*R81,Q85*(1-1/MAX(1,$C$31)))),MIN(IF(R$39&lt;=10,01_Supuestos!$I$136,01_Supuestos!$I$137)*R81,R83))</f>
        <v>31.1917190077866</v>
      </c>
      <c r="S85" s="116" t="n">
        <f aca="false">IF(AND($C$31&gt;0,S$39&gt;10),MIN(S83,MAX(01_Supuestos!$I$137*S81,R85*(1-1/MAX(1,$C$31)))),MIN(IF(S$39&lt;=10,01_Supuestos!$I$136,01_Supuestos!$I$137)*S81,S83))</f>
        <v>31.9074714254173</v>
      </c>
      <c r="T85" s="116" t="n">
        <f aca="false">IF(AND($C$31&gt;0,T$39&gt;10),MIN(T83,MAX(01_Supuestos!$I$137*T81,S85*(1-1/MAX(1,$C$31)))),MIN(IF(T$39&lt;=10,01_Supuestos!$I$136,01_Supuestos!$I$137)*T81,T83))</f>
        <v>32.6210346345968</v>
      </c>
      <c r="U85" s="116" t="n">
        <f aca="false">IF(AND($C$31&gt;0,U$39&gt;10),MIN(U83,MAX(01_Supuestos!$I$137*U81,T85*(1-1/MAX(1,$C$31)))),MIN(IF(U$39&lt;=10,01_Supuestos!$I$136,01_Supuestos!$I$137)*U81,U83))</f>
        <v>33.3334477242152</v>
      </c>
      <c r="V85" s="116" t="n">
        <f aca="false">IF(AND($C$31&gt;0,V$39&gt;10),MIN(V83,MAX(01_Supuestos!$I$137*V81,U85*(1-1/MAX(1,$C$31)))),MIN(IF(V$39&lt;=10,01_Supuestos!$I$136,01_Supuestos!$I$137)*V81,V83))</f>
        <v>34.0457419966179</v>
      </c>
      <c r="W85" s="116" t="n">
        <f aca="false">IF(AND($C$31&gt;0,W$39&gt;10),MIN(W83,MAX(01_Supuestos!$I$137*W81,V85*(1-1/MAX(1,$C$31)))),MIN(IF(W$39&lt;=10,01_Supuestos!$I$136,01_Supuestos!$I$137)*W81,W83))</f>
        <v>34.7485278236773</v>
      </c>
      <c r="X85" s="116" t="n">
        <f aca="false">IF(AND($C$31&gt;0,X$39&gt;10),MIN(X83,MAX(01_Supuestos!$I$137*X81,W85*(1-1/MAX(1,$C$31)))),MIN(IF(X$39&lt;=10,01_Supuestos!$I$136,01_Supuestos!$I$137)*X81,X83))</f>
        <v>35.4428825896636</v>
      </c>
      <c r="Y85" s="116" t="n">
        <f aca="false">IF(AND($C$31&gt;0,Y$39&gt;10),MIN(Y83,MAX(01_Supuestos!$I$137*Y81,X85*(1-1/MAX(1,$C$31)))),MIN(IF(Y$39&lt;=10,01_Supuestos!$I$136,01_Supuestos!$I$137)*Y81,Y83))</f>
        <v>36.1298890381536</v>
      </c>
      <c r="Z85" s="116" t="n">
        <f aca="false">IF(AND($C$31&gt;0,Z$39&gt;10),MIN(Z83,MAX(01_Supuestos!$I$137*Z81,Y85*(1-1/MAX(1,$C$31)))),MIN(IF(Z$39&lt;=10,01_Supuestos!$I$136,01_Supuestos!$I$137)*Z81,Z83))</f>
        <v>36.8106330336542</v>
      </c>
      <c r="AA85" s="116" t="n">
        <f aca="false">IF(AND($C$31&gt;0,AA$39&gt;10),MIN(AA83,MAX(01_Supuestos!$I$137*AA81,Z85*(1-1/MAX(1,$C$31)))),MIN(IF(AA$39&lt;=10,01_Supuestos!$I$136,01_Supuestos!$I$137)*AA81,AA83))</f>
        <v>37.486205237161</v>
      </c>
      <c r="AB85" s="116" t="n">
        <f aca="false">IF(AND($C$31&gt;0,AB$39&gt;10),MIN(AB83,MAX(01_Supuestos!$I$137*AB81,AA85*(1-1/MAX(1,$C$31)))),MIN(IF(AB$39&lt;=10,01_Supuestos!$I$136,01_Supuestos!$I$137)*AB81,AB83))</f>
        <v>38.1579301000229</v>
      </c>
      <c r="AC85" s="116" t="n">
        <f aca="false">IF(AND($C$31&gt;0,AC$39&gt;10),MIN(AC83,MAX(01_Supuestos!$I$137*AC81,AB85*(1-1/MAX(1,$C$31)))),MIN(IF(AC$39&lt;=10,01_Supuestos!$I$136,01_Supuestos!$I$137)*AC81,AC83))</f>
        <v>38.8271361330341</v>
      </c>
      <c r="AD85" s="116" t="n">
        <f aca="false">IF(AND($C$31&gt;0,AD$39&gt;10),MIN(AD83,MAX(01_Supuestos!$I$137*AD81,AC85*(1-1/MAX(1,$C$31)))),MIN(IF(AD$39&lt;=10,01_Supuestos!$I$136,01_Supuestos!$I$137)*AD81,AD83))</f>
        <v>39.4951577043462</v>
      </c>
      <c r="AE85" s="116" t="n">
        <f aca="false">IF(AND($C$31&gt;0,AE$39&gt;10),MIN(AE83,MAX(01_Supuestos!$I$137*AE81,AD85*(1-1/MAX(1,$C$31)))),MIN(IF(AE$39&lt;=10,01_Supuestos!$I$136,01_Supuestos!$I$137)*AE81,AE83))</f>
        <v>40.163336867759</v>
      </c>
      <c r="AF85" s="116" t="n">
        <f aca="false">IF(AND($C$31&gt;0,AF$39&gt;10),MIN(AF83,MAX(01_Supuestos!$I$137*AF81,AE85*(1-1/MAX(1,$C$31)))),MIN(IF(AF$39&lt;=10,01_Supuestos!$I$136,01_Supuestos!$I$137)*AF81,AF83))</f>
        <v>40.8330251384207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95.1227722265819</v>
      </c>
      <c r="M87" s="116" t="n">
        <f aca="false">M83-M85-M86</f>
        <v>116.937286988959</v>
      </c>
      <c r="N87" s="116" t="n">
        <f aca="false">N83-N85-N86</f>
        <v>125.840037713673</v>
      </c>
      <c r="O87" s="116" t="n">
        <f aca="false">O83-O85-O86</f>
        <v>128.479138535279</v>
      </c>
      <c r="P87" s="116" t="n">
        <f aca="false">P83-P85-P86</f>
        <v>131.388853204598</v>
      </c>
      <c r="Q87" s="116" t="n">
        <f aca="false">Q83-Q85-Q86</f>
        <v>134.376121526952</v>
      </c>
      <c r="R87" s="116" t="n">
        <f aca="false">R83-R85-R86</f>
        <v>137.450622997526</v>
      </c>
      <c r="S87" s="116" t="n">
        <f aca="false">S83-S85-S86</f>
        <v>140.613644446018</v>
      </c>
      <c r="T87" s="116" t="n">
        <f aca="false">T83-T85-T86</f>
        <v>143.868066901881</v>
      </c>
      <c r="U87" s="116" t="n">
        <f aca="false">U83-U85-U86</f>
        <v>147.214903147602</v>
      </c>
      <c r="V87" s="116" t="n">
        <f aca="false">V83-V85-V86</f>
        <v>150.655220945251</v>
      </c>
      <c r="W87" s="116" t="n">
        <f aca="false">W83-W85-W86</f>
        <v>154.200557265854</v>
      </c>
      <c r="X87" s="116" t="n">
        <f aca="false">X83-X85-X86</f>
        <v>157.852031456927</v>
      </c>
      <c r="Y87" s="116" t="n">
        <f aca="false">Y83-Y85-Y86</f>
        <v>161.610808031509</v>
      </c>
      <c r="Z87" s="116" t="n">
        <f aca="false">Z83-Z85-Z86</f>
        <v>165.478100068611</v>
      </c>
      <c r="AA87" s="116" t="n">
        <f aca="false">AA83-AA85-AA86</f>
        <v>169.455168726456</v>
      </c>
      <c r="AB87" s="116" t="n">
        <f aca="false">AB83-AB85-AB86</f>
        <v>173.543095464757</v>
      </c>
      <c r="AC87" s="116" t="n">
        <f aca="false">AC83-AC85-AC86</f>
        <v>177.743013019736</v>
      </c>
      <c r="AD87" s="116" t="n">
        <f aca="false">AD83-AD85-AD86</f>
        <v>182.056104878937</v>
      </c>
      <c r="AE87" s="116" t="n">
        <f aca="false">AE83-AE85-AE86</f>
        <v>186.48360475494</v>
      </c>
      <c r="AF87" s="116" t="n">
        <f aca="false">AF83-AF85-AF86</f>
        <v>191.026796141601</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0.459989099869183</v>
      </c>
      <c r="M90" s="116" t="n">
        <f aca="false">M83-L83-M73+M185-M228</f>
        <v>1.3857873418291</v>
      </c>
      <c r="N90" s="116" t="n">
        <f aca="false">N83-M83-N73+N185-N228</f>
        <v>-0.566251438149159</v>
      </c>
      <c r="O90" s="116" t="n">
        <f aca="false">O83-N83-O73+O185-O228</f>
        <v>-0.849094562983865</v>
      </c>
      <c r="P90" s="116" t="n">
        <f aca="false">P83-O83-P73+P185-P228</f>
        <v>-0.0802078782744147</v>
      </c>
      <c r="Q90" s="116" t="n">
        <f aca="false">Q83-P83-Q73+Q185-Q228</f>
        <v>0.107726043585608</v>
      </c>
      <c r="R90" s="116" t="n">
        <f aca="false">R83-Q83-R73+R185-R228</f>
        <v>0.105291430639667</v>
      </c>
      <c r="S90" s="116" t="n">
        <f aca="false">S83-R83-S73+S185-S228</f>
        <v>0.108449028216384</v>
      </c>
      <c r="T90" s="116" t="n">
        <f aca="false">T83-S83-T73+T185-T228</f>
        <v>0.111572164614628</v>
      </c>
      <c r="U90" s="116" t="n">
        <f aca="false">U83-T83-U73+U185-U228</f>
        <v>0.114617325286879</v>
      </c>
      <c r="V90" s="116" t="n">
        <f aca="false">V83-U83-V73+V185-V228</f>
        <v>0.117642584329133</v>
      </c>
      <c r="W90" s="116" t="n">
        <f aca="false">W83-V83-W73+W185-W228</f>
        <v>0.121917132169152</v>
      </c>
      <c r="X90" s="116" t="n">
        <f aca="false">X83-W83-X73+X185-X228</f>
        <v>0.125665063842945</v>
      </c>
      <c r="Y90" s="116" t="n">
        <f aca="false">Y83-X83-Y73+Y185-Y228</f>
        <v>0.129131068799197</v>
      </c>
      <c r="Z90" s="116" t="n">
        <f aca="false">Z83-Y83-Z73+Z185-Z228</f>
        <v>0.13264026949031</v>
      </c>
      <c r="AA90" s="116" t="n">
        <f aca="false">AA83-Z83-AA73+AA185-AA228</f>
        <v>0.136194222850975</v>
      </c>
      <c r="AB90" s="116" t="n">
        <f aca="false">AB83-AA83-AB73+AB185-AB228</f>
        <v>0.139767984822342</v>
      </c>
      <c r="AC90" s="116" t="n">
        <f aca="false">AC83-AB83-AC73+AC185-AC228</f>
        <v>0.143375728719946</v>
      </c>
      <c r="AD90" s="116" t="n">
        <f aca="false">AD83-AC83-AD73+AD185-AD228</f>
        <v>0.147026123802661</v>
      </c>
      <c r="AE90" s="116" t="n">
        <f aca="false">AE83-AD83-AE73+AE185-AE228</f>
        <v>0.150720668978394</v>
      </c>
      <c r="AF90" s="116" t="n">
        <f aca="false">AF83-AE83-AF73+AF185-AF228</f>
        <v>0.154460856350354</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0.459989099869183</v>
      </c>
      <c r="M92" s="116" t="n">
        <f aca="false">IF(M90&gt;0,IF($C$20="BC",MIN(M90-M91,MAX(0,L276+M53-M75)),MIN(M90,MAX(0,L276+M53-M75))),0)</f>
        <v>1.3857873418291</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0.107726043585608</v>
      </c>
      <c r="R92" s="116" t="n">
        <f aca="false">IF(R90&gt;0,IF($C$20="BC",MIN(R90-R91,MAX(0,Q276+R53-R75)),MIN(R90,MAX(0,Q276+R53-R75))),0)</f>
        <v>0.105291430639667</v>
      </c>
      <c r="S92" s="116" t="n">
        <f aca="false">IF(S90&gt;0,IF($C$20="BC",MIN(S90-S91,MAX(0,R276+S53-S75)),MIN(S90,MAX(0,R276+S53-S75))),0)</f>
        <v>0.108449028216384</v>
      </c>
      <c r="T92" s="116" t="n">
        <f aca="false">IF(T90&gt;0,IF($C$20="BC",MIN(T90-T91,MAX(0,S276+T53-T75)),MIN(T90,MAX(0,S276+T53-T75))),0)</f>
        <v>0.111572164614628</v>
      </c>
      <c r="U92" s="116" t="n">
        <f aca="false">IF(U90&gt;0,IF($C$20="BC",MIN(U90-U91,MAX(0,T276+U53-U75)),MIN(U90,MAX(0,T276+U53-U75))),0)</f>
        <v>0.114617325286879</v>
      </c>
      <c r="V92" s="116" t="n">
        <f aca="false">IF(V90&gt;0,IF($C$20="BC",MIN(V90-V91,MAX(0,U276+V53-V75)),MIN(V90,MAX(0,U276+V53-V75))),0)</f>
        <v>0.117642584329133</v>
      </c>
      <c r="W92" s="116" t="n">
        <f aca="false">IF(W90&gt;0,IF($C$20="BC",MIN(W90-W91,MAX(0,V276+W53-W75)),MIN(W90,MAX(0,V276+W53-W75))),0)</f>
        <v>0.121917132169152</v>
      </c>
      <c r="X92" s="116" t="n">
        <f aca="false">IF(X90&gt;0,IF($C$20="BC",MIN(X90-X91,MAX(0,W276+X53-X75)),MIN(X90,MAX(0,W276+X53-X75))),0)</f>
        <v>0.125665063842945</v>
      </c>
      <c r="Y92" s="116" t="n">
        <f aca="false">IF(Y90&gt;0,IF($C$20="BC",MIN(Y90-Y91,MAX(0,X276+Y53-Y75)),MIN(Y90,MAX(0,X276+Y53-Y75))),0)</f>
        <v>0.129131068799197</v>
      </c>
      <c r="Z92" s="116" t="n">
        <f aca="false">IF(Z90&gt;0,IF($C$20="BC",MIN(Z90-Z91,MAX(0,Y276+Z53-Z75)),MIN(Z90,MAX(0,Y276+Z53-Z75))),0)</f>
        <v>0.13264026949031</v>
      </c>
      <c r="AA92" s="116" t="n">
        <f aca="false">IF(AA90&gt;0,IF($C$20="BC",MIN(AA90-AA91,MAX(0,Z276+AA53-AA75)),MIN(AA90,MAX(0,Z276+AA53-AA75))),0)</f>
        <v>0.136194222850975</v>
      </c>
      <c r="AB92" s="116" t="n">
        <f aca="false">IF(AB90&gt;0,IF($C$20="BC",MIN(AB90-AB91,MAX(0,AA276+AB53-AB75)),MIN(AB90,MAX(0,AA276+AB53-AB75))),0)</f>
        <v>0.139767984822342</v>
      </c>
      <c r="AC92" s="116" t="n">
        <f aca="false">IF(AC90&gt;0,IF($C$20="BC",MIN(AC90-AC91,MAX(0,AB276+AC53-AC75)),MIN(AC90,MAX(0,AB276+AC53-AC75))),0)</f>
        <v>0.143375728719946</v>
      </c>
      <c r="AD92" s="116" t="n">
        <f aca="false">IF(AD90&gt;0,IF($C$20="BC",MIN(AD90-AD91,MAX(0,AC276+AD53-AD75)),MIN(AD90,MAX(0,AC276+AD53-AD75))),0)</f>
        <v>0.147026123802661</v>
      </c>
      <c r="AE92" s="116" t="n">
        <f aca="false">IF(AE90&gt;0,IF($C$20="BC",MIN(AE90-AE91,MAX(0,AD276+AE53-AE75)),MIN(AE90,MAX(0,AD276+AE53-AE75))),0)</f>
        <v>0.150720668978394</v>
      </c>
      <c r="AF92" s="116" t="n">
        <f aca="false">IF(AF90&gt;0,IF($C$20="BC",MIN(AF90-AF91,MAX(0,AE276+AF53-AF75)),MIN(AF90,MAX(0,AE276+AF53-AF75))),0)</f>
        <v>0.154460856350354</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0.566251438149159</v>
      </c>
      <c r="O94" s="116" t="n">
        <f aca="false">IF(O90&lt;0,-O90-O93,0)</f>
        <v>0.849094562983865</v>
      </c>
      <c r="P94" s="116" t="n">
        <f aca="false">IF(P90&lt;0,-P90-P93,0)</f>
        <v>0.0802078782744147</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8.74497890063019</v>
      </c>
      <c r="M100" s="116" t="n">
        <f aca="false">$C$21*$C$22*M81</f>
        <v>9.06048979389419</v>
      </c>
      <c r="N100" s="116" t="n">
        <f aca="false">$C$21*$C$22*N81</f>
        <v>9.37996079698507</v>
      </c>
      <c r="O100" s="116" t="n">
        <f aca="false">$C$21*$C$22*O81</f>
        <v>9.68077324391857</v>
      </c>
      <c r="P100" s="116" t="n">
        <f aca="false">$C$21*$C$22*P81</f>
        <v>9.91853286752615</v>
      </c>
      <c r="Q100" s="116" t="n">
        <f aca="false">$C$21*$C$22*Q81</f>
        <v>10.1582175572632</v>
      </c>
      <c r="R100" s="116" t="n">
        <f aca="false">$C$21*$C$22*R81</f>
        <v>10.3972396692622</v>
      </c>
      <c r="S100" s="116" t="n">
        <f aca="false">$C$21*$C$22*S81</f>
        <v>10.6358238084724</v>
      </c>
      <c r="T100" s="116" t="n">
        <f aca="false">$C$21*$C$22*T81</f>
        <v>10.8736782115323</v>
      </c>
      <c r="U100" s="116" t="n">
        <f aca="false">$C$21*$C$22*U81</f>
        <v>11.1111492414051</v>
      </c>
      <c r="V100" s="116" t="n">
        <f aca="false">$C$21*$C$22*V81</f>
        <v>11.3485806655393</v>
      </c>
      <c r="W100" s="116" t="n">
        <f aca="false">$C$21*$C$22*W81</f>
        <v>11.5828426078924</v>
      </c>
      <c r="X100" s="116" t="n">
        <f aca="false">$C$21*$C$22*X81</f>
        <v>11.8142941965545</v>
      </c>
      <c r="Y100" s="116" t="n">
        <f aca="false">$C$21*$C$22*Y81</f>
        <v>12.0432963460512</v>
      </c>
      <c r="Z100" s="116" t="n">
        <f aca="false">$C$21*$C$22*Z81</f>
        <v>12.2702110112181</v>
      </c>
      <c r="AA100" s="116" t="n">
        <f aca="false">$C$21*$C$22*AA81</f>
        <v>12.4954017457203</v>
      </c>
      <c r="AB100" s="116" t="n">
        <f aca="false">$C$21*$C$22*AB81</f>
        <v>12.719310033341</v>
      </c>
      <c r="AC100" s="116" t="n">
        <f aca="false">$C$21*$C$22*AC81</f>
        <v>12.9423787110114</v>
      </c>
      <c r="AD100" s="116" t="n">
        <f aca="false">$C$21*$C$22*AD81</f>
        <v>13.1650525681154</v>
      </c>
      <c r="AE100" s="116" t="n">
        <f aca="false">$C$21*$C$22*AE81</f>
        <v>13.3877789559197</v>
      </c>
      <c r="AF100" s="116" t="n">
        <f aca="false">$C$21*$C$22*AF81</f>
        <v>13.6110083794736</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0.00874497890063019</v>
      </c>
      <c r="N102" s="116" t="n">
        <f aca="false">M104*$C$24</f>
        <v>0.00906048979389419</v>
      </c>
      <c r="O102" s="116" t="n">
        <f aca="false">N104*$C$24</f>
        <v>0.00937996079698507</v>
      </c>
      <c r="P102" s="116" t="n">
        <f aca="false">O104*$C$24</f>
        <v>0.00968077324391857</v>
      </c>
      <c r="Q102" s="116" t="n">
        <f aca="false">P104*$C$24</f>
        <v>0.00991853286752615</v>
      </c>
      <c r="R102" s="116" t="n">
        <f aca="false">Q104*$C$24</f>
        <v>0.0101582175572632</v>
      </c>
      <c r="S102" s="116" t="n">
        <f aca="false">R104*$C$24</f>
        <v>0.0103972396692622</v>
      </c>
      <c r="T102" s="116" t="n">
        <f aca="false">S104*$C$24</f>
        <v>0.0106358238084724</v>
      </c>
      <c r="U102" s="116" t="n">
        <f aca="false">T104*$C$24</f>
        <v>0.0108736782115323</v>
      </c>
      <c r="V102" s="116" t="n">
        <f aca="false">U104*$C$24</f>
        <v>0.0111111492414051</v>
      </c>
      <c r="W102" s="116" t="n">
        <f aca="false">V104*$C$24</f>
        <v>0.0113485806655393</v>
      </c>
      <c r="X102" s="116" t="n">
        <f aca="false">W104*$C$24</f>
        <v>0.0115828426078924</v>
      </c>
      <c r="Y102" s="116" t="n">
        <f aca="false">X104*$C$24</f>
        <v>0.0118142941965545</v>
      </c>
      <c r="Z102" s="116" t="n">
        <f aca="false">Y104*$C$24</f>
        <v>0.0120432963460512</v>
      </c>
      <c r="AA102" s="116" t="n">
        <f aca="false">Z104*$C$24</f>
        <v>0.0122702110112181</v>
      </c>
      <c r="AB102" s="116" t="n">
        <f aca="false">AA104*$C$24</f>
        <v>0.0124954017457203</v>
      </c>
      <c r="AC102" s="116" t="n">
        <f aca="false">AB104*$C$24</f>
        <v>0.012719310033341</v>
      </c>
      <c r="AD102" s="116" t="n">
        <f aca="false">AC104*$C$24</f>
        <v>0.0129423787110114</v>
      </c>
      <c r="AE102" s="116" t="n">
        <f aca="false">AD104*$C$24</f>
        <v>0.0131650525681154</v>
      </c>
      <c r="AF102" s="116" t="n">
        <f aca="false">AE104*$C$24</f>
        <v>0.0133877789559197</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0.325045098565004</v>
      </c>
      <c r="M103" s="116" t="n">
        <f aca="false">MIN(MAX(0,M100-L104-M101),MAX(0,L276))</f>
        <v>0.315510893264005</v>
      </c>
      <c r="N103" s="116" t="n">
        <f aca="false">MIN(MAX(0,N100-M104-N101),MAX(0,M276))</f>
        <v>0.319471003090873</v>
      </c>
      <c r="O103" s="116" t="n">
        <f aca="false">MIN(MAX(0,O100-N104-O101),MAX(0,N276))</f>
        <v>0.300812446933506</v>
      </c>
      <c r="P103" s="116" t="n">
        <f aca="false">MIN(MAX(0,P100-O104-P101),MAX(0,O276))</f>
        <v>0.237759623607582</v>
      </c>
      <c r="Q103" s="116" t="n">
        <f aca="false">MIN(MAX(0,Q100-P104-Q101),MAX(0,P276))</f>
        <v>0.239684689737075</v>
      </c>
      <c r="R103" s="116" t="n">
        <f aca="false">MIN(MAX(0,R100-Q104-R101),MAX(0,Q276))</f>
        <v>0.239022111998978</v>
      </c>
      <c r="S103" s="116" t="n">
        <f aca="false">MIN(MAX(0,S100-R104-S101),MAX(0,R276))</f>
        <v>0.238584139210221</v>
      </c>
      <c r="T103" s="116" t="n">
        <f aca="false">MIN(MAX(0,T100-S104-T101),MAX(0,S276))</f>
        <v>0.237854403059826</v>
      </c>
      <c r="U103" s="116" t="n">
        <f aca="false">MIN(MAX(0,U100-T104-U101),MAX(0,T276))</f>
        <v>0.237471029872827</v>
      </c>
      <c r="V103" s="116" t="n">
        <f aca="false">MIN(MAX(0,V100-U104-V101),MAX(0,U276))</f>
        <v>0.237431424134233</v>
      </c>
      <c r="W103" s="116" t="n">
        <f aca="false">MIN(MAX(0,W100-V104-W101),MAX(0,V276))</f>
        <v>0.234261942353118</v>
      </c>
      <c r="X103" s="116" t="n">
        <f aca="false">MIN(MAX(0,X100-W104-X101),MAX(0,W276))</f>
        <v>0.231451588662095</v>
      </c>
      <c r="Y103" s="116" t="n">
        <f aca="false">MIN(MAX(0,Y100-X104-Y101),MAX(0,X276))</f>
        <v>0.229002149496669</v>
      </c>
      <c r="Z103" s="116" t="n">
        <f aca="false">MIN(MAX(0,Z100-Y104-Z101),MAX(0,Y276))</f>
        <v>0.226914665166866</v>
      </c>
      <c r="AA103" s="116" t="n">
        <f aca="false">MIN(MAX(0,AA100-Z104-AA101),MAX(0,Z276))</f>
        <v>0.225190734502261</v>
      </c>
      <c r="AB103" s="116" t="n">
        <f aca="false">MIN(MAX(0,AB100-AA104-AB101),MAX(0,AA276))</f>
        <v>0.223908287620656</v>
      </c>
      <c r="AC103" s="116" t="n">
        <f aca="false">MIN(MAX(0,AC100-AB104-AC101),MAX(0,AB276))</f>
        <v>0.223068677670398</v>
      </c>
      <c r="AD103" s="116" t="n">
        <f aca="false">MIN(MAX(0,AD100-AC104-AD101),MAX(0,AC276))</f>
        <v>0.222673857104038</v>
      </c>
      <c r="AE103" s="116" t="n">
        <f aca="false">MIN(MAX(0,AE100-AD104-AE101),MAX(0,AD276))</f>
        <v>0.222726387804258</v>
      </c>
      <c r="AF103" s="116" t="n">
        <f aca="false">MIN(MAX(0,AF100-AE104-AF101),MAX(0,AE276))</f>
        <v>0.223229423553903</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8.74497890063019</v>
      </c>
      <c r="M104" s="136" t="n">
        <f aca="false">L104+M101+M103</f>
        <v>9.06048979389419</v>
      </c>
      <c r="N104" s="136" t="n">
        <f aca="false">M104+N101+N103</f>
        <v>9.37996079698507</v>
      </c>
      <c r="O104" s="136" t="n">
        <f aca="false">N104+O101+O103</f>
        <v>9.68077324391857</v>
      </c>
      <c r="P104" s="136" t="n">
        <f aca="false">O104+P101+P103</f>
        <v>9.91853286752615</v>
      </c>
      <c r="Q104" s="136" t="n">
        <f aca="false">P104+Q101+Q103</f>
        <v>10.1582175572632</v>
      </c>
      <c r="R104" s="136" t="n">
        <f aca="false">Q104+R101+R103</f>
        <v>10.3972396692622</v>
      </c>
      <c r="S104" s="136" t="n">
        <f aca="false">R104+S101+S103</f>
        <v>10.6358238084724</v>
      </c>
      <c r="T104" s="136" t="n">
        <f aca="false">S104+T101+T103</f>
        <v>10.8736782115323</v>
      </c>
      <c r="U104" s="136" t="n">
        <f aca="false">T104+U101+U103</f>
        <v>11.1111492414051</v>
      </c>
      <c r="V104" s="136" t="n">
        <f aca="false">U104+V101+V103</f>
        <v>11.3485806655393</v>
      </c>
      <c r="W104" s="136" t="n">
        <f aca="false">V104+W101+W103</f>
        <v>11.5828426078924</v>
      </c>
      <c r="X104" s="136" t="n">
        <f aca="false">W104+X101+X103</f>
        <v>11.8142941965545</v>
      </c>
      <c r="Y104" s="136" t="n">
        <f aca="false">X104+Y101+Y103</f>
        <v>12.0432963460512</v>
      </c>
      <c r="Z104" s="136" t="n">
        <f aca="false">Y104+Z101+Z103</f>
        <v>12.2702110112181</v>
      </c>
      <c r="AA104" s="136" t="n">
        <f aca="false">Z104+AA101+AA103</f>
        <v>12.4954017457203</v>
      </c>
      <c r="AB104" s="136" t="n">
        <f aca="false">AA104+AB101+AB103</f>
        <v>12.719310033341</v>
      </c>
      <c r="AC104" s="136" t="n">
        <f aca="false">AB104+AC101+AC103</f>
        <v>12.9423787110114</v>
      </c>
      <c r="AD104" s="136" t="n">
        <f aca="false">AC104+AD101+AD103</f>
        <v>13.1650525681154</v>
      </c>
      <c r="AE104" s="136" t="n">
        <f aca="false">AD104+AE101+AE103</f>
        <v>13.3877789559197</v>
      </c>
      <c r="AF104" s="136" t="n">
        <f aca="false">AE104+AF101+AF103</f>
        <v>13.6110083794736</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68.0979582039688</v>
      </c>
      <c r="M105" s="139" t="n">
        <f aca="false">M104/($C$36*(1+$C$23)^(M$39-1))</f>
        <v>70.5548706638538</v>
      </c>
      <c r="N105" s="139" t="n">
        <f aca="false">N104/($C$36*(1+$C$23)^(N$39-1))</f>
        <v>73.0426208646341</v>
      </c>
      <c r="O105" s="139" t="n">
        <f aca="false">O104/($C$36*(1+$C$23)^(O$39-1))</f>
        <v>75.3850751656999</v>
      </c>
      <c r="P105" s="139" t="n">
        <f aca="false">P104/($C$36*(1+$C$23)^(P$39-1))</f>
        <v>77.2365313092766</v>
      </c>
      <c r="Q105" s="139" t="n">
        <f aca="false">Q104/($C$36*(1+$C$23)^(Q$39-1))</f>
        <v>79.1029781205629</v>
      </c>
      <c r="R105" s="139" t="n">
        <f aca="false">R104/($C$36*(1+$C$23)^(R$39-1))</f>
        <v>80.9642653778206</v>
      </c>
      <c r="S105" s="139" t="n">
        <f aca="false">S104/($C$36*(1+$C$23)^(S$39-1))</f>
        <v>82.8221421005302</v>
      </c>
      <c r="T105" s="139" t="n">
        <f aca="false">T104/($C$36*(1+$C$23)^(T$39-1))</f>
        <v>84.6743363004534</v>
      </c>
      <c r="U105" s="139" t="n">
        <f aca="false">U104/($C$36*(1+$C$23)^(U$39-1))</f>
        <v>86.5235451379691</v>
      </c>
      <c r="V105" s="139" t="n">
        <f aca="false">V104/($C$36*(1+$C$23)^(V$39-1))</f>
        <v>88.3724455619411</v>
      </c>
      <c r="W105" s="139" t="n">
        <f aca="false">W104/($C$36*(1+$C$23)^(W$39-1))</f>
        <v>90.1966649386161</v>
      </c>
      <c r="X105" s="139" t="n">
        <f aca="false">X104/($C$36*(1+$C$23)^(X$39-1))</f>
        <v>91.9989998315931</v>
      </c>
      <c r="Y105" s="139" t="n">
        <f aca="false">Y104/($C$36*(1+$C$23)^(Y$39-1))</f>
        <v>93.7822607156096</v>
      </c>
      <c r="Z105" s="139" t="n">
        <f aca="false">Z104/($C$36*(1+$C$23)^(Z$39-1))</f>
        <v>95.5492661663931</v>
      </c>
      <c r="AA105" s="139" t="n">
        <f aca="false">AA104/($C$36*(1+$C$23)^(AA$39-1))</f>
        <v>97.302847209905</v>
      </c>
      <c r="AB105" s="139" t="n">
        <f aca="false">AB104/($C$36*(1+$C$23)^(AB$39-1))</f>
        <v>99.0464417211295</v>
      </c>
      <c r="AC105" s="139" t="n">
        <f aca="false">AC104/($C$36*(1+$C$23)^(AC$39-1))</f>
        <v>100.783498112143</v>
      </c>
      <c r="AD105" s="139" t="n">
        <f aca="false">AD104/($C$36*(1+$C$23)^(AD$39-1))</f>
        <v>102.517479998948</v>
      </c>
      <c r="AE105" s="139" t="n">
        <f aca="false">AE104/($C$36*(1+$C$23)^(AE$39-1))</f>
        <v>104.251870947166</v>
      </c>
      <c r="AF105" s="139" t="n">
        <f aca="false">AF104/($C$36*(1+$C$23)^(AF$39-1))</f>
        <v>105.990179081217</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5.80581329777888</v>
      </c>
      <c r="M107" s="116" t="n">
        <f aca="false">M87*(1-$C$340)*$C$175+M85*01_Supuestos!$I$126+M55*M88</f>
        <v>6.41106504808816</v>
      </c>
      <c r="N107" s="116" t="n">
        <f aca="false">N87*(1-$C$340)*$C$175+N85*01_Supuestos!$I$126+N55*N88</f>
        <v>6.57689195626177</v>
      </c>
      <c r="O107" s="116" t="n">
        <f aca="false">O87*(1-$C$340)*$C$175+O85*01_Supuestos!$I$126+O55*O88</f>
        <v>6.72740578558033</v>
      </c>
      <c r="P107" s="116" t="n">
        <f aca="false">P87*(1-$C$340)*$C$175+P85*01_Supuestos!$I$126+P55*P88</f>
        <v>6.88200215023493</v>
      </c>
      <c r="Q107" s="116" t="n">
        <f aca="false">Q87*(1-$C$340)*$C$175+Q85*01_Supuestos!$I$126+Q55*Q88</f>
        <v>7.04018566482423</v>
      </c>
      <c r="R107" s="116" t="n">
        <f aca="false">R87*(1-$C$340)*$C$175+R85*01_Supuestos!$I$126+R55*R88</f>
        <v>7.20206218156251</v>
      </c>
      <c r="S107" s="116" t="n">
        <f aca="false">S87*(1-$C$340)*$C$175+S85*01_Supuestos!$I$126+S55*S88</f>
        <v>7.36771451184095</v>
      </c>
      <c r="T107" s="116" t="n">
        <f aca="false">T87*(1-$C$340)*$C$175+T85*01_Supuestos!$I$126+T55*T88</f>
        <v>7.53723199824286</v>
      </c>
      <c r="U107" s="116" t="n">
        <f aca="false">U87*(1-$C$340)*$C$175+U85*01_Supuestos!$I$126+U55*U88</f>
        <v>7.71070031788298</v>
      </c>
      <c r="V107" s="116" t="n">
        <f aca="false">V87*(1-$C$340)*$C$175+V85*01_Supuestos!$I$126+V55*V88</f>
        <v>7.88820721214397</v>
      </c>
      <c r="W107" s="116" t="n">
        <f aca="false">W87*(1-$C$340)*$C$175+W85*01_Supuestos!$I$126+W55*W88</f>
        <v>8.06987332529159</v>
      </c>
      <c r="X107" s="116" t="n">
        <f aca="false">X87*(1-$C$340)*$C$175+X85*01_Supuestos!$I$126+X55*X88</f>
        <v>8.25579048685609</v>
      </c>
      <c r="Y107" s="116" t="n">
        <f aca="false">Y87*(1-$C$340)*$C$175+Y85*01_Supuestos!$I$126+Y55*Y88</f>
        <v>8.44605269587341</v>
      </c>
      <c r="Z107" s="116" t="n">
        <f aca="false">Z87*(1-$C$340)*$C$175+Z85*01_Supuestos!$I$126+Z55*Z88</f>
        <v>8.64075617776717</v>
      </c>
      <c r="AA107" s="116" t="n">
        <f aca="false">AA87*(1-$C$340)*$C$175+AA85*01_Supuestos!$I$126+AA55*AA88</f>
        <v>8.8399994308133</v>
      </c>
      <c r="AB107" s="116" t="n">
        <f aca="false">AB87*(1-$C$340)*$C$175+AB85*01_Supuestos!$I$126+AB55*AB88</f>
        <v>9.0438826016069</v>
      </c>
      <c r="AC107" s="116" t="n">
        <f aca="false">AC87*(1-$C$340)*$C$175+AC85*01_Supuestos!$I$126+AC55*AC88</f>
        <v>9.25250821818828</v>
      </c>
      <c r="AD107" s="116" t="n">
        <f aca="false">AD87*(1-$C$340)*$C$175+AD85*01_Supuestos!$I$126+AD55*AD88</f>
        <v>9.46598123977578</v>
      </c>
      <c r="AE107" s="116" t="n">
        <f aca="false">AE87*(1-$C$340)*$C$175+AE85*01_Supuestos!$I$126+AE55*AE88</f>
        <v>9.68440910767504</v>
      </c>
      <c r="AF107" s="116" t="n">
        <f aca="false">AF87*(1-$C$340)*$C$175+AF85*01_Supuestos!$I$126+AF55*AF88</f>
        <v>9.90790179763893</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2.28439055019087</v>
      </c>
      <c r="M109" s="116" t="n">
        <f aca="false">(M70+L121)*(0.3*$C$5+0.25*01_Supuestos!$I$134)/0.55-L227*$C$5</f>
        <v>2.39630679976982</v>
      </c>
      <c r="N109" s="116" t="n">
        <f aca="false">(N70+M121)*(0.3*$C$5+0.25*01_Supuestos!$I$134)/0.55-M227*$C$5</f>
        <v>2.53692517910237</v>
      </c>
      <c r="O109" s="116" t="n">
        <f aca="false">(O70+N121)*(0.3*$C$5+0.25*01_Supuestos!$I$134)/0.55-N227*$C$5</f>
        <v>2.68068818589129</v>
      </c>
      <c r="P109" s="116" t="n">
        <f aca="false">(P70+O121)*(0.3*$C$5+0.25*01_Supuestos!$I$134)/0.55-O227*$C$5</f>
        <v>2.82769405637166</v>
      </c>
      <c r="Q109" s="116" t="n">
        <f aca="false">(Q70+P121)*(0.3*$C$5+0.25*01_Supuestos!$I$134)/0.55-P227*$C$5</f>
        <v>2.97354364581574</v>
      </c>
      <c r="R109" s="116" t="n">
        <f aca="false">(R70+Q121)*(0.3*$C$5+0.25*01_Supuestos!$I$134)/0.55-Q227*$C$5</f>
        <v>3.11800526245209</v>
      </c>
      <c r="S109" s="116" t="n">
        <f aca="false">(S70+R121)*(0.3*$C$5+0.25*01_Supuestos!$I$134)/0.55-R227*$C$5</f>
        <v>3.26135859834583</v>
      </c>
      <c r="T109" s="116" t="n">
        <f aca="false">(T70+S121)*(0.3*$C$5+0.25*01_Supuestos!$I$134)/0.55-S227*$C$5</f>
        <v>3.40339314492507</v>
      </c>
      <c r="U109" s="116" t="n">
        <f aca="false">(U70+T121)*(0.3*$C$5+0.25*01_Supuestos!$I$134)/0.55-T227*$C$5</f>
        <v>3.54449970597031</v>
      </c>
      <c r="V109" s="116" t="n">
        <f aca="false">(V70+U121)*(0.3*$C$5+0.25*01_Supuestos!$I$134)/0.55-U227*$C$5</f>
        <v>3.68506461344366</v>
      </c>
      <c r="W109" s="116" t="n">
        <f aca="false">(W70+V121)*(0.3*$C$5+0.25*01_Supuestos!$I$134)/0.55-V227*$C$5</f>
        <v>3.82547007073019</v>
      </c>
      <c r="X109" s="116" t="n">
        <f aca="false">(X70+W121)*(0.3*$C$5+0.25*01_Supuestos!$I$134)/0.55-W227*$C$5</f>
        <v>3.96609892959481</v>
      </c>
      <c r="Y109" s="116" t="n">
        <f aca="false">(Y70+X121)*(0.3*$C$5+0.25*01_Supuestos!$I$134)/0.55-X227*$C$5</f>
        <v>4.10733339743692</v>
      </c>
      <c r="Z109" s="116" t="n">
        <f aca="false">(Z70+Y121)*(0.3*$C$5+0.25*01_Supuestos!$I$134)/0.55-Y227*$C$5</f>
        <v>4.2495543088179</v>
      </c>
      <c r="AA109" s="116" t="n">
        <f aca="false">(AA70+Z121)*(0.3*$C$5+0.25*01_Supuestos!$I$134)/0.55-Z227*$C$5</f>
        <v>4.39314162894542</v>
      </c>
      <c r="AB109" s="116" t="n">
        <f aca="false">(AB70+AA121)*(0.3*$C$5+0.25*01_Supuestos!$I$134)/0.55-AA227*$C$5</f>
        <v>4.53847485354021</v>
      </c>
      <c r="AC109" s="116" t="n">
        <f aca="false">(AC70+AB121)*(0.3*$C$5+0.25*01_Supuestos!$I$134)/0.55-AB227*$C$5</f>
        <v>4.68593355473627</v>
      </c>
      <c r="AD109" s="116" t="n">
        <f aca="false">(AD70+AC121)*(0.3*$C$5+0.25*01_Supuestos!$I$134)/0.55-AC227*$C$5</f>
        <v>4.83589794646004</v>
      </c>
      <c r="AE109" s="116" t="n">
        <f aca="false">(AE70+AD121)*(0.3*$C$5+0.25*01_Supuestos!$I$134)/0.55-AD227*$C$5</f>
        <v>4.9887494585384</v>
      </c>
      <c r="AF109" s="116" t="n">
        <f aca="false">(AF70+AE121)*(0.3*$C$5+0.25*01_Supuestos!$I$134)/0.55-AE227*$C$5</f>
        <v>5.14487129342517</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1.2286350843469</v>
      </c>
      <c r="F110" s="116" t="n">
        <f aca="false">E120*$C$10</f>
        <v>1.85752021492381</v>
      </c>
      <c r="G110" s="116" t="n">
        <f aca="false">F120*$C$10</f>
        <v>2.16515359000362</v>
      </c>
      <c r="H110" s="116" t="n">
        <f aca="false">G120*$C$10</f>
        <v>2.54956750465803</v>
      </c>
      <c r="I110" s="116" t="n">
        <f aca="false">H120*$C$10</f>
        <v>2.99211665248276</v>
      </c>
      <c r="J110" s="116" t="n">
        <f aca="false">I120*$C$10</f>
        <v>3.49600720239699</v>
      </c>
      <c r="K110" s="116" t="n">
        <f aca="false">J120*$C$10</f>
        <v>4.0464219473949</v>
      </c>
      <c r="L110" s="116" t="n">
        <f aca="false">K120*$C$10</f>
        <v>4.64192118986067</v>
      </c>
      <c r="M110" s="116" t="n">
        <f aca="false">L120*$C$10</f>
        <v>5.23867896028262</v>
      </c>
      <c r="N110" s="116" t="n">
        <f aca="false">M120*$C$10</f>
        <v>5.22707268823451</v>
      </c>
      <c r="O110" s="116" t="n">
        <f aca="false">N120*$C$10</f>
        <v>5.28484764879621</v>
      </c>
      <c r="P110" s="116" t="n">
        <f aca="false">O120*$C$10</f>
        <v>5.354403609326</v>
      </c>
      <c r="Q110" s="116" t="n">
        <f aca="false">P120*$C$10</f>
        <v>5.40051453686906</v>
      </c>
      <c r="R110" s="116" t="n">
        <f aca="false">Q120*$C$10</f>
        <v>5.44127103079824</v>
      </c>
      <c r="S110" s="116" t="n">
        <f aca="false">R120*$C$10</f>
        <v>5.45633943997356</v>
      </c>
      <c r="T110" s="116" t="n">
        <f aca="false">S120*$C$10</f>
        <v>5.4719906468605</v>
      </c>
      <c r="U110" s="116" t="n">
        <f aca="false">T120*$C$10</f>
        <v>5.48825301893243</v>
      </c>
      <c r="V110" s="116" t="n">
        <f aca="false">U120*$C$10</f>
        <v>5.5051345359909</v>
      </c>
      <c r="W110" s="116" t="n">
        <f aca="false">V120*$C$10</f>
        <v>5.52264167042096</v>
      </c>
      <c r="X110" s="116" t="n">
        <f aca="false">W120*$C$10</f>
        <v>5.54085849565712</v>
      </c>
      <c r="Y110" s="116" t="n">
        <f aca="false">X120*$C$10</f>
        <v>5.55980958298499</v>
      </c>
      <c r="Z110" s="116" t="n">
        <f aca="false">Y120*$C$10</f>
        <v>5.57951134476432</v>
      </c>
      <c r="AA110" s="116" t="n">
        <f aca="false">Z120*$C$10</f>
        <v>5.5999692570815</v>
      </c>
      <c r="AB110" s="116" t="n">
        <f aca="false">AA120*$C$10</f>
        <v>5.62118917698007</v>
      </c>
      <c r="AC110" s="116" t="n">
        <f aca="false">AB120*$C$10</f>
        <v>5.64317561068565</v>
      </c>
      <c r="AD110" s="116" t="n">
        <f aca="false">AC120*$C$10</f>
        <v>5.6659330372841</v>
      </c>
      <c r="AE110" s="116" t="n">
        <f aca="false">AD120*$C$10</f>
        <v>5.68946609329502</v>
      </c>
      <c r="AF110" s="116" t="n">
        <f aca="false">AE120*$C$10</f>
        <v>5.71377981553386</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0.349799156025208</v>
      </c>
      <c r="M112" s="116" t="n">
        <f aca="false">M81*$C$7</f>
        <v>0.362419591755768</v>
      </c>
      <c r="N112" s="116" t="n">
        <f aca="false">N81*$C$7</f>
        <v>0.375198431879403</v>
      </c>
      <c r="O112" s="116" t="n">
        <f aca="false">O81*$C$7</f>
        <v>0.387230929756743</v>
      </c>
      <c r="P112" s="116" t="n">
        <f aca="false">P81*$C$7</f>
        <v>0.396741314701046</v>
      </c>
      <c r="Q112" s="116" t="n">
        <f aca="false">Q81*$C$7</f>
        <v>0.406328702290529</v>
      </c>
      <c r="R112" s="116" t="n">
        <f aca="false">R81*$C$7</f>
        <v>0.415889586770488</v>
      </c>
      <c r="S112" s="116" t="n">
        <f aca="false">S81*$C$7</f>
        <v>0.425432952338897</v>
      </c>
      <c r="T112" s="116" t="n">
        <f aca="false">T81*$C$7</f>
        <v>0.43494712846129</v>
      </c>
      <c r="U112" s="116" t="n">
        <f aca="false">U81*$C$7</f>
        <v>0.444445969656203</v>
      </c>
      <c r="V112" s="116" t="n">
        <f aca="false">V81*$C$7</f>
        <v>0.453943226621573</v>
      </c>
      <c r="W112" s="116" t="n">
        <f aca="false">W81*$C$7</f>
        <v>0.463313704315697</v>
      </c>
      <c r="X112" s="116" t="n">
        <f aca="false">X81*$C$7</f>
        <v>0.472571767862181</v>
      </c>
      <c r="Y112" s="116" t="n">
        <f aca="false">Y81*$C$7</f>
        <v>0.481731853842048</v>
      </c>
      <c r="Z112" s="116" t="n">
        <f aca="false">Z81*$C$7</f>
        <v>0.490808440448722</v>
      </c>
      <c r="AA112" s="116" t="n">
        <f aca="false">AA81*$C$7</f>
        <v>0.499816069828813</v>
      </c>
      <c r="AB112" s="116" t="n">
        <f aca="false">AB81*$C$7</f>
        <v>0.508772401333639</v>
      </c>
      <c r="AC112" s="116" t="n">
        <f aca="false">AC81*$C$7</f>
        <v>0.517695148440455</v>
      </c>
      <c r="AD112" s="116" t="n">
        <f aca="false">AD81*$C$7</f>
        <v>0.526602102724617</v>
      </c>
      <c r="AE112" s="116" t="n">
        <f aca="false">AE81*$C$7</f>
        <v>0.535511158236787</v>
      </c>
      <c r="AF112" s="116" t="n">
        <f aca="false">AF81*$C$7</f>
        <v>0.544440335178943</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-2.47949637376709</v>
      </c>
      <c r="F113" s="136" t="n">
        <f aca="false">F107+F109+F110-F111-F112-F108-F97-F98-F102+F184-F190-F229-F265-F268-F274</f>
        <v>-6.30123517222942</v>
      </c>
      <c r="G113" s="136" t="n">
        <f aca="false">G107+G109+G110-G111-G112-G108-G97-G98-G102+G184-G190-G229-G265-G268-G274</f>
        <v>-4.97591948674164</v>
      </c>
      <c r="H113" s="136" t="n">
        <f aca="false">H107+H109+H110-H111-H112-H108-H97-H98-H102+H184-H190-H229-H265-H268-H274</f>
        <v>-3.78573367514692</v>
      </c>
      <c r="I113" s="136" t="n">
        <f aca="false">I107+I109+I110-I111-I112-I108-I97-I98-I102+I184-I190-I229-I265-I268-I274</f>
        <v>-2.54618059436743</v>
      </c>
      <c r="J113" s="136" t="n">
        <f aca="false">J107+J109+J110-J111-J112-J108-J97-J98-J102+J184-J190-J229-J265-J268-J274</f>
        <v>-1.25210463335795</v>
      </c>
      <c r="K113" s="136" t="n">
        <f aca="false">K107+K109+K110-K111-K112-K108-K97-K98-K102+K184-K190-K229-K265-K268-K274</f>
        <v>0.0833046933371094</v>
      </c>
      <c r="L113" s="136" t="n">
        <f aca="false">L107+L109+L110-L111-L112-L108-L97-L98-L102+L184-L190-L229-L265-L268-L274</f>
        <v>1.46201448326148</v>
      </c>
      <c r="M113" s="136" t="n">
        <f aca="false">M107+M109+M110-M111-M112-M108-M97-M98-M102+M184-M190-M229-M265-M268-M274</f>
        <v>2.62494433983946</v>
      </c>
      <c r="N113" s="136" t="n">
        <f aca="false">N107+N109+N110-N111-N112-N108-N97-N98-N102+N184-N190-N229-N265-N268-N274</f>
        <v>2.70574328743183</v>
      </c>
      <c r="O113" s="136" t="n">
        <f aca="false">O107+O109+O110-O111-O112-O108-O97-O98-O102+O184-O190-O229-O265-O268-O274</f>
        <v>2.78983077546357</v>
      </c>
      <c r="P113" s="136" t="n">
        <f aca="false">P107+P109+P110-P111-P112-P108-P97-P98-P102+P184-P190-P229-P265-P268-P274</f>
        <v>2.6869170159464</v>
      </c>
      <c r="Q113" s="136" t="n">
        <f aca="false">Q107+Q109+Q110-Q111-Q112-Q108-Q97-Q98-Q102+Q184-Q190-Q229-Q265-Q268-Q274</f>
        <v>2.57330100394646</v>
      </c>
      <c r="R113" s="136" t="n">
        <f aca="false">R107+R109+R110-R111-R112-R108-R97-R98-R102+R184-R190-R229-R265-R268-R274</f>
        <v>2.47060153399999</v>
      </c>
      <c r="S113" s="136" t="n">
        <f aca="false">S107+S109+S110-S111-S112-S108-S97-S98-S102+S184-S190-S229-S265-S268-S274</f>
        <v>2.3580623106427</v>
      </c>
      <c r="T113" s="136" t="n">
        <f aca="false">T107+T109+T110-T111-T112-T108-T97-T98-T102+T184-T190-T229-T265-T268-T274</f>
        <v>2.26110606244643</v>
      </c>
      <c r="U113" s="136" t="n">
        <f aca="false">U107+U109+U110-U111-U112-U108-U97-U98-U102+U184-U190-U229-U265-U268-U274</f>
        <v>2.17952580633966</v>
      </c>
      <c r="V113" s="136" t="n">
        <f aca="false">V107+V109+V110-V111-V112-V108-V97-V98-V102+V184-V190-V229-V265-V268-V274</f>
        <v>2.11312868969922</v>
      </c>
      <c r="W113" s="136" t="n">
        <f aca="false">W107+W109+W110-W111-W112-W108-W97-W98-W102+W184-W190-W229-W265-W268-W274</f>
        <v>2.06192356035289</v>
      </c>
      <c r="X113" s="136" t="n">
        <f aca="false">X107+X109+X110-X111-X112-X108-X97-X98-X102+X184-X190-X229-X265-X268-X274</f>
        <v>2.02586416092292</v>
      </c>
      <c r="Y113" s="136" t="n">
        <f aca="false">Y107+Y109+Y110-Y111-Y112-Y108-Y97-Y98-Y102+Y184-Y190-Y229-Y265-Y268-Y274</f>
        <v>2.00487299100746</v>
      </c>
      <c r="Z113" s="136" t="n">
        <f aca="false">Z107+Z109+Z110-Z111-Z112-Z108-Z97-Z98-Z102+Z184-Z190-Z229-Z265-Z268-Z274</f>
        <v>1.99889341721947</v>
      </c>
      <c r="AA113" s="136" t="n">
        <f aca="false">AA107+AA109+AA110-AA111-AA112-AA108-AA97-AA98-AA102+AA184-AA190-AA229-AA265-AA268-AA274</f>
        <v>2.00788527780224</v>
      </c>
      <c r="AB113" s="136" t="n">
        <f aca="false">AB107+AB109+AB110-AB111-AB112-AB108-AB97-AB98-AB102+AB184-AB190-AB229-AB265-AB268-AB274</f>
        <v>2.03183104905468</v>
      </c>
      <c r="AC113" s="136" t="n">
        <f aca="false">AC107+AC109+AC110-AC111-AC112-AC108-AC97-AC98-AC102+AC184-AC190-AC229-AC265-AC268-AC274</f>
        <v>2.07073665717012</v>
      </c>
      <c r="AD113" s="136" t="n">
        <f aca="false">AD107+AD109+AD110-AD111-AD112-AD108-AD97-AD98-AD102+AD184-AD190-AD229-AD265-AD268-AD274</f>
        <v>2.12463183487822</v>
      </c>
      <c r="AE113" s="136" t="n">
        <f aca="false">AE107+AE109+AE110-AE111-AE112-AE108-AE97-AE98-AE102+AE184-AE190-AE229-AE265-AE268-AE274</f>
        <v>2.19356937304035</v>
      </c>
      <c r="AF113" s="136" t="n">
        <f aca="false">AF107+AF109+AF110-AF111-AF112-AF108-AF97-AF98-AF102+AF184-AF190-AF229-AF265-AF268-AF274</f>
        <v>2.27762451475549</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35.1038595527686</v>
      </c>
      <c r="E114" s="116" t="n">
        <f aca="false">D120+E53+E56-E57+(E58-E65)+E113-E92+E94-E95-E103+E60-E245</f>
        <v>53.0720061406802</v>
      </c>
      <c r="F114" s="116" t="n">
        <f aca="false">E120+F53+F56-F57+(F58-F65)+F113-F92+F94-F95-F103+F60-F245</f>
        <v>61.8615311429605</v>
      </c>
      <c r="G114" s="116" t="n">
        <f aca="false">F120+G53+G56-G57+(G58-G65)+G113-G92+G94-G95-G103+G60-G245</f>
        <v>72.8447858473724</v>
      </c>
      <c r="H114" s="116" t="n">
        <f aca="false">G120+H53+H56-H57+(H58-H65)+H113-H92+H94-H95-H103+H60-H245</f>
        <v>85.489047213793</v>
      </c>
      <c r="I114" s="116" t="n">
        <f aca="false">H120+I53+I56-I57+(I58-I65)+I113-I92+I94-I95-I103+I60-I245</f>
        <v>99.8859200684854</v>
      </c>
      <c r="J114" s="116" t="n">
        <f aca="false">I120+J53+J56-J57+(J58-J65)+J113-J92+J94-J95-J103+J60-J245</f>
        <v>115.612055639854</v>
      </c>
      <c r="K114" s="116" t="n">
        <f aca="false">J120+K53+K56-K57+(K58-K65)+K113-K92+K94-K95-K103+K60-K245</f>
        <v>132.709624403642</v>
      </c>
      <c r="L114" s="116" t="n">
        <f aca="false">K120+L53+L56-L57+(L58-L65)+L113-L92+L94-L95-L103+L60-L245</f>
        <v>151.138556205622</v>
      </c>
      <c r="M114" s="116" t="n">
        <f aca="false">L120+M53+M56-M57+(M58-M65)+M113-M92+M94-M95-M103+M60-M245</f>
        <v>151.969878289397</v>
      </c>
      <c r="N114" s="116" t="n">
        <f aca="false">M120+N53+N56-N57+(N58-N65)+N113-N92+N94-N95-N103+N60-N245</f>
        <v>153.701390395895</v>
      </c>
      <c r="O114" s="116" t="n">
        <f aca="false">N120+O53+O56-O57+(O58-O65)+O113-O92+O94-O95-O103+O60-O245</f>
        <v>155.772791041921</v>
      </c>
      <c r="P114" s="116" t="n">
        <f aca="false">O120+P53+P56-P57+(P58-P65)+P113-P92+P94-P95-P103+P60-P245</f>
        <v>156.987332355062</v>
      </c>
      <c r="Q114" s="116" t="n">
        <f aca="false">P120+Q53+Q56-Q57+(Q58-Q65)+Q113-Q92+Q94-Q95-Q103+Q60-Q245</f>
        <v>158.038187598182</v>
      </c>
      <c r="R114" s="116" t="n">
        <f aca="false">Q120+R53+R56-R57+(R58-R65)+R113-R92+R94-R95-R103+R60-R245</f>
        <v>158.366014104673</v>
      </c>
      <c r="S114" s="116" t="n">
        <f aca="false">R120+S53+S56-S57+(S58-S65)+S113-S92+S94-S95-S103+S60-S245</f>
        <v>158.700652220943</v>
      </c>
      <c r="T114" s="116" t="n">
        <f aca="false">S120+T53+T56-T57+(T58-T65)+T113-T92+T94-T95-T103+T60-T245</f>
        <v>159.068335174802</v>
      </c>
      <c r="U114" s="116" t="n">
        <f aca="false">T120+U53+U56-U57+(U58-U65)+U113-U92+U94-U95-U103+U60-U245</f>
        <v>159.469083977508</v>
      </c>
      <c r="V114" s="116" t="n">
        <f aca="false">U120+V53+V56-V57+(V58-V65)+V113-V92+V94-V95-V103+V60-V245</f>
        <v>159.902890701727</v>
      </c>
      <c r="W114" s="116" t="n">
        <f aca="false">V120+W53+W56-W57+(W58-W65)+W113-W92+W94-W95-W103+W60-W245</f>
        <v>160.372166293413</v>
      </c>
      <c r="X114" s="116" t="n">
        <f aca="false">W120+X53+X56-X57+(X58-X65)+X113-X92+X94-X95-X103+X60-X245</f>
        <v>160.877566531923</v>
      </c>
      <c r="Y114" s="116" t="n">
        <f aca="false">X120+Y53+Y56-Y57+(Y58-Y65)+Y113-Y92+Y94-Y95-Y103+Y60-Y245</f>
        <v>161.419482841417</v>
      </c>
      <c r="Z114" s="116" t="n">
        <f aca="false">Y120+Z53+Z56-Z57+(Z58-Z65)+Z113-Z92+Z94-Z95-Z103+Z60-Z245</f>
        <v>161.998015048119</v>
      </c>
      <c r="AA114" s="116" t="n">
        <f aca="false">Z120+AA53+AA56-AA57+(AA58-AA65)+AA113-AA92+AA94-AA95-AA103+AA60-AA245</f>
        <v>162.613290334376</v>
      </c>
      <c r="AB114" s="116" t="n">
        <f aca="false">AA120+AB53+AB56-AB57+(AB58-AB65)+AB113-AB92+AB94-AB95-AB103+AB60-AB245</f>
        <v>163.265419925787</v>
      </c>
      <c r="AC114" s="116" t="n">
        <f aca="false">AB120+AC53+AC56-AC57+(AC58-AC65)+AC113-AC92+AC94-AC95-AC103+AC60-AC245</f>
        <v>163.95453772243</v>
      </c>
      <c r="AD114" s="116" t="n">
        <f aca="false">AC120+AD53+AD56-AD57+(AD58-AD65)+AD113-AD92+AD94-AD95-AD103+AD60-AD245</f>
        <v>164.680805929022</v>
      </c>
      <c r="AE114" s="116" t="n">
        <f aca="false">AD120+AE53+AE56-AE57+(AE58-AE65)+AE113-AE92+AE94-AE95-AE103+AE60-AE245</f>
        <v>165.444421245436</v>
      </c>
      <c r="AF114" s="116" t="n">
        <f aca="false">AE120+AF53+AF56-AF57+(AF58-AF65)+AF113-AF92+AF94-AF95-AF103+AF60-AF245</f>
        <v>166.245614063158</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0.0833046933371094</v>
      </c>
      <c r="L115" s="116" t="n">
        <f aca="false">IF(L113&gt;0,MIN(L113,01_Supuestos!$I$106*L81),0)</f>
        <v>1.46201448326148</v>
      </c>
      <c r="M115" s="116" t="n">
        <f aca="false">IF(M113&gt;0,MIN(M113,01_Supuestos!$I$106*M81),0)</f>
        <v>2.62494433983946</v>
      </c>
      <c r="N115" s="116" t="n">
        <f aca="false">IF(N113&gt;0,MIN(N113,01_Supuestos!$I$106*N81),0)</f>
        <v>2.70574328743183</v>
      </c>
      <c r="O115" s="116" t="n">
        <f aca="false">IF(O113&gt;0,MIN(O113,01_Supuestos!$I$106*O81),0)</f>
        <v>2.78983077546357</v>
      </c>
      <c r="P115" s="116" t="n">
        <f aca="false">IF(P113&gt;0,MIN(P113,01_Supuestos!$I$106*P81),0)</f>
        <v>2.6869170159464</v>
      </c>
      <c r="Q115" s="116" t="n">
        <f aca="false">IF(Q113&gt;0,MIN(Q113,01_Supuestos!$I$106*Q81),0)</f>
        <v>2.57330100394646</v>
      </c>
      <c r="R115" s="116" t="n">
        <f aca="false">IF(R113&gt;0,MIN(R113,01_Supuestos!$I$106*R81),0)</f>
        <v>2.47060153399999</v>
      </c>
      <c r="S115" s="116" t="n">
        <f aca="false">IF(S113&gt;0,MIN(S113,01_Supuestos!$I$106*S81),0)</f>
        <v>2.3580623106427</v>
      </c>
      <c r="T115" s="116" t="n">
        <f aca="false">IF(T113&gt;0,MIN(T113,01_Supuestos!$I$106*T81),0)</f>
        <v>2.26110606244643</v>
      </c>
      <c r="U115" s="116" t="n">
        <f aca="false">IF(U113&gt;0,MIN(U113,01_Supuestos!$I$106*U81),0)</f>
        <v>2.17952580633966</v>
      </c>
      <c r="V115" s="116" t="n">
        <f aca="false">IF(V113&gt;0,MIN(V113,01_Supuestos!$I$106*V81),0)</f>
        <v>2.11312868969922</v>
      </c>
      <c r="W115" s="116" t="n">
        <f aca="false">IF(W113&gt;0,MIN(W113,01_Supuestos!$I$106*W81),0)</f>
        <v>2.06192356035289</v>
      </c>
      <c r="X115" s="116" t="n">
        <f aca="false">IF(X113&gt;0,MIN(X113,01_Supuestos!$I$106*X81),0)</f>
        <v>2.02586416092292</v>
      </c>
      <c r="Y115" s="116" t="n">
        <f aca="false">IF(Y113&gt;0,MIN(Y113,01_Supuestos!$I$106*Y81),0)</f>
        <v>2.00487299100746</v>
      </c>
      <c r="Z115" s="116" t="n">
        <f aca="false">IF(Z113&gt;0,MIN(Z113,01_Supuestos!$I$106*Z81),0)</f>
        <v>1.99889341721947</v>
      </c>
      <c r="AA115" s="116" t="n">
        <f aca="false">IF(AA113&gt;0,MIN(AA113,01_Supuestos!$I$106*AA81),0)</f>
        <v>2.00788527780224</v>
      </c>
      <c r="AB115" s="116" t="n">
        <f aca="false">IF(AB113&gt;0,MIN(AB113,01_Supuestos!$I$106*AB81),0)</f>
        <v>2.03183104905468</v>
      </c>
      <c r="AC115" s="116" t="n">
        <f aca="false">IF(AC113&gt;0,MIN(AC113,01_Supuestos!$I$106*AC81),0)</f>
        <v>2.07073665717012</v>
      </c>
      <c r="AD115" s="116" t="n">
        <f aca="false">IF(AD113&gt;0,MIN(AD113,01_Supuestos!$I$106*AD81),0)</f>
        <v>2.12463183487822</v>
      </c>
      <c r="AE115" s="116" t="n">
        <f aca="false">IF(AE113&gt;0,MIN(AE113,01_Supuestos!$I$106*AE81),0)</f>
        <v>2.19356937304035</v>
      </c>
      <c r="AF115" s="116" t="n">
        <f aca="false">IF(AF113&gt;0,MIN(AF113,01_Supuestos!$I$106*AF81),0)</f>
        <v>2.27762451475549</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35.1038595527686</v>
      </c>
      <c r="E120" s="136" t="n">
        <f aca="false">E114-E115+E118+E119</f>
        <v>53.0720061406802</v>
      </c>
      <c r="F120" s="136" t="n">
        <f aca="false">F114-F115+F118+F119</f>
        <v>61.8615311429605</v>
      </c>
      <c r="G120" s="136" t="n">
        <f aca="false">G114-G115+G118+G119</f>
        <v>72.8447858473724</v>
      </c>
      <c r="H120" s="136" t="n">
        <f aca="false">H114-H115+H118+H119</f>
        <v>85.489047213793</v>
      </c>
      <c r="I120" s="136" t="n">
        <f aca="false">I114-I115+I118+I119</f>
        <v>99.8859200684854</v>
      </c>
      <c r="J120" s="136" t="n">
        <f aca="false">J114-J115+J118+J119</f>
        <v>115.612055639854</v>
      </c>
      <c r="K120" s="136" t="n">
        <f aca="false">K114-K115+K118+K119</f>
        <v>132.626319710305</v>
      </c>
      <c r="L120" s="136" t="n">
        <f aca="false">L114-L115+L118+L119</f>
        <v>149.676541722361</v>
      </c>
      <c r="M120" s="136" t="n">
        <f aca="false">M114-M115+M118+M119</f>
        <v>149.344933949558</v>
      </c>
      <c r="N120" s="136" t="n">
        <f aca="false">N114-N115+N118+N119</f>
        <v>150.995647108463</v>
      </c>
      <c r="O120" s="136" t="n">
        <f aca="false">O114-O115+O118+O119</f>
        <v>152.982960266457</v>
      </c>
      <c r="P120" s="136" t="n">
        <f aca="false">P114-P115+P118+P119</f>
        <v>154.300415339116</v>
      </c>
      <c r="Q120" s="136" t="n">
        <f aca="false">Q114-Q115+Q118+Q119</f>
        <v>155.464886594235</v>
      </c>
      <c r="R120" s="136" t="n">
        <f aca="false">R114-R115+R118+R119</f>
        <v>155.895412570673</v>
      </c>
      <c r="S120" s="136" t="n">
        <f aca="false">S114-S115+S118+S119</f>
        <v>156.3425899103</v>
      </c>
      <c r="T120" s="136" t="n">
        <f aca="false">T114-T115+T118+T119</f>
        <v>156.807229112355</v>
      </c>
      <c r="U120" s="136" t="n">
        <f aca="false">U114-U115+U118+U119</f>
        <v>157.289558171168</v>
      </c>
      <c r="V120" s="136" t="n">
        <f aca="false">V114-V115+V118+V119</f>
        <v>157.789762012027</v>
      </c>
      <c r="W120" s="136" t="n">
        <f aca="false">W114-W115+W118+W119</f>
        <v>158.31024273306</v>
      </c>
      <c r="X120" s="136" t="n">
        <f aca="false">X114-X115+X118+X119</f>
        <v>158.851702371</v>
      </c>
      <c r="Y120" s="136" t="n">
        <f aca="false">Y114-Y115+Y118+Y119</f>
        <v>159.414609850409</v>
      </c>
      <c r="Z120" s="136" t="n">
        <f aca="false">Z114-Z115+Z118+Z119</f>
        <v>159.9991216309</v>
      </c>
      <c r="AA120" s="136" t="n">
        <f aca="false">AA114-AA115+AA118+AA119</f>
        <v>160.605405056573</v>
      </c>
      <c r="AB120" s="136" t="n">
        <f aca="false">AB114-AB115+AB118+AB119</f>
        <v>161.233588876733</v>
      </c>
      <c r="AC120" s="136" t="n">
        <f aca="false">AC114-AC115+AC118+AC119</f>
        <v>161.88380106526</v>
      </c>
      <c r="AD120" s="136" t="n">
        <f aca="false">AD114-AD115+AD118+AD119</f>
        <v>162.556174094143</v>
      </c>
      <c r="AE120" s="136" t="n">
        <f aca="false">AE114-AE115+AE118+AE119</f>
        <v>163.250851872396</v>
      </c>
      <c r="AF120" s="136" t="n">
        <f aca="false">AF114-AF115+AF118+AF119</f>
        <v>163.967989548403</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0.0833046933371094</v>
      </c>
      <c r="L121" s="116" t="n">
        <f aca="false">K121+L115</f>
        <v>1.54531917659859</v>
      </c>
      <c r="M121" s="116" t="n">
        <f aca="false">L121+M115</f>
        <v>4.17026351643805</v>
      </c>
      <c r="N121" s="116" t="n">
        <f aca="false">M121+N115</f>
        <v>6.87600680386988</v>
      </c>
      <c r="O121" s="116" t="n">
        <f aca="false">N121+O115</f>
        <v>9.66583757933345</v>
      </c>
      <c r="P121" s="116" t="n">
        <f aca="false">O121+P115</f>
        <v>12.3527545952799</v>
      </c>
      <c r="Q121" s="116" t="n">
        <f aca="false">P121+Q115</f>
        <v>14.9260555992263</v>
      </c>
      <c r="R121" s="116" t="n">
        <f aca="false">Q121+R115</f>
        <v>17.3966571332263</v>
      </c>
      <c r="S121" s="116" t="n">
        <f aca="false">R121+S115</f>
        <v>19.754719443869</v>
      </c>
      <c r="T121" s="116" t="n">
        <f aca="false">S121+T115</f>
        <v>22.0158255063154</v>
      </c>
      <c r="U121" s="116" t="n">
        <f aca="false">T121+U115</f>
        <v>24.1953513126551</v>
      </c>
      <c r="V121" s="116" t="n">
        <f aca="false">U121+V115</f>
        <v>26.3084800023543</v>
      </c>
      <c r="W121" s="116" t="n">
        <f aca="false">V121+W115</f>
        <v>28.3704035627072</v>
      </c>
      <c r="X121" s="116" t="n">
        <f aca="false">W121+X115</f>
        <v>30.3962677236301</v>
      </c>
      <c r="Y121" s="116" t="n">
        <f aca="false">X121+Y115</f>
        <v>32.4011407146376</v>
      </c>
      <c r="Z121" s="116" t="n">
        <f aca="false">Y121+Z115</f>
        <v>34.4000341318571</v>
      </c>
      <c r="AA121" s="116" t="n">
        <f aca="false">Z121+AA115</f>
        <v>36.4079194096593</v>
      </c>
      <c r="AB121" s="116" t="n">
        <f aca="false">AA121+AB115</f>
        <v>38.439750458714</v>
      </c>
      <c r="AC121" s="116" t="n">
        <f aca="false">AB121+AC115</f>
        <v>40.5104871158841</v>
      </c>
      <c r="AD121" s="116" t="n">
        <f aca="false">AC121+AD115</f>
        <v>42.6351189507623</v>
      </c>
      <c r="AE121" s="116" t="n">
        <f aca="false">AD121+AE115</f>
        <v>44.8286883238027</v>
      </c>
      <c r="AF121" s="116" t="n">
        <f aca="false">AE121+AF115</f>
        <v>47.1063128385581</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0.340687329426486</v>
      </c>
      <c r="E122" s="87" t="n">
        <f aca="false">E276/(E81+E115)</f>
        <v>0.381737198412432</v>
      </c>
      <c r="F122" s="87" t="n">
        <f aca="false">F276/(F81+F115)</f>
        <v>0.226719564465731</v>
      </c>
      <c r="G122" s="87" t="n">
        <f aca="false">G276/(G81+G115)</f>
        <v>0.255097769127962</v>
      </c>
      <c r="H122" s="87" t="n">
        <f aca="false">H276/(H81+H115)</f>
        <v>0.286586063531629</v>
      </c>
      <c r="I122" s="87" t="n">
        <f aca="false">I276/(I81+I115)</f>
        <v>0.321083568129139</v>
      </c>
      <c r="J122" s="87" t="n">
        <f aca="false">J276/(J81+J115)</f>
        <v>0.356913160169047</v>
      </c>
      <c r="K122" s="87" t="n">
        <f aca="false">K276/(K81+K115)</f>
        <v>0.393689328973593</v>
      </c>
      <c r="L122" s="87" t="n">
        <f aca="false">L276/(L81+L115)</f>
        <v>0.42611183440998</v>
      </c>
      <c r="M122" s="87" t="n">
        <f aca="false">M276/(M81+M115)</f>
        <v>0.409114283826572</v>
      </c>
      <c r="N122" s="87" t="n">
        <f aca="false">N276/(N81+N115)</f>
        <v>0.399560674453524</v>
      </c>
      <c r="O122" s="87" t="n">
        <f aca="false">O276/(O81+O115)</f>
        <v>0.392243120744913</v>
      </c>
      <c r="P122" s="87" t="n">
        <f aca="false">P276/(P81+P115)</f>
        <v>0.386303228181534</v>
      </c>
      <c r="Q122" s="87" t="n">
        <f aca="false">Q276/(Q81+Q115)</f>
        <v>0.380200843580303</v>
      </c>
      <c r="R122" s="87" t="n">
        <f aca="false">R276/(R81+R115)</f>
        <v>0.372634435419104</v>
      </c>
      <c r="S122" s="87" t="n">
        <f aca="false">S276/(S81+S115)</f>
        <v>0.365464875503243</v>
      </c>
      <c r="T122" s="87" t="n">
        <f aca="false">T276/(T81+T115)</f>
        <v>0.358655708493619</v>
      </c>
      <c r="U122" s="87" t="n">
        <f aca="false">U276/(U81+U115)</f>
        <v>0.352173263213004</v>
      </c>
      <c r="V122" s="87" t="n">
        <f aca="false">V276/(V81+V115)</f>
        <v>0.345987420577291</v>
      </c>
      <c r="W122" s="87" t="n">
        <f aca="false">W276/(W81+W115)</f>
        <v>0.340177339014465</v>
      </c>
      <c r="X122" s="87" t="n">
        <f aca="false">X276/(X81+X115)</f>
        <v>0.334708164669618</v>
      </c>
      <c r="Y122" s="87" t="n">
        <f aca="false">Y276/(Y81+Y115)</f>
        <v>0.329548287338178</v>
      </c>
      <c r="Z122" s="87" t="n">
        <f aca="false">Z276/(Z81+Z115)</f>
        <v>0.324668710539978</v>
      </c>
      <c r="AA122" s="87" t="n">
        <f aca="false">AA276/(AA81+AA115)</f>
        <v>0.320043320814472</v>
      </c>
      <c r="AB122" s="87" t="n">
        <f aca="false">AB276/(AB81+AB115)</f>
        <v>0.315646540602539</v>
      </c>
      <c r="AC122" s="87" t="n">
        <f aca="false">AC276/(AC81+AC115)</f>
        <v>0.311455225721199</v>
      </c>
      <c r="AD122" s="87" t="n">
        <f aca="false">AD276/(AD81+AD115)</f>
        <v>0.307448372607026</v>
      </c>
      <c r="AE122" s="87" t="n">
        <f aca="false">AE276/(AE81+AE115)</f>
        <v>0.30360687472113</v>
      </c>
      <c r="AF122" s="87" t="n">
        <f aca="false">AF276/(AF81+AF115)</f>
        <v>0.299913303818054</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2.47949637376709</v>
      </c>
      <c r="F127" s="116" t="n">
        <f aca="false">MAX(0,-F113)</f>
        <v>6.30123517222942</v>
      </c>
      <c r="G127" s="116" t="n">
        <f aca="false">MAX(0,-G113)</f>
        <v>4.97591948674164</v>
      </c>
      <c r="H127" s="116" t="n">
        <f aca="false">MAX(0,-H113)</f>
        <v>3.78573367514692</v>
      </c>
      <c r="I127" s="116" t="n">
        <f aca="false">MAX(0,-I113)</f>
        <v>2.54618059436743</v>
      </c>
      <c r="J127" s="116" t="n">
        <f aca="false">MAX(0,-J113)</f>
        <v>1.25210463335795</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4.73640836108542</v>
      </c>
      <c r="D128" s="116" t="n">
        <f aca="false">IF(AVERAGE(E127:I127)&gt;0,D120/AVERAGE(E127:I127),99)</f>
        <v>8.73727392289992</v>
      </c>
      <c r="E128" s="116" t="n">
        <f aca="false">IF(AVERAGE(F127:J127)&gt;0,E120/AVERAGE(F127:J127),99)</f>
        <v>14.0691155740294</v>
      </c>
      <c r="F128" s="116" t="n">
        <f aca="false">IF(AVERAGE(G127:K127)&gt;0,F120/AVERAGE(G127:K127),99)</f>
        <v>24.626526509921</v>
      </c>
      <c r="G128" s="116" t="n">
        <f aca="false">IF(AVERAGE(H127:L127)&gt;0,G120/AVERAGE(H127:L127),99)</f>
        <v>48.0251874239025</v>
      </c>
      <c r="H128" s="116" t="n">
        <f aca="false">IF(AVERAGE(I127:M127)&gt;0,H120/AVERAGE(I127:M127),99)</f>
        <v>112.536371136336</v>
      </c>
      <c r="I128" s="116" t="n">
        <f aca="false">IF(AVERAGE(J127:N127)&gt;0,I120/AVERAGE(J127:N127),99)</f>
        <v>398.872096657796</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-0.774839519076489</v>
      </c>
      <c r="S134" s="116" t="n">
        <f aca="false">-S56</f>
        <v>-0.794210507053401</v>
      </c>
      <c r="T134" s="116" t="n">
        <f aca="false">-T56</f>
        <v>-0.814065769729736</v>
      </c>
      <c r="U134" s="116" t="n">
        <f aca="false">-U56</f>
        <v>-0.834417413972979</v>
      </c>
      <c r="V134" s="116" t="n">
        <f aca="false">-V56</f>
        <v>-0.855277849322303</v>
      </c>
      <c r="W134" s="116" t="n">
        <f aca="false">-W56</f>
        <v>-0.876659795555361</v>
      </c>
      <c r="X134" s="116" t="n">
        <f aca="false">-X56</f>
        <v>-0.898576290444245</v>
      </c>
      <c r="Y134" s="116" t="n">
        <f aca="false">-Y56</f>
        <v>-0.921040697705351</v>
      </c>
      <c r="Z134" s="116" t="n">
        <f aca="false">-Z56</f>
        <v>-0.944066715147985</v>
      </c>
      <c r="AA134" s="116" t="n">
        <f aca="false">-AA56</f>
        <v>-0.967668383026684</v>
      </c>
      <c r="AB134" s="116" t="n">
        <f aca="false">-AB56</f>
        <v>-0.991860092602351</v>
      </c>
      <c r="AC134" s="116" t="n">
        <f aca="false">-AC56</f>
        <v>-1.01665659491741</v>
      </c>
      <c r="AD134" s="116" t="n">
        <f aca="false">-AD56</f>
        <v>-1.04207300979035</v>
      </c>
      <c r="AE134" s="116" t="n">
        <f aca="false">-AE56</f>
        <v>-1.0681248350351</v>
      </c>
      <c r="AF134" s="116" t="n">
        <f aca="false">-AF56</f>
        <v>-1.09482795591098</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-18.72344376315</v>
      </c>
      <c r="E140" s="116" t="n">
        <f aca="false">SUM(E133:E139)</f>
        <v>-18.6665739579257</v>
      </c>
      <c r="F140" s="116" t="n">
        <f aca="false">SUM(F133:F139)</f>
        <v>-17.8977098596176</v>
      </c>
      <c r="G140" s="116" t="n">
        <f aca="false">SUM(G133:G139)</f>
        <v>-17.9084533563974</v>
      </c>
      <c r="H140" s="116" t="n">
        <f aca="false">SUM(H133:H139)</f>
        <v>-17.9169020879832</v>
      </c>
      <c r="I140" s="116" t="n">
        <f aca="false">SUM(I133:I139)</f>
        <v>-17.9232027289801</v>
      </c>
      <c r="J140" s="116" t="n">
        <f aca="false">SUM(J133:J139)</f>
        <v>-17.9274924714095</v>
      </c>
      <c r="K140" s="116" t="n">
        <f aca="false">SUM(K133:K139)</f>
        <v>-17.9298996395416</v>
      </c>
      <c r="L140" s="116" t="n">
        <f aca="false">SUM(L133:L139)</f>
        <v>-17.9305442652544</v>
      </c>
      <c r="M140" s="116" t="n">
        <f aca="false">SUM(M133:M139)</f>
        <v>2.67413164707173</v>
      </c>
      <c r="N140" s="116" t="n">
        <f aca="false">SUM(N133:N139)</f>
        <v>2.65791430162299</v>
      </c>
      <c r="O140" s="116" t="n">
        <f aca="false">SUM(O133:O139)</f>
        <v>2.64625849627186</v>
      </c>
      <c r="P140" s="116" t="n">
        <f aca="false">SUM(P133:P139)</f>
        <v>2.65459820436939</v>
      </c>
      <c r="Q140" s="116" t="n">
        <f aca="false">SUM(Q133:Q139)</f>
        <v>2.66098965287782</v>
      </c>
      <c r="R140" s="116" t="n">
        <f aca="false">SUM(R133:R139)</f>
        <v>3.43988348039777</v>
      </c>
      <c r="S140" s="116" t="n">
        <f aca="false">SUM(S133:S139)</f>
        <v>3.4610314567801</v>
      </c>
      <c r="T140" s="116" t="n">
        <f aca="false">SUM(T133:T139)</f>
        <v>3.4804413616737</v>
      </c>
      <c r="U140" s="116" t="n">
        <f aca="false">SUM(U133:U139)</f>
        <v>3.49817571390484</v>
      </c>
      <c r="V140" s="116" t="n">
        <f aca="false">SUM(V133:V139)</f>
        <v>3.51429303824075</v>
      </c>
      <c r="W140" s="116" t="n">
        <f aca="false">SUM(W133:W139)</f>
        <v>3.52884812020492</v>
      </c>
      <c r="X140" s="116" t="n">
        <f aca="false">SUM(X133:X139)</f>
        <v>3.54189224430406</v>
      </c>
      <c r="Y140" s="116" t="n">
        <f aca="false">SUM(Y133:Y139)</f>
        <v>3.55347341673243</v>
      </c>
      <c r="Z140" s="116" t="n">
        <f aca="false">SUM(Z133:Z139)</f>
        <v>3.56363657354971</v>
      </c>
      <c r="AA140" s="116" t="n">
        <f aca="false">SUM(AA133:AA139)</f>
        <v>3.57242377526436</v>
      </c>
      <c r="AB140" s="116" t="n">
        <f aca="false">SUM(AB133:AB139)</f>
        <v>3.57987438869394</v>
      </c>
      <c r="AC140" s="116" t="n">
        <f aca="false">SUM(AC133:AC139)</f>
        <v>3.58602525691729</v>
      </c>
      <c r="AD140" s="116" t="n">
        <f aca="false">SUM(AD133:AD139)</f>
        <v>3.5909108580807</v>
      </c>
      <c r="AE140" s="116" t="n">
        <f aca="false">SUM(AE133:AE139)</f>
        <v>3.59456345377065</v>
      </c>
      <c r="AF140" s="116" t="n">
        <f aca="false">SUM(AF133:AF139)</f>
        <v>3.59701322761958</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-1.679035948921</v>
      </c>
      <c r="M141" s="116" t="n">
        <f aca="false">-M85*01_Supuestos!$I$126</f>
        <v>-1.3432287591368</v>
      </c>
      <c r="N141" s="116" t="n">
        <f aca="false">-N85*01_Supuestos!$I$126</f>
        <v>-1.12559529563821</v>
      </c>
      <c r="O141" s="116" t="n">
        <f aca="false">-O85*01_Supuestos!$I$126</f>
        <v>-1.16169278927023</v>
      </c>
      <c r="P141" s="116" t="n">
        <f aca="false">-P85*01_Supuestos!$I$126</f>
        <v>-1.19022394410314</v>
      </c>
      <c r="Q141" s="116" t="n">
        <f aca="false">-Q85*01_Supuestos!$I$126</f>
        <v>-1.21898610687159</v>
      </c>
      <c r="R141" s="116" t="n">
        <f aca="false">-R85*01_Supuestos!$I$126</f>
        <v>-1.24766876031146</v>
      </c>
      <c r="S141" s="116" t="n">
        <f aca="false">-S85*01_Supuestos!$I$126</f>
        <v>-1.27629885701669</v>
      </c>
      <c r="T141" s="116" t="n">
        <f aca="false">-T85*01_Supuestos!$I$126</f>
        <v>-1.30484138538387</v>
      </c>
      <c r="U141" s="116" t="n">
        <f aca="false">-U85*01_Supuestos!$I$126</f>
        <v>-1.33333790896861</v>
      </c>
      <c r="V141" s="116" t="n">
        <f aca="false">-V85*01_Supuestos!$I$126</f>
        <v>-1.36182967986472</v>
      </c>
      <c r="W141" s="116" t="n">
        <f aca="false">-W85*01_Supuestos!$I$126</f>
        <v>-1.38994111294709</v>
      </c>
      <c r="X141" s="116" t="n">
        <f aca="false">-X85*01_Supuestos!$I$126</f>
        <v>-1.41771530358654</v>
      </c>
      <c r="Y141" s="116" t="n">
        <f aca="false">-Y85*01_Supuestos!$I$126</f>
        <v>-1.44519556152614</v>
      </c>
      <c r="Z141" s="116" t="n">
        <f aca="false">-Z85*01_Supuestos!$I$126</f>
        <v>-1.47242532134617</v>
      </c>
      <c r="AA141" s="116" t="n">
        <f aca="false">-AA85*01_Supuestos!$I$126</f>
        <v>-1.49944820948644</v>
      </c>
      <c r="AB141" s="116" t="n">
        <f aca="false">-AB85*01_Supuestos!$I$126</f>
        <v>-1.52631720400092</v>
      </c>
      <c r="AC141" s="116" t="n">
        <f aca="false">-AC85*01_Supuestos!$I$126</f>
        <v>-1.55308544532137</v>
      </c>
      <c r="AD141" s="116" t="n">
        <f aca="false">-AD85*01_Supuestos!$I$126</f>
        <v>-1.57980630817385</v>
      </c>
      <c r="AE141" s="116" t="n">
        <f aca="false">-AE85*01_Supuestos!$I$126</f>
        <v>-1.60653347471036</v>
      </c>
      <c r="AF141" s="116" t="n">
        <f aca="false">-AF85*01_Supuestos!$I$126</f>
        <v>-1.63332100553683</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1.13334926552167</v>
      </c>
      <c r="M142" s="116" t="n">
        <f aca="false">M85*01_Supuestos!$I$101</f>
        <v>0.906679412417338</v>
      </c>
      <c r="N142" s="116" t="n">
        <f aca="false">N85*01_Supuestos!$I$101</f>
        <v>0.75977682455579</v>
      </c>
      <c r="O142" s="116" t="n">
        <f aca="false">O85*01_Supuestos!$I$101</f>
        <v>0.784142632757404</v>
      </c>
      <c r="P142" s="116" t="n">
        <f aca="false">P85*01_Supuestos!$I$101</f>
        <v>0.803401162269618</v>
      </c>
      <c r="Q142" s="116" t="n">
        <f aca="false">Q85*01_Supuestos!$I$101</f>
        <v>0.822815622138322</v>
      </c>
      <c r="R142" s="116" t="n">
        <f aca="false">R85*01_Supuestos!$I$101</f>
        <v>0.842176413210239</v>
      </c>
      <c r="S142" s="116" t="n">
        <f aca="false">S85*01_Supuestos!$I$101</f>
        <v>0.861501728486267</v>
      </c>
      <c r="T142" s="116" t="n">
        <f aca="false">T85*01_Supuestos!$I$101</f>
        <v>0.880767935134112</v>
      </c>
      <c r="U142" s="116" t="n">
        <f aca="false">U85*01_Supuestos!$I$101</f>
        <v>0.900003088553812</v>
      </c>
      <c r="V142" s="116" t="n">
        <f aca="false">V85*01_Supuestos!$I$101</f>
        <v>0.919235033908684</v>
      </c>
      <c r="W142" s="116" t="n">
        <f aca="false">W85*01_Supuestos!$I$101</f>
        <v>0.938210251239287</v>
      </c>
      <c r="X142" s="116" t="n">
        <f aca="false">X85*01_Supuestos!$I$101</f>
        <v>0.956957829920917</v>
      </c>
      <c r="Y142" s="116" t="n">
        <f aca="false">Y85*01_Supuestos!$I$101</f>
        <v>0.975507004030147</v>
      </c>
      <c r="Z142" s="116" t="n">
        <f aca="false">Z85*01_Supuestos!$I$101</f>
        <v>0.993887091908663</v>
      </c>
      <c r="AA142" s="116" t="n">
        <f aca="false">AA85*01_Supuestos!$I$101</f>
        <v>1.01212754140335</v>
      </c>
      <c r="AB142" s="116" t="n">
        <f aca="false">AB85*01_Supuestos!$I$101</f>
        <v>1.03026411270062</v>
      </c>
      <c r="AC142" s="116" t="n">
        <f aca="false">AC85*01_Supuestos!$I$101</f>
        <v>1.04833267559192</v>
      </c>
      <c r="AD142" s="116" t="n">
        <f aca="false">AD85*01_Supuestos!$I$101</f>
        <v>1.06636925801735</v>
      </c>
      <c r="AE142" s="116" t="n">
        <f aca="false">AE85*01_Supuestos!$I$101</f>
        <v>1.08441009542949</v>
      </c>
      <c r="AF142" s="116" t="n">
        <f aca="false">AF85*01_Supuestos!$I$101</f>
        <v>1.10249167873736</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-18.8906590044246</v>
      </c>
      <c r="D148" s="136" t="n">
        <f aca="false">D140+D141+D142+D144+D145+D146+D147</f>
        <v>-18.8751362445242</v>
      </c>
      <c r="E148" s="136" t="n">
        <f aca="false">E140+E141+E142+E144+E145+E146+E147</f>
        <v>-18.8711068617856</v>
      </c>
      <c r="F148" s="136" t="n">
        <f aca="false">F140+F141+F142+F144+F145+F146+F147</f>
        <v>-18.32336341453</v>
      </c>
      <c r="G148" s="136" t="n">
        <f aca="false">G140+G141+G142+G144+G145+G146+G147</f>
        <v>-18.3539212501793</v>
      </c>
      <c r="H148" s="136" t="n">
        <f aca="false">H140+H141+H142+H144+H145+H146+H147</f>
        <v>-18.3822523984975</v>
      </c>
      <c r="I148" s="136" t="n">
        <f aca="false">I140+I141+I142+I144+I145+I146+I147</f>
        <v>-18.4085032886281</v>
      </c>
      <c r="J148" s="136" t="n">
        <f aca="false">J140+J141+J142+J144+J145+J146+J147</f>
        <v>-18.4328109267804</v>
      </c>
      <c r="K148" s="136" t="n">
        <f aca="false">K140+K141+K142+K144+K145+K146+K147</f>
        <v>-18.4553035087905</v>
      </c>
      <c r="L148" s="136" t="n">
        <f aca="false">L140+L141+L142+L144+L145+L146+L147</f>
        <v>-18.4762309486537</v>
      </c>
      <c r="M148" s="136" t="n">
        <f aca="false">M140+M141+M142+M144+M145+M146+M147</f>
        <v>2.23758230035227</v>
      </c>
      <c r="N148" s="136" t="n">
        <f aca="false">N140+N141+N142+N144+N145+N146+N147</f>
        <v>2.29209583054057</v>
      </c>
      <c r="O148" s="136" t="n">
        <f aca="false">O140+O141+O142+O144+O145+O146+O147</f>
        <v>2.26870833975904</v>
      </c>
      <c r="P148" s="136" t="n">
        <f aca="false">P140+P141+P142+P144+P145+P146+P147</f>
        <v>2.26777542253587</v>
      </c>
      <c r="Q148" s="136" t="n">
        <f aca="false">Q140+Q141+Q142+Q144+Q145+Q146+Q147</f>
        <v>2.26481916814456</v>
      </c>
      <c r="R148" s="136" t="n">
        <f aca="false">R140+R141+R142+R144+R145+R146+R147</f>
        <v>3.03439113329654</v>
      </c>
      <c r="S148" s="136" t="n">
        <f aca="false">S140+S141+S142+S144+S145+S146+S147</f>
        <v>3.04623432824967</v>
      </c>
      <c r="T148" s="136" t="n">
        <f aca="false">T140+T141+T142+T144+T145+T146+T147</f>
        <v>3.05636791142394</v>
      </c>
      <c r="U148" s="136" t="n">
        <f aca="false">U140+U141+U142+U144+U145+U146+U147</f>
        <v>3.06484089349004</v>
      </c>
      <c r="V148" s="136" t="n">
        <f aca="false">V140+V141+V142+V144+V145+V146+V147</f>
        <v>3.07169839228472</v>
      </c>
      <c r="W148" s="136" t="n">
        <f aca="false">W140+W141+W142+W144+W145+W146+W147</f>
        <v>3.07711725849711</v>
      </c>
      <c r="X148" s="136" t="n">
        <f aca="false">X140+X141+X142+X144+X145+X146+X147</f>
        <v>3.08113477063843</v>
      </c>
      <c r="Y148" s="136" t="n">
        <f aca="false">Y140+Y141+Y142+Y144+Y145+Y146+Y147</f>
        <v>3.08378485923643</v>
      </c>
      <c r="Z148" s="136" t="n">
        <f aca="false">Z140+Z141+Z142+Z144+Z145+Z146+Z147</f>
        <v>3.08509834411221</v>
      </c>
      <c r="AA148" s="136" t="n">
        <f aca="false">AA140+AA141+AA142+AA144+AA145+AA146+AA147</f>
        <v>3.08510310718127</v>
      </c>
      <c r="AB148" s="136" t="n">
        <f aca="false">AB140+AB141+AB142+AB144+AB145+AB146+AB147</f>
        <v>3.08382129739365</v>
      </c>
      <c r="AC148" s="136" t="n">
        <f aca="false">AC140+AC141+AC142+AC144+AC145+AC146+AC147</f>
        <v>3.08127248718785</v>
      </c>
      <c r="AD148" s="136" t="n">
        <f aca="false">AD140+AD141+AD142+AD144+AD145+AD146+AD147</f>
        <v>3.0774738079242</v>
      </c>
      <c r="AE148" s="136" t="n">
        <f aca="false">AE140+AE141+AE142+AE144+AE145+AE146+AE147</f>
        <v>3.07244007448978</v>
      </c>
      <c r="AF148" s="136" t="n">
        <f aca="false">AF140+AF141+AF142+AF144+AF145+AF146+AF147</f>
        <v>3.06618390082011</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-18.8906590044246</v>
      </c>
      <c r="D149" s="138" t="n">
        <f aca="false">C149+D148</f>
        <v>-37.7657952489488</v>
      </c>
      <c r="E149" s="138" t="n">
        <f aca="false">D149+E148</f>
        <v>-56.6369021107344</v>
      </c>
      <c r="F149" s="138" t="n">
        <f aca="false">E149+F148</f>
        <v>-74.9602655252644</v>
      </c>
      <c r="G149" s="138" t="n">
        <f aca="false">F149+G148</f>
        <v>-93.3141867754437</v>
      </c>
      <c r="H149" s="138" t="n">
        <f aca="false">G149+H148</f>
        <v>-111.696439173941</v>
      </c>
      <c r="I149" s="138" t="n">
        <f aca="false">H149+I148</f>
        <v>-130.104942462569</v>
      </c>
      <c r="J149" s="138" t="n">
        <f aca="false">I149+J148</f>
        <v>-148.53775338935</v>
      </c>
      <c r="K149" s="138" t="n">
        <f aca="false">J149+K148</f>
        <v>-166.99305689814</v>
      </c>
      <c r="L149" s="138" t="n">
        <f aca="false">K149+L148</f>
        <v>-185.469287846794</v>
      </c>
      <c r="M149" s="138" t="n">
        <f aca="false">L149+M148</f>
        <v>-183.231705546442</v>
      </c>
      <c r="N149" s="138" t="n">
        <f aca="false">M149+N148</f>
        <v>-180.939609715901</v>
      </c>
      <c r="O149" s="138" t="n">
        <f aca="false">N149+O148</f>
        <v>-178.670901376142</v>
      </c>
      <c r="P149" s="138" t="n">
        <f aca="false">O149+P148</f>
        <v>-176.403125953606</v>
      </c>
      <c r="Q149" s="138" t="n">
        <f aca="false">P149+Q148</f>
        <v>-174.138306785462</v>
      </c>
      <c r="R149" s="138" t="n">
        <f aca="false">Q149+R148</f>
        <v>-171.103915652165</v>
      </c>
      <c r="S149" s="138" t="n">
        <f aca="false">R149+S148</f>
        <v>-168.057681323915</v>
      </c>
      <c r="T149" s="138" t="n">
        <f aca="false">S149+T148</f>
        <v>-165.001313412491</v>
      </c>
      <c r="U149" s="138" t="n">
        <f aca="false">T149+U148</f>
        <v>-161.936472519001</v>
      </c>
      <c r="V149" s="138" t="n">
        <f aca="false">U149+V148</f>
        <v>-158.864774126717</v>
      </c>
      <c r="W149" s="138" t="n">
        <f aca="false">V149+W148</f>
        <v>-155.787656868219</v>
      </c>
      <c r="X149" s="138" t="n">
        <f aca="false">W149+X148</f>
        <v>-152.706522097581</v>
      </c>
      <c r="Y149" s="138" t="n">
        <f aca="false">X149+Y148</f>
        <v>-149.622737238345</v>
      </c>
      <c r="Z149" s="138" t="n">
        <f aca="false">Y149+Z148</f>
        <v>-146.537638894232</v>
      </c>
      <c r="AA149" s="138" t="n">
        <f aca="false">Z149+AA148</f>
        <v>-143.452535787051</v>
      </c>
      <c r="AB149" s="138" t="n">
        <f aca="false">AA149+AB148</f>
        <v>-140.368714489657</v>
      </c>
      <c r="AC149" s="138" t="n">
        <f aca="false">AB149+AC148</f>
        <v>-137.28744200247</v>
      </c>
      <c r="AD149" s="138" t="n">
        <f aca="false">AC149+AD148</f>
        <v>-134.209968194545</v>
      </c>
      <c r="AE149" s="138" t="n">
        <f aca="false">AD149+AE148</f>
        <v>-131.137528120056</v>
      </c>
      <c r="AF149" s="138" t="n">
        <f aca="false">AE149+AF148</f>
        <v>-128.071344219236</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35.1038595527686</v>
      </c>
      <c r="E153" s="116" t="n">
        <f aca="false">E120</f>
        <v>53.0720061406802</v>
      </c>
      <c r="F153" s="116" t="n">
        <f aca="false">F120</f>
        <v>61.8615311429605</v>
      </c>
      <c r="G153" s="116" t="n">
        <f aca="false">G120</f>
        <v>72.8447858473724</v>
      </c>
      <c r="H153" s="116" t="n">
        <f aca="false">H120</f>
        <v>85.489047213793</v>
      </c>
      <c r="I153" s="116" t="n">
        <f aca="false">I120</f>
        <v>99.8859200684854</v>
      </c>
      <c r="J153" s="116" t="n">
        <f aca="false">J120</f>
        <v>115.612055639854</v>
      </c>
      <c r="K153" s="116" t="n">
        <f aca="false">K120</f>
        <v>132.626319710305</v>
      </c>
      <c r="L153" s="116" t="n">
        <f aca="false">L120</f>
        <v>149.676541722361</v>
      </c>
      <c r="M153" s="116" t="n">
        <f aca="false">M120</f>
        <v>149.344933949558</v>
      </c>
      <c r="N153" s="116" t="n">
        <f aca="false">N120</f>
        <v>150.995647108463</v>
      </c>
      <c r="O153" s="116" t="n">
        <f aca="false">O120</f>
        <v>152.982960266457</v>
      </c>
      <c r="P153" s="116" t="n">
        <f aca="false">P120</f>
        <v>154.300415339116</v>
      </c>
      <c r="Q153" s="116" t="n">
        <f aca="false">Q120</f>
        <v>155.464886594235</v>
      </c>
      <c r="R153" s="116" t="n">
        <f aca="false">R120</f>
        <v>155.895412570673</v>
      </c>
      <c r="S153" s="116" t="n">
        <f aca="false">S120</f>
        <v>156.3425899103</v>
      </c>
      <c r="T153" s="116" t="n">
        <f aca="false">T120</f>
        <v>156.807229112355</v>
      </c>
      <c r="U153" s="116" t="n">
        <f aca="false">U120</f>
        <v>157.289558171168</v>
      </c>
      <c r="V153" s="116" t="n">
        <f aca="false">V120</f>
        <v>157.789762012027</v>
      </c>
      <c r="W153" s="116" t="n">
        <f aca="false">W120</f>
        <v>158.31024273306</v>
      </c>
      <c r="X153" s="116" t="n">
        <f aca="false">X120</f>
        <v>158.851702371</v>
      </c>
      <c r="Y153" s="116" t="n">
        <f aca="false">Y120</f>
        <v>159.414609850409</v>
      </c>
      <c r="Z153" s="116" t="n">
        <f aca="false">Z120</f>
        <v>159.9991216309</v>
      </c>
      <c r="AA153" s="116" t="n">
        <f aca="false">AA120</f>
        <v>160.605405056573</v>
      </c>
      <c r="AB153" s="116" t="n">
        <f aca="false">AB120</f>
        <v>161.233588876733</v>
      </c>
      <c r="AC153" s="116" t="n">
        <f aca="false">AC120</f>
        <v>161.88380106526</v>
      </c>
      <c r="AD153" s="116" t="n">
        <f aca="false">AD120</f>
        <v>162.556174094143</v>
      </c>
      <c r="AE153" s="116" t="n">
        <f aca="false">AE120</f>
        <v>163.250851872396</v>
      </c>
      <c r="AF153" s="116" t="n">
        <f aca="false">AF120</f>
        <v>163.967989548403</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8.74497890063019</v>
      </c>
      <c r="M154" s="116" t="n">
        <f aca="false">M104</f>
        <v>9.06048979389419</v>
      </c>
      <c r="N154" s="116" t="n">
        <f aca="false">N104</f>
        <v>9.37996079698507</v>
      </c>
      <c r="O154" s="116" t="n">
        <f aca="false">O104</f>
        <v>9.68077324391857</v>
      </c>
      <c r="P154" s="116" t="n">
        <f aca="false">P104</f>
        <v>9.91853286752615</v>
      </c>
      <c r="Q154" s="116" t="n">
        <f aca="false">Q104</f>
        <v>10.1582175572632</v>
      </c>
      <c r="R154" s="116" t="n">
        <f aca="false">R104</f>
        <v>10.3972396692622</v>
      </c>
      <c r="S154" s="116" t="n">
        <f aca="false">S104</f>
        <v>10.6358238084724</v>
      </c>
      <c r="T154" s="116" t="n">
        <f aca="false">T104</f>
        <v>10.8736782115323</v>
      </c>
      <c r="U154" s="116" t="n">
        <f aca="false">U104</f>
        <v>11.1111492414051</v>
      </c>
      <c r="V154" s="116" t="n">
        <f aca="false">V104</f>
        <v>11.3485806655393</v>
      </c>
      <c r="W154" s="116" t="n">
        <f aca="false">W104</f>
        <v>11.5828426078924</v>
      </c>
      <c r="X154" s="116" t="n">
        <f aca="false">X104</f>
        <v>11.8142941965545</v>
      </c>
      <c r="Y154" s="116" t="n">
        <f aca="false">Y104</f>
        <v>12.0432963460512</v>
      </c>
      <c r="Z154" s="116" t="n">
        <f aca="false">Z104</f>
        <v>12.2702110112181</v>
      </c>
      <c r="AA154" s="116" t="n">
        <f aca="false">AA104</f>
        <v>12.4954017457203</v>
      </c>
      <c r="AB154" s="116" t="n">
        <f aca="false">AB104</f>
        <v>12.719310033341</v>
      </c>
      <c r="AC154" s="116" t="n">
        <f aca="false">AC104</f>
        <v>12.9423787110114</v>
      </c>
      <c r="AD154" s="116" t="n">
        <f aca="false">AD104</f>
        <v>13.1650525681154</v>
      </c>
      <c r="AE154" s="116" t="n">
        <f aca="false">AE104</f>
        <v>13.3877789559197</v>
      </c>
      <c r="AF154" s="116" t="n">
        <f aca="false">AF104</f>
        <v>13.6110083794736</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89.3239159395288</v>
      </c>
      <c r="L155" s="116" t="n">
        <f aca="false">L70+L121-L227</f>
        <v>98.1093069913369</v>
      </c>
      <c r="M155" s="116" t="n">
        <f aca="false">M70+M121-M227</f>
        <v>104.007155099332</v>
      </c>
      <c r="N155" s="116" t="n">
        <f aca="false">N70+N121-N227</f>
        <v>110.037193172532</v>
      </c>
      <c r="O155" s="116" t="n">
        <f aca="false">O70+O121-O227</f>
        <v>116.203561717018</v>
      </c>
      <c r="P155" s="116" t="n">
        <f aca="false">P70+P121-P227</f>
        <v>122.320127093209</v>
      </c>
      <c r="Q155" s="116" t="n">
        <f aca="false">Q70+Q121-Q227</f>
        <v>128.377070634612</v>
      </c>
      <c r="R155" s="116" t="n">
        <f aca="false">R70+R121-R227</f>
        <v>134.386208791589</v>
      </c>
      <c r="S155" s="116" t="n">
        <f aca="false">S70+S121-S227</f>
        <v>140.338618394505</v>
      </c>
      <c r="T155" s="116" t="n">
        <f aca="false">T70+T121-T227</f>
        <v>146.250816040046</v>
      </c>
      <c r="U155" s="116" t="n">
        <f aca="false">U70+U121-U227</f>
        <v>152.139128751238</v>
      </c>
      <c r="V155" s="116" t="n">
        <f aca="false">V70+V121-V227</f>
        <v>158.019708489239</v>
      </c>
      <c r="W155" s="116" t="n">
        <f aca="false">W70+W121-W227</f>
        <v>163.908734245092</v>
      </c>
      <c r="X155" s="116" t="n">
        <f aca="false">X70+X121-X227</f>
        <v>169.822357336088</v>
      </c>
      <c r="Y155" s="116" t="n">
        <f aca="false">Y70+Y121-Y227</f>
        <v>175.776670574877</v>
      </c>
      <c r="Z155" s="116" t="n">
        <f aca="false">Z70+Z121-Z227</f>
        <v>181.787729559515</v>
      </c>
      <c r="AA155" s="116" t="n">
        <f aca="false">AA70+AA121-AA227</f>
        <v>187.871569579339</v>
      </c>
      <c r="AB155" s="116" t="n">
        <f aca="false">AB70+AB121-AB227</f>
        <v>194.044228698833</v>
      </c>
      <c r="AC155" s="116" t="n">
        <f aca="false">AC70+AC121-AC227</f>
        <v>200.321771665243</v>
      </c>
      <c r="AD155" s="116" t="n">
        <f aca="false">AD70+AD121-AD227</f>
        <v>206.720314185111</v>
      </c>
      <c r="AE155" s="116" t="n">
        <f aca="false">AE70+AE121-AE227</f>
        <v>213.256046465049</v>
      </c>
      <c r="AF155" s="116" t="n">
        <f aca="false">AF70+AF121-AF227</f>
        <v>219.945256159666</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79.95545280556</v>
      </c>
      <c r="E156" s="136" t="n">
        <f aca="false">SUM(E152:E155)+E187</f>
        <v>120.991004323071</v>
      </c>
      <c r="F156" s="136" t="n">
        <f aca="false">SUM(F152:F155)+F187</f>
        <v>209.017221261074</v>
      </c>
      <c r="G156" s="136" t="n">
        <f aca="false">SUM(G152:G155)+G187</f>
        <v>251.029805243165</v>
      </c>
      <c r="H156" s="136" t="n">
        <f aca="false">SUM(H152:H155)+H187</f>
        <v>286.734520809523</v>
      </c>
      <c r="I156" s="136" t="n">
        <f aca="false">SUM(I152:I155)+I187</f>
        <v>324.582149440378</v>
      </c>
      <c r="J156" s="136" t="n">
        <f aca="false">SUM(J152:J155)+J187</f>
        <v>364.158038396588</v>
      </c>
      <c r="K156" s="136" t="n">
        <f aca="false">SUM(K152:K155)+K187</f>
        <v>405.513251389247</v>
      </c>
      <c r="L156" s="136" t="n">
        <f aca="false">SUM(L152:L155)+L187</f>
        <v>448.702200436235</v>
      </c>
      <c r="M156" s="136" t="n">
        <f aca="false">SUM(M152:M155)+M187</f>
        <v>469.810278066891</v>
      </c>
      <c r="N156" s="136" t="n">
        <f aca="false">SUM(N152:N155)+N187</f>
        <v>482.580647384242</v>
      </c>
      <c r="O156" s="136" t="n">
        <f aca="false">SUM(O152:O155)+O187</f>
        <v>495.915001998699</v>
      </c>
      <c r="P156" s="136" t="n">
        <f aca="false">SUM(P152:P155)+P187</f>
        <v>508.578879326897</v>
      </c>
      <c r="Q156" s="136" t="n">
        <f aca="false">SUM(Q152:Q155)+Q187</f>
        <v>521.146894305779</v>
      </c>
      <c r="R156" s="136" t="n">
        <f aca="false">SUM(R152:R155)+R187</f>
        <v>533.049955100144</v>
      </c>
      <c r="S156" s="136" t="n">
        <f aca="false">SUM(S152:S155)+S187</f>
        <v>545.032661345475</v>
      </c>
      <c r="T156" s="136" t="n">
        <f aca="false">SUM(T152:T155)+T187</f>
        <v>557.114812068472</v>
      </c>
      <c r="U156" s="136" t="n">
        <f aca="false">SUM(U152:U155)+U187</f>
        <v>569.316135908554</v>
      </c>
      <c r="V156" s="136" t="n">
        <f aca="false">SUM(V152:V155)+V187</f>
        <v>581.656205805677</v>
      </c>
      <c r="W156" s="136" t="n">
        <f aca="false">SUM(W152:W155)+W187</f>
        <v>594.153431781611</v>
      </c>
      <c r="X156" s="136" t="n">
        <f aca="false">SUM(X152:X155)+X187</f>
        <v>606.828053179706</v>
      </c>
      <c r="Y156" s="136" t="n">
        <f aca="false">SUM(Y152:Y155)+Y187</f>
        <v>619.700089130751</v>
      </c>
      <c r="Z156" s="136" t="n">
        <f aca="false">SUM(Z152:Z155)+Z187</f>
        <v>632.789281345314</v>
      </c>
      <c r="AA156" s="136" t="n">
        <f aca="false">SUM(AA152:AA155)+AA187</f>
        <v>646.115436565618</v>
      </c>
      <c r="AB156" s="136" t="n">
        <f aca="false">SUM(AB152:AB155)+AB187</f>
        <v>659.698478177123</v>
      </c>
      <c r="AC156" s="136" t="n">
        <f aca="false">SUM(AC152:AC155)+AC187</f>
        <v>673.558433072799</v>
      </c>
      <c r="AD156" s="136" t="n">
        <f aca="false">SUM(AD152:AD155)+AD187</f>
        <v>687.715463556174</v>
      </c>
      <c r="AE156" s="136" t="n">
        <f aca="false">SUM(AE152:AE155)+AE187</f>
        <v>702.189900224472</v>
      </c>
      <c r="AF156" s="136" t="n">
        <f aca="false">SUM(AF152:AF155)+AF187</f>
        <v>717.002267146065</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336.880656775944</v>
      </c>
      <c r="L157" s="116" t="n">
        <f aca="false">L69+L80+L121</f>
        <v>351.261170508469</v>
      </c>
      <c r="M157" s="116" t="n">
        <f aca="false">M69+M80+M121</f>
        <v>365.044536095607</v>
      </c>
      <c r="N157" s="116" t="n">
        <f aca="false">N69+N80+N121</f>
        <v>377.904175166834</v>
      </c>
      <c r="O157" s="116" t="n">
        <f aca="false">O69+O80+O121</f>
        <v>390.020760532206</v>
      </c>
      <c r="P157" s="116" t="n">
        <f aca="false">P69+P80+P121</f>
        <v>399.428231716992</v>
      </c>
      <c r="Q157" s="116" t="n">
        <f aca="false">Q69+Q80+Q121</f>
        <v>408.902003294476</v>
      </c>
      <c r="R157" s="116" t="n">
        <f aca="false">R69+R80+R121</f>
        <v>418.360188304488</v>
      </c>
      <c r="S157" s="116" t="n">
        <f aca="false">S69+S80+S121</f>
        <v>427.79101464954</v>
      </c>
      <c r="T157" s="116" t="n">
        <f aca="false">T69+T80+T121</f>
        <v>437.208234523737</v>
      </c>
      <c r="U157" s="116" t="n">
        <f aca="false">U69+U80+U121</f>
        <v>446.625495462543</v>
      </c>
      <c r="V157" s="116" t="n">
        <f aca="false">V69+V80+V121</f>
        <v>456.056355311272</v>
      </c>
      <c r="W157" s="116" t="n">
        <f aca="false">W69+W80+W121</f>
        <v>465.37562787605</v>
      </c>
      <c r="X157" s="116" t="n">
        <f aca="false">X69+X80+X121</f>
        <v>474.597632023104</v>
      </c>
      <c r="Y157" s="116" t="n">
        <f aca="false">Y69+Y80+Y121</f>
        <v>483.736726833055</v>
      </c>
      <c r="Z157" s="116" t="n">
        <f aca="false">Z69+Z80+Z121</f>
        <v>492.807333865942</v>
      </c>
      <c r="AA157" s="116" t="n">
        <f aca="false">AA69+AA80+AA121</f>
        <v>501.823955106615</v>
      </c>
      <c r="AB157" s="116" t="n">
        <f aca="false">AB69+AB80+AB121</f>
        <v>510.804232382694</v>
      </c>
      <c r="AC157" s="116" t="n">
        <f aca="false">AC69+AC80+AC121</f>
        <v>519.765885097625</v>
      </c>
      <c r="AD157" s="116" t="n">
        <f aca="false">AD69+AD80+AD121</f>
        <v>528.726734559495</v>
      </c>
      <c r="AE157" s="116" t="n">
        <f aca="false">AE69+AE80+AE121</f>
        <v>537.704727609827</v>
      </c>
      <c r="AF157" s="116" t="n">
        <f aca="false">AF69+AF80+AF121</f>
        <v>546.717959693699</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187.652339662692</v>
      </c>
      <c r="M159" s="116" t="n">
        <f aca="false">M72</f>
        <v>201.492878723063</v>
      </c>
      <c r="N159" s="116" t="n">
        <f aca="false">N72</f>
        <v>206.829277243367</v>
      </c>
      <c r="O159" s="116" t="n">
        <f aca="false">O72</f>
        <v>212.558232271394</v>
      </c>
      <c r="P159" s="116" t="n">
        <f aca="false">P72</f>
        <v>217.630537405409</v>
      </c>
      <c r="Q159" s="116" t="n">
        <f aca="false">Q72</f>
        <v>222.629726854445</v>
      </c>
      <c r="R159" s="116" t="n">
        <f aca="false">R72</f>
        <v>227.748809972758</v>
      </c>
      <c r="S159" s="116" t="n">
        <f aca="false">S72</f>
        <v>232.98489610812</v>
      </c>
      <c r="T159" s="116" t="n">
        <f aca="false">T72</f>
        <v>238.340783415846</v>
      </c>
      <c r="U159" s="116" t="n">
        <f aca="false">U72</f>
        <v>243.819377130763</v>
      </c>
      <c r="V159" s="116" t="n">
        <f aca="false">V72</f>
        <v>249.423589440563</v>
      </c>
      <c r="W159" s="116" t="n">
        <f aca="false">W72</f>
        <v>255.155129865088</v>
      </c>
      <c r="X159" s="116" t="n">
        <f aca="false">X72</f>
        <v>261.017551881743</v>
      </c>
      <c r="Y159" s="116" t="n">
        <f aca="false">Y72</f>
        <v>267.014233896293</v>
      </c>
      <c r="Z159" s="116" t="n">
        <f aca="false">Z72</f>
        <v>273.148300411069</v>
      </c>
      <c r="AA159" s="116" t="n">
        <f aca="false">AA72</f>
        <v>279.422947228523</v>
      </c>
      <c r="AB159" s="116" t="n">
        <f aca="false">AB72</f>
        <v>285.841469627932</v>
      </c>
      <c r="AC159" s="116" t="n">
        <f aca="false">AC72</f>
        <v>292.407224962281</v>
      </c>
      <c r="AD159" s="116" t="n">
        <f aca="false">AD72</f>
        <v>299.123639915998</v>
      </c>
      <c r="AE159" s="116" t="n">
        <f aca="false">AE72</f>
        <v>305.994219469322</v>
      </c>
      <c r="AF159" s="116" t="n">
        <f aca="false">AF72</f>
        <v>313.022548740387</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507.964694653947</v>
      </c>
      <c r="L160" s="136" t="n">
        <f aca="false">SUM(L157:L159)</f>
        <v>538.913510171161</v>
      </c>
      <c r="M160" s="136" t="n">
        <f aca="false">SUM(M157:M159)</f>
        <v>566.53741481867</v>
      </c>
      <c r="N160" s="136" t="n">
        <f aca="false">SUM(N157:N159)</f>
        <v>584.733452410201</v>
      </c>
      <c r="O160" s="136" t="n">
        <f aca="false">SUM(O157:O159)</f>
        <v>602.578992803601</v>
      </c>
      <c r="P160" s="136" t="n">
        <f aca="false">SUM(P157:P159)</f>
        <v>617.058769122401</v>
      </c>
      <c r="Q160" s="136" t="n">
        <f aca="false">SUM(Q157:Q159)</f>
        <v>631.531730148921</v>
      </c>
      <c r="R160" s="136" t="n">
        <f aca="false">SUM(R157:R159)</f>
        <v>646.108998277246</v>
      </c>
      <c r="S160" s="136" t="n">
        <f aca="false">SUM(S157:S159)</f>
        <v>660.77591075766</v>
      </c>
      <c r="T160" s="136" t="n">
        <f aca="false">SUM(T157:T159)</f>
        <v>675.549017939582</v>
      </c>
      <c r="U160" s="136" t="n">
        <f aca="false">SUM(U157:U159)</f>
        <v>690.444872593306</v>
      </c>
      <c r="V160" s="136" t="n">
        <f aca="false">SUM(V157:V159)</f>
        <v>705.479944751835</v>
      </c>
      <c r="W160" s="136" t="n">
        <f aca="false">SUM(W157:W159)</f>
        <v>720.530757741138</v>
      </c>
      <c r="X160" s="136" t="n">
        <f aca="false">SUM(X157:X159)</f>
        <v>735.615183904847</v>
      </c>
      <c r="Y160" s="136" t="n">
        <f aca="false">SUM(Y157:Y159)</f>
        <v>750.750960729348</v>
      </c>
      <c r="Z160" s="136" t="n">
        <f aca="false">SUM(Z157:Z159)</f>
        <v>765.955634277011</v>
      </c>
      <c r="AA160" s="136" t="n">
        <f aca="false">SUM(AA157:AA159)</f>
        <v>781.246902335138</v>
      </c>
      <c r="AB160" s="136" t="n">
        <f aca="false">SUM(AB157:AB159)</f>
        <v>796.645702010626</v>
      </c>
      <c r="AC160" s="136" t="n">
        <f aca="false">SUM(AC157:AC159)</f>
        <v>812.173110059907</v>
      </c>
      <c r="AD160" s="136" t="n">
        <f aca="false">SUM(AD157:AD159)</f>
        <v>827.850374475493</v>
      </c>
      <c r="AE160" s="136" t="n">
        <f aca="false">SUM(AE157:AE159)</f>
        <v>843.698947079149</v>
      </c>
      <c r="AF160" s="136" t="n">
        <f aca="false">SUM(AF157:AF159)</f>
        <v>859.740508434086</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-58.2803884221606</v>
      </c>
      <c r="E161" s="138" t="n">
        <f aca="false">E156-E160</f>
        <v>-72.8220340547052</v>
      </c>
      <c r="F161" s="138" t="n">
        <f aca="false">F156-F160</f>
        <v>-150.53882087251</v>
      </c>
      <c r="G161" s="138" t="n">
        <f aca="false">G156-G160</f>
        <v>-143.453546630034</v>
      </c>
      <c r="H161" s="138" t="n">
        <f aca="false">H156-H160</f>
        <v>-135.14560929965</v>
      </c>
      <c r="I161" s="138" t="n">
        <f aca="false">I156-I160</f>
        <v>-125.563981380522</v>
      </c>
      <c r="J161" s="138" t="n">
        <f aca="false">J156-J160</f>
        <v>-114.652485747762</v>
      </c>
      <c r="K161" s="138" t="n">
        <f aca="false">K156-K160</f>
        <v>-102.4514432647</v>
      </c>
      <c r="L161" s="138" t="n">
        <f aca="false">L156-L160</f>
        <v>-90.2113097349264</v>
      </c>
      <c r="M161" s="138" t="n">
        <f aca="false">M156-M160</f>
        <v>-96.7271367517795</v>
      </c>
      <c r="N161" s="138" t="n">
        <f aca="false">N156-N160</f>
        <v>-102.152805025959</v>
      </c>
      <c r="O161" s="138" t="n">
        <f aca="false">O156-O160</f>
        <v>-106.663990804902</v>
      </c>
      <c r="P161" s="138" t="n">
        <f aca="false">P156-P160</f>
        <v>-108.479889795504</v>
      </c>
      <c r="Q161" s="138" t="n">
        <f aca="false">Q156-Q160</f>
        <v>-110.384835843142</v>
      </c>
      <c r="R161" s="138" t="n">
        <f aca="false">R156-R160</f>
        <v>-113.059043177102</v>
      </c>
      <c r="S161" s="138" t="n">
        <f aca="false">S156-S160</f>
        <v>-115.743249412184</v>
      </c>
      <c r="T161" s="138" t="n">
        <f aca="false">T156-T160</f>
        <v>-118.434205871111</v>
      </c>
      <c r="U161" s="138" t="n">
        <f aca="false">U156-U160</f>
        <v>-121.128736684752</v>
      </c>
      <c r="V161" s="138" t="n">
        <f aca="false">V156-V160</f>
        <v>-123.823738946158</v>
      </c>
      <c r="W161" s="138" t="n">
        <f aca="false">W156-W160</f>
        <v>-126.377325959527</v>
      </c>
      <c r="X161" s="138" t="n">
        <f aca="false">X156-X160</f>
        <v>-128.787130725141</v>
      </c>
      <c r="Y161" s="138" t="n">
        <f aca="false">Y156-Y160</f>
        <v>-131.050871598597</v>
      </c>
      <c r="Z161" s="138" t="n">
        <f aca="false">Z156-Z160</f>
        <v>-133.166352931698</v>
      </c>
      <c r="AA161" s="138" t="n">
        <f aca="false">AA156-AA160</f>
        <v>-135.131465769521</v>
      </c>
      <c r="AB161" s="138" t="n">
        <f aca="false">AB156-AB160</f>
        <v>-136.947223833503</v>
      </c>
      <c r="AC161" s="138" t="n">
        <f aca="false">AC156-AC160</f>
        <v>-138.614676987107</v>
      </c>
      <c r="AD161" s="138" t="n">
        <f aca="false">AD156-AD160</f>
        <v>-140.134910919319</v>
      </c>
      <c r="AE161" s="138" t="n">
        <f aca="false">AE156-AE160</f>
        <v>-141.509046854677</v>
      </c>
      <c r="AF161" s="138" t="n">
        <f aca="false">AF156-AF160</f>
        <v>-142.738241288021</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-58.2803884221606</v>
      </c>
      <c r="E163" s="116" t="n">
        <f aca="false">D163+E53+E56+E58+E118+E119+E60+E113+E101-E115-E162</f>
        <v>-72.8220340547052</v>
      </c>
      <c r="F163" s="116" t="n">
        <f aca="false">E163+F53+F56+F58+F118+F119+F60+F113+F101-F115-F162</f>
        <v>-150.53882087251</v>
      </c>
      <c r="G163" s="116" t="n">
        <f aca="false">F163+G53+G56+G58+G118+G119+G60+G113+G101-G115-G162</f>
        <v>-143.453546630034</v>
      </c>
      <c r="H163" s="116" t="n">
        <f aca="false">G163+H53+H56+H58+H118+H119+H60+H113+H101-H115-H162</f>
        <v>-135.14560929965</v>
      </c>
      <c r="I163" s="116" t="n">
        <f aca="false">H163+I53+I56+I58+I118+I119+I60+I113+I101-I115-I162</f>
        <v>-125.563981380522</v>
      </c>
      <c r="J163" s="116" t="n">
        <f aca="false">I163+J53+J56+J58+J118+J119+J60+J113+J101-J115-J162</f>
        <v>-114.652485747762</v>
      </c>
      <c r="K163" s="116" t="n">
        <f aca="false">J163+K53+K56+K58+K118+K119+K60+K113+K101-K115-K162</f>
        <v>-102.4514432647</v>
      </c>
      <c r="L163" s="116" t="n">
        <f aca="false">K163+L53+L56+L58+L118+L119+L60+L113+L101-L115-L162</f>
        <v>-90.2113097349265</v>
      </c>
      <c r="M163" s="116" t="n">
        <f aca="false">L163+M53+M56+M58+M118+M119+M60+M113+M101-M115-M162</f>
        <v>-96.7271367517796</v>
      </c>
      <c r="N163" s="116" t="n">
        <f aca="false">M163+N53+N56+N58+N118+N119+N60+N113+N101-N115-N162</f>
        <v>-102.152805025959</v>
      </c>
      <c r="O163" s="116" t="n">
        <f aca="false">N163+O53+O56+O58+O118+O119+O60+O113+O101-O115-O162</f>
        <v>-106.663990804902</v>
      </c>
      <c r="P163" s="116" t="n">
        <f aca="false">O163+P53+P56+P58+P118+P119+P60+P113+P101-P115-P162</f>
        <v>-108.479889795505</v>
      </c>
      <c r="Q163" s="116" t="n">
        <f aca="false">P163+Q53+Q56+Q58+Q118+Q119+Q60+Q113+Q101-Q115-Q162</f>
        <v>-110.384835843142</v>
      </c>
      <c r="R163" s="116" t="n">
        <f aca="false">Q163+R53+R56+R58+R118+R119+R60+R113+R101-R115-R162</f>
        <v>-113.059043177102</v>
      </c>
      <c r="S163" s="116" t="n">
        <f aca="false">R163+S53+S56+S58+S118+S119+S60+S113+S101-S115-S162</f>
        <v>-115.743249412185</v>
      </c>
      <c r="T163" s="116" t="n">
        <f aca="false">S163+T53+T56+T58+T118+T119+T60+T113+T101-T115-T162</f>
        <v>-118.434205871111</v>
      </c>
      <c r="U163" s="116" t="n">
        <f aca="false">T163+U53+U56+U58+U118+U119+U60+U113+U101-U115-U162</f>
        <v>-121.128736684752</v>
      </c>
      <c r="V163" s="116" t="n">
        <f aca="false">U163+V53+V56+V58+V118+V119+V60+V113+V101-V115-V162</f>
        <v>-123.823738946158</v>
      </c>
      <c r="W163" s="116" t="n">
        <f aca="false">V163+W53+W56+W58+W118+W119+W60+W113+W101-W115-W162</f>
        <v>-126.377325959527</v>
      </c>
      <c r="X163" s="116" t="n">
        <f aca="false">W163+X53+X56+X58+X118+X119+X60+X113+X101-X115-X162</f>
        <v>-128.787130725141</v>
      </c>
      <c r="Y163" s="116" t="n">
        <f aca="false">X163+Y53+Y56+Y58+Y118+Y119+Y60+Y113+Y101-Y115-Y162</f>
        <v>-131.050871598597</v>
      </c>
      <c r="Z163" s="116" t="n">
        <f aca="false">Y163+Z53+Z56+Z58+Z118+Z119+Z60+Z113+Z101-Z115-Z162</f>
        <v>-133.166352931698</v>
      </c>
      <c r="AA163" s="116" t="n">
        <f aca="false">Z163+AA53+AA56+AA58+AA118+AA119+AA60+AA113+AA101-AA115-AA162</f>
        <v>-135.131465769521</v>
      </c>
      <c r="AB163" s="116" t="n">
        <f aca="false">AA163+AB53+AB56+AB58+AB118+AB119+AB60+AB113+AB101-AB115-AB162</f>
        <v>-136.947223833503</v>
      </c>
      <c r="AC163" s="116" t="n">
        <f aca="false">AB163+AC53+AC56+AC58+AC118+AC119+AC60+AC113+AC101-AC115-AC162</f>
        <v>-138.614676987107</v>
      </c>
      <c r="AD163" s="116" t="n">
        <f aca="false">AC163+AD53+AD56+AD58+AD118+AD119+AD60+AD113+AD101-AD115-AD162</f>
        <v>-140.134910919319</v>
      </c>
      <c r="AE163" s="116" t="n">
        <f aca="false">AD163+AE53+AE56+AE58+AE118+AE119+AE60+AE113+AE101-AE115-AE162</f>
        <v>-141.509046854677</v>
      </c>
      <c r="AF163" s="116" t="n">
        <f aca="false">AE163+AF53+AF56+AF58+AF118+AF119+AF60+AF113+AF101-AF115-AF162</f>
        <v>-142.738241288021</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-18.8906590044246</v>
      </c>
      <c r="D192" s="142" t="n">
        <f aca="false">D149-SUM($C$191:D191)</f>
        <v>-38.3219952489488</v>
      </c>
      <c r="E192" s="142" t="n">
        <f aca="false">E149-SUM($C$191:E191)</f>
        <v>-58.3055021107344</v>
      </c>
      <c r="F192" s="142" t="n">
        <f aca="false">F149-SUM($C$191:F191)</f>
        <v>-78.2974655252644</v>
      </c>
      <c r="G192" s="142" t="n">
        <f aca="false">G149-SUM($C$191:G191)</f>
        <v>-98.8761867754437</v>
      </c>
      <c r="H192" s="142" t="n">
        <f aca="false">H149-SUM($C$191:H191)</f>
        <v>-120.039439173941</v>
      </c>
      <c r="I192" s="142" t="n">
        <f aca="false">I149-SUM($C$191:I191)</f>
        <v>-141.785142462569</v>
      </c>
      <c r="J192" s="142" t="n">
        <f aca="false">J149-SUM($C$191:J191)</f>
        <v>-164.11135338935</v>
      </c>
      <c r="K192" s="142" t="n">
        <f aca="false">K149-SUM($C$191:K191)</f>
        <v>-187.01625689814</v>
      </c>
      <c r="L192" s="142" t="n">
        <f aca="false">L149-SUM($C$191:L191)</f>
        <v>-210.498287846794</v>
      </c>
      <c r="M192" s="142" t="n">
        <f aca="false">M149-SUM($C$191:M191)</f>
        <v>-213.822705546442</v>
      </c>
      <c r="N192" s="142" t="n">
        <f aca="false">N149-SUM($C$191:N191)</f>
        <v>-217.092609715901</v>
      </c>
      <c r="O192" s="142" t="n">
        <f aca="false">O149-SUM($C$191:O191)</f>
        <v>-220.385901376142</v>
      </c>
      <c r="P192" s="142" t="n">
        <f aca="false">P149-SUM($C$191:P191)</f>
        <v>-223.680125953606</v>
      </c>
      <c r="Q192" s="142" t="n">
        <f aca="false">Q149-SUM($C$191:Q191)</f>
        <v>-226.977306785462</v>
      </c>
      <c r="R192" s="142" t="n">
        <f aca="false">R149-SUM($C$191:R191)</f>
        <v>-229.504915652165</v>
      </c>
      <c r="S192" s="142" t="n">
        <f aca="false">S149-SUM($C$191:S191)</f>
        <v>-232.020681323915</v>
      </c>
      <c r="T192" s="142" t="n">
        <f aca="false">T149-SUM($C$191:T191)</f>
        <v>-234.526313412491</v>
      </c>
      <c r="U192" s="142" t="n">
        <f aca="false">U149-SUM($C$191:U191)</f>
        <v>-237.023472519001</v>
      </c>
      <c r="V192" s="142" t="n">
        <f aca="false">V149-SUM($C$191:V191)</f>
        <v>-239.513774126717</v>
      </c>
      <c r="W192" s="142" t="n">
        <f aca="false">W149-SUM($C$191:W191)</f>
        <v>-241.998656868219</v>
      </c>
      <c r="X192" s="142" t="n">
        <f aca="false">X149-SUM($C$191:X191)</f>
        <v>-244.479522097581</v>
      </c>
      <c r="Y192" s="142" t="n">
        <f aca="false">Y149-SUM($C$191:Y191)</f>
        <v>-246.957737238345</v>
      </c>
      <c r="Z192" s="142" t="n">
        <f aca="false">Z149-SUM($C$191:Z191)</f>
        <v>-249.434638894232</v>
      </c>
      <c r="AA192" s="142" t="n">
        <f aca="false">AA149-SUM($C$191:AA191)</f>
        <v>-251.911535787051</v>
      </c>
      <c r="AB192" s="142" t="n">
        <f aca="false">AB149-SUM($C$191:AB191)</f>
        <v>-254.389714489657</v>
      </c>
      <c r="AC192" s="142" t="n">
        <f aca="false">AC149-SUM($C$191:AC191)</f>
        <v>-256.87044200247</v>
      </c>
      <c r="AD192" s="142" t="n">
        <f aca="false">AD149-SUM($C$191:AD191)</f>
        <v>-259.354968194545</v>
      </c>
      <c r="AE192" s="142" t="n">
        <f aca="false">AE149-SUM($C$191:AE191)</f>
        <v>-261.844528120056</v>
      </c>
      <c r="AF192" s="142" t="n">
        <f aca="false">AF149-SUM($C$191:AF191)</f>
        <v>-264.340344219236</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4.25" hidden="false" customHeight="true" outlineLevel="0" collapsed="false">
      <c r="B196" s="7" t="s">
        <v>1394</v>
      </c>
    </row>
    <row r="197" customFormat="false" ht="14.25" hidden="false" customHeight="true" outlineLevel="0" collapsed="false">
      <c r="B197" s="103" t="s">
        <v>1395</v>
      </c>
      <c r="C197" s="150" t="n">
        <v>0.5</v>
      </c>
    </row>
    <row r="198" customFormat="false" ht="14.25" hidden="false" customHeight="true" outlineLevel="0" collapsed="false">
      <c r="B198" s="103" t="s">
        <v>1396</v>
      </c>
      <c r="C198" s="153" t="n">
        <v>16</v>
      </c>
    </row>
    <row r="199" customFormat="false" ht="14.25" hidden="false" customHeight="true" outlineLevel="0" collapsed="false">
      <c r="B199" s="83" t="s">
        <v>1397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0.349799156025208</v>
      </c>
      <c r="M221" s="116" t="n">
        <f aca="false">M112</f>
        <v>0.362419591755768</v>
      </c>
      <c r="N221" s="116" t="n">
        <f aca="false">N112</f>
        <v>0.375198431879403</v>
      </c>
      <c r="O221" s="116" t="n">
        <f aca="false">O112</f>
        <v>0.387230929756743</v>
      </c>
      <c r="P221" s="116" t="n">
        <f aca="false">P112</f>
        <v>0.396741314701046</v>
      </c>
      <c r="Q221" s="116" t="n">
        <f aca="false">Q112</f>
        <v>0.406328702290529</v>
      </c>
      <c r="R221" s="116" t="n">
        <f aca="false">R112</f>
        <v>0.415889586770488</v>
      </c>
      <c r="S221" s="116" t="n">
        <f aca="false">S112</f>
        <v>0.425432952338897</v>
      </c>
      <c r="T221" s="116" t="n">
        <f aca="false">T112</f>
        <v>0.43494712846129</v>
      </c>
      <c r="U221" s="116" t="n">
        <f aca="false">U112</f>
        <v>0.444445969656203</v>
      </c>
      <c r="V221" s="116" t="n">
        <f aca="false">V112</f>
        <v>0.453943226621573</v>
      </c>
      <c r="W221" s="116" t="n">
        <f aca="false">W112</f>
        <v>0.463313704315697</v>
      </c>
      <c r="X221" s="116" t="n">
        <f aca="false">X112</f>
        <v>0.472571767862181</v>
      </c>
      <c r="Y221" s="116" t="n">
        <f aca="false">Y112</f>
        <v>0.481731853842048</v>
      </c>
      <c r="Z221" s="116" t="n">
        <f aca="false">Z112</f>
        <v>0.490808440448722</v>
      </c>
      <c r="AA221" s="116" t="n">
        <f aca="false">AA112</f>
        <v>0.499816069828813</v>
      </c>
      <c r="AB221" s="116" t="n">
        <f aca="false">AB112</f>
        <v>0.508772401333639</v>
      </c>
      <c r="AC221" s="116" t="n">
        <f aca="false">AC112</f>
        <v>0.517695148440455</v>
      </c>
      <c r="AD221" s="116" t="n">
        <f aca="false">AD112</f>
        <v>0.526602102724617</v>
      </c>
      <c r="AE221" s="116" t="n">
        <f aca="false">AE112</f>
        <v>0.535511158236787</v>
      </c>
      <c r="AF221" s="116" t="n">
        <f aca="false">AF112</f>
        <v>0.544440335178943</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7.39838392993862</v>
      </c>
      <c r="M222" s="87" t="n">
        <f aca="false">IF(M221&gt;0,M220/M221,0)</f>
        <v>7.53612816243275</v>
      </c>
      <c r="N222" s="87" t="n">
        <f aca="false">IF(N221&gt;0,N220/N221,0)</f>
        <v>7.48647671890607</v>
      </c>
      <c r="O222" s="87" t="n">
        <f aca="false">IF(O221&gt;0,O220/O221,0)</f>
        <v>7.31768765715383</v>
      </c>
      <c r="P222" s="87" t="n">
        <f aca="false">IF(P221&gt;0,P220/P221,0)</f>
        <v>6.68164678788126</v>
      </c>
      <c r="Q222" s="87" t="n">
        <f aca="false">IF(Q221&gt;0,Q220/Q221,0)</f>
        <v>6.10324038070963</v>
      </c>
      <c r="R222" s="87" t="n">
        <f aca="false">IF(R221&gt;0,R220/R221,0)</f>
        <v>5.57836547806344</v>
      </c>
      <c r="S222" s="87" t="n">
        <f aca="false">IF(S221&gt;0,S220/S221,0)</f>
        <v>5.10153558024717</v>
      </c>
      <c r="T222" s="87" t="n">
        <f aca="false">IF(T221&gt;0,T220/T221,0)</f>
        <v>4.66812645469081</v>
      </c>
      <c r="U222" s="87" t="n">
        <f aca="false">IF(U221&gt;0,U220/U221,0)</f>
        <v>4.27373059961788</v>
      </c>
      <c r="V222" s="87" t="n">
        <f aca="false">IF(V221&gt;0,V220/V221,0)</f>
        <v>3.91445774030046</v>
      </c>
      <c r="W222" s="87" t="n">
        <f aca="false">IF(W221&gt;0,W220/W221,0)</f>
        <v>3.58793888868622</v>
      </c>
      <c r="X222" s="87" t="n">
        <f aca="false">IF(X221&gt;0,X220/X221,0)</f>
        <v>3.29078451896561</v>
      </c>
      <c r="Y222" s="87" t="n">
        <f aca="false">IF(Y221&gt;0,Y220/Y221,0)</f>
        <v>3.02001352826548</v>
      </c>
      <c r="Z222" s="87" t="n">
        <f aca="false">IF(Z221&gt;0,Z220/Z221,0)</f>
        <v>2.77299613731048</v>
      </c>
      <c r="AA222" s="87" t="n">
        <f aca="false">IF(AA221&gt;0,AA220/AA221,0)</f>
        <v>2.54740564362555</v>
      </c>
      <c r="AB222" s="87" t="n">
        <f aca="false">IF(AB221&gt;0,AB220/AB221,0)</f>
        <v>2.34116386157331</v>
      </c>
      <c r="AC222" s="87" t="n">
        <f aca="false">IF(AC221&gt;0,AC220/AC221,0)</f>
        <v>2.15242632952565</v>
      </c>
      <c r="AD222" s="87" t="n">
        <f aca="false">IF(AD221&gt;0,AD220/AD221,0)</f>
        <v>1.97955164460184</v>
      </c>
      <c r="AE222" s="87" t="n">
        <f aca="false">IF(AE221&gt;0,AE220/AE221,0)</f>
        <v>1.82107543264993</v>
      </c>
      <c r="AF222" s="87" t="n">
        <f aca="false">IF(AF221&gt;0,AF220/AF221,0)</f>
        <v>1.67568816316122</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2.23814929861778</v>
      </c>
      <c r="M223" s="88" t="n">
        <f aca="false">M220-M221</f>
        <v>2.36882090029225</v>
      </c>
      <c r="N223" s="88" t="n">
        <f aca="false">N220-N221</f>
        <v>2.43371589335581</v>
      </c>
      <c r="O223" s="88" t="n">
        <f aca="false">O220-O221</f>
        <v>2.44640406539237</v>
      </c>
      <c r="P223" s="88" t="n">
        <f aca="false">P220-P221</f>
        <v>2.25414401629099</v>
      </c>
      <c r="Q223" s="88" t="n">
        <f aca="false">Q220-Q221</f>
        <v>2.07359304137037</v>
      </c>
      <c r="R223" s="88" t="n">
        <f aca="false">R220-R221</f>
        <v>1.90409452675607</v>
      </c>
      <c r="S223" s="88" t="n">
        <f aca="false">S220-S221</f>
        <v>1.74492839102759</v>
      </c>
      <c r="T223" s="88" t="n">
        <f aca="false">T220-T221</f>
        <v>1.59544106830066</v>
      </c>
      <c r="U223" s="88" t="n">
        <f aca="false">U220-U221</f>
        <v>1.45499637074035</v>
      </c>
      <c r="V223" s="88" t="n">
        <f aca="false">V220-V221</f>
        <v>1.32299835048421</v>
      </c>
      <c r="W223" s="88" t="n">
        <f aca="false">W220-W221</f>
        <v>1.19902755305986</v>
      </c>
      <c r="X223" s="88" t="n">
        <f aca="false">X220-X221</f>
        <v>1.08256008991889</v>
      </c>
      <c r="Y223" s="88" t="n">
        <f aca="false">Y220-Y221</f>
        <v>0.973104861757345</v>
      </c>
      <c r="Z223" s="88" t="n">
        <f aca="false">Z220-Z221</f>
        <v>0.870201469074967</v>
      </c>
      <c r="AA223" s="88" t="n">
        <f aca="false">AA220-AA221</f>
        <v>0.773418207227848</v>
      </c>
      <c r="AB223" s="88" t="n">
        <f aca="false">AB220-AB221</f>
        <v>0.682347158434549</v>
      </c>
      <c r="AC223" s="88" t="n">
        <f aca="false">AC220-AC221</f>
        <v>0.596605519730471</v>
      </c>
      <c r="AD223" s="88" t="n">
        <f aca="false">AD220-AD221</f>
        <v>0.515833955774683</v>
      </c>
      <c r="AE223" s="88" t="n">
        <f aca="false">AE220-AE221</f>
        <v>0.439695055938136</v>
      </c>
      <c r="AF223" s="88" t="n">
        <f aca="false">AF220-AF221</f>
        <v>0.367871890027937</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0.0353755274227365</v>
      </c>
      <c r="F233" s="1" t="n">
        <f aca="false">IF(E81&gt;0,(F107+F109+F110+F184-F108-F229)/E81,0)</f>
        <v>0.046240631504257</v>
      </c>
      <c r="G233" s="1" t="n">
        <f aca="false">IF(F81&gt;0,(G107+G109+G110+G184-G108-G229)/F81,0)</f>
        <v>0.026948009554355</v>
      </c>
      <c r="H233" s="1" t="n">
        <f aca="false">IF(G81&gt;0,(H107+H109+H110+H184-H108-H229)/G81,0)</f>
        <v>0.0298571010358753</v>
      </c>
      <c r="I233" s="1" t="n">
        <f aca="false">IF(H81&gt;0,(I107+I109+I110+I184-I108-I229)/H81,0)</f>
        <v>0.0327590448602859</v>
      </c>
      <c r="J233" s="1" t="n">
        <f aca="false">IF(I81&gt;0,(J107+J109+J110+J184-J108-J229)/I81,0)</f>
        <v>0.0356649182099065</v>
      </c>
      <c r="K233" s="1" t="n">
        <f aca="false">IF(J81&gt;0,(K107+K109+K110+K184-K108-K229)/J81,0)</f>
        <v>0.0385284326396078</v>
      </c>
      <c r="L233" s="1" t="n">
        <f aca="false">IF(K81&gt;0,(L107+L109+L110+L184-L108-L229)/K81,0)</f>
        <v>0.0413558761980113</v>
      </c>
      <c r="M233" s="1" t="n">
        <f aca="false">IF(L81&gt;0,(M107+M109+M110+M184-M108-M229)/L81,0)</f>
        <v>0.043653601984696</v>
      </c>
      <c r="N233" s="1" t="n">
        <f aca="false">IF(M81&gt;0,(N107+N109+N110+N184-N108-N229)/M81,0)</f>
        <v>0.0430246685756301</v>
      </c>
      <c r="O233" s="1" t="n">
        <f aca="false">IF(N81&gt;0,(O107+O109+O110+O184-O108-O229)/N81,0)</f>
        <v>0.0425743590563347</v>
      </c>
      <c r="P233" s="1" t="n">
        <f aca="false">IF(O81&gt;0,(P107+P109+P110+P184-P108-P229)/O81,0)</f>
        <v>0.0422860112395598</v>
      </c>
      <c r="Q233" s="1" t="n">
        <f aca="false">IF(P81&gt;0,(Q107+Q109+Q110+Q184-Q108-Q229)/P81,0)</f>
        <v>0.042230876760939</v>
      </c>
      <c r="R233" s="1" t="n">
        <f aca="false">IF(Q81&gt;0,(R107+R109+R110+R184-R108-R229)/Q81,0)</f>
        <v>0.0421645317236719</v>
      </c>
      <c r="S233" s="1" t="n">
        <f aca="false">IF(R81&gt;0,(S107+S109+S110+S184-S108-S229)/R81,0)</f>
        <v>0.0420502808250849</v>
      </c>
      <c r="T233" s="1" t="n">
        <f aca="false">IF(S81&gt;0,(T107+T109+T110+T184-T108-T229)/S81,0)</f>
        <v>0.0419519524030449</v>
      </c>
      <c r="U233" s="1" t="n">
        <f aca="false">IF(T81&gt;0,(U107+U109+U110+U184-U108-U229)/T81,0)</f>
        <v>0.0418708090095174</v>
      </c>
      <c r="V233" s="1" t="n">
        <f aca="false">IF(U81&gt;0,(V107+V109+V110+V184-V108-V229)/U81,0)</f>
        <v>0.0418055508199522</v>
      </c>
      <c r="W233" s="1" t="n">
        <f aca="false">IF(V81&gt;0,(W107+W109+W110+W184-W108-W229)/V81,0)</f>
        <v>0.0417550696106582</v>
      </c>
      <c r="X233" s="1" t="n">
        <f aca="false">IF(W81&gt;0,(X107+X109+X110+X184-X108-X229)/W81,0)</f>
        <v>0.0417309739589557</v>
      </c>
      <c r="Y233" s="1" t="n">
        <f aca="false">IF(X81&gt;0,(Y107+Y109+Y110+Y184-Y108-Y229)/X81,0)</f>
        <v>0.04173150465596</v>
      </c>
      <c r="Z233" s="1" t="n">
        <f aca="false">IF(Y81&gt;0,(Z107+Z109+Z110+Z184-Z108-Z229)/Y81,0)</f>
        <v>0.0417550540540323</v>
      </c>
      <c r="AA233" s="1" t="n">
        <f aca="false">IF(Z81&gt;0,(AA107+AA109+AA110+AA184-AA108-AA229)/Z81,0)</f>
        <v>0.0418001393212832</v>
      </c>
      <c r="AB233" s="1" t="n">
        <f aca="false">IF(AA81&gt;0,(AB107+AB109+AB110+AB184-AB108-AB229)/AA81,0)</f>
        <v>0.0418654021735908</v>
      </c>
      <c r="AC233" s="1" t="n">
        <f aca="false">IF(AB81&gt;0,(AC107+AC109+AC110+AC184-AC108-AC229)/AB81,0)</f>
        <v>0.0419493371044859</v>
      </c>
      <c r="AD233" s="1" t="n">
        <f aca="false">IF(AC81&gt;0,(AD107+AD109+AD110+AD184-AD108-AD229)/AC81,0)</f>
        <v>0.0420505464906309</v>
      </c>
      <c r="AE233" s="1" t="n">
        <f aca="false">IF(AD81&gt;0,(AE107+AE109+AE110+AE184-AE108-AE229)/AD81,0)</f>
        <v>0.0421677238227837</v>
      </c>
      <c r="AF233" s="1" t="n">
        <f aca="false">IF(AE81&gt;0,(AF107+AF109+AF110+AF184-AF108-AF229)/AE81,0)</f>
        <v>0.042299639588152</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0.230355790038912</v>
      </c>
      <c r="F234" s="1" t="n">
        <f aca="false">(F232+E232)/2*F233</f>
        <v>0.558656712324482</v>
      </c>
      <c r="G234" s="1" t="n">
        <f aca="false">(G232+F232)/2*G233</f>
        <v>0.521466710721946</v>
      </c>
      <c r="H234" s="1" t="n">
        <f aca="false">(H232+G232)/2*H233</f>
        <v>0.780803624544456</v>
      </c>
      <c r="I234" s="1" t="n">
        <f aca="false">(I232+H232)/2*I233</f>
        <v>1.06510398583486</v>
      </c>
      <c r="J234" s="1" t="n">
        <f aca="false">(J232+I232)/2*J233</f>
        <v>1.37184770154413</v>
      </c>
      <c r="K234" s="1" t="n">
        <f aca="false">(K232+J232)/2*K233</f>
        <v>1.69651063438852</v>
      </c>
      <c r="L234" s="1" t="n">
        <f aca="false">(L232+K232)/2*L233</f>
        <v>2.03642110532199</v>
      </c>
      <c r="M234" s="1" t="n">
        <f aca="false">(M232+L232)/2*M233</f>
        <v>2.32201757160244</v>
      </c>
      <c r="N234" s="1" t="n">
        <f aca="false">(N232+M232)/2*N233</f>
        <v>2.38363324871292</v>
      </c>
      <c r="O234" s="1" t="n">
        <f aca="false">(O232+N232)/2*O233</f>
        <v>2.4022792075912</v>
      </c>
      <c r="P234" s="1" t="n">
        <f aca="false">(P232+O232)/2*P233</f>
        <v>2.31918488154799</v>
      </c>
      <c r="Q234" s="1" t="n">
        <f aca="false">(Q232+P232)/2*Q233</f>
        <v>2.16678481253822</v>
      </c>
      <c r="R234" s="1" t="n">
        <f aca="false">(R232+Q232)/2*R233</f>
        <v>2.02385782786019</v>
      </c>
      <c r="S234" s="1" t="n">
        <f aca="false">(S232+R232)/2*S233</f>
        <v>1.88820287463996</v>
      </c>
      <c r="T234" s="1" t="n">
        <f aca="false">(T232+S232)/2*T233</f>
        <v>1.76229644764581</v>
      </c>
      <c r="U234" s="1" t="n">
        <f aca="false">(U232+T232)/2*U233</f>
        <v>1.64545183861133</v>
      </c>
      <c r="V234" s="1" t="n">
        <f aca="false">(V232+U232)/2*V233</f>
        <v>1.53693254696799</v>
      </c>
      <c r="W234" s="1" t="n">
        <f aca="false">(W232+V232)/2*W233</f>
        <v>1.4360749416451</v>
      </c>
      <c r="X234" s="1" t="n">
        <f aca="false">(X232+W232)/2*X233</f>
        <v>1.34268286782241</v>
      </c>
      <c r="Y234" s="1" t="n">
        <f aca="false">(Y232+X232)/2*Y233</f>
        <v>1.2561051753432</v>
      </c>
      <c r="Z234" s="1" t="n">
        <f aca="false">(Z232+Y232)/2*Z233</f>
        <v>1.17575828039879</v>
      </c>
      <c r="AA234" s="1" t="n">
        <f aca="false">(AA232+Z232)/2*AA233</f>
        <v>1.10111774005339</v>
      </c>
      <c r="AB234" s="1" t="n">
        <f aca="false">(AB232+AA232)/2*AB233</f>
        <v>1.03171164476704</v>
      </c>
      <c r="AC234" s="1" t="n">
        <f aca="false">(AC232+AB232)/2*AC233</f>
        <v>0.967108503093187</v>
      </c>
      <c r="AD234" s="1" t="n">
        <f aca="false">(AD232+AC232)/2*AD233</f>
        <v>0.906919579928974</v>
      </c>
      <c r="AE234" s="1" t="n">
        <f aca="false">(AE232+AD232)/2*AE233</f>
        <v>0.850793821273002</v>
      </c>
      <c r="AF234" s="1" t="n">
        <f aca="false">(AF232+AE232)/2*AF233</f>
        <v>0.798413497018415</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0.188727116952576</v>
      </c>
      <c r="F236" s="1" t="n">
        <f aca="false">MAX(0,F234-F235)</f>
        <v>0.479470272348824</v>
      </c>
      <c r="G236" s="1" t="n">
        <f aca="false">MAX(0,G234-G235)</f>
        <v>0.407144717479139</v>
      </c>
      <c r="H236" s="1" t="n">
        <f aca="false">MAX(0,H234-H235)</f>
        <v>0.63361207579728</v>
      </c>
      <c r="I236" s="1" t="n">
        <f aca="false">MAX(0,I234-I235)</f>
        <v>0.887162738318464</v>
      </c>
      <c r="J236" s="1" t="n">
        <f aca="false">MAX(0,J234-J235)</f>
        <v>1.16513989604151</v>
      </c>
      <c r="K236" s="1" t="n">
        <f aca="false">MAX(0,K234-K235)</f>
        <v>1.46289151295447</v>
      </c>
      <c r="L236" s="1" t="n">
        <f aca="false">MAX(0,L234-L235)</f>
        <v>1.77762625985769</v>
      </c>
      <c r="M236" s="1" t="n">
        <f aca="false">MAX(0,M234-M235)</f>
        <v>2.04889352239763</v>
      </c>
      <c r="N236" s="1" t="n">
        <f aca="false">MAX(0,N234-N235)</f>
        <v>2.10274181618939</v>
      </c>
      <c r="O236" s="1" t="n">
        <f aca="false">MAX(0,O234-O235)</f>
        <v>2.11891570807629</v>
      </c>
      <c r="P236" s="1" t="n">
        <f aca="false">MAX(0,P234-P235)</f>
        <v>2.05409634844879</v>
      </c>
      <c r="Q236" s="1" t="n">
        <f aca="false">MAX(0,Q234-Q235)</f>
        <v>1.91879263817213</v>
      </c>
      <c r="R236" s="1" t="n">
        <f aca="false">MAX(0,R234-R235)</f>
        <v>1.79185941650754</v>
      </c>
      <c r="S236" s="1" t="n">
        <f aca="false">MAX(0,S234-S235)</f>
        <v>1.67116674030332</v>
      </c>
      <c r="T236" s="1" t="n">
        <f aca="false">MAX(0,T234-T235)</f>
        <v>1.55925762796961</v>
      </c>
      <c r="U236" s="1" t="n">
        <f aca="false">MAX(0,U234-U235)</f>
        <v>1.45550760457167</v>
      </c>
      <c r="V236" s="1" t="n">
        <f aca="false">MAX(0,V234-V235)</f>
        <v>1.35923838925741</v>
      </c>
      <c r="W236" s="1" t="n">
        <f aca="false">MAX(0,W234-W235)</f>
        <v>1.26984081590754</v>
      </c>
      <c r="X236" s="1" t="n">
        <f aca="false">MAX(0,X234-X235)</f>
        <v>1.18716968204431</v>
      </c>
      <c r="Y236" s="1" t="n">
        <f aca="false">MAX(0,Y234-Y235)</f>
        <v>1.11062150378326</v>
      </c>
      <c r="Z236" s="1" t="n">
        <f aca="false">MAX(0,Z234-Z235)</f>
        <v>1.03965728944642</v>
      </c>
      <c r="AA236" s="1" t="n">
        <f aca="false">MAX(0,AA234-AA235)</f>
        <v>0.973794312347724</v>
      </c>
      <c r="AB236" s="1" t="n">
        <f aca="false">MAX(0,AB234-AB235)</f>
        <v>0.91259968879022</v>
      </c>
      <c r="AC236" s="1" t="n">
        <f aca="false">MAX(0,AC234-AC235)</f>
        <v>0.855678436276095</v>
      </c>
      <c r="AD236" s="1" t="n">
        <f aca="false">MAX(0,AD234-AD235)</f>
        <v>0.802675974079044</v>
      </c>
      <c r="AE236" s="1" t="n">
        <f aca="false">MAX(0,AE234-AE235)</f>
        <v>0.75327319985551</v>
      </c>
      <c r="AF236" s="1" t="n">
        <f aca="false">MAX(0,AF234-AF235)</f>
        <v>0.707182274497727</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0.739838392993862</v>
      </c>
      <c r="M238" s="1" t="n">
        <f aca="false">IF(M112&gt;0,M235/M112,0)</f>
        <v>0.753612816243275</v>
      </c>
      <c r="N238" s="1" t="n">
        <f aca="false">IF(N112&gt;0,N235/N112,0)</f>
        <v>0.748647671890606</v>
      </c>
      <c r="O238" s="1" t="n">
        <f aca="false">IF(O112&gt;0,O235/O112,0)</f>
        <v>0.731768765715383</v>
      </c>
      <c r="P238" s="1" t="n">
        <f aca="false">IF(P112&gt;0,P235/P112,0)</f>
        <v>0.668164678788126</v>
      </c>
      <c r="Q238" s="1" t="n">
        <f aca="false">IF(Q112&gt;0,Q235/Q112,0)</f>
        <v>0.610324038070963</v>
      </c>
      <c r="R238" s="1" t="n">
        <f aca="false">IF(R112&gt;0,R235/R112,0)</f>
        <v>0.557836547806344</v>
      </c>
      <c r="S238" s="1" t="n">
        <f aca="false">IF(S112&gt;0,S235/S112,0)</f>
        <v>0.510153558024717</v>
      </c>
      <c r="T238" s="1" t="n">
        <f aca="false">IF(T112&gt;0,T235/T112,0)</f>
        <v>0.466812645469081</v>
      </c>
      <c r="U238" s="1" t="n">
        <f aca="false">IF(U112&gt;0,U235/U112,0)</f>
        <v>0.427373059961788</v>
      </c>
      <c r="V238" s="1" t="n">
        <f aca="false">IF(V112&gt;0,V235/V112,0)</f>
        <v>0.391445774030046</v>
      </c>
      <c r="W238" s="1" t="n">
        <f aca="false">IF(W112&gt;0,W235/W112,0)</f>
        <v>0.358793888868622</v>
      </c>
      <c r="X238" s="1" t="n">
        <f aca="false">IF(X112&gt;0,X235/X112,0)</f>
        <v>0.329078451896561</v>
      </c>
      <c r="Y238" s="1" t="n">
        <f aca="false">IF(Y112&gt;0,Y235/Y112,0)</f>
        <v>0.302001352826548</v>
      </c>
      <c r="Z238" s="1" t="n">
        <f aca="false">IF(Z112&gt;0,Z235/Z112,0)</f>
        <v>0.277299613731048</v>
      </c>
      <c r="AA238" s="1" t="n">
        <f aca="false">IF(AA112&gt;0,AA235/AA112,0)</f>
        <v>0.254740564362555</v>
      </c>
      <c r="AB238" s="1" t="n">
        <f aca="false">IF(AB112&gt;0,AB235/AB112,0)</f>
        <v>0.234116386157331</v>
      </c>
      <c r="AC238" s="1" t="n">
        <f aca="false">IF(AC112&gt;0,AC235/AC112,0)</f>
        <v>0.215242632952565</v>
      </c>
      <c r="AD238" s="1" t="n">
        <f aca="false">IF(AD112&gt;0,AD235/AD112,0)</f>
        <v>0.197955164460184</v>
      </c>
      <c r="AE238" s="1" t="n">
        <f aca="false">IF(AE112&gt;0,AE235/AE112,0)</f>
        <v>0.182107543264993</v>
      </c>
      <c r="AF238" s="1" t="n">
        <f aca="false">IF(AF112&gt;0,AF235/AF112,0)</f>
        <v>0.167568816316122</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0.188727116952576</v>
      </c>
      <c r="F243" s="1" t="n">
        <f aca="false">F236</f>
        <v>0.479470272348824</v>
      </c>
      <c r="G243" s="1" t="n">
        <f aca="false">G236</f>
        <v>0.407144717479139</v>
      </c>
      <c r="H243" s="1" t="n">
        <f aca="false">H236</f>
        <v>0.63361207579728</v>
      </c>
      <c r="I243" s="1" t="n">
        <f aca="false">I236</f>
        <v>0.887162738318464</v>
      </c>
      <c r="J243" s="1" t="n">
        <f aca="false">J236</f>
        <v>1.16513989604151</v>
      </c>
      <c r="K243" s="1" t="n">
        <f aca="false">K236</f>
        <v>1.46289151295447</v>
      </c>
      <c r="L243" s="1" t="n">
        <f aca="false">L236</f>
        <v>1.77762625985769</v>
      </c>
      <c r="M243" s="1" t="n">
        <f aca="false">M236</f>
        <v>2.04889352239763</v>
      </c>
      <c r="N243" s="1" t="n">
        <f aca="false">N236</f>
        <v>2.10274181618939</v>
      </c>
      <c r="O243" s="1" t="n">
        <f aca="false">O236</f>
        <v>2.11891570807629</v>
      </c>
      <c r="P243" s="1" t="n">
        <f aca="false">P236</f>
        <v>2.05409634844879</v>
      </c>
      <c r="Q243" s="1" t="n">
        <f aca="false">Q236</f>
        <v>1.91879263817213</v>
      </c>
      <c r="R243" s="1" t="n">
        <f aca="false">R236</f>
        <v>1.79185941650754</v>
      </c>
      <c r="S243" s="1" t="n">
        <f aca="false">S236</f>
        <v>1.67116674030332</v>
      </c>
      <c r="T243" s="1" t="n">
        <f aca="false">T236</f>
        <v>1.55925762796961</v>
      </c>
      <c r="U243" s="1" t="n">
        <f aca="false">U236</f>
        <v>1.45550760457167</v>
      </c>
      <c r="V243" s="1" t="n">
        <f aca="false">V236</f>
        <v>1.35923838925741</v>
      </c>
      <c r="W243" s="1" t="n">
        <f aca="false">W236</f>
        <v>1.26984081590754</v>
      </c>
      <c r="X243" s="1" t="n">
        <f aca="false">X236</f>
        <v>1.18716968204431</v>
      </c>
      <c r="Y243" s="1" t="n">
        <f aca="false">Y236</f>
        <v>1.11062150378326</v>
      </c>
      <c r="Z243" s="1" t="n">
        <f aca="false">Z236</f>
        <v>1.03965728944642</v>
      </c>
      <c r="AA243" s="1" t="n">
        <f aca="false">AA236</f>
        <v>0.973794312347724</v>
      </c>
      <c r="AB243" s="1" t="n">
        <f aca="false">AB236</f>
        <v>0.91259968879022</v>
      </c>
      <c r="AC243" s="1" t="n">
        <f aca="false">AC236</f>
        <v>0.855678436276095</v>
      </c>
      <c r="AD243" s="1" t="n">
        <f aca="false">AD236</f>
        <v>0.802675974079044</v>
      </c>
      <c r="AE243" s="1" t="n">
        <f aca="false">AE236</f>
        <v>0.75327319985551</v>
      </c>
      <c r="AF243" s="1" t="n">
        <f aca="false">AF236</f>
        <v>0.707182274497727</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0.283849755680774</v>
      </c>
      <c r="F247" s="1" t="n">
        <f aca="false">MAX(0,E248+F243-F244-F245-F246)</f>
        <v>0.763320028029599</v>
      </c>
      <c r="G247" s="1" t="n">
        <f aca="false">MAX(0,F248+G243-G244-G245-G246)</f>
        <v>1.17046474550874</v>
      </c>
      <c r="H247" s="1" t="n">
        <f aca="false">MAX(0,G248+H243-H244-H245-H246)</f>
        <v>1.80407682130602</v>
      </c>
      <c r="I247" s="1" t="n">
        <f aca="false">MAX(0,H248+I243-I244-I245-I246)</f>
        <v>2.69123955962448</v>
      </c>
      <c r="J247" s="1" t="n">
        <f aca="false">MAX(0,I248+J243-J244-J245-J246)</f>
        <v>3.85637945566599</v>
      </c>
      <c r="K247" s="1" t="n">
        <f aca="false">MAX(0,J248+K243-K244-K245-K246)</f>
        <v>5.31927096862046</v>
      </c>
      <c r="L247" s="1" t="n">
        <f aca="false">MAX(0,K248+L243-L244-L245-L246)</f>
        <v>7.09689722847815</v>
      </c>
      <c r="M247" s="1" t="n">
        <f aca="false">MAX(0,L248+M243-M244-M245-M246)</f>
        <v>9.14579075087578</v>
      </c>
      <c r="N247" s="1" t="n">
        <f aca="false">MAX(0,M248+N243-N244-N245-N246)</f>
        <v>11.2485325670652</v>
      </c>
      <c r="O247" s="1" t="n">
        <f aca="false">MAX(0,N248+O243-O244-O245-O246)</f>
        <v>13.3674482751415</v>
      </c>
      <c r="P247" s="1" t="n">
        <f aca="false">MAX(0,O248+P243-P244-P245-P246)</f>
        <v>15.4215446235902</v>
      </c>
      <c r="Q247" s="1" t="n">
        <f aca="false">MAX(0,P248+Q243-Q244-Q245-Q246)</f>
        <v>17.3403372617624</v>
      </c>
      <c r="R247" s="1" t="n">
        <f aca="false">MAX(0,Q248+R243-R244-R245-R246)</f>
        <v>19.1321966782699</v>
      </c>
      <c r="S247" s="1" t="n">
        <f aca="false">MAX(0,R248+S243-S244-S245-S246)</f>
        <v>20.8033634185732</v>
      </c>
      <c r="T247" s="1" t="n">
        <f aca="false">MAX(0,S248+T243-T244-T245-T246)</f>
        <v>22.3626210465428</v>
      </c>
      <c r="U247" s="1" t="n">
        <f aca="false">MAX(0,T248+U243-U244-U245-U246)</f>
        <v>23.8181286511145</v>
      </c>
      <c r="V247" s="1" t="n">
        <f aca="false">MAX(0,U248+V243-V244-V245-V246)</f>
        <v>25.1773670403719</v>
      </c>
      <c r="W247" s="1" t="n">
        <f aca="false">MAX(0,V248+W243-W244-W245-W246)</f>
        <v>26.4472078562795</v>
      </c>
      <c r="X247" s="1" t="n">
        <f aca="false">MAX(0,W248+X243-X244-X245-X246)</f>
        <v>27.6343775383238</v>
      </c>
      <c r="Y247" s="1" t="n">
        <f aca="false">MAX(0,X248+Y243-Y244-Y245-Y246)</f>
        <v>28.744999042107</v>
      </c>
      <c r="Z247" s="1" t="n">
        <f aca="false">MAX(0,Y248+Z243-Z244-Z245-Z246)</f>
        <v>29.7846563315535</v>
      </c>
      <c r="AA247" s="1" t="n">
        <f aca="false">MAX(0,Z248+AA243-AA244-AA245-AA246)</f>
        <v>30.7584506439012</v>
      </c>
      <c r="AB247" s="1" t="n">
        <f aca="false">MAX(0,AA248+AB243-AB244-AB245-AB246)</f>
        <v>31.6710503326914</v>
      </c>
      <c r="AC247" s="1" t="n">
        <f aca="false">MAX(0,AB248+AC243-AC244-AC245-AC246)</f>
        <v>32.5267287689675</v>
      </c>
      <c r="AD247" s="1" t="n">
        <f aca="false">MAX(0,AC248+AD243-AD244-AD245-AD246)</f>
        <v>33.3294047430465</v>
      </c>
      <c r="AE247" s="1" t="n">
        <f aca="false">MAX(0,AD248+AE243-AE244-AE245-AE246)</f>
        <v>34.0826779429021</v>
      </c>
      <c r="AF247" s="1" t="n">
        <f aca="false">MAX(0,AE248+AF243-AF244-AF245-AF246)</f>
        <v>34.7898602173998</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0.283849755680774</v>
      </c>
      <c r="F248" s="1" t="n">
        <f aca="false">MIN(F247,MAX(0,F276))</f>
        <v>0.763320028029599</v>
      </c>
      <c r="G248" s="1" t="n">
        <f aca="false">MIN(G247,MAX(0,G276))</f>
        <v>1.17046474550874</v>
      </c>
      <c r="H248" s="1" t="n">
        <f aca="false">MIN(H247,MAX(0,H276))</f>
        <v>1.80407682130602</v>
      </c>
      <c r="I248" s="1" t="n">
        <f aca="false">MIN(I247,MAX(0,I276))</f>
        <v>2.69123955962448</v>
      </c>
      <c r="J248" s="1" t="n">
        <f aca="false">MIN(J247,MAX(0,J276))</f>
        <v>3.85637945566599</v>
      </c>
      <c r="K248" s="1" t="n">
        <f aca="false">MIN(K247,MAX(0,K276))</f>
        <v>5.31927096862046</v>
      </c>
      <c r="L248" s="1" t="n">
        <f aca="false">MIN(L247,MAX(0,L276))</f>
        <v>7.09689722847815</v>
      </c>
      <c r="M248" s="1" t="n">
        <f aca="false">MIN(M247,MAX(0,M276))</f>
        <v>9.14579075087578</v>
      </c>
      <c r="N248" s="1" t="n">
        <f aca="false">MIN(N247,MAX(0,N276))</f>
        <v>11.2485325670652</v>
      </c>
      <c r="O248" s="1" t="n">
        <f aca="false">MIN(O247,MAX(0,O276))</f>
        <v>13.3674482751415</v>
      </c>
      <c r="P248" s="1" t="n">
        <f aca="false">MIN(P247,MAX(0,P276))</f>
        <v>15.4215446235902</v>
      </c>
      <c r="Q248" s="1" t="n">
        <f aca="false">MIN(Q247,MAX(0,Q276))</f>
        <v>17.3403372617624</v>
      </c>
      <c r="R248" s="1" t="n">
        <f aca="false">MIN(R247,MAX(0,R276))</f>
        <v>19.1321966782699</v>
      </c>
      <c r="S248" s="1" t="n">
        <f aca="false">MIN(S247,MAX(0,S276))</f>
        <v>20.8033634185732</v>
      </c>
      <c r="T248" s="1" t="n">
        <f aca="false">MIN(T247,MAX(0,T276))</f>
        <v>22.3626210465428</v>
      </c>
      <c r="U248" s="1" t="n">
        <f aca="false">MIN(U247,MAX(0,U276))</f>
        <v>23.8181286511145</v>
      </c>
      <c r="V248" s="1" t="n">
        <f aca="false">MIN(V247,MAX(0,V276))</f>
        <v>25.1773670403719</v>
      </c>
      <c r="W248" s="1" t="n">
        <f aca="false">MIN(W247,MAX(0,W276))</f>
        <v>26.4472078562795</v>
      </c>
      <c r="X248" s="1" t="n">
        <f aca="false">MIN(X247,MAX(0,X276))</f>
        <v>27.6343775383238</v>
      </c>
      <c r="Y248" s="1" t="n">
        <f aca="false">MIN(Y247,MAX(0,Y276))</f>
        <v>28.744999042107</v>
      </c>
      <c r="Z248" s="1" t="n">
        <f aca="false">MIN(Z247,MAX(0,Z276))</f>
        <v>29.7846563315535</v>
      </c>
      <c r="AA248" s="1" t="n">
        <f aca="false">MIN(AA247,MAX(0,AA276))</f>
        <v>30.7584506439012</v>
      </c>
      <c r="AB248" s="1" t="n">
        <f aca="false">MIN(AB247,MAX(0,AB276))</f>
        <v>31.6710503326914</v>
      </c>
      <c r="AC248" s="1" t="n">
        <f aca="false">MIN(AC247,MAX(0,AC276))</f>
        <v>32.5267287689675</v>
      </c>
      <c r="AD248" s="1" t="n">
        <f aca="false">MIN(AD247,MAX(0,AD276))</f>
        <v>33.3294047430465</v>
      </c>
      <c r="AE248" s="1" t="n">
        <f aca="false">MIN(AE247,MAX(0,AE276))</f>
        <v>34.0826779429021</v>
      </c>
      <c r="AF248" s="1" t="n">
        <f aca="false">MIN(AF247,MAX(0,AF276))</f>
        <v>34.7898602173998</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35.0087369140404</v>
      </c>
      <c r="E250" s="1" t="n">
        <f aca="false">E120-E248</f>
        <v>52.7881563849995</v>
      </c>
      <c r="F250" s="1" t="n">
        <f aca="false">F120-F248</f>
        <v>61.0982111149309</v>
      </c>
      <c r="G250" s="1" t="n">
        <f aca="false">G120-G248</f>
        <v>71.6743211018636</v>
      </c>
      <c r="H250" s="1" t="n">
        <f aca="false">H120-H248</f>
        <v>83.684970392487</v>
      </c>
      <c r="I250" s="1" t="n">
        <f aca="false">I120-I248</f>
        <v>97.1946805088609</v>
      </c>
      <c r="J250" s="1" t="n">
        <f aca="false">J120-J248</f>
        <v>111.755676184188</v>
      </c>
      <c r="K250" s="1" t="n">
        <f aca="false">K120-K248</f>
        <v>127.307048741684</v>
      </c>
      <c r="L250" s="1" t="n">
        <f aca="false">L120-L248</f>
        <v>142.579644493882</v>
      </c>
      <c r="M250" s="1" t="n">
        <f aca="false">M120-M248</f>
        <v>140.199143198682</v>
      </c>
      <c r="N250" s="1" t="n">
        <f aca="false">N120-N248</f>
        <v>139.747114541398</v>
      </c>
      <c r="O250" s="1" t="n">
        <f aca="false">O120-O248</f>
        <v>139.615511991316</v>
      </c>
      <c r="P250" s="1" t="n">
        <f aca="false">P120-P248</f>
        <v>138.878870715526</v>
      </c>
      <c r="Q250" s="1" t="n">
        <f aca="false">Q120-Q248</f>
        <v>138.124549332473</v>
      </c>
      <c r="R250" s="1" t="n">
        <f aca="false">R120-R248</f>
        <v>136.763215892403</v>
      </c>
      <c r="S250" s="1" t="n">
        <f aca="false">S120-S248</f>
        <v>135.539226491727</v>
      </c>
      <c r="T250" s="1" t="n">
        <f aca="false">T120-T248</f>
        <v>134.444608065812</v>
      </c>
      <c r="U250" s="1" t="n">
        <f aca="false">U120-U248</f>
        <v>133.471429520054</v>
      </c>
      <c r="V250" s="1" t="n">
        <f aca="false">V120-V248</f>
        <v>132.612394971655</v>
      </c>
      <c r="W250" s="1" t="n">
        <f aca="false">W120-W248</f>
        <v>131.863034876781</v>
      </c>
      <c r="X250" s="1" t="n">
        <f aca="false">X120-X248</f>
        <v>131.217324832676</v>
      </c>
      <c r="Y250" s="1" t="n">
        <f aca="false">Y120-Y248</f>
        <v>130.669610808302</v>
      </c>
      <c r="Z250" s="1" t="n">
        <f aca="false">Z120-Z248</f>
        <v>130.214465299347</v>
      </c>
      <c r="AA250" s="1" t="n">
        <f aca="false">AA120-AA248</f>
        <v>129.846954412672</v>
      </c>
      <c r="AB250" s="1" t="n">
        <f aca="false">AB120-AB248</f>
        <v>129.562538544041</v>
      </c>
      <c r="AC250" s="1" t="n">
        <f aca="false">AC120-AC248</f>
        <v>129.357072296292</v>
      </c>
      <c r="AD250" s="1" t="n">
        <f aca="false">AD120-AD248</f>
        <v>129.226769351097</v>
      </c>
      <c r="AE250" s="1" t="n">
        <f aca="false">AE120-AE248</f>
        <v>129.168173929494</v>
      </c>
      <c r="AF250" s="1" t="n">
        <f aca="false">AF120-AF248</f>
        <v>129.178129331003</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0.00270974872678057</v>
      </c>
      <c r="E252" s="1" t="n">
        <f aca="false">IF(E120&gt;0,E248/E120,0)</f>
        <v>0.00534838941132848</v>
      </c>
      <c r="F252" s="1" t="n">
        <f aca="false">IF(F120&gt;0,F248/F120,0)</f>
        <v>0.0123391712737531</v>
      </c>
      <c r="G252" s="1" t="n">
        <f aca="false">IF(G120&gt;0,G248/G120,0)</f>
        <v>0.0160679276065297</v>
      </c>
      <c r="H252" s="1" t="n">
        <f aca="false">IF(H120&gt;0,H248/H120,0)</f>
        <v>0.0211030170542706</v>
      </c>
      <c r="I252" s="1" t="n">
        <f aca="false">IF(I120&gt;0,I248/I120,0)</f>
        <v>0.0269431323031241</v>
      </c>
      <c r="J252" s="1" t="n">
        <f aca="false">IF(J120&gt;0,J248/J120,0)</f>
        <v>0.033356205235889</v>
      </c>
      <c r="K252" s="1" t="n">
        <f aca="false">IF(K120&gt;0,K248/K120,0)</f>
        <v>0.0401072048160525</v>
      </c>
      <c r="L252" s="1" t="n">
        <f aca="false">IF(L120&gt;0,L248/L120,0)</f>
        <v>0.0474148931209434</v>
      </c>
      <c r="M252" s="1" t="n">
        <f aca="false">IF(M120&gt;0,M248/M120,0)</f>
        <v>0.0612393772524272</v>
      </c>
      <c r="N252" s="1" t="n">
        <f aca="false">IF(N120&gt;0,N248/N120,0)</f>
        <v>0.0744957406552596</v>
      </c>
      <c r="O252" s="1" t="n">
        <f aca="false">IF(O120&gt;0,O248/O120,0)</f>
        <v>0.0873786744083053</v>
      </c>
      <c r="P252" s="1" t="n">
        <f aca="false">IF(P120&gt;0,P248/P120,0)</f>
        <v>0.0999449326801702</v>
      </c>
      <c r="Q252" s="1" t="n">
        <f aca="false">IF(Q120&gt;0,Q248/Q120,0)</f>
        <v>0.111538609403298</v>
      </c>
      <c r="R252" s="1" t="n">
        <f aca="false">IF(R120&gt;0,R248/R120,0)</f>
        <v>0.122724564904029</v>
      </c>
      <c r="S252" s="1" t="n">
        <f aca="false">IF(S120&gt;0,S248/S120,0)</f>
        <v>0.133062676206841</v>
      </c>
      <c r="T252" s="1" t="n">
        <f aca="false">IF(T120&gt;0,T248/T120,0)</f>
        <v>0.142612181677668</v>
      </c>
      <c r="U252" s="1" t="n">
        <f aca="false">IF(U120&gt;0,U248/U120,0)</f>
        <v>0.15142854317891</v>
      </c>
      <c r="V252" s="1" t="n">
        <f aca="false">IF(V120&gt;0,V248/V120,0)</f>
        <v>0.159562741709775</v>
      </c>
      <c r="W252" s="1" t="n">
        <f aca="false">IF(W120&gt;0,W248/W120,0)</f>
        <v>0.167059360150652</v>
      </c>
      <c r="X252" s="1" t="n">
        <f aca="false">IF(X120&gt;0,X248/X120,0)</f>
        <v>0.173963370400548</v>
      </c>
      <c r="Y252" s="1" t="n">
        <f aca="false">IF(Y120&gt;0,Y248/Y120,0)</f>
        <v>0.18031596394509</v>
      </c>
      <c r="Z252" s="1" t="n">
        <f aca="false">IF(Z120&gt;0,Z248/Z120,0)</f>
        <v>0.186155124027889</v>
      </c>
      <c r="AA252" s="1" t="n">
        <f aca="false">IF(AA120&gt;0,AA248/AA120,0)</f>
        <v>0.191515663081616</v>
      </c>
      <c r="AB252" s="1" t="n">
        <f aca="false">IF(AB120&gt;0,AB248/AB120,0)</f>
        <v>0.196429605973137</v>
      </c>
      <c r="AC252" s="1" t="n">
        <f aca="false">IF(AC120&gt;0,AC248/AC120,0)</f>
        <v>0.200926396309752</v>
      </c>
      <c r="AD252" s="1" t="n">
        <f aca="false">IF(AD120&gt;0,AD248/AD120,0)</f>
        <v>0.205033151947486</v>
      </c>
      <c r="AE252" s="1" t="n">
        <f aca="false">IF(AE120&gt;0,AE248/AE120,0)</f>
        <v>0.208774885717243</v>
      </c>
      <c r="AF252" s="1" t="n">
        <f aca="false">IF(AF120&gt;0,AF248/AF120,0)</f>
        <v>0.212174707473192</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0.349799156025208</v>
      </c>
      <c r="M254" s="116" t="n">
        <f aca="false">M112</f>
        <v>0.362419591755768</v>
      </c>
      <c r="N254" s="116" t="n">
        <f aca="false">N112</f>
        <v>0.375198431879403</v>
      </c>
      <c r="O254" s="116" t="n">
        <f aca="false">O112</f>
        <v>0.387230929756743</v>
      </c>
      <c r="P254" s="116" t="n">
        <f aca="false">P112</f>
        <v>0.396741314701046</v>
      </c>
      <c r="Q254" s="116" t="n">
        <f aca="false">Q112</f>
        <v>0.406328702290529</v>
      </c>
      <c r="R254" s="116" t="n">
        <f aca="false">R112</f>
        <v>0.415889586770488</v>
      </c>
      <c r="S254" s="116" t="n">
        <f aca="false">S112</f>
        <v>0.425432952338897</v>
      </c>
      <c r="T254" s="116" t="n">
        <f aca="false">T112</f>
        <v>0.43494712846129</v>
      </c>
      <c r="U254" s="116" t="n">
        <f aca="false">U112</f>
        <v>0.444445969656203</v>
      </c>
      <c r="V254" s="116" t="n">
        <f aca="false">V112</f>
        <v>0.453943226621573</v>
      </c>
      <c r="W254" s="116" t="n">
        <f aca="false">W112</f>
        <v>0.463313704315697</v>
      </c>
      <c r="X254" s="116" t="n">
        <f aca="false">X112</f>
        <v>0.472571767862181</v>
      </c>
      <c r="Y254" s="116" t="n">
        <f aca="false">Y112</f>
        <v>0.481731853842048</v>
      </c>
      <c r="Z254" s="116" t="n">
        <f aca="false">Z112</f>
        <v>0.490808440448722</v>
      </c>
      <c r="AA254" s="116" t="n">
        <f aca="false">AA112</f>
        <v>0.499816069828813</v>
      </c>
      <c r="AB254" s="116" t="n">
        <f aca="false">AB112</f>
        <v>0.508772401333639</v>
      </c>
      <c r="AC254" s="116" t="n">
        <f aca="false">AC112</f>
        <v>0.517695148440455</v>
      </c>
      <c r="AD254" s="116" t="n">
        <f aca="false">AD112</f>
        <v>0.526602102724617</v>
      </c>
      <c r="AE254" s="116" t="n">
        <f aca="false">AE112</f>
        <v>0.535511158236787</v>
      </c>
      <c r="AF254" s="116" t="n">
        <f aca="false">AF112</f>
        <v>0.544440335178943</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0.0910043105609089</v>
      </c>
      <c r="M256" s="1" t="n">
        <f aca="false">MIN(M254-M255,MAX(0,M107-M108+M109+M110+M184-M229-M235))</f>
        <v>0.0892955425509657</v>
      </c>
      <c r="N256" s="1" t="n">
        <f aca="false">MIN(N254-N255,MAX(0,N107-N108+N109+N110+N184-N229-N235))</f>
        <v>0.0943069993558816</v>
      </c>
      <c r="O256" s="1" t="n">
        <f aca="false">MIN(O254-O255,MAX(0,O107-O108+O109+O110+O184-O229-O235))</f>
        <v>0.103867430241831</v>
      </c>
      <c r="P256" s="1" t="n">
        <f aca="false">MIN(P254-P255,MAX(0,P107-P108+P109+P110+P184-P229-P235))</f>
        <v>0.131652781601843</v>
      </c>
      <c r="Q256" s="1" t="n">
        <f aca="false">MIN(Q254-Q255,MAX(0,Q107-Q108+Q109+Q110+Q184-Q229-Q235))</f>
        <v>0.158336527924439</v>
      </c>
      <c r="R256" s="1" t="n">
        <f aca="false">MIN(R254-R255,MAX(0,R107-R108+R109+R110+R184-R229-R235))</f>
        <v>0.183891175417832</v>
      </c>
      <c r="S256" s="1" t="n">
        <f aca="false">MIN(S254-S255,MAX(0,S107-S108+S109+S110+S184-S229-S235))</f>
        <v>0.208396818002249</v>
      </c>
      <c r="T256" s="1" t="n">
        <f aca="false">MIN(T254-T255,MAX(0,T107-T108+T109+T110+T184-T229-T235))</f>
        <v>0.231908308785095</v>
      </c>
      <c r="U256" s="1" t="n">
        <f aca="false">MIN(U254-U255,MAX(0,U107-U108+U109+U110+U184-U229-U235))</f>
        <v>0.254501735616548</v>
      </c>
      <c r="V256" s="1" t="n">
        <f aca="false">MIN(V254-V255,MAX(0,V107-V108+V109+V110+V184-V229-V235))</f>
        <v>0.276249068910995</v>
      </c>
      <c r="W256" s="1" t="n">
        <f aca="false">MIN(W254-W255,MAX(0,W107-W108+W109+W110+W184-W229-W235))</f>
        <v>0.297079578578142</v>
      </c>
      <c r="X256" s="1" t="n">
        <f aca="false">MIN(X254-X255,MAX(0,X107-X108+X109+X110+X184-X229-X235))</f>
        <v>0.317058582084074</v>
      </c>
      <c r="Y256" s="1" t="n">
        <f aca="false">MIN(Y254-Y255,MAX(0,Y107-Y108+Y109+Y110+Y184-Y229-Y235))</f>
        <v>0.336248182282109</v>
      </c>
      <c r="Z256" s="1" t="n">
        <f aca="false">MIN(Z254-Z255,MAX(0,Z107-Z108+Z109+Z110+Z184-Z229-Z235))</f>
        <v>0.354707449496354</v>
      </c>
      <c r="AA256" s="1" t="n">
        <f aca="false">MIN(AA254-AA255,MAX(0,AA107-AA108+AA109+AA110+AA184-AA229-AA235))</f>
        <v>0.372492642123147</v>
      </c>
      <c r="AB256" s="1" t="n">
        <f aca="false">MIN(AB254-AB255,MAX(0,AB107-AB108+AB109+AB110+AB184-AB229-AB235))</f>
        <v>0.38966044535682</v>
      </c>
      <c r="AC256" s="1" t="n">
        <f aca="false">MIN(AC254-AC255,MAX(0,AC107-AC108+AC109+AC110+AC184-AC229-AC235))</f>
        <v>0.406265081623363</v>
      </c>
      <c r="AD256" s="1" t="n">
        <f aca="false">MIN(AD254-AD255,MAX(0,AD107-AD108+AD109+AD110+AD184-AD229-AD235))</f>
        <v>0.422358496874687</v>
      </c>
      <c r="AE256" s="1" t="n">
        <f aca="false">MIN(AE254-AE255,MAX(0,AE107-AE108+AE109+AE110+AE184-AE229-AE235))</f>
        <v>0.437990536819295</v>
      </c>
      <c r="AF256" s="1" t="n">
        <f aca="false">MIN(AF254-AF255,MAX(0,AF107-AF108+AF109+AF110+AF184-AF229-AF235))</f>
        <v>0.453209112658255</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187.652339662692</v>
      </c>
      <c r="M261" s="1" t="n">
        <f aca="false">(M83-M326)+M181</f>
        <v>201.492878723063</v>
      </c>
      <c r="N261" s="1" t="n">
        <f aca="false">(N83-N326)+N181</f>
        <v>206.829277243367</v>
      </c>
      <c r="O261" s="1" t="n">
        <f aca="false">(O83-O326)+O181</f>
        <v>212.558232271394</v>
      </c>
      <c r="P261" s="1" t="n">
        <f aca="false">(P83-P326)+P181</f>
        <v>217.630537405409</v>
      </c>
      <c r="Q261" s="1" t="n">
        <f aca="false">(Q83-Q326)+Q181</f>
        <v>222.629726854445</v>
      </c>
      <c r="R261" s="1" t="n">
        <f aca="false">(R83-R326)+R181</f>
        <v>227.748809972758</v>
      </c>
      <c r="S261" s="1" t="n">
        <f aca="false">(S83-S326)+S181</f>
        <v>232.98489610812</v>
      </c>
      <c r="T261" s="1" t="n">
        <f aca="false">(T83-T326)+T181</f>
        <v>238.340783415846</v>
      </c>
      <c r="U261" s="1" t="n">
        <f aca="false">(U83-U326)+U181</f>
        <v>243.819377130763</v>
      </c>
      <c r="V261" s="1" t="n">
        <f aca="false">(V83-V326)+V181</f>
        <v>249.423589440563</v>
      </c>
      <c r="W261" s="1" t="n">
        <f aca="false">(W83-W326)+W181</f>
        <v>255.155129865088</v>
      </c>
      <c r="X261" s="1" t="n">
        <f aca="false">(X83-X326)+X181</f>
        <v>261.017551881743</v>
      </c>
      <c r="Y261" s="1" t="n">
        <f aca="false">(Y83-Y326)+Y181</f>
        <v>267.014233896293</v>
      </c>
      <c r="Z261" s="1" t="n">
        <f aca="false">(Z83-Z326)+Z181</f>
        <v>273.148300411069</v>
      </c>
      <c r="AA261" s="1" t="n">
        <f aca="false">(AA83-AA326)+AA181</f>
        <v>279.422947228523</v>
      </c>
      <c r="AB261" s="1" t="n">
        <f aca="false">(AB83-AB326)+AB181</f>
        <v>285.841469627932</v>
      </c>
      <c r="AC261" s="1" t="n">
        <f aca="false">(AC83-AC326)+AC181</f>
        <v>292.407224962281</v>
      </c>
      <c r="AD261" s="1" t="n">
        <f aca="false">(AD83-AD326)+AD181</f>
        <v>299.123639915998</v>
      </c>
      <c r="AE261" s="1" t="n">
        <f aca="false">(AE83-AE326)+AE181</f>
        <v>305.994219469322</v>
      </c>
      <c r="AF261" s="1" t="n">
        <f aca="false">(AF83-AF326)+AF181</f>
        <v>313.022548740387</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9.38261698313461</v>
      </c>
      <c r="M262" s="1" t="n">
        <f aca="false">$C$260*M261</f>
        <v>10.0746439361531</v>
      </c>
      <c r="N262" s="1" t="n">
        <f aca="false">$C$260*N261</f>
        <v>10.3414638621683</v>
      </c>
      <c r="O262" s="1" t="n">
        <f aca="false">$C$260*O261</f>
        <v>10.6279116135697</v>
      </c>
      <c r="P262" s="1" t="n">
        <f aca="false">$C$260*P261</f>
        <v>10.8815268702704</v>
      </c>
      <c r="Q262" s="1" t="n">
        <f aca="false">$C$260*Q261</f>
        <v>11.1314863427223</v>
      </c>
      <c r="R262" s="1" t="n">
        <f aca="false">$C$260*R261</f>
        <v>11.3874404986379</v>
      </c>
      <c r="S262" s="1" t="n">
        <f aca="false">$C$260*S261</f>
        <v>11.649244805406</v>
      </c>
      <c r="T262" s="1" t="n">
        <f aca="false">$C$260*T261</f>
        <v>11.9170391707923</v>
      </c>
      <c r="U262" s="1" t="n">
        <f aca="false">$C$260*U261</f>
        <v>12.1909688565382</v>
      </c>
      <c r="V262" s="1" t="n">
        <f aca="false">$C$260*V261</f>
        <v>12.4711794720282</v>
      </c>
      <c r="W262" s="1" t="n">
        <f aca="false">$C$260*W261</f>
        <v>12.7577564932544</v>
      </c>
      <c r="X262" s="1" t="n">
        <f aca="false">$C$260*X261</f>
        <v>13.0508775940871</v>
      </c>
      <c r="Y262" s="1" t="n">
        <f aca="false">$C$260*Y261</f>
        <v>13.3507116948147</v>
      </c>
      <c r="Z262" s="1" t="n">
        <f aca="false">$C$260*Z261</f>
        <v>13.6574150205535</v>
      </c>
      <c r="AA262" s="1" t="n">
        <f aca="false">$C$260*AA261</f>
        <v>13.9711473614262</v>
      </c>
      <c r="AB262" s="1" t="n">
        <f aca="false">$C$260*AB261</f>
        <v>14.2920734813966</v>
      </c>
      <c r="AC262" s="1" t="n">
        <f aca="false">$C$260*AC261</f>
        <v>14.6203612481141</v>
      </c>
      <c r="AD262" s="1" t="n">
        <f aca="false">$C$260*AD261</f>
        <v>14.9561819957999</v>
      </c>
      <c r="AE262" s="1" t="n">
        <f aca="false">$C$260*AE261</f>
        <v>15.2997109734661</v>
      </c>
      <c r="AF262" s="1" t="n">
        <f aca="false">$C$260*AF261</f>
        <v>15.6511274370194</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43.9305875036706</v>
      </c>
      <c r="M263" s="1" t="n">
        <f aca="false">MAX(0,(M70+L121-L227)*0.25/0.55)</f>
        <v>46.0828230724965</v>
      </c>
      <c r="N263" s="1" t="n">
        <f aca="false">MAX(0,(N70+M121-M227)*0.25/0.55)</f>
        <v>48.7870226750456</v>
      </c>
      <c r="O263" s="1" t="n">
        <f aca="false">MAX(0,(O70+N121-N227)*0.25/0.55)</f>
        <v>51.5516958825247</v>
      </c>
      <c r="P263" s="1" t="n">
        <f aca="false">MAX(0,(P70+O121-O227)*0.25/0.55)</f>
        <v>54.3787318533012</v>
      </c>
      <c r="Q263" s="1" t="n">
        <f aca="false">MAX(0,(Q70+P121-P227)*0.25/0.55)</f>
        <v>57.1835316503027</v>
      </c>
      <c r="R263" s="1" t="n">
        <f aca="false">MAX(0,(R70+Q121-Q227)*0.25/0.55)</f>
        <v>59.9616396625403</v>
      </c>
      <c r="S263" s="1" t="n">
        <f aca="false">MAX(0,(S70+R121-R227)*0.25/0.55)</f>
        <v>62.7184345835736</v>
      </c>
      <c r="T263" s="1" t="n">
        <f aca="false">MAX(0,(T70+S121-S227)*0.25/0.55)</f>
        <v>65.4498681716359</v>
      </c>
      <c r="U263" s="1" t="n">
        <f aca="false">MAX(0,(U70+T121-T227)*0.25/0.55)</f>
        <v>68.1634558840445</v>
      </c>
      <c r="V263" s="1" t="n">
        <f aca="false">MAX(0,(V70+U121-U227)*0.25/0.55)</f>
        <v>70.8666271816088</v>
      </c>
      <c r="W263" s="1" t="n">
        <f aca="false">MAX(0,(W70+V121-V227)*0.25/0.55)</f>
        <v>73.5667321294268</v>
      </c>
      <c r="X263" s="1" t="n">
        <f aca="false">MAX(0,(X70+W121-W227)*0.25/0.55)</f>
        <v>76.2711332614386</v>
      </c>
      <c r="Y263" s="1" t="n">
        <f aca="false">MAX(0,(Y70+X121-X227)*0.25/0.55)</f>
        <v>78.9871807199408</v>
      </c>
      <c r="Z263" s="1" t="n">
        <f aca="false">MAX(0,(Z70+Y121-Y227)*0.25/0.55)</f>
        <v>81.7221982464981</v>
      </c>
      <c r="AA263" s="1" t="n">
        <f aca="false">MAX(0,(AA70+Z121-Z227)*0.25/0.55)</f>
        <v>84.4834928643349</v>
      </c>
      <c r="AB263" s="1" t="n">
        <f aca="false">MAX(0,(AB70+AA121-AA227)*0.25/0.55)</f>
        <v>87.278362568081</v>
      </c>
      <c r="AC263" s="1" t="n">
        <f aca="false">MAX(0,(AC70+AB121-AB227)*0.25/0.55)</f>
        <v>90.1141068218513</v>
      </c>
      <c r="AD263" s="1" t="n">
        <f aca="false">MAX(0,(AD70+AC121-AC227)*0.25/0.55)</f>
        <v>92.9980374319239</v>
      </c>
      <c r="AE263" s="1" t="n">
        <f aca="false">MAX(0,(AE70+AD121-AD227)*0.25/0.55)</f>
        <v>95.9374895872769</v>
      </c>
      <c r="AF263" s="1" t="n">
        <f aca="false">MAX(0,(AF70+AE121-AE227)*0.25/0.55)</f>
        <v>98.9398325658686</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0.213578226841393</v>
      </c>
      <c r="M266" s="1" t="n">
        <f aca="false">IF(M263&gt;0,M262/M263,0)</f>
        <v>0.218620372287174</v>
      </c>
      <c r="N266" s="1" t="n">
        <f aca="false">IF(N263&gt;0,N262/N263,0)</f>
        <v>0.211971612431639</v>
      </c>
      <c r="O266" s="1" t="n">
        <f aca="false">IF(O263&gt;0,O262/O263,0)</f>
        <v>0.206160271386386</v>
      </c>
      <c r="P266" s="1" t="n">
        <f aca="false">IF(P263&gt;0,P262/P263,0)</f>
        <v>0.200106300743198</v>
      </c>
      <c r="Q266" s="1" t="n">
        <f aca="false">IF(Q263&gt;0,Q262/Q263,0)</f>
        <v>0.19466244951073</v>
      </c>
      <c r="R266" s="1" t="n">
        <f aca="false">IF(R263&gt;0,R262/R263,0)</f>
        <v>0.189912093176997</v>
      </c>
      <c r="S266" s="1" t="n">
        <f aca="false">IF(S263&gt;0,S262/S263,0)</f>
        <v>0.185738768557483</v>
      </c>
      <c r="T266" s="1" t="n">
        <f aca="false">IF(T263&gt;0,T262/T263,0)</f>
        <v>0.182078887302584</v>
      </c>
      <c r="U266" s="1" t="n">
        <f aca="false">IF(U263&gt;0,U262/U263,0)</f>
        <v>0.178849043060209</v>
      </c>
      <c r="V266" s="1" t="n">
        <f aca="false">IF(V263&gt;0,V262/V263,0)</f>
        <v>0.175980993706226</v>
      </c>
      <c r="W266" s="1" t="n">
        <f aca="false">IF(W263&gt;0,W262/W263,0)</f>
        <v>0.173417469064815</v>
      </c>
      <c r="X266" s="1" t="n">
        <f aca="false">IF(X263&gt;0,X262/X263,0)</f>
        <v>0.171111625539272</v>
      </c>
      <c r="Y266" s="1" t="n">
        <f aca="false">IF(Y263&gt;0,Y262/Y263,0)</f>
        <v>0.169023777948872</v>
      </c>
      <c r="Z266" s="1" t="n">
        <f aca="false">IF(Z263&gt;0,Z262/Z263,0)</f>
        <v>0.167120015290811</v>
      </c>
      <c r="AA266" s="1" t="n">
        <f aca="false">IF(AA263&gt;0,AA262/AA263,0)</f>
        <v>0.165371327436252</v>
      </c>
      <c r="AB266" s="1" t="n">
        <f aca="false">IF(AB263&gt;0,AB262/AB263,0)</f>
        <v>0.163752768279173</v>
      </c>
      <c r="AC266" s="1" t="n">
        <f aca="false">IF(AC263&gt;0,AC262/AC263,0)</f>
        <v>0.162242758251129</v>
      </c>
      <c r="AD266" s="1" t="n">
        <f aca="false">IF(AD263&gt;0,AD262/AD263,0)</f>
        <v>0.160822555064649</v>
      </c>
      <c r="AE266" s="1" t="n">
        <f aca="false">IF(AE263&gt;0,AE262/AE263,0)</f>
        <v>0.159475832016092</v>
      </c>
      <c r="AF266" s="1" t="n">
        <f aca="false">IF(AF263&gt;0,AF262/AF263,0)</f>
        <v>0.1581883355887</v>
      </c>
    </row>
    <row r="267" customFormat="false" ht="14.25" hidden="false" customHeight="true" outlineLevel="0" collapsed="false">
      <c r="B267" s="1" t="s">
        <v>1262</v>
      </c>
      <c r="C267" s="1" t="n">
        <f aca="false">C120-C264</f>
        <v>17.9458778419531</v>
      </c>
      <c r="D267" s="1" t="n">
        <f aca="false">D120-D264</f>
        <v>33.1280169060563</v>
      </c>
      <c r="E267" s="1" t="n">
        <f aca="false">E120-E264</f>
        <v>50.0498831427186</v>
      </c>
      <c r="F267" s="1" t="n">
        <f aca="false">F120-F264</f>
        <v>61.8615311429605</v>
      </c>
      <c r="G267" s="1" t="n">
        <f aca="false">G120-G264</f>
        <v>72.8447858473724</v>
      </c>
      <c r="H267" s="1" t="n">
        <f aca="false">H120-H264</f>
        <v>85.489047213793</v>
      </c>
      <c r="I267" s="1" t="n">
        <f aca="false">I120-I264</f>
        <v>99.8859200684854</v>
      </c>
      <c r="J267" s="1" t="n">
        <f aca="false">J120-J264</f>
        <v>115.612055639854</v>
      </c>
      <c r="K267" s="1" t="n">
        <f aca="false">K120-K264</f>
        <v>132.626319710305</v>
      </c>
      <c r="L267" s="1" t="n">
        <f aca="false">L120-L264</f>
        <v>149.676541722361</v>
      </c>
      <c r="M267" s="1" t="n">
        <f aca="false">M120-M264</f>
        <v>149.344933949558</v>
      </c>
      <c r="N267" s="1" t="n">
        <f aca="false">N120-N264</f>
        <v>150.995647108463</v>
      </c>
      <c r="O267" s="1" t="n">
        <f aca="false">O120-O264</f>
        <v>152.982960266457</v>
      </c>
      <c r="P267" s="1" t="n">
        <f aca="false">P120-P264</f>
        <v>154.300415339116</v>
      </c>
      <c r="Q267" s="1" t="n">
        <f aca="false">Q120-Q264</f>
        <v>155.464886594235</v>
      </c>
      <c r="R267" s="1" t="n">
        <f aca="false">R120-R264</f>
        <v>155.895412570673</v>
      </c>
      <c r="S267" s="1" t="n">
        <f aca="false">S120-S264</f>
        <v>156.3425899103</v>
      </c>
      <c r="T267" s="1" t="n">
        <f aca="false">T120-T264</f>
        <v>156.807229112355</v>
      </c>
      <c r="U267" s="1" t="n">
        <f aca="false">U120-U264</f>
        <v>157.289558171168</v>
      </c>
      <c r="V267" s="1" t="n">
        <f aca="false">V120-V264</f>
        <v>157.789762012027</v>
      </c>
      <c r="W267" s="1" t="n">
        <f aca="false">W120-W264</f>
        <v>158.31024273306</v>
      </c>
      <c r="X267" s="1" t="n">
        <f aca="false">X120-X264</f>
        <v>158.851702371</v>
      </c>
      <c r="Y267" s="1" t="n">
        <f aca="false">Y120-Y264</f>
        <v>159.414609850409</v>
      </c>
      <c r="Z267" s="1" t="n">
        <f aca="false">Z120-Z264</f>
        <v>159.9991216309</v>
      </c>
      <c r="AA267" s="1" t="n">
        <f aca="false">AA120-AA264</f>
        <v>160.605405056573</v>
      </c>
      <c r="AB267" s="1" t="n">
        <f aca="false">AB120-AB264</f>
        <v>161.233588876733</v>
      </c>
      <c r="AC267" s="1" t="n">
        <f aca="false">AC120-AC264</f>
        <v>161.88380106526</v>
      </c>
      <c r="AD267" s="1" t="n">
        <f aca="false">AD120-AD264</f>
        <v>162.556174094143</v>
      </c>
      <c r="AE267" s="1" t="n">
        <f aca="false">AE120-AE264</f>
        <v>163.250851872396</v>
      </c>
      <c r="AF267" s="1" t="n">
        <f aca="false">AF120-AF264</f>
        <v>163.967989548403</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9.38261698313461</v>
      </c>
      <c r="M270" s="1" t="n">
        <f aca="false">01_Supuestos!$C$173*M261</f>
        <v>10.0746439361531</v>
      </c>
      <c r="N270" s="1" t="n">
        <f aca="false">01_Supuestos!$C$173*N261</f>
        <v>10.3414638621683</v>
      </c>
      <c r="O270" s="1" t="n">
        <f aca="false">01_Supuestos!$C$173*O261</f>
        <v>10.6279116135697</v>
      </c>
      <c r="P270" s="1" t="n">
        <f aca="false">01_Supuestos!$C$173*P261</f>
        <v>10.8815268702704</v>
      </c>
      <c r="Q270" s="1" t="n">
        <f aca="false">01_Supuestos!$C$173*Q261</f>
        <v>11.1314863427223</v>
      </c>
      <c r="R270" s="1" t="n">
        <f aca="false">01_Supuestos!$C$173*R261</f>
        <v>11.3874404986379</v>
      </c>
      <c r="S270" s="1" t="n">
        <f aca="false">01_Supuestos!$C$173*S261</f>
        <v>11.649244805406</v>
      </c>
      <c r="T270" s="1" t="n">
        <f aca="false">01_Supuestos!$C$173*T261</f>
        <v>11.9170391707923</v>
      </c>
      <c r="U270" s="1" t="n">
        <f aca="false">01_Supuestos!$C$173*U261</f>
        <v>12.1909688565382</v>
      </c>
      <c r="V270" s="1" t="n">
        <f aca="false">01_Supuestos!$C$173*V261</f>
        <v>12.4711794720282</v>
      </c>
      <c r="W270" s="1" t="n">
        <f aca="false">01_Supuestos!$C$173*W261</f>
        <v>12.7577564932544</v>
      </c>
      <c r="X270" s="1" t="n">
        <f aca="false">01_Supuestos!$C$173*X261</f>
        <v>13.0508775940871</v>
      </c>
      <c r="Y270" s="1" t="n">
        <f aca="false">01_Supuestos!$C$173*Y261</f>
        <v>13.3507116948147</v>
      </c>
      <c r="Z270" s="1" t="n">
        <f aca="false">01_Supuestos!$C$173*Z261</f>
        <v>13.6574150205535</v>
      </c>
      <c r="AA270" s="1" t="n">
        <f aca="false">01_Supuestos!$C$173*AA261</f>
        <v>13.9711473614262</v>
      </c>
      <c r="AB270" s="1" t="n">
        <f aca="false">01_Supuestos!$C$173*AB261</f>
        <v>14.2920734813966</v>
      </c>
      <c r="AC270" s="1" t="n">
        <f aca="false">01_Supuestos!$C$173*AC261</f>
        <v>14.6203612481141</v>
      </c>
      <c r="AD270" s="1" t="n">
        <f aca="false">01_Supuestos!$C$173*AD261</f>
        <v>14.9561819957999</v>
      </c>
      <c r="AE270" s="1" t="n">
        <f aca="false">01_Supuestos!$C$173*AE261</f>
        <v>15.2997109734661</v>
      </c>
      <c r="AF270" s="1" t="n">
        <f aca="false">01_Supuestos!$C$173*AF261</f>
        <v>15.6511274370194</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9.38261698313461</v>
      </c>
      <c r="M271" s="1" t="n">
        <f aca="false">MIN(M270,M263)</f>
        <v>10.0746439361531</v>
      </c>
      <c r="N271" s="1" t="n">
        <f aca="false">MIN(N270,N263)</f>
        <v>10.3414638621683</v>
      </c>
      <c r="O271" s="1" t="n">
        <f aca="false">MIN(O270,O263)</f>
        <v>10.6279116135697</v>
      </c>
      <c r="P271" s="1" t="n">
        <f aca="false">MIN(P270,P263)</f>
        <v>10.8815268702704</v>
      </c>
      <c r="Q271" s="1" t="n">
        <f aca="false">MIN(Q270,Q263)</f>
        <v>11.1314863427223</v>
      </c>
      <c r="R271" s="1" t="n">
        <f aca="false">MIN(R270,R263)</f>
        <v>11.3874404986379</v>
      </c>
      <c r="S271" s="1" t="n">
        <f aca="false">MIN(S270,S263)</f>
        <v>11.649244805406</v>
      </c>
      <c r="T271" s="1" t="n">
        <f aca="false">MIN(T270,T263)</f>
        <v>11.9170391707923</v>
      </c>
      <c r="U271" s="1" t="n">
        <f aca="false">MIN(U270,U263)</f>
        <v>12.1909688565382</v>
      </c>
      <c r="V271" s="1" t="n">
        <f aca="false">MIN(V270,V263)</f>
        <v>12.4711794720282</v>
      </c>
      <c r="W271" s="1" t="n">
        <f aca="false">MIN(W270,W263)</f>
        <v>12.7577564932544</v>
      </c>
      <c r="X271" s="1" t="n">
        <f aca="false">MIN(X270,X263)</f>
        <v>13.0508775940871</v>
      </c>
      <c r="Y271" s="1" t="n">
        <f aca="false">MIN(Y270,Y263)</f>
        <v>13.3507116948147</v>
      </c>
      <c r="Z271" s="1" t="n">
        <f aca="false">MIN(Z270,Z263)</f>
        <v>13.6574150205535</v>
      </c>
      <c r="AA271" s="1" t="n">
        <f aca="false">MIN(AA270,AA263)</f>
        <v>13.9711473614262</v>
      </c>
      <c r="AB271" s="1" t="n">
        <f aca="false">MIN(AB270,AB263)</f>
        <v>14.2920734813966</v>
      </c>
      <c r="AC271" s="1" t="n">
        <f aca="false">MIN(AC270,AC263)</f>
        <v>14.6203612481141</v>
      </c>
      <c r="AD271" s="1" t="n">
        <f aca="false">MIN(AD270,AD263)</f>
        <v>14.9561819957999</v>
      </c>
      <c r="AE271" s="1" t="n">
        <f aca="false">MIN(AE270,AE263)</f>
        <v>15.2997109734661</v>
      </c>
      <c r="AF271" s="1" t="n">
        <f aca="false">MIN(AF270,AF263)</f>
        <v>15.6511274370194</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0.0938261698313462</v>
      </c>
      <c r="M274" s="1" t="n">
        <f aca="false">IF(01_Supuestos!$C$174="Sí",01_Supuestos!$C$172*M271,01_Supuestos!$I$134*(M271+MIN(MIN(M270-M271,MAX(0,L120)),M264))+$C$10*MAX(0,MIN(M270-M271,MAX(0,L120))-M264))</f>
        <v>0.100746439361531</v>
      </c>
      <c r="N274" s="1" t="n">
        <f aca="false">IF(01_Supuestos!$C$174="Sí",01_Supuestos!$C$172*N271,01_Supuestos!$I$134*(N271+MIN(MIN(N270-N271,MAX(0,M120)),N264))+$C$10*MAX(0,MIN(N270-N271,MAX(0,M120))-N264))</f>
        <v>0.103414638621683</v>
      </c>
      <c r="O274" s="1" t="n">
        <f aca="false">IF(01_Supuestos!$C$174="Sí",01_Supuestos!$C$172*O271,01_Supuestos!$I$134*(O271+MIN(MIN(O270-O271,MAX(0,N120)),O264))+$C$10*MAX(0,MIN(O270-O271,MAX(0,N120))-O264))</f>
        <v>0.106279116135697</v>
      </c>
      <c r="P274" s="1" t="n">
        <f aca="false">IF(01_Supuestos!$C$174="Sí",01_Supuestos!$C$172*P271,01_Supuestos!$I$134*(P271+MIN(MIN(P270-P271,MAX(0,O120)),P264))+$C$10*MAX(0,MIN(P270-P271,MAX(0,O120))-P264))</f>
        <v>0.108815268702704</v>
      </c>
      <c r="Q274" s="1" t="n">
        <f aca="false">IF(01_Supuestos!$C$174="Sí",01_Supuestos!$C$172*Q271,01_Supuestos!$I$134*(Q271+MIN(MIN(Q270-Q271,MAX(0,P120)),Q264))+$C$10*MAX(0,MIN(Q270-Q271,MAX(0,P120))-Q264))</f>
        <v>0.111314863427223</v>
      </c>
      <c r="R274" s="1" t="n">
        <f aca="false">IF(01_Supuestos!$C$174="Sí",01_Supuestos!$C$172*R271,01_Supuestos!$I$134*(R271+MIN(MIN(R270-R271,MAX(0,Q120)),R264))+$C$10*MAX(0,MIN(R270-R271,MAX(0,Q120))-R264))</f>
        <v>0.113874404986379</v>
      </c>
      <c r="S274" s="1" t="n">
        <f aca="false">IF(01_Supuestos!$C$174="Sí",01_Supuestos!$C$172*S271,01_Supuestos!$I$134*(S271+MIN(MIN(S270-S271,MAX(0,R120)),S264))+$C$10*MAX(0,MIN(S270-S271,MAX(0,R120))-S264))</f>
        <v>0.11649244805406</v>
      </c>
      <c r="T274" s="1" t="n">
        <f aca="false">IF(01_Supuestos!$C$174="Sí",01_Supuestos!$C$172*T271,01_Supuestos!$I$134*(T271+MIN(MIN(T270-T271,MAX(0,S120)),T264))+$C$10*MAX(0,MIN(T270-T271,MAX(0,S120))-T264))</f>
        <v>0.119170391707923</v>
      </c>
      <c r="U274" s="1" t="n">
        <f aca="false">IF(01_Supuestos!$C$174="Sí",01_Supuestos!$C$172*U271,01_Supuestos!$I$134*(U271+MIN(MIN(U270-U271,MAX(0,T120)),U264))+$C$10*MAX(0,MIN(U270-U271,MAX(0,T120))-U264))</f>
        <v>0.121909688565382</v>
      </c>
      <c r="V274" s="1" t="n">
        <f aca="false">IF(01_Supuestos!$C$174="Sí",01_Supuestos!$C$172*V271,01_Supuestos!$I$134*(V271+MIN(MIN(V270-V271,MAX(0,U120)),V264))+$C$10*MAX(0,MIN(V270-V271,MAX(0,U120))-V264))</f>
        <v>0.124711794720282</v>
      </c>
      <c r="W274" s="1" t="n">
        <f aca="false">IF(01_Supuestos!$C$174="Sí",01_Supuestos!$C$172*W271,01_Supuestos!$I$134*(W271+MIN(MIN(W270-W271,MAX(0,V120)),W264))+$C$10*MAX(0,MIN(W270-W271,MAX(0,V120))-W264))</f>
        <v>0.127577564932544</v>
      </c>
      <c r="X274" s="1" t="n">
        <f aca="false">IF(01_Supuestos!$C$174="Sí",01_Supuestos!$C$172*X271,01_Supuestos!$I$134*(X271+MIN(MIN(X270-X271,MAX(0,W120)),X264))+$C$10*MAX(0,MIN(X270-X271,MAX(0,W120))-X264))</f>
        <v>0.130508775940871</v>
      </c>
      <c r="Y274" s="1" t="n">
        <f aca="false">IF(01_Supuestos!$C$174="Sí",01_Supuestos!$C$172*Y271,01_Supuestos!$I$134*(Y271+MIN(MIN(Y270-Y271,MAX(0,X120)),Y264))+$C$10*MAX(0,MIN(Y270-Y271,MAX(0,X120))-Y264))</f>
        <v>0.133507116948147</v>
      </c>
      <c r="Z274" s="1" t="n">
        <f aca="false">IF(01_Supuestos!$C$174="Sí",01_Supuestos!$C$172*Z271,01_Supuestos!$I$134*(Z271+MIN(MIN(Z270-Z271,MAX(0,Y120)),Z264))+$C$10*MAX(0,MIN(Z270-Z271,MAX(0,Y120))-Z264))</f>
        <v>0.136574150205535</v>
      </c>
      <c r="AA274" s="1" t="n">
        <f aca="false">IF(01_Supuestos!$C$174="Sí",01_Supuestos!$C$172*AA271,01_Supuestos!$I$134*(AA271+MIN(MIN(AA270-AA271,MAX(0,Z120)),AA264))+$C$10*MAX(0,MIN(AA270-AA271,MAX(0,Z120))-AA264))</f>
        <v>0.139711473614262</v>
      </c>
      <c r="AB274" s="1" t="n">
        <f aca="false">IF(01_Supuestos!$C$174="Sí",01_Supuestos!$C$172*AB271,01_Supuestos!$I$134*(AB271+MIN(MIN(AB270-AB271,MAX(0,AA120)),AB264))+$C$10*MAX(0,MIN(AB270-AB271,MAX(0,AA120))-AB264))</f>
        <v>0.142920734813966</v>
      </c>
      <c r="AC274" s="1" t="n">
        <f aca="false">IF(01_Supuestos!$C$174="Sí",01_Supuestos!$C$172*AC271,01_Supuestos!$I$134*(AC271+MIN(MIN(AC270-AC271,MAX(0,AB120)),AC264))+$C$10*MAX(0,MIN(AC270-AC271,MAX(0,AB120))-AC264))</f>
        <v>0.146203612481141</v>
      </c>
      <c r="AD274" s="1" t="n">
        <f aca="false">IF(01_Supuestos!$C$174="Sí",01_Supuestos!$C$172*AD271,01_Supuestos!$I$134*(AD271+MIN(MIN(AD270-AD271,MAX(0,AC120)),AD264))+$C$10*MAX(0,MIN(AD270-AD271,MAX(0,AC120))-AD264))</f>
        <v>0.149561819957999</v>
      </c>
      <c r="AE274" s="1" t="n">
        <f aca="false">IF(01_Supuestos!$C$174="Sí",01_Supuestos!$C$172*AE271,01_Supuestos!$I$134*(AE271+MIN(MIN(AE270-AE271,MAX(0,AD120)),AE264))+$C$10*MAX(0,MIN(AE270-AE271,MAX(0,AD120))-AE264))</f>
        <v>0.152997109734661</v>
      </c>
      <c r="AF274" s="1" t="n">
        <f aca="false">IF(01_Supuestos!$C$174="Sí",01_Supuestos!$C$172*AF271,01_Supuestos!$I$134*(AF271+MIN(MIN(AF270-AF271,MAX(0,AE120)),AF264))+$C$10*MAX(0,MIN(AF270-AF271,MAX(0,AE120))-AF264))</f>
        <v>0.156511274370194</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33.1280169060563</v>
      </c>
      <c r="E276" s="1" t="n">
        <f aca="false">E120-MAX(E264,E272)</f>
        <v>50.0498831427186</v>
      </c>
      <c r="F276" s="1" t="n">
        <f aca="false">F120-MAX(F264,F272)</f>
        <v>61.8615311429605</v>
      </c>
      <c r="G276" s="1" t="n">
        <f aca="false">G120-MAX(G264,G272)</f>
        <v>72.8447858473724</v>
      </c>
      <c r="H276" s="1" t="n">
        <f aca="false">H120-MAX(H264,H272)</f>
        <v>85.489047213793</v>
      </c>
      <c r="I276" s="1" t="n">
        <f aca="false">I120-MAX(I264,I272)</f>
        <v>99.8859200684854</v>
      </c>
      <c r="J276" s="1" t="n">
        <f aca="false">J120-MAX(J264,J272)</f>
        <v>115.612055639854</v>
      </c>
      <c r="K276" s="1" t="n">
        <f aca="false">K120-MAX(K264,K272)</f>
        <v>132.626319710305</v>
      </c>
      <c r="L276" s="1" t="n">
        <f aca="false">L120-MAX(L264,L272)</f>
        <v>149.676541722361</v>
      </c>
      <c r="M276" s="1" t="n">
        <f aca="false">M120-MAX(M264,M272)</f>
        <v>149.344933949558</v>
      </c>
      <c r="N276" s="1" t="n">
        <f aca="false">N120-MAX(N264,N272)</f>
        <v>150.995647108463</v>
      </c>
      <c r="O276" s="1" t="n">
        <f aca="false">O120-MAX(O264,O272)</f>
        <v>152.982960266457</v>
      </c>
      <c r="P276" s="1" t="n">
        <f aca="false">P120-MAX(P264,P272)</f>
        <v>154.300415339116</v>
      </c>
      <c r="Q276" s="1" t="n">
        <f aca="false">Q120-MAX(Q264,Q272)</f>
        <v>155.464886594235</v>
      </c>
      <c r="R276" s="1" t="n">
        <f aca="false">R120-MAX(R264,R272)</f>
        <v>155.895412570673</v>
      </c>
      <c r="S276" s="1" t="n">
        <f aca="false">S120-MAX(S264,S272)</f>
        <v>156.3425899103</v>
      </c>
      <c r="T276" s="1" t="n">
        <f aca="false">T120-MAX(T264,T272)</f>
        <v>156.807229112355</v>
      </c>
      <c r="U276" s="1" t="n">
        <f aca="false">U120-MAX(U264,U272)</f>
        <v>157.289558171168</v>
      </c>
      <c r="V276" s="1" t="n">
        <f aca="false">V120-MAX(V264,V272)</f>
        <v>157.789762012027</v>
      </c>
      <c r="W276" s="1" t="n">
        <f aca="false">W120-MAX(W264,W272)</f>
        <v>158.31024273306</v>
      </c>
      <c r="X276" s="1" t="n">
        <f aca="false">X120-MAX(X264,X272)</f>
        <v>158.851702371</v>
      </c>
      <c r="Y276" s="1" t="n">
        <f aca="false">Y120-MAX(Y264,Y272)</f>
        <v>159.414609850409</v>
      </c>
      <c r="Z276" s="1" t="n">
        <f aca="false">Z120-MAX(Z264,Z272)</f>
        <v>159.9991216309</v>
      </c>
      <c r="AA276" s="1" t="n">
        <f aca="false">AA120-MAX(AA264,AA272)</f>
        <v>160.605405056573</v>
      </c>
      <c r="AB276" s="1" t="n">
        <f aca="false">AB120-MAX(AB264,AB272)</f>
        <v>161.233588876733</v>
      </c>
      <c r="AC276" s="1" t="n">
        <f aca="false">AC120-MAX(AC264,AC272)</f>
        <v>161.88380106526</v>
      </c>
      <c r="AD276" s="1" t="n">
        <f aca="false">AD120-MAX(AD264,AD272)</f>
        <v>162.556174094143</v>
      </c>
      <c r="AE276" s="1" t="n">
        <f aca="false">AE120-MAX(AE264,AE272)</f>
        <v>163.250851872396</v>
      </c>
      <c r="AF276" s="1" t="n">
        <f aca="false">AF120-MAX(AF264,AF272)</f>
        <v>163.967989548403</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39.9515643351644</v>
      </c>
      <c r="M284" s="1" t="n">
        <f aca="false">$C$279*M87</f>
        <v>49.1136605353627</v>
      </c>
      <c r="N284" s="1" t="n">
        <f aca="false">$C$279*N87</f>
        <v>52.8528158397428</v>
      </c>
      <c r="O284" s="1" t="n">
        <f aca="false">$C$279*O87</f>
        <v>53.9612381848173</v>
      </c>
      <c r="P284" s="1" t="n">
        <f aca="false">$C$279*P87</f>
        <v>55.1833183459313</v>
      </c>
      <c r="Q284" s="1" t="n">
        <f aca="false">$C$279*Q87</f>
        <v>56.4379710413199</v>
      </c>
      <c r="R284" s="1" t="n">
        <f aca="false">$C$279*R87</f>
        <v>57.729261658961</v>
      </c>
      <c r="S284" s="1" t="n">
        <f aca="false">$C$279*S87</f>
        <v>59.0577306673275</v>
      </c>
      <c r="T284" s="1" t="n">
        <f aca="false">$C$279*T87</f>
        <v>60.4245880987901</v>
      </c>
      <c r="U284" s="1" t="n">
        <f aca="false">$C$279*U87</f>
        <v>61.8302593219928</v>
      </c>
      <c r="V284" s="1" t="n">
        <f aca="false">$C$279*V87</f>
        <v>63.2751927970054</v>
      </c>
      <c r="W284" s="1" t="n">
        <f aca="false">$C$279*W87</f>
        <v>64.7642340516589</v>
      </c>
      <c r="X284" s="1" t="n">
        <f aca="false">$C$279*X87</f>
        <v>66.2978532119095</v>
      </c>
      <c r="Y284" s="1" t="n">
        <f aca="false">$C$279*Y87</f>
        <v>67.8765393732338</v>
      </c>
      <c r="Z284" s="1" t="n">
        <f aca="false">$C$279*Z87</f>
        <v>69.5008020288165</v>
      </c>
      <c r="AA284" s="1" t="n">
        <f aca="false">$C$279*AA87</f>
        <v>71.1711708651115</v>
      </c>
      <c r="AB284" s="1" t="n">
        <f aca="false">$C$279*AB87</f>
        <v>72.888100095198</v>
      </c>
      <c r="AC284" s="1" t="n">
        <f aca="false">$C$279*AC87</f>
        <v>74.652065468289</v>
      </c>
      <c r="AD284" s="1" t="n">
        <f aca="false">$C$279*AD87</f>
        <v>76.4635640491537</v>
      </c>
      <c r="AE284" s="1" t="n">
        <f aca="false">$C$279*AE87</f>
        <v>78.3231139970748</v>
      </c>
      <c r="AF284" s="1" t="n">
        <f aca="false">$C$279*AF87</f>
        <v>80.2312543794722</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1.99558063854146</v>
      </c>
      <c r="N285" s="1" t="n">
        <f aca="false">MAX(M284*(1-$C$340)/$C$280,M284-N341-N284)</f>
        <v>2.45322734374137</v>
      </c>
      <c r="O285" s="1" t="n">
        <f aca="false">MAX(N284*(1-$C$340)/$C$280,N284-O341-O284)</f>
        <v>2.63999815119515</v>
      </c>
      <c r="P285" s="1" t="n">
        <f aca="false">MAX(O284*(1-$C$340)/$C$280,O284-P341-P284)</f>
        <v>2.69536384733162</v>
      </c>
      <c r="Q285" s="1" t="n">
        <f aca="false">MAX(P284*(1-$C$340)/$C$280,P284-Q341-Q284)</f>
        <v>2.75640675137927</v>
      </c>
      <c r="R285" s="1" t="n">
        <f aca="false">MAX(Q284*(1-$C$340)/$C$280,Q284-R341-R284)</f>
        <v>2.81907665351393</v>
      </c>
      <c r="S285" s="1" t="n">
        <f aca="false">MAX(R284*(1-$C$340)/$C$280,R284-S341-S284)</f>
        <v>2.8835766198651</v>
      </c>
      <c r="T285" s="1" t="n">
        <f aca="false">MAX(S284*(1-$C$340)/$C$280,S284-T341-T284)</f>
        <v>2.94993364683301</v>
      </c>
      <c r="U285" s="1" t="n">
        <f aca="false">MAX(T284*(1-$C$340)/$C$280,T284-U341-U284)</f>
        <v>3.01820817553457</v>
      </c>
      <c r="V285" s="1" t="n">
        <f aca="false">MAX(U284*(1-$C$340)/$C$280,U284-V341-V284)</f>
        <v>3.08842145313354</v>
      </c>
      <c r="W285" s="1" t="n">
        <f aca="false">MAX(V284*(1-$C$340)/$C$280,V284-W341-W284)</f>
        <v>3.16059588021042</v>
      </c>
      <c r="X285" s="1" t="n">
        <f aca="false">MAX(W284*(1-$C$340)/$C$280,W284-X341-X284)</f>
        <v>3.23497349088036</v>
      </c>
      <c r="Y285" s="1" t="n">
        <f aca="false">MAX(X284*(1-$C$340)/$C$280,X284-Y341-Y284)</f>
        <v>3.31157776793488</v>
      </c>
      <c r="Z285" s="1" t="n">
        <f aca="false">MAX(Y284*(1-$C$340)/$C$280,Y284-Z341-Z284)</f>
        <v>3.39043314169303</v>
      </c>
      <c r="AA285" s="1" t="n">
        <f aca="false">MAX(Z284*(1-$C$340)/$C$280,Z284-AA341-AA284)</f>
        <v>3.47156506133938</v>
      </c>
      <c r="AB285" s="1" t="n">
        <f aca="false">MAX(AA284*(1-$C$340)/$C$280,AA284-AB341-AB284)</f>
        <v>3.55499998471232</v>
      </c>
      <c r="AC285" s="1" t="n">
        <f aca="false">MAX(AB284*(1-$C$340)/$C$280,AB284-AC341-AC284)</f>
        <v>3.64076059975514</v>
      </c>
      <c r="AD285" s="1" t="n">
        <f aca="false">MAX(AC284*(1-$C$340)/$C$280,AC284-AD341-AD284)</f>
        <v>3.72887067014104</v>
      </c>
      <c r="AE285" s="1" t="n">
        <f aca="false">MAX(AD284*(1-$C$340)/$C$280,AD284-AE341-AE284)</f>
        <v>3.81935502425523</v>
      </c>
      <c r="AF285" s="1" t="n">
        <f aca="false">MAX(AE284*(1-$C$340)/$C$280,AE284-AF341-AF284)</f>
        <v>3.91223954415389</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7.45431134650823</v>
      </c>
      <c r="M286" s="1" t="n">
        <f aca="false">M284-L284+M285+M341</f>
        <v>11.197628403075</v>
      </c>
      <c r="N286" s="1" t="n">
        <f aca="false">N284-M284+N285+N341</f>
        <v>6.2414963086568</v>
      </c>
      <c r="O286" s="1" t="n">
        <f aca="false">O284-N284+O285+O341</f>
        <v>3.80127331210938</v>
      </c>
      <c r="P286" s="1" t="n">
        <f aca="false">P284-O284+P285+P341</f>
        <v>3.97140524663045</v>
      </c>
      <c r="Q286" s="1" t="n">
        <f aca="false">Q284-P284+Q285+Q341</f>
        <v>4.06624276511379</v>
      </c>
      <c r="R286" s="1" t="n">
        <f aca="false">R284-Q284+R285+R341</f>
        <v>4.16680524219637</v>
      </c>
      <c r="S286" s="1" t="n">
        <f aca="false">S284-R284+S285+S341</f>
        <v>4.26977488989052</v>
      </c>
      <c r="T286" s="1" t="n">
        <f aca="false">T284-S284+T285+T341</f>
        <v>4.375848808963</v>
      </c>
      <c r="U286" s="1" t="n">
        <f aca="false">U284-T284+U285+U341</f>
        <v>4.48430398683598</v>
      </c>
      <c r="V286" s="1" t="n">
        <f aca="false">V284-U284+V285+V341</f>
        <v>4.59518518746815</v>
      </c>
      <c r="W286" s="1" t="n">
        <f aca="false">W284-V284+W285+W341</f>
        <v>4.71291232766092</v>
      </c>
      <c r="X286" s="1" t="n">
        <f aca="false">X284-W284+X285+X341</f>
        <v>4.83335688518264</v>
      </c>
      <c r="Y286" s="1" t="n">
        <f aca="false">Y284-X284+Y285+Y341</f>
        <v>4.95656178247107</v>
      </c>
      <c r="Z286" s="1" t="n">
        <f aca="false">Z284-Y284+Z285+Z341</f>
        <v>5.08257233664893</v>
      </c>
      <c r="AA286" s="1" t="n">
        <f aca="false">AA284-Z284+AA285+AA341</f>
        <v>5.21143469966322</v>
      </c>
      <c r="AB286" s="1" t="n">
        <f aca="false">AB284-AA284+AB285+AB341</f>
        <v>5.34310038566394</v>
      </c>
      <c r="AC286" s="1" t="n">
        <f aca="false">AC284-AB284+AC285+AC341</f>
        <v>5.47761407294139</v>
      </c>
      <c r="AD286" s="1" t="n">
        <f aca="false">AD284-AC284+AD285+AD341</f>
        <v>5.61502131647399</v>
      </c>
      <c r="AE286" s="1" t="n">
        <f aca="false">AE284-AD284+AE285+AE341</f>
        <v>5.75536853622552</v>
      </c>
      <c r="AF286" s="1" t="n">
        <f aca="false">AF284-AE284+AF285+AF341</f>
        <v>5.89870304054833</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1.71619934914566</v>
      </c>
      <c r="M287" s="1" t="n">
        <f aca="false">M284*(1-$C$340)*$C$175</f>
        <v>2.10977551561758</v>
      </c>
      <c r="N287" s="1" t="n">
        <f aca="false">N284*(1-$C$340)*$C$175</f>
        <v>2.27039841002783</v>
      </c>
      <c r="O287" s="1" t="n">
        <f aca="false">O284*(1-$C$340)*$C$175</f>
        <v>2.3180129087052</v>
      </c>
      <c r="P287" s="1" t="n">
        <f aca="false">P284*(1-$C$340)*$C$175</f>
        <v>2.37050980618617</v>
      </c>
      <c r="Q287" s="1" t="n">
        <f aca="false">Q284*(1-$C$340)*$C$175</f>
        <v>2.42440592202198</v>
      </c>
      <c r="R287" s="1" t="n">
        <f aca="false">R284*(1-$C$340)*$C$175</f>
        <v>2.47987589308399</v>
      </c>
      <c r="S287" s="1" t="n">
        <f aca="false">S284*(1-$C$340)*$C$175</f>
        <v>2.53694293627639</v>
      </c>
      <c r="T287" s="1" t="n">
        <f aca="false">T284*(1-$C$340)*$C$175</f>
        <v>2.59565903095973</v>
      </c>
      <c r="U287" s="1" t="n">
        <f aca="false">U284*(1-$C$340)*$C$175</f>
        <v>2.65604244969484</v>
      </c>
      <c r="V287" s="1" t="n">
        <f aca="false">V284*(1-$C$340)*$C$175</f>
        <v>2.71811245698096</v>
      </c>
      <c r="W287" s="1" t="n">
        <f aca="false">W284*(1-$C$340)*$C$175</f>
        <v>2.78207720215711</v>
      </c>
      <c r="X287" s="1" t="n">
        <f aca="false">X284*(1-$C$340)*$C$175</f>
        <v>2.847956880424</v>
      </c>
      <c r="Y287" s="1" t="n">
        <f aca="false">Y284*(1-$C$340)*$C$175</f>
        <v>2.915772501856</v>
      </c>
      <c r="Z287" s="1" t="n">
        <f aca="false">Z284*(1-$C$340)*$C$175</f>
        <v>2.98554595275187</v>
      </c>
      <c r="AA287" s="1" t="n">
        <f aca="false">AA284*(1-$C$340)*$C$175</f>
        <v>3.05729998685259</v>
      </c>
      <c r="AB287" s="1" t="n">
        <f aca="false">AB284*(1-$C$340)*$C$175</f>
        <v>3.13105411578942</v>
      </c>
      <c r="AC287" s="1" t="n">
        <f aca="false">AC284*(1-$C$340)*$C$175</f>
        <v>3.20682877632129</v>
      </c>
      <c r="AD287" s="1" t="n">
        <f aca="false">AD284*(1-$C$340)*$C$175</f>
        <v>3.2846453208595</v>
      </c>
      <c r="AE287" s="1" t="n">
        <f aca="false">AE284*(1-$C$340)*$C$175</f>
        <v>3.36452600797234</v>
      </c>
      <c r="AF287" s="1" t="n">
        <f aca="false">AF284*(1-$C$340)*$C$175</f>
        <v>3.44649399437899</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55.1712078914175</v>
      </c>
      <c r="M289" s="1" t="n">
        <f aca="false">(1-$C$279)*M87</f>
        <v>67.8236264535962</v>
      </c>
      <c r="N289" s="1" t="n">
        <f aca="false">(1-$C$279)*N87</f>
        <v>72.9872218739306</v>
      </c>
      <c r="O289" s="1" t="n">
        <f aca="false">(1-$C$279)*O87</f>
        <v>74.517900350462</v>
      </c>
      <c r="P289" s="1" t="n">
        <f aca="false">(1-$C$279)*P87</f>
        <v>76.2055348586671</v>
      </c>
      <c r="Q289" s="1" t="n">
        <f aca="false">(1-$C$279)*Q87</f>
        <v>77.9381504856322</v>
      </c>
      <c r="R289" s="1" t="n">
        <f aca="false">(1-$C$279)*R87</f>
        <v>79.7213613385652</v>
      </c>
      <c r="S289" s="1" t="n">
        <f aca="false">(1-$C$279)*S87</f>
        <v>81.5559137786903</v>
      </c>
      <c r="T289" s="1" t="n">
        <f aca="false">(1-$C$279)*T87</f>
        <v>83.4434788030912</v>
      </c>
      <c r="U289" s="1" t="n">
        <f aca="false">(1-$C$279)*U87</f>
        <v>85.3846438256091</v>
      </c>
      <c r="V289" s="1" t="n">
        <f aca="false">(1-$C$279)*V87</f>
        <v>87.3800281482455</v>
      </c>
      <c r="W289" s="1" t="n">
        <f aca="false">(1-$C$279)*W87</f>
        <v>89.4363232141956</v>
      </c>
      <c r="X289" s="1" t="n">
        <f aca="false">(1-$C$279)*X87</f>
        <v>91.5541782450179</v>
      </c>
      <c r="Y289" s="1" t="n">
        <f aca="false">(1-$C$279)*Y87</f>
        <v>93.7342686582752</v>
      </c>
      <c r="Z289" s="1" t="n">
        <f aca="false">(1-$C$279)*Z87</f>
        <v>95.9772980397942</v>
      </c>
      <c r="AA289" s="1" t="n">
        <f aca="false">(1-$C$279)*AA87</f>
        <v>98.2839978613444</v>
      </c>
      <c r="AB289" s="1" t="n">
        <f aca="false">(1-$C$279)*AB87</f>
        <v>100.654995369559</v>
      </c>
      <c r="AC289" s="1" t="n">
        <f aca="false">(1-$C$279)*AC87</f>
        <v>103.090947551447</v>
      </c>
      <c r="AD289" s="1" t="n">
        <f aca="false">(1-$C$279)*AD87</f>
        <v>105.592540829784</v>
      </c>
      <c r="AE289" s="1" t="n">
        <f aca="false">(1-$C$279)*AE87</f>
        <v>108.160490757865</v>
      </c>
      <c r="AF289" s="1" t="n">
        <f aca="false">(1-$C$279)*AF87</f>
        <v>110.795541762128</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11.0232073367052</v>
      </c>
      <c r="N290" s="1" t="n">
        <f aca="false">MAX(M289*(1-$C$340)/$C$281+IF(AND(01_Supuestos!$C$189&gt;0,N$39=01_Supuestos!$C$189),01_Supuestos!$C$190*M289*(1-$C$340)*(1-1/$C$281),0),M289-N342-N289)</f>
        <v>13.5511605654285</v>
      </c>
      <c r="O290" s="1" t="n">
        <f aca="false">MAX(N289*(1-$C$340)/$C$281+IF(AND(01_Supuestos!$C$189&gt;0,O$39=01_Supuestos!$C$189),01_Supuestos!$C$190*N289*(1-$C$340)*(1-1/$C$281),0),N289-O342-O289)</f>
        <v>14.5828469304113</v>
      </c>
      <c r="P290" s="1" t="n">
        <f aca="false">MAX(O289*(1-$C$340)/$C$281+IF(AND(01_Supuestos!$C$189&gt;0,P$39=01_Supuestos!$C$189),01_Supuestos!$C$190*O289*(1-$C$340)*(1-1/$C$281),0),O289-P342-P289)</f>
        <v>14.8886764900223</v>
      </c>
      <c r="Q290" s="1" t="n">
        <f aca="false">MAX(P289*(1-$C$340)/$C$281+IF(AND(01_Supuestos!$C$189&gt;0,Q$39=01_Supuestos!$C$189),01_Supuestos!$C$190*P289*(1-$C$340)*(1-1/$C$281),0),P289-Q342-Q289)</f>
        <v>15.2258658647617</v>
      </c>
      <c r="R290" s="1" t="n">
        <f aca="false">MAX(Q289*(1-$C$340)/$C$281+IF(AND(01_Supuestos!$C$189&gt;0,R$39=01_Supuestos!$C$189),01_Supuestos!$C$190*Q289*(1-$C$340)*(1-1/$C$281),0),Q289-R342-R289)</f>
        <v>15.5720424670293</v>
      </c>
      <c r="S290" s="1" t="n">
        <f aca="false">MAX(R289*(1-$C$340)/$C$281+IF(AND(01_Supuestos!$C$189&gt;0,S$39=01_Supuestos!$C$189),01_Supuestos!$C$190*R289*(1-$C$340)*(1-1/$C$281),0),R289-S342-S289)</f>
        <v>15.9283279954453</v>
      </c>
      <c r="T290" s="1" t="n">
        <f aca="false">MAX(S289*(1-$C$340)/$C$281+IF(AND(01_Supuestos!$C$189&gt;0,T$39=01_Supuestos!$C$189),01_Supuestos!$C$190*S289*(1-$C$340)*(1-1/$C$281),0),S289-T342-T289)</f>
        <v>16.2948715729823</v>
      </c>
      <c r="U290" s="1" t="n">
        <f aca="false">MAX(T289*(1-$C$340)/$C$281+IF(AND(01_Supuestos!$C$189&gt;0,U$39=01_Supuestos!$C$189),01_Supuestos!$C$190*T289*(1-$C$340)*(1-1/$C$281),0),T289-U342-U289)</f>
        <v>16.6720070648576</v>
      </c>
      <c r="V290" s="1" t="n">
        <f aca="false">MAX(U289*(1-$C$340)/$C$281+IF(AND(01_Supuestos!$C$189&gt;0,V$39=01_Supuestos!$C$189),01_Supuestos!$C$190*U289*(1-$C$340)*(1-1/$C$281),0),U289-V342-V289)</f>
        <v>17.0598518363567</v>
      </c>
      <c r="W290" s="1" t="n">
        <f aca="false">MAX(V289*(1-$C$340)/$C$281+IF(AND(01_Supuestos!$C$189&gt;0,W$39=01_Supuestos!$C$189),01_Supuestos!$C$190*V289*(1-$C$340)*(1-1/$C$281),0),V289-W342-W289)</f>
        <v>17.4585296240195</v>
      </c>
      <c r="X290" s="1" t="n">
        <f aca="false">MAX(W289*(1-$C$340)/$C$281+IF(AND(01_Supuestos!$C$189&gt;0,X$39=01_Supuestos!$C$189),01_Supuestos!$C$190*W289*(1-$C$340)*(1-1/$C$281),0),W289-X342-X289)</f>
        <v>17.8693773781963</v>
      </c>
      <c r="Y290" s="1" t="n">
        <f aca="false">MAX(X289*(1-$C$340)/$C$281+IF(AND(01_Supuestos!$C$189&gt;0,Y$39=01_Supuestos!$C$189),01_Supuestos!$C$190*X289*(1-$C$340)*(1-1/$C$281),0),X289-Y342-Y289)</f>
        <v>18.2925248133546</v>
      </c>
      <c r="Z290" s="1" t="n">
        <f aca="false">MAX(Y289*(1-$C$340)/$C$281+IF(AND(01_Supuestos!$C$189&gt;0,Z$39=01_Supuestos!$C$189),01_Supuestos!$C$190*Y289*(1-$C$340)*(1-1/$C$281),0),Y289-Z342-Z289)</f>
        <v>18.7281068779234</v>
      </c>
      <c r="AA290" s="1" t="n">
        <f aca="false">MAX(Z289*(1-$C$340)/$C$281+IF(AND(01_Supuestos!$C$189&gt;0,AA$39=01_Supuestos!$C$189),01_Supuestos!$C$190*Z289*(1-$C$340)*(1-1/$C$281),0),Z289-AA342-AA289)</f>
        <v>19.1762641483509</v>
      </c>
      <c r="AB290" s="1" t="n">
        <f aca="false">MAX(AA289*(1-$C$340)/$C$281+IF(AND(01_Supuestos!$C$189&gt;0,AB$39=01_Supuestos!$C$189),01_Supuestos!$C$190*AA289*(1-$C$340)*(1-1/$C$281),0),AA289-AB342-AB289)</f>
        <v>19.6371427726966</v>
      </c>
      <c r="AC290" s="1" t="n">
        <f aca="false">MAX(AB289*(1-$C$340)/$C$281+IF(AND(01_Supuestos!$C$189&gt;0,AC$39=01_Supuestos!$C$189),01_Supuestos!$C$190*AB289*(1-$C$340)*(1-1/$C$281),0),AB289-AC342-AC289)</f>
        <v>20.1108680748379</v>
      </c>
      <c r="AD290" s="1" t="n">
        <f aca="false">MAX(AC289*(1-$C$340)/$C$281+IF(AND(01_Supuestos!$C$189&gt;0,AD$39=01_Supuestos!$C$189),01_Supuestos!$C$190*AC289*(1-$C$340)*(1-1/$C$281),0),AC289-AD342-AD289)</f>
        <v>20.5975713207791</v>
      </c>
      <c r="AE290" s="1" t="n">
        <f aca="false">MAX(AD289*(1-$C$340)/$C$281+IF(AND(01_Supuestos!$C$189&gt;0,AE$39=01_Supuestos!$C$189),01_Supuestos!$C$190*AD289*(1-$C$340)*(1-1/$C$281),0),AD289-AE342-AE289)</f>
        <v>21.0973896577908</v>
      </c>
      <c r="AF290" s="1" t="n">
        <f aca="false">MAX(AE289*(1-$C$340)/$C$281+IF(AND(01_Supuestos!$C$189&gt;0,AF$39=01_Supuestos!$C$189),01_Supuestos!$C$190*AE289*(1-$C$340)*(1-1/$C$281),0),AE289-AF342-AF289)</f>
        <v>21.6104660534215</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17.3799161953361</v>
      </c>
      <c r="M291" s="1" t="n">
        <f aca="false">M289-L289+M290+M342</f>
        <v>23.7307971067753</v>
      </c>
      <c r="N291" s="1" t="n">
        <f aca="false">N289-M289+N290+N342</f>
        <v>18.7825796122165</v>
      </c>
      <c r="O291" s="1" t="n">
        <f aca="false">O289-N289+O290+O342</f>
        <v>16.1865126288167</v>
      </c>
      <c r="P291" s="1" t="n">
        <f aca="false">P289-O289+P290+P342</f>
        <v>16.6508288985778</v>
      </c>
      <c r="Q291" s="1" t="n">
        <f aca="false">Q289-P289+Q290+Q342</f>
        <v>17.0346870265855</v>
      </c>
      <c r="R291" s="1" t="n">
        <f aca="false">R289-Q289+R290+R342</f>
        <v>17.4331914704479</v>
      </c>
      <c r="S291" s="1" t="n">
        <f aca="false">S289-R289+S290+S342</f>
        <v>17.842601796909</v>
      </c>
      <c r="T291" s="1" t="n">
        <f aca="false">T289-S289+T290+T342</f>
        <v>18.2639925111618</v>
      </c>
      <c r="U291" s="1" t="n">
        <f aca="false">U289-T289+U290+U342</f>
        <v>18.6966155661786</v>
      </c>
      <c r="V291" s="1" t="n">
        <f aca="false">V289-U289+V290+V342</f>
        <v>19.1406208028188</v>
      </c>
      <c r="W291" s="1" t="n">
        <f aca="false">W289-V289+W290+W342</f>
        <v>19.6022047181178</v>
      </c>
      <c r="X291" s="1" t="n">
        <f aca="false">X289-W289+X290+X342</f>
        <v>20.0766687322328</v>
      </c>
      <c r="Y291" s="1" t="n">
        <f aca="false">Y289-X289+Y290+Y342</f>
        <v>20.5641694048569</v>
      </c>
      <c r="Z291" s="1" t="n">
        <f aca="false">Z289-Y289+Z290+Z342</f>
        <v>21.0648705281006</v>
      </c>
      <c r="AA291" s="1" t="n">
        <f aca="false">AA289-Z289+AA290+AA342</f>
        <v>21.5789412679409</v>
      </c>
      <c r="AB291" s="1" t="n">
        <f aca="false">AB289-AA289+AB290+AB342</f>
        <v>22.1064242787727</v>
      </c>
      <c r="AC291" s="1" t="n">
        <f aca="false">AC289-AB289+AC290+AC342</f>
        <v>22.6474752520951</v>
      </c>
      <c r="AD291" s="1" t="n">
        <f aca="false">AD289-AC289+AD290+AD342</f>
        <v>23.2022555466674</v>
      </c>
      <c r="AE291" s="1" t="n">
        <f aca="false">AE289-AD289+AE290+AE342</f>
        <v>23.7709321267021</v>
      </c>
      <c r="AF291" s="1" t="n">
        <f aca="false">AF289-AE289+AF290+AF342</f>
        <v>24.3536775484424</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2.36998957739162</v>
      </c>
      <c r="M292" s="1" t="n">
        <f aca="false">M289*(1-$C$340)*$C$175</f>
        <v>2.91349952156713</v>
      </c>
      <c r="N292" s="1" t="n">
        <f aca="false">N289*(1-$C$340)*$C$175</f>
        <v>3.13531209003843</v>
      </c>
      <c r="O292" s="1" t="n">
        <f aca="false">O289*(1-$C$340)*$C$175</f>
        <v>3.2010654453548</v>
      </c>
      <c r="P292" s="1" t="n">
        <f aca="false">P289*(1-$C$340)*$C$175</f>
        <v>3.27356116092376</v>
      </c>
      <c r="Q292" s="1" t="n">
        <f aca="false">Q289*(1-$C$340)*$C$175</f>
        <v>3.3479891304113</v>
      </c>
      <c r="R292" s="1" t="n">
        <f aca="false">R289*(1-$C$340)*$C$175</f>
        <v>3.42459051902075</v>
      </c>
      <c r="S292" s="1" t="n">
        <f aca="false">S289*(1-$C$340)*$C$175</f>
        <v>3.5033973881912</v>
      </c>
      <c r="T292" s="1" t="n">
        <f aca="false">T289*(1-$C$340)*$C$175</f>
        <v>3.58448151894439</v>
      </c>
      <c r="U292" s="1" t="n">
        <f aca="false">U289*(1-$C$340)*$C$175</f>
        <v>3.66786814481669</v>
      </c>
      <c r="V292" s="1" t="n">
        <f aca="false">V289*(1-$C$340)*$C$175</f>
        <v>3.75358386916418</v>
      </c>
      <c r="W292" s="1" t="n">
        <f aca="false">W289*(1-$C$340)*$C$175</f>
        <v>3.8419161363122</v>
      </c>
      <c r="X292" s="1" t="n">
        <f aca="false">X289*(1-$C$340)*$C$175</f>
        <v>3.93289283487123</v>
      </c>
      <c r="Y292" s="1" t="n">
        <f aca="false">Y289*(1-$C$340)*$C$175</f>
        <v>4.02654297875353</v>
      </c>
      <c r="Z292" s="1" t="n">
        <f aca="false">Z289*(1-$C$340)*$C$175</f>
        <v>4.12289679189544</v>
      </c>
      <c r="AA292" s="1" t="n">
        <f aca="false">AA289*(1-$C$340)*$C$175</f>
        <v>4.22198569612977</v>
      </c>
      <c r="AB292" s="1" t="n">
        <f aca="false">AB289*(1-$C$340)*$C$175</f>
        <v>4.32383663609015</v>
      </c>
      <c r="AC292" s="1" t="n">
        <f aca="false">AC289*(1-$C$340)*$C$175</f>
        <v>4.4284778339675</v>
      </c>
      <c r="AD292" s="1" t="n">
        <f aca="false">AD289*(1-$C$340)*$C$175</f>
        <v>4.53593877642502</v>
      </c>
      <c r="AE292" s="1" t="n">
        <f aca="false">AE289*(1-$C$340)*$C$175</f>
        <v>4.64625020148562</v>
      </c>
      <c r="AF292" s="1" t="n">
        <f aca="false">AF289*(1-$C$340)*$C$175</f>
        <v>4.75944408747575</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41.9758987230249</v>
      </c>
      <c r="M294" s="116" t="n">
        <f aca="false">M85</f>
        <v>33.5807189784199</v>
      </c>
      <c r="N294" s="116" t="n">
        <f aca="false">N85</f>
        <v>28.1398823909552</v>
      </c>
      <c r="O294" s="116" t="n">
        <f aca="false">O85</f>
        <v>29.0423197317557</v>
      </c>
      <c r="P294" s="116" t="n">
        <f aca="false">P85</f>
        <v>29.7555986025785</v>
      </c>
      <c r="Q294" s="116" t="n">
        <f aca="false">Q85</f>
        <v>30.4746526717897</v>
      </c>
      <c r="R294" s="116" t="n">
        <f aca="false">R85</f>
        <v>31.1917190077866</v>
      </c>
      <c r="S294" s="116" t="n">
        <f aca="false">S85</f>
        <v>31.9074714254173</v>
      </c>
      <c r="T294" s="116" t="n">
        <f aca="false">T85</f>
        <v>32.6210346345968</v>
      </c>
      <c r="U294" s="116" t="n">
        <f aca="false">U85</f>
        <v>33.3334477242152</v>
      </c>
      <c r="V294" s="116" t="n">
        <f aca="false">V85</f>
        <v>34.0457419966179</v>
      </c>
      <c r="W294" s="116" t="n">
        <f aca="false">W85</f>
        <v>34.7485278236773</v>
      </c>
      <c r="X294" s="116" t="n">
        <f aca="false">X85</f>
        <v>35.4428825896636</v>
      </c>
      <c r="Y294" s="116" t="n">
        <f aca="false">Y85</f>
        <v>36.1298890381536</v>
      </c>
      <c r="Z294" s="116" t="n">
        <f aca="false">Z85</f>
        <v>36.8106330336542</v>
      </c>
      <c r="AA294" s="116" t="n">
        <f aca="false">AA85</f>
        <v>37.486205237161</v>
      </c>
      <c r="AB294" s="116" t="n">
        <f aca="false">AB85</f>
        <v>38.1579301000229</v>
      </c>
      <c r="AC294" s="116" t="n">
        <f aca="false">AC85</f>
        <v>38.8271361330341</v>
      </c>
      <c r="AD294" s="116" t="n">
        <f aca="false">AD85</f>
        <v>39.4951577043462</v>
      </c>
      <c r="AE294" s="116" t="n">
        <f aca="false">AE85</f>
        <v>40.163336867759</v>
      </c>
      <c r="AF294" s="116" t="n">
        <f aca="false">AF85</f>
        <v>40.8330251384207</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8.39517974460498</v>
      </c>
      <c r="N295" s="1" t="n">
        <f aca="false">MAX(M294/$C$282,M294-N294)</f>
        <v>5.44083658746472</v>
      </c>
      <c r="O295" s="1" t="n">
        <f aca="false">MAX(N294/$C$282,N294-O294)</f>
        <v>2.81398823909552</v>
      </c>
      <c r="P295" s="1" t="n">
        <f aca="false">MAX(O294/$C$282,O294-P294)</f>
        <v>2.90423197317557</v>
      </c>
      <c r="Q295" s="1" t="n">
        <f aca="false">MAX(P294/$C$282,P294-Q294)</f>
        <v>2.97555986025785</v>
      </c>
      <c r="R295" s="1" t="n">
        <f aca="false">MAX(Q294/$C$282,Q294-R294)</f>
        <v>3.04746526717897</v>
      </c>
      <c r="S295" s="1" t="n">
        <f aca="false">MAX(R294/$C$282,R294-S294)</f>
        <v>3.11917190077866</v>
      </c>
      <c r="T295" s="1" t="n">
        <f aca="false">MAX(S294/$C$282,S294-T294)</f>
        <v>3.19074714254173</v>
      </c>
      <c r="U295" s="1" t="n">
        <f aca="false">MAX(T294/$C$282,T294-U294)</f>
        <v>3.26210346345968</v>
      </c>
      <c r="V295" s="1" t="n">
        <f aca="false">MAX(U294/$C$282,U294-V294)</f>
        <v>3.33334477242152</v>
      </c>
      <c r="W295" s="1" t="n">
        <f aca="false">MAX(V294/$C$282,V294-W294)</f>
        <v>3.40457419966179</v>
      </c>
      <c r="X295" s="1" t="n">
        <f aca="false">MAX(W294/$C$282,W294-X294)</f>
        <v>3.47485278236773</v>
      </c>
      <c r="Y295" s="1" t="n">
        <f aca="false">MAX(X294/$C$282,X294-Y294)</f>
        <v>3.54428825896636</v>
      </c>
      <c r="Z295" s="1" t="n">
        <f aca="false">MAX(Y294/$C$282,Y294-Z294)</f>
        <v>3.61298890381536</v>
      </c>
      <c r="AA295" s="1" t="n">
        <f aca="false">MAX(Z294/$C$282,Z294-AA294)</f>
        <v>3.68106330336542</v>
      </c>
      <c r="AB295" s="1" t="n">
        <f aca="false">MAX(AA294/$C$282,AA294-AB294)</f>
        <v>3.7486205237161</v>
      </c>
      <c r="AC295" s="1" t="n">
        <f aca="false">MAX(AB294/$C$282,AB294-AC294)</f>
        <v>3.81579301000229</v>
      </c>
      <c r="AD295" s="1" t="n">
        <f aca="false">MAX(AC294/$C$282,AC294-AD294)</f>
        <v>3.88271361330341</v>
      </c>
      <c r="AE295" s="1" t="n">
        <f aca="false">MAX(AD294/$C$282,AD294-AE294)</f>
        <v>3.94951577043462</v>
      </c>
      <c r="AF295" s="1" t="n">
        <f aca="false">MAX(AE294/$C$282,AE294-AF294)</f>
        <v>4.0163336867759</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5.60178469810331</v>
      </c>
      <c r="M296" s="1" t="n">
        <f aca="false">M294-L294+M295</f>
        <v>0</v>
      </c>
      <c r="N296" s="1" t="n">
        <f aca="false">N294-M294+N295</f>
        <v>0</v>
      </c>
      <c r="O296" s="1" t="n">
        <f aca="false">O294-N294+O295</f>
        <v>3.71642557989603</v>
      </c>
      <c r="P296" s="1" t="n">
        <f aca="false">P294-O294+P295</f>
        <v>3.61751084399832</v>
      </c>
      <c r="Q296" s="1" t="n">
        <f aca="false">Q294-P294+Q295</f>
        <v>3.69461392946908</v>
      </c>
      <c r="R296" s="1" t="n">
        <f aca="false">R294-Q294+R295</f>
        <v>3.7645316031759</v>
      </c>
      <c r="S296" s="1" t="n">
        <f aca="false">S294-R294+S295</f>
        <v>3.83492431840932</v>
      </c>
      <c r="T296" s="1" t="n">
        <f aca="false">T294-S294+T295</f>
        <v>3.9043103517212</v>
      </c>
      <c r="U296" s="1" t="n">
        <f aca="false">U294-T294+U295</f>
        <v>3.97451655307816</v>
      </c>
      <c r="V296" s="1" t="n">
        <f aca="false">V294-U294+V295</f>
        <v>4.04563904482422</v>
      </c>
      <c r="W296" s="1" t="n">
        <f aca="false">W294-V294+W295</f>
        <v>4.10736002672114</v>
      </c>
      <c r="X296" s="1" t="n">
        <f aca="false">X294-W294+X295</f>
        <v>4.16920754835402</v>
      </c>
      <c r="Y296" s="1" t="n">
        <f aca="false">Y294-X294+Y295</f>
        <v>4.23129470745636</v>
      </c>
      <c r="Z296" s="1" t="n">
        <f aca="false">Z294-Y294+Z295</f>
        <v>4.29373289931596</v>
      </c>
      <c r="AA296" s="1" t="n">
        <f aca="false">AA294-Z294+AA295</f>
        <v>4.3566355068722</v>
      </c>
      <c r="AB296" s="1" t="n">
        <f aca="false">AB294-AA294+AB295</f>
        <v>4.42034538657807</v>
      </c>
      <c r="AC296" s="1" t="n">
        <f aca="false">AC294-AB294+AC295</f>
        <v>4.48499904301349</v>
      </c>
      <c r="AD296" s="1" t="n">
        <f aca="false">AD294-AC294+AD295</f>
        <v>4.55073518461553</v>
      </c>
      <c r="AE296" s="1" t="n">
        <f aca="false">AE294-AD294+AE295</f>
        <v>4.6176949338474</v>
      </c>
      <c r="AF296" s="1" t="n">
        <f aca="false">AF294-AE294+AF295</f>
        <v>4.68602195743761</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1.679035948921</v>
      </c>
      <c r="M297" s="1" t="n">
        <f aca="false">M294*01_Supuestos!$I$126</f>
        <v>1.3432287591368</v>
      </c>
      <c r="N297" s="1" t="n">
        <f aca="false">N294*01_Supuestos!$I$126</f>
        <v>1.12559529563821</v>
      </c>
      <c r="O297" s="1" t="n">
        <f aca="false">O294*01_Supuestos!$I$126</f>
        <v>1.16169278927023</v>
      </c>
      <c r="P297" s="1" t="n">
        <f aca="false">P294*01_Supuestos!$I$126</f>
        <v>1.19022394410314</v>
      </c>
      <c r="Q297" s="1" t="n">
        <f aca="false">Q294*01_Supuestos!$I$126</f>
        <v>1.21898610687159</v>
      </c>
      <c r="R297" s="1" t="n">
        <f aca="false">R294*01_Supuestos!$I$126</f>
        <v>1.24766876031146</v>
      </c>
      <c r="S297" s="1" t="n">
        <f aca="false">S294*01_Supuestos!$I$126</f>
        <v>1.27629885701669</v>
      </c>
      <c r="T297" s="1" t="n">
        <f aca="false">T294*01_Supuestos!$I$126</f>
        <v>1.30484138538387</v>
      </c>
      <c r="U297" s="1" t="n">
        <f aca="false">U294*01_Supuestos!$I$126</f>
        <v>1.33333790896861</v>
      </c>
      <c r="V297" s="1" t="n">
        <f aca="false">V294*01_Supuestos!$I$126</f>
        <v>1.36182967986472</v>
      </c>
      <c r="W297" s="1" t="n">
        <f aca="false">W294*01_Supuestos!$I$126</f>
        <v>1.38994111294709</v>
      </c>
      <c r="X297" s="1" t="n">
        <f aca="false">X294*01_Supuestos!$I$126</f>
        <v>1.41771530358654</v>
      </c>
      <c r="Y297" s="1" t="n">
        <f aca="false">Y294*01_Supuestos!$I$126</f>
        <v>1.44519556152614</v>
      </c>
      <c r="Z297" s="1" t="n">
        <f aca="false">Z294*01_Supuestos!$I$126</f>
        <v>1.47242532134617</v>
      </c>
      <c r="AA297" s="1" t="n">
        <f aca="false">AA294*01_Supuestos!$I$126</f>
        <v>1.49944820948644</v>
      </c>
      <c r="AB297" s="1" t="n">
        <f aca="false">AB294*01_Supuestos!$I$126</f>
        <v>1.52631720400092</v>
      </c>
      <c r="AC297" s="1" t="n">
        <f aca="false">AC294*01_Supuestos!$I$126</f>
        <v>1.55308544532137</v>
      </c>
      <c r="AD297" s="1" t="n">
        <f aca="false">AD294*01_Supuestos!$I$126</f>
        <v>1.57980630817385</v>
      </c>
      <c r="AE297" s="1" t="n">
        <f aca="false">AE294*01_Supuestos!$I$126</f>
        <v>1.60653347471036</v>
      </c>
      <c r="AF297" s="1" t="n">
        <f aca="false">AF294*01_Supuestos!$I$126</f>
        <v>1.63332100553683</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34.9284255098503</v>
      </c>
      <c r="N299" s="1" t="n">
        <f aca="false">N286+N291+N296</f>
        <v>25.0240759208733</v>
      </c>
      <c r="O299" s="1" t="n">
        <f aca="false">O286+O291+O296</f>
        <v>23.7042115208221</v>
      </c>
      <c r="P299" s="1" t="n">
        <f aca="false">P286+P291+P296</f>
        <v>24.2397449892066</v>
      </c>
      <c r="Q299" s="1" t="n">
        <f aca="false">Q286+Q291+Q296</f>
        <v>24.7955437211684</v>
      </c>
      <c r="R299" s="1" t="n">
        <f aca="false">R286+R291+R296</f>
        <v>25.3645283158202</v>
      </c>
      <c r="S299" s="1" t="n">
        <f aca="false">S286+S291+S296</f>
        <v>25.9473010052088</v>
      </c>
      <c r="T299" s="1" t="n">
        <f aca="false">T286+T291+T296</f>
        <v>26.5441516718461</v>
      </c>
      <c r="U299" s="1" t="n">
        <f aca="false">U286+U291+U296</f>
        <v>27.1554361060927</v>
      </c>
      <c r="V299" s="1" t="n">
        <f aca="false">V286+V291+V296</f>
        <v>27.7814450351111</v>
      </c>
      <c r="W299" s="1" t="n">
        <f aca="false">W286+W291+W296</f>
        <v>28.4224770724999</v>
      </c>
      <c r="X299" s="1" t="n">
        <f aca="false">X286+X291+X296</f>
        <v>29.0792331657694</v>
      </c>
      <c r="Y299" s="1" t="n">
        <f aca="false">Y286+Y291+Y296</f>
        <v>29.7520258947844</v>
      </c>
      <c r="Z299" s="1" t="n">
        <f aca="false">Z286+Z291+Z296</f>
        <v>30.4411757640655</v>
      </c>
      <c r="AA299" s="1" t="n">
        <f aca="false">AA286+AA291+AA296</f>
        <v>31.1470114744764</v>
      </c>
      <c r="AB299" s="1" t="n">
        <f aca="false">AB286+AB291+AB296</f>
        <v>31.8698700510147</v>
      </c>
      <c r="AC299" s="1" t="n">
        <f aca="false">AC286+AC291+AC296</f>
        <v>32.61008836805</v>
      </c>
      <c r="AD299" s="1" t="n">
        <f aca="false">AD286+AD291+AD296</f>
        <v>33.368012047757</v>
      </c>
      <c r="AE299" s="1" t="n">
        <f aca="false">AE286+AE291+AE296</f>
        <v>34.1439955967751</v>
      </c>
      <c r="AF299" s="1" t="n">
        <f aca="false">AF286+AF291+AF296</f>
        <v>34.9384025464283</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21.4139677198517</v>
      </c>
      <c r="N300" s="1" t="n">
        <f aca="false">N285+N290+N295</f>
        <v>21.4452244966346</v>
      </c>
      <c r="O300" s="1" t="n">
        <f aca="false">O285+O290+O295</f>
        <v>20.036833320702</v>
      </c>
      <c r="P300" s="1" t="n">
        <f aca="false">P285+P290+P295</f>
        <v>20.4882723105295</v>
      </c>
      <c r="Q300" s="1" t="n">
        <f aca="false">Q285+Q290+Q295</f>
        <v>20.9578324763988</v>
      </c>
      <c r="R300" s="1" t="n">
        <f aca="false">R285+R290+R295</f>
        <v>21.4385843877222</v>
      </c>
      <c r="S300" s="1" t="n">
        <f aca="false">S285+S290+S295</f>
        <v>21.9310765160891</v>
      </c>
      <c r="T300" s="1" t="n">
        <f aca="false">T285+T290+T295</f>
        <v>22.4355523623571</v>
      </c>
      <c r="U300" s="1" t="n">
        <f aca="false">U285+U290+U295</f>
        <v>22.9523187038519</v>
      </c>
      <c r="V300" s="1" t="n">
        <f aca="false">V285+V290+V295</f>
        <v>23.4816180619118</v>
      </c>
      <c r="W300" s="1" t="n">
        <f aca="false">W285+W290+W295</f>
        <v>24.0236997038917</v>
      </c>
      <c r="X300" s="1" t="n">
        <f aca="false">X285+X290+X295</f>
        <v>24.5792036514444</v>
      </c>
      <c r="Y300" s="1" t="n">
        <f aca="false">Y285+Y290+Y295</f>
        <v>25.1483908402558</v>
      </c>
      <c r="Z300" s="1" t="n">
        <f aca="false">Z285+Z290+Z295</f>
        <v>25.7315289234318</v>
      </c>
      <c r="AA300" s="1" t="n">
        <f aca="false">AA285+AA290+AA295</f>
        <v>26.3288925130557</v>
      </c>
      <c r="AB300" s="1" t="n">
        <f aca="false">AB285+AB290+AB295</f>
        <v>26.940763281125</v>
      </c>
      <c r="AC300" s="1" t="n">
        <f aca="false">AC285+AC290+AC295</f>
        <v>27.5674216845954</v>
      </c>
      <c r="AD300" s="1" t="n">
        <f aca="false">AD285+AD290+AD295</f>
        <v>28.2091556042235</v>
      </c>
      <c r="AE300" s="1" t="n">
        <f aca="false">AE285+AE290+AE295</f>
        <v>28.8662604524806</v>
      </c>
      <c r="AF300" s="1" t="n">
        <f aca="false">AF285+AF290+AF295</f>
        <v>29.5390392843513</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5.76522487545828</v>
      </c>
      <c r="M302" s="1" t="n">
        <f aca="false">M287+M292+M297</f>
        <v>6.3665037963215</v>
      </c>
      <c r="N302" s="1" t="n">
        <f aca="false">N287+N292+N297</f>
        <v>6.53130579570447</v>
      </c>
      <c r="O302" s="1" t="n">
        <f aca="false">O287+O292+O297</f>
        <v>6.68077114333022</v>
      </c>
      <c r="P302" s="1" t="n">
        <f aca="false">P287+P292+P297</f>
        <v>6.83429491121307</v>
      </c>
      <c r="Q302" s="1" t="n">
        <f aca="false">Q287+Q292+Q297</f>
        <v>6.99138115930487</v>
      </c>
      <c r="R302" s="1" t="n">
        <f aca="false">R287+R292+R297</f>
        <v>7.1521351724162</v>
      </c>
      <c r="S302" s="1" t="n">
        <f aca="false">S287+S292+S297</f>
        <v>7.31663918148428</v>
      </c>
      <c r="T302" s="1" t="n">
        <f aca="false">T287+T292+T297</f>
        <v>7.48498193528798</v>
      </c>
      <c r="U302" s="1" t="n">
        <f aca="false">U287+U292+U297</f>
        <v>7.65724850348014</v>
      </c>
      <c r="V302" s="1" t="n">
        <f aca="false">V287+V292+V297</f>
        <v>7.83352600600986</v>
      </c>
      <c r="W302" s="1" t="n">
        <f aca="false">W287+W292+W297</f>
        <v>8.0139344514164</v>
      </c>
      <c r="X302" s="1" t="n">
        <f aca="false">X287+X292+X297</f>
        <v>8.19856501888177</v>
      </c>
      <c r="Y302" s="1" t="n">
        <f aca="false">Y287+Y292+Y297</f>
        <v>8.38751104213568</v>
      </c>
      <c r="Z302" s="1" t="n">
        <f aca="false">Z287+Z292+Z297</f>
        <v>8.58086806599347</v>
      </c>
      <c r="AA302" s="1" t="n">
        <f aca="false">AA287+AA292+AA297</f>
        <v>8.7787338924688</v>
      </c>
      <c r="AB302" s="1" t="n">
        <f aca="false">AB287+AB292+AB297</f>
        <v>8.98120795588049</v>
      </c>
      <c r="AC302" s="1" t="n">
        <f aca="false">AC287+AC292+AC297</f>
        <v>9.18839205561016</v>
      </c>
      <c r="AD302" s="1" t="n">
        <f aca="false">AD287+AD292+AD297</f>
        <v>9.40039040545836</v>
      </c>
      <c r="AE302" s="1" t="n">
        <f aca="false">AE287+AE292+AE297</f>
        <v>9.61730968416832</v>
      </c>
      <c r="AF302" s="1" t="n">
        <f aca="false">AF287+AF292+AF297</f>
        <v>9.83925908739156</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349.799156025208</v>
      </c>
      <c r="M307" s="116" t="n">
        <f aca="false">M81</f>
        <v>362.419591755768</v>
      </c>
      <c r="N307" s="116" t="n">
        <f aca="false">N81</f>
        <v>375.198431879403</v>
      </c>
      <c r="O307" s="116" t="n">
        <f aca="false">O81</f>
        <v>387.230929756743</v>
      </c>
      <c r="P307" s="116" t="n">
        <f aca="false">P81</f>
        <v>396.741314701046</v>
      </c>
      <c r="Q307" s="116" t="n">
        <f aca="false">Q81</f>
        <v>406.328702290529</v>
      </c>
      <c r="R307" s="116" t="n">
        <f aca="false">R81</f>
        <v>415.889586770488</v>
      </c>
      <c r="S307" s="116" t="n">
        <f aca="false">S81</f>
        <v>425.432952338897</v>
      </c>
      <c r="T307" s="116" t="n">
        <f aca="false">T81</f>
        <v>434.94712846129</v>
      </c>
      <c r="U307" s="116" t="n">
        <f aca="false">U81</f>
        <v>444.445969656203</v>
      </c>
      <c r="V307" s="116" t="n">
        <f aca="false">V81</f>
        <v>453.943226621573</v>
      </c>
      <c r="W307" s="116" t="n">
        <f aca="false">W81</f>
        <v>463.313704315697</v>
      </c>
      <c r="X307" s="116" t="n">
        <f aca="false">X81</f>
        <v>472.571767862181</v>
      </c>
      <c r="Y307" s="116" t="n">
        <f aca="false">Y81</f>
        <v>481.731853842048</v>
      </c>
      <c r="Z307" s="116" t="n">
        <f aca="false">Z81</f>
        <v>490.808440448722</v>
      </c>
      <c r="AA307" s="116" t="n">
        <f aca="false">AA81</f>
        <v>499.816069828813</v>
      </c>
      <c r="AB307" s="116" t="n">
        <f aca="false">AB81</f>
        <v>508.772401333639</v>
      </c>
      <c r="AC307" s="116" t="n">
        <f aca="false">AC81</f>
        <v>517.695148440455</v>
      </c>
      <c r="AD307" s="116" t="n">
        <f aca="false">AD81</f>
        <v>526.602102724617</v>
      </c>
      <c r="AE307" s="116" t="n">
        <f aca="false">AE81</f>
        <v>535.511158236787</v>
      </c>
      <c r="AF307" s="116" t="n">
        <f aca="false">AF81</f>
        <v>544.440335178943</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212.700485075601</v>
      </c>
      <c r="M309" s="1" t="n">
        <f aca="false">M307-M308</f>
        <v>211.901585788389</v>
      </c>
      <c r="N309" s="1" t="n">
        <f aca="false">N307-N308</f>
        <v>221.218511774774</v>
      </c>
      <c r="O309" s="1" t="n">
        <f aca="false">O307-O308</f>
        <v>229.709471489708</v>
      </c>
      <c r="P309" s="1" t="n">
        <f aca="false">P307-P308</f>
        <v>235.596862893869</v>
      </c>
      <c r="Q309" s="1" t="n">
        <f aca="false">Q307-Q308</f>
        <v>241.477928091787</v>
      </c>
      <c r="R309" s="1" t="n">
        <f aca="false">R307-R308</f>
        <v>247.247244765175</v>
      </c>
      <c r="S309" s="1" t="n">
        <f aca="false">S307-S308</f>
        <v>252.911836467462</v>
      </c>
      <c r="T309" s="1" t="n">
        <f aca="false">T307-T308</f>
        <v>258.458026924812</v>
      </c>
      <c r="U309" s="1" t="n">
        <f aca="false">U307-U308</f>
        <v>263.897618784386</v>
      </c>
      <c r="V309" s="1" t="n">
        <f aca="false">V307-V308</f>
        <v>269.242263679704</v>
      </c>
      <c r="W309" s="1" t="n">
        <f aca="false">W307-W308</f>
        <v>274.364619226165</v>
      </c>
      <c r="X309" s="1" t="n">
        <f aca="false">X307-X308</f>
        <v>279.27685381559</v>
      </c>
      <c r="Y309" s="1" t="n">
        <f aca="false">Y307-Y308</f>
        <v>283.991156772385</v>
      </c>
      <c r="Z309" s="1" t="n">
        <f aca="false">Z307-Z308</f>
        <v>288.519707346458</v>
      </c>
      <c r="AA309" s="1" t="n">
        <f aca="false">AA307-AA308</f>
        <v>292.874695865196</v>
      </c>
      <c r="AB309" s="1" t="n">
        <f aca="false">AB307-AB308</f>
        <v>297.071375768859</v>
      </c>
      <c r="AC309" s="1" t="n">
        <f aca="false">AC307-AC308</f>
        <v>301.124999287685</v>
      </c>
      <c r="AD309" s="1" t="n">
        <f aca="false">AD307-AD308</f>
        <v>305.050840141333</v>
      </c>
      <c r="AE309" s="1" t="n">
        <f aca="false">AE307-AE308</f>
        <v>308.864216614088</v>
      </c>
      <c r="AF309" s="1" t="n">
        <f aca="false">AF307-AF308</f>
        <v>312.580513898922</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39.1935396607209</v>
      </c>
      <c r="M310" s="1" t="n">
        <f aca="false">IF(M307&gt;0,100*M308/M307,0)</f>
        <v>41.5314208699876</v>
      </c>
      <c r="N310" s="1" t="n">
        <f aca="false">IF(N307&gt;0,100*N308/N307,0)</f>
        <v>41.0395958568721</v>
      </c>
      <c r="O310" s="1" t="n">
        <f aca="false">IF(O307&gt;0,100*O308/O307,0)</f>
        <v>40.6789453430255</v>
      </c>
      <c r="P310" s="1" t="n">
        <f aca="false">IF(P307&gt;0,100*P308/P307,0)</f>
        <v>40.6170080695032</v>
      </c>
      <c r="Q310" s="1" t="n">
        <f aca="false">IF(Q307&gt;0,100*Q308/Q307,0)</f>
        <v>40.5707923829786</v>
      </c>
      <c r="R310" s="1" t="n">
        <f aca="false">IF(R307&gt;0,100*R308/R307,0)</f>
        <v>40.5497870997139</v>
      </c>
      <c r="S310" s="1" t="n">
        <f aca="false">IF(S307&gt;0,100*S308/S307,0)</f>
        <v>40.5518930592866</v>
      </c>
      <c r="T310" s="1" t="n">
        <f aca="false">IF(T307&gt;0,100*T308/T307,0)</f>
        <v>40.5771391481173</v>
      </c>
      <c r="U310" s="1" t="n">
        <f aca="false">IF(U307&gt;0,100*U308/U307,0)</f>
        <v>40.6232395383129</v>
      </c>
      <c r="V310" s="1" t="n">
        <f aca="false">IF(V307&gt;0,100*V308/V307,0)</f>
        <v>40.6881195951501</v>
      </c>
      <c r="W310" s="1" t="n">
        <f aca="false">IF(W307&gt;0,100*W308/W307,0)</f>
        <v>40.7821058020731</v>
      </c>
      <c r="X310" s="1" t="n">
        <f aca="false">IF(X307&gt;0,100*X308/X307,0)</f>
        <v>40.9027638110965</v>
      </c>
      <c r="Y310" s="1" t="n">
        <f aca="false">IF(Y307&gt;0,100*Y308/Y307,0)</f>
        <v>41.0478766335636</v>
      </c>
      <c r="Z310" s="1" t="n">
        <f aca="false">IF(Z307&gt;0,100*Z308/Z307,0)</f>
        <v>41.2154144939565</v>
      </c>
      <c r="AA310" s="1" t="n">
        <f aca="false">IF(AA307&gt;0,100*AA308/AA307,0)</f>
        <v>41.4035055004323</v>
      </c>
      <c r="AB310" s="1" t="n">
        <f aca="false">IF(AB307&gt;0,100*AB308/AB307,0)</f>
        <v>41.6101630139235</v>
      </c>
      <c r="AC310" s="1" t="n">
        <f aca="false">IF(AC307&gt;0,100*AC308/AC307,0)</f>
        <v>41.8335288258317</v>
      </c>
      <c r="AD310" s="1" t="n">
        <f aca="false">IF(AD307&gt;0,100*AD308/AD307,0)</f>
        <v>42.071853005711</v>
      </c>
      <c r="AE310" s="1" t="n">
        <f aca="false">IF(AE307&gt;0,100*AE308/AE307,0)</f>
        <v>42.3234769503127</v>
      </c>
      <c r="AF310" s="1" t="n">
        <f aca="false">IF(AF307&gt;0,100*AF308/AF307,0)</f>
        <v>42.5868192157025</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5.76522487545828</v>
      </c>
      <c r="M314" s="1" t="n">
        <f aca="false">M302</f>
        <v>6.3665037963215</v>
      </c>
      <c r="N314" s="1" t="n">
        <f aca="false">N302</f>
        <v>6.53130579570447</v>
      </c>
      <c r="O314" s="1" t="n">
        <f aca="false">O302</f>
        <v>6.68077114333022</v>
      </c>
      <c r="P314" s="1" t="n">
        <f aca="false">P302</f>
        <v>6.83429491121307</v>
      </c>
      <c r="Q314" s="1" t="n">
        <f aca="false">Q302</f>
        <v>6.99138115930487</v>
      </c>
      <c r="R314" s="1" t="n">
        <f aca="false">R302</f>
        <v>7.1521351724162</v>
      </c>
      <c r="S314" s="1" t="n">
        <f aca="false">S302</f>
        <v>7.31663918148428</v>
      </c>
      <c r="T314" s="1" t="n">
        <f aca="false">T302</f>
        <v>7.48498193528798</v>
      </c>
      <c r="U314" s="1" t="n">
        <f aca="false">U302</f>
        <v>7.65724850348014</v>
      </c>
      <c r="V314" s="1" t="n">
        <f aca="false">V302</f>
        <v>7.83352600600986</v>
      </c>
      <c r="W314" s="1" t="n">
        <f aca="false">W302</f>
        <v>8.0139344514164</v>
      </c>
      <c r="X314" s="1" t="n">
        <f aca="false">X302</f>
        <v>8.19856501888177</v>
      </c>
      <c r="Y314" s="1" t="n">
        <f aca="false">Y302</f>
        <v>8.38751104213568</v>
      </c>
      <c r="Z314" s="1" t="n">
        <f aca="false">Z302</f>
        <v>8.58086806599347</v>
      </c>
      <c r="AA314" s="1" t="n">
        <f aca="false">AA302</f>
        <v>8.7787338924688</v>
      </c>
      <c r="AB314" s="1" t="n">
        <f aca="false">AB302</f>
        <v>8.98120795588049</v>
      </c>
      <c r="AC314" s="1" t="n">
        <f aca="false">AC302</f>
        <v>9.18839205561016</v>
      </c>
      <c r="AD314" s="1" t="n">
        <f aca="false">AD302</f>
        <v>9.40039040545836</v>
      </c>
      <c r="AE314" s="1" t="n">
        <f aca="false">AE302</f>
        <v>9.61730968416832</v>
      </c>
      <c r="AF314" s="1" t="n">
        <f aca="false">AF302</f>
        <v>9.83925908739156</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0.774839519076489</v>
      </c>
      <c r="S315" s="116" t="n">
        <f aca="false">S56</f>
        <v>0.794210507053401</v>
      </c>
      <c r="T315" s="116" t="n">
        <f aca="false">T56</f>
        <v>0.814065769729736</v>
      </c>
      <c r="U315" s="116" t="n">
        <f aca="false">U56</f>
        <v>0.834417413972979</v>
      </c>
      <c r="V315" s="116" t="n">
        <f aca="false">V56</f>
        <v>0.855277849322303</v>
      </c>
      <c r="W315" s="116" t="n">
        <f aca="false">W56</f>
        <v>0.876659795555361</v>
      </c>
      <c r="X315" s="116" t="n">
        <f aca="false">X56</f>
        <v>0.898576290444245</v>
      </c>
      <c r="Y315" s="116" t="n">
        <f aca="false">Y56</f>
        <v>0.921040697705351</v>
      </c>
      <c r="Z315" s="116" t="n">
        <f aca="false">Z56</f>
        <v>0.944066715147985</v>
      </c>
      <c r="AA315" s="116" t="n">
        <f aca="false">AA56</f>
        <v>0.967668383026684</v>
      </c>
      <c r="AB315" s="116" t="n">
        <f aca="false">AB56</f>
        <v>0.991860092602351</v>
      </c>
      <c r="AC315" s="116" t="n">
        <f aca="false">AC56</f>
        <v>1.01665659491741</v>
      </c>
      <c r="AD315" s="116" t="n">
        <f aca="false">AD56</f>
        <v>1.04207300979035</v>
      </c>
      <c r="AE315" s="116" t="n">
        <f aca="false">AE56</f>
        <v>1.0681248350351</v>
      </c>
      <c r="AF315" s="116" t="n">
        <f aca="false">AF56</f>
        <v>1.09482795591098</v>
      </c>
    </row>
    <row r="316" customFormat="false" ht="14.25" hidden="false" customHeight="true" outlineLevel="0" collapsed="false">
      <c r="B316" s="84" t="s">
        <v>1308</v>
      </c>
      <c r="C316" s="1" t="n">
        <f aca="false">IF(C313&gt;0,100*(C314+C315)/C313,0)</f>
        <v>57.066429452404</v>
      </c>
      <c r="D316" s="1" t="n">
        <f aca="false">IF(D313&gt;0,100*(D314+D315)/D313,0)</f>
        <v>48.8274483834642</v>
      </c>
      <c r="E316" s="1" t="n">
        <f aca="false">IF(E313&gt;0,100*(E314+E315)/E313,0)</f>
        <v>47.6514402741486</v>
      </c>
      <c r="F316" s="1" t="n">
        <f aca="false">IF(F313&gt;0,100*(F314+F315)/F313,0)</f>
        <v>26.9990174466285</v>
      </c>
      <c r="G316" s="1" t="n">
        <f aca="false">IF(G313&gt;0,100*(G314+G315)/G313,0)</f>
        <v>32.191742531</v>
      </c>
      <c r="H316" s="1" t="n">
        <f aca="false">IF(H313&gt;0,100*(H314+H315)/H313,0)</f>
        <v>37.4787778154359</v>
      </c>
      <c r="I316" s="1" t="n">
        <f aca="false">IF(I313&gt;0,100*(I314+I315)/I313,0)</f>
        <v>42.8359936611859</v>
      </c>
      <c r="J316" s="1" t="n">
        <f aca="false">IF(J313&gt;0,100*(J314+J315)/J313,0)</f>
        <v>48.2405150894827</v>
      </c>
      <c r="K316" s="1" t="n">
        <f aca="false">IF(K313&gt;0,100*(K314+K315)/K313,0)</f>
        <v>53.671045735849</v>
      </c>
      <c r="L316" s="1" t="n">
        <f aca="false">IF(L313&gt;0,100*(L314+L315)/L313,0)</f>
        <v>59.1078634200925</v>
      </c>
      <c r="M316" s="1" t="n">
        <f aca="false">IF(M313&gt;0,100*(M314+M315)/M313,0)</f>
        <v>63.551357072015</v>
      </c>
      <c r="N316" s="1" t="n">
        <f aca="false">IF(N313&gt;0,100*(N314+N315)/N313,0)</f>
        <v>63.9960990320742</v>
      </c>
      <c r="O316" s="1" t="n">
        <f aca="false">IF(O313&gt;0,100*(O314+O315)/O313,0)</f>
        <v>64.0306796587466</v>
      </c>
      <c r="P316" s="1" t="n">
        <f aca="false">IF(P313&gt;0,100*(P314+P315)/P313,0)</f>
        <v>63.0816453777093</v>
      </c>
      <c r="Q316" s="1" t="n">
        <f aca="false">IF(Q313&gt;0,100*(Q314+Q315)/Q313,0)</f>
        <v>62.2773093519876</v>
      </c>
      <c r="R316" s="1" t="n">
        <f aca="false">IF(R313&gt;0,100*(R314+R315)/R313,0)</f>
        <v>56.1315572351251</v>
      </c>
      <c r="S316" s="1" t="n">
        <f aca="false">IF(S313&gt;0,100*(S314+S315)/S313,0)</f>
        <v>55.6380262456871</v>
      </c>
      <c r="T316" s="1" t="n">
        <f aca="false">IF(T313&gt;0,100*(T314+T315)/T313,0)</f>
        <v>55.246385524403</v>
      </c>
      <c r="U316" s="1" t="n">
        <f aca="false">IF(U313&gt;0,100*(U314+U315)/U313,0)</f>
        <v>54.9450512742973</v>
      </c>
      <c r="V316" s="1" t="n">
        <f aca="false">IF(V313&gt;0,100*(V314+V315)/V313,0)</f>
        <v>54.7243021662</v>
      </c>
      <c r="W316" s="1" t="n">
        <f aca="false">IF(W313&gt;0,100*(W314+W315)/W313,0)</f>
        <v>54.5761092218646</v>
      </c>
      <c r="X316" s="1" t="n">
        <f aca="false">IF(X313&gt;0,100*(X314+X315)/X313,0)</f>
        <v>54.493463593366</v>
      </c>
      <c r="Y316" s="1" t="n">
        <f aca="false">IF(Y313&gt;0,100*(Y314+Y315)/Y313,0)</f>
        <v>54.470362529836</v>
      </c>
      <c r="Z316" s="1" t="n">
        <f aca="false">IF(Z313&gt;0,100*(Z314+Z315)/Z313,0)</f>
        <v>54.5016348984628</v>
      </c>
      <c r="AA316" s="1" t="n">
        <f aca="false">IF(AA313&gt;0,100*(AA314+AA315)/AA313,0)</f>
        <v>54.5828014760382</v>
      </c>
      <c r="AB316" s="1" t="n">
        <f aca="false">IF(AB313&gt;0,100*(AB314+AB315)/AB313,0)</f>
        <v>54.7099585266967</v>
      </c>
      <c r="AC316" s="1" t="n">
        <f aca="false">IF(AC313&gt;0,100*(AC314+AC315)/AC313,0)</f>
        <v>54.8796901806905</v>
      </c>
      <c r="AD316" s="1" t="n">
        <f aca="false">IF(AD313&gt;0,100*(AD314+AD315)/AD313,0)</f>
        <v>55.0889933220547</v>
      </c>
      <c r="AE316" s="1" t="n">
        <f aca="false">IF(AE313&gt;0,100*(AE314+AE315)/AE313,0)</f>
        <v>55.3352156648766</v>
      </c>
      <c r="AF316" s="1" t="n">
        <f aca="false">IF(AF313&gt;0,100*(AF314+AF315)/AF313,0)</f>
        <v>55.6160043809902</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11.5866107968908</v>
      </c>
      <c r="M317" s="1" t="n">
        <f aca="false">$C$329*M291</f>
        <v>15.8205314045169</v>
      </c>
      <c r="N317" s="1" t="n">
        <f aca="false">$C$329*N291</f>
        <v>12.5217197414777</v>
      </c>
      <c r="O317" s="1" t="n">
        <f aca="false">$C$329*O291</f>
        <v>10.7910084192111</v>
      </c>
      <c r="P317" s="1" t="n">
        <f aca="false">$C$329*P291</f>
        <v>11.1005525990519</v>
      </c>
      <c r="Q317" s="1" t="n">
        <f aca="false">$C$329*Q291</f>
        <v>11.3564580177237</v>
      </c>
      <c r="R317" s="1" t="n">
        <f aca="false">$C$329*R291</f>
        <v>11.6221276469653</v>
      </c>
      <c r="S317" s="1" t="n">
        <f aca="false">$C$329*S291</f>
        <v>11.895067864606</v>
      </c>
      <c r="T317" s="1" t="n">
        <f aca="false">$C$329*T291</f>
        <v>12.1759950074412</v>
      </c>
      <c r="U317" s="1" t="n">
        <f aca="false">$C$329*U291</f>
        <v>12.4644103774524</v>
      </c>
      <c r="V317" s="1" t="n">
        <f aca="false">$C$329*V291</f>
        <v>12.7604138685458</v>
      </c>
      <c r="W317" s="1" t="n">
        <f aca="false">$C$329*W291</f>
        <v>13.0681364787452</v>
      </c>
      <c r="X317" s="1" t="n">
        <f aca="false">$C$329*X291</f>
        <v>13.3844458214885</v>
      </c>
      <c r="Y317" s="1" t="n">
        <f aca="false">$C$329*Y291</f>
        <v>13.7094462699046</v>
      </c>
      <c r="Z317" s="1" t="n">
        <f aca="false">$C$329*Z291</f>
        <v>14.0432470187337</v>
      </c>
      <c r="AA317" s="1" t="n">
        <f aca="false">$C$329*AA291</f>
        <v>14.385960845294</v>
      </c>
      <c r="AB317" s="1" t="n">
        <f aca="false">$C$329*AB291</f>
        <v>14.7376161858484</v>
      </c>
      <c r="AC317" s="1" t="n">
        <f aca="false">$C$329*AC291</f>
        <v>15.0983168347301</v>
      </c>
      <c r="AD317" s="1" t="n">
        <f aca="false">$C$329*AD291</f>
        <v>15.468170364445</v>
      </c>
      <c r="AE317" s="1" t="n">
        <f aca="false">$C$329*AE291</f>
        <v>15.8472880844681</v>
      </c>
      <c r="AF317" s="1" t="n">
        <f aca="false">$C$329*AF291</f>
        <v>16.2357850322949</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7.38558569639776</v>
      </c>
      <c r="N318" s="1" t="n">
        <f aca="false">$C$329*(N290+(1-$C$279)*N332)</f>
        <v>9.07932279458808</v>
      </c>
      <c r="O318" s="1" t="n">
        <f aca="false">$C$329*(O290+(1-$C$279)*O332)</f>
        <v>9.77055610152351</v>
      </c>
      <c r="P318" s="1" t="n">
        <f aca="false">$C$329*(P290+(1-$C$279)*P332)</f>
        <v>9.97546292691518</v>
      </c>
      <c r="Q318" s="1" t="n">
        <f aca="false">$C$329*(Q290+(1-$C$279)*Q332)</f>
        <v>10.2013809330802</v>
      </c>
      <c r="R318" s="1" t="n">
        <f aca="false">$C$329*(R290+(1-$C$279)*R332)</f>
        <v>10.4333204116766</v>
      </c>
      <c r="S318" s="1" t="n">
        <f aca="false">$C$329*(S290+(1-$C$279)*S332)</f>
        <v>10.6720329045226</v>
      </c>
      <c r="T318" s="1" t="n">
        <f aca="false">$C$329*(T290+(1-$C$279)*T332)</f>
        <v>10.9176183245073</v>
      </c>
      <c r="U318" s="1" t="n">
        <f aca="false">$C$329*(U290+(1-$C$279)*U332)</f>
        <v>11.1703003624405</v>
      </c>
      <c r="V318" s="1" t="n">
        <f aca="false">$C$329*(V290+(1-$C$279)*V332)</f>
        <v>11.4301576534549</v>
      </c>
      <c r="W318" s="1" t="n">
        <f aca="false">$C$329*(W290+(1-$C$279)*W332)</f>
        <v>11.6972731014451</v>
      </c>
      <c r="X318" s="1" t="n">
        <f aca="false">$C$329*(X290+(1-$C$279)*X332)</f>
        <v>11.972542467607</v>
      </c>
      <c r="Y318" s="1" t="n">
        <f aca="false">$C$329*(Y290+(1-$C$279)*Y332)</f>
        <v>12.2560526610664</v>
      </c>
      <c r="Z318" s="1" t="n">
        <f aca="false">$C$329*(Z290+(1-$C$279)*Z332)</f>
        <v>12.5478940977211</v>
      </c>
      <c r="AA318" s="1" t="n">
        <f aca="false">$C$329*(AA290+(1-$C$279)*AA332)</f>
        <v>12.8481609642604</v>
      </c>
      <c r="AB318" s="1" t="n">
        <f aca="false">$C$329*(AB290+(1-$C$279)*AB332)</f>
        <v>13.156951180372</v>
      </c>
      <c r="AC318" s="1" t="n">
        <f aca="false">$C$329*(AC290+(1-$C$279)*AC332)</f>
        <v>13.4743487134717</v>
      </c>
      <c r="AD318" s="1" t="n">
        <f aca="false">$C$329*(AD290+(1-$C$279)*AD332)</f>
        <v>13.8004415122203</v>
      </c>
      <c r="AE318" s="1" t="n">
        <f aca="false">$C$329*(AE290+(1-$C$279)*AE332)</f>
        <v>14.135321465747</v>
      </c>
      <c r="AF318" s="1" t="n">
        <f aca="false">$C$329*(AF290+(1-$C$279)*AF332)</f>
        <v>14.4790843627862</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4.51903315921503</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5.90482050104414</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5.33856906289498</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4.4894744999111</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4.40926662163668</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4.51699266522229</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4.62228409586196</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4.73073312407833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4.84230528869297</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4.95692261397985</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5.074565198309</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5.19648233047814</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5.32214739432107</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5.45127846312024</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5.58391873261058</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5.72011295546156</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5.85988094028393</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6.00325666900387</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6.1502827928065</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6.30100346178492</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6.45546431813529</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3.47598323906723</v>
      </c>
      <c r="M320" s="1" t="n">
        <f aca="false">01_Supuestos!$C$185*M317</f>
        <v>4.74615942135506</v>
      </c>
      <c r="N320" s="1" t="n">
        <f aca="false">01_Supuestos!$C$185*N317</f>
        <v>3.7565159224433</v>
      </c>
      <c r="O320" s="1" t="n">
        <f aca="false">01_Supuestos!$C$185*O317</f>
        <v>3.23730252576334</v>
      </c>
      <c r="P320" s="1" t="n">
        <f aca="false">01_Supuestos!$C$185*P317</f>
        <v>3.33016577971557</v>
      </c>
      <c r="Q320" s="1" t="n">
        <f aca="false">01_Supuestos!$C$185*Q317</f>
        <v>3.40693740531711</v>
      </c>
      <c r="R320" s="1" t="n">
        <f aca="false">01_Supuestos!$C$185*R317</f>
        <v>3.48663829408959</v>
      </c>
      <c r="S320" s="1" t="n">
        <f aca="false">01_Supuestos!$C$185*S317</f>
        <v>3.5685203593818</v>
      </c>
      <c r="T320" s="1" t="n">
        <f aca="false">01_Supuestos!$C$185*T317</f>
        <v>3.65279850223237</v>
      </c>
      <c r="U320" s="1" t="n">
        <f aca="false">01_Supuestos!$C$185*U317</f>
        <v>3.73932311323572</v>
      </c>
      <c r="V320" s="1" t="n">
        <f aca="false">01_Supuestos!$C$185*V317</f>
        <v>3.82812416056375</v>
      </c>
      <c r="W320" s="1" t="n">
        <f aca="false">01_Supuestos!$C$185*W317</f>
        <v>3.92044094362356</v>
      </c>
      <c r="X320" s="1" t="n">
        <f aca="false">01_Supuestos!$C$185*X317</f>
        <v>4.01533374644655</v>
      </c>
      <c r="Y320" s="1" t="n">
        <f aca="false">01_Supuestos!$C$185*Y317</f>
        <v>4.11283388097139</v>
      </c>
      <c r="Z320" s="1" t="n">
        <f aca="false">01_Supuestos!$C$185*Z317</f>
        <v>4.21297410562012</v>
      </c>
      <c r="AA320" s="1" t="n">
        <f aca="false">01_Supuestos!$C$185*AA317</f>
        <v>4.31578825358819</v>
      </c>
      <c r="AB320" s="1" t="n">
        <f aca="false">01_Supuestos!$C$185*AB317</f>
        <v>4.42128485575453</v>
      </c>
      <c r="AC320" s="1" t="n">
        <f aca="false">01_Supuestos!$C$185*AC317</f>
        <v>4.52949505041902</v>
      </c>
      <c r="AD320" s="1" t="n">
        <f aca="false">01_Supuestos!$C$185*AD317</f>
        <v>4.64045110933349</v>
      </c>
      <c r="AE320" s="1" t="n">
        <f aca="false">01_Supuestos!$C$185*AE317</f>
        <v>4.75418642534043</v>
      </c>
      <c r="AF320" s="1" t="n">
        <f aca="false">01_Supuestos!$C$185*AF317</f>
        <v>4.87073550968848</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4.51903315921503</v>
      </c>
      <c r="M321" s="1" t="n">
        <f aca="false">L321+M320-M323</f>
        <v>5.90482050104414</v>
      </c>
      <c r="N321" s="1" t="n">
        <f aca="false">M321+N320-N323</f>
        <v>5.33856906289498</v>
      </c>
      <c r="O321" s="1" t="n">
        <f aca="false">N321+O320-O323</f>
        <v>4.4894744999111</v>
      </c>
      <c r="P321" s="1" t="n">
        <f aca="false">O321+P320-P323</f>
        <v>4.40926662163668</v>
      </c>
      <c r="Q321" s="1" t="n">
        <f aca="false">P321+Q320-Q323</f>
        <v>4.51699266522229</v>
      </c>
      <c r="R321" s="1" t="n">
        <f aca="false">Q321+R320-R323</f>
        <v>4.62228409586196</v>
      </c>
      <c r="S321" s="1" t="n">
        <f aca="false">R321+S320-S323</f>
        <v>4.73073312407833</v>
      </c>
      <c r="T321" s="1" t="n">
        <f aca="false">S321+T320-T323</f>
        <v>4.84230528869297</v>
      </c>
      <c r="U321" s="1" t="n">
        <f aca="false">T321+U320-U323</f>
        <v>4.95692261397985</v>
      </c>
      <c r="V321" s="1" t="n">
        <f aca="false">U321+V320-V323</f>
        <v>5.074565198309</v>
      </c>
      <c r="W321" s="1" t="n">
        <f aca="false">V321+W320-W323</f>
        <v>5.19648233047814</v>
      </c>
      <c r="X321" s="1" t="n">
        <f aca="false">W321+X320-X323</f>
        <v>5.32214739432107</v>
      </c>
      <c r="Y321" s="1" t="n">
        <f aca="false">X321+Y320-Y323</f>
        <v>5.45127846312024</v>
      </c>
      <c r="Z321" s="1" t="n">
        <f aca="false">Y321+Z320-Z323</f>
        <v>5.58391873261058</v>
      </c>
      <c r="AA321" s="1" t="n">
        <f aca="false">Z321+AA320-AA323</f>
        <v>5.72011295546156</v>
      </c>
      <c r="AB321" s="1" t="n">
        <f aca="false">AA321+AB320-AB323</f>
        <v>5.85988094028393</v>
      </c>
      <c r="AC321" s="1" t="n">
        <f aca="false">AB321+AC320-AC323</f>
        <v>6.00325666900387</v>
      </c>
      <c r="AD321" s="1" t="n">
        <f aca="false">AC321+AD320-AD323</f>
        <v>6.1502827928065</v>
      </c>
      <c r="AE321" s="1" t="n">
        <f aca="false">AD321+AE320-AE323</f>
        <v>6.30100346178492</v>
      </c>
      <c r="AF321" s="1" t="n">
        <f aca="false">AE321+AF320-AF323</f>
        <v>6.45546431813529</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3.36037207952595</v>
      </c>
      <c r="N323" s="1" t="n">
        <f aca="false">MAX(0,MIN(N318,M321+N320,M321+N320-N319))</f>
        <v>4.32276736059245</v>
      </c>
      <c r="O323" s="1" t="n">
        <f aca="false">MAX(0,MIN(O318,N321+O320,N321+O320-O319))</f>
        <v>4.08639708874722</v>
      </c>
      <c r="P323" s="1" t="n">
        <f aca="false">MAX(0,MIN(P318,O321+P320,O321+P320-P319))</f>
        <v>3.41037365798999</v>
      </c>
      <c r="Q323" s="1" t="n">
        <f aca="false">MAX(0,MIN(Q318,P321+Q320,P321+Q320-Q319))</f>
        <v>3.29921136173149</v>
      </c>
      <c r="R323" s="1" t="n">
        <f aca="false">MAX(0,MIN(R318,Q321+R320,Q321+R320-R319))</f>
        <v>3.38134686344993</v>
      </c>
      <c r="S323" s="1" t="n">
        <f aca="false">MAX(0,MIN(S318,R321+S320,R321+S320-S319))</f>
        <v>3.46007133116543</v>
      </c>
      <c r="T323" s="1" t="n">
        <f aca="false">MAX(0,MIN(T318,S321+T320,S321+T320-T319))</f>
        <v>3.54122633761773</v>
      </c>
      <c r="U323" s="1" t="n">
        <f aca="false">MAX(0,MIN(U318,T321+U320,T321+U320-U319))</f>
        <v>3.62470578794885</v>
      </c>
      <c r="V323" s="1" t="n">
        <f aca="false">MAX(0,MIN(V318,U321+V320,U321+V320-V319))</f>
        <v>3.7104815762346</v>
      </c>
      <c r="W323" s="1" t="n">
        <f aca="false">MAX(0,MIN(W318,V321+W320,V321+W320-W319))</f>
        <v>3.79852381145441</v>
      </c>
      <c r="X323" s="1" t="n">
        <f aca="false">MAX(0,MIN(X318,W321+X320,W321+X320-X319))</f>
        <v>3.88966868260362</v>
      </c>
      <c r="Y323" s="1" t="n">
        <f aca="false">MAX(0,MIN(Y318,X321+Y320,X321+Y320-Y319))</f>
        <v>3.98370281217222</v>
      </c>
      <c r="Z323" s="1" t="n">
        <f aca="false">MAX(0,MIN(Z318,Y321+Z320,Y321+Z320-Z319))</f>
        <v>4.08033383612978</v>
      </c>
      <c r="AA323" s="1" t="n">
        <f aca="false">MAX(0,MIN(AA318,Z321+AA320,Z321+AA320-AA319))</f>
        <v>4.17959403073721</v>
      </c>
      <c r="AB323" s="1" t="n">
        <f aca="false">MAX(0,MIN(AB318,AA321+AB320,AA321+AB320-AB319))</f>
        <v>4.28151687093217</v>
      </c>
      <c r="AC323" s="1" t="n">
        <f aca="false">MAX(0,MIN(AC318,AB321+AC320,AB321+AC320-AC319))</f>
        <v>4.38611932169908</v>
      </c>
      <c r="AD323" s="1" t="n">
        <f aca="false">MAX(0,MIN(AD318,AC321+AD320,AC321+AD320-AD319))</f>
        <v>4.49342498553086</v>
      </c>
      <c r="AE323" s="1" t="n">
        <f aca="false">MAX(0,MIN(AE318,AD321+AE320,AD321+AE320-AE319))</f>
        <v>4.603465756362</v>
      </c>
      <c r="AF323" s="1" t="n">
        <f aca="false">MAX(0,MIN(AF318,AE321+AF320,AE321+AF320-AF319))</f>
        <v>4.71627465333811</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4.51903315921503</v>
      </c>
      <c r="M326" s="1" t="n">
        <f aca="false">IF(01_Supuestos!$C$184="Sí",M321,$C$172*M83)</f>
        <v>5.90482050104414</v>
      </c>
      <c r="N326" s="1" t="n">
        <f aca="false">IF(01_Supuestos!$C$184="Sí",N321,$C$172*N83)</f>
        <v>5.33856906289498</v>
      </c>
      <c r="O326" s="1" t="n">
        <f aca="false">IF(01_Supuestos!$C$184="Sí",O321,$C$172*O83)</f>
        <v>4.4894744999111</v>
      </c>
      <c r="P326" s="1" t="n">
        <f aca="false">IF(01_Supuestos!$C$184="Sí",P321,$C$172*P83)</f>
        <v>4.40926662163668</v>
      </c>
      <c r="Q326" s="1" t="n">
        <f aca="false">IF(01_Supuestos!$C$184="Sí",Q321,$C$172*Q83)</f>
        <v>4.51699266522229</v>
      </c>
      <c r="R326" s="1" t="n">
        <f aca="false">IF(01_Supuestos!$C$184="Sí",R321,$C$172*R83)</f>
        <v>4.62228409586196</v>
      </c>
      <c r="S326" s="1" t="n">
        <f aca="false">IF(01_Supuestos!$C$184="Sí",S321,$C$172*S83)</f>
        <v>4.73073312407833</v>
      </c>
      <c r="T326" s="1" t="n">
        <f aca="false">IF(01_Supuestos!$C$184="Sí",T321,$C$172*T83)</f>
        <v>4.84230528869297</v>
      </c>
      <c r="U326" s="1" t="n">
        <f aca="false">IF(01_Supuestos!$C$184="Sí",U321,$C$172*U83)</f>
        <v>4.95692261397985</v>
      </c>
      <c r="V326" s="1" t="n">
        <f aca="false">IF(01_Supuestos!$C$184="Sí",V321,$C$172*V83)</f>
        <v>5.074565198309</v>
      </c>
      <c r="W326" s="1" t="n">
        <f aca="false">IF(01_Supuestos!$C$184="Sí",W321,$C$172*W83)</f>
        <v>5.19648233047814</v>
      </c>
      <c r="X326" s="1" t="n">
        <f aca="false">IF(01_Supuestos!$C$184="Sí",X321,$C$172*X83)</f>
        <v>5.32214739432107</v>
      </c>
      <c r="Y326" s="1" t="n">
        <f aca="false">IF(01_Supuestos!$C$184="Sí",Y321,$C$172*Y83)</f>
        <v>5.45127846312024</v>
      </c>
      <c r="Z326" s="1" t="n">
        <f aca="false">IF(01_Supuestos!$C$184="Sí",Z321,$C$172*Z83)</f>
        <v>5.58391873261058</v>
      </c>
      <c r="AA326" s="1" t="n">
        <f aca="false">IF(01_Supuestos!$C$184="Sí",AA321,$C$172*AA83)</f>
        <v>5.72011295546156</v>
      </c>
      <c r="AB326" s="1" t="n">
        <f aca="false">IF(01_Supuestos!$C$184="Sí",AB321,$C$172*AB83)</f>
        <v>5.85988094028393</v>
      </c>
      <c r="AC326" s="1" t="n">
        <f aca="false">IF(01_Supuestos!$C$184="Sí",AC321,$C$172*AC83)</f>
        <v>6.00325666900387</v>
      </c>
      <c r="AD326" s="1" t="n">
        <f aca="false">IF(01_Supuestos!$C$184="Sí",AD321,$C$172*AD83)</f>
        <v>6.1502827928065</v>
      </c>
      <c r="AE326" s="1" t="n">
        <f aca="false">IF(01_Supuestos!$C$184="Sí",AE321,$C$172*AE83)</f>
        <v>6.30100346178492</v>
      </c>
      <c r="AF326" s="1" t="n">
        <f aca="false">IF(01_Supuestos!$C$184="Sí",AF321,$C$172*AF83)</f>
        <v>6.45546431813529</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0.114206263674219</v>
      </c>
      <c r="N327" s="1" t="n">
        <f aca="false">IF(01_Supuestos!$C$184="Sí",MAX(0.001,IF(M299&gt;0,M320/M299,$C$328*(1-$C$279))),$C$172)</f>
        <v>0.135882432490883</v>
      </c>
      <c r="O327" s="1" t="n">
        <f aca="false">IF(01_Supuestos!$C$184="Sí",MAX(0.001,IF(N299&gt;0,N320/N299,$C$328*(1-$C$279))),$C$172)</f>
        <v>0.150116069593199</v>
      </c>
      <c r="P327" s="1" t="n">
        <f aca="false">IF(01_Supuestos!$C$184="Sí",MAX(0.001,IF(O299&gt;0,O320/O299,$C$328*(1-$C$279))),$C$172)</f>
        <v>0.136570774476917</v>
      </c>
      <c r="Q327" s="1" t="n">
        <f aca="false">IF(01_Supuestos!$C$184="Sí",MAX(0.001,IF(P299&gt;0,P320/P299,$C$328*(1-$C$279))),$C$172)</f>
        <v>0.13738452204008</v>
      </c>
      <c r="R327" s="1" t="n">
        <f aca="false">IF(01_Supuestos!$C$184="Sí",MAX(0.001,IF(Q299&gt;0,Q320/Q299,$C$328*(1-$C$279))),$C$172)</f>
        <v>0.137401197716368</v>
      </c>
      <c r="S327" s="1" t="n">
        <f aca="false">IF(01_Supuestos!$C$184="Sí",MAX(0.001,IF(R299&gt;0,R320/R299,$C$328*(1-$C$279))),$C$172)</f>
        <v>0.137461191892732</v>
      </c>
      <c r="T327" s="1" t="n">
        <f aca="false">IF(01_Supuestos!$C$184="Sí",MAX(0.001,IF(S299&gt;0,S320/S299,$C$328*(1-$C$279))),$C$172)</f>
        <v>0.137529539533435</v>
      </c>
      <c r="U327" s="1" t="n">
        <f aca="false">IF(01_Supuestos!$C$184="Sí",MAX(0.001,IF(T299&gt;0,T320/T299,$C$328*(1-$C$279))),$C$172)</f>
        <v>0.13761217715263</v>
      </c>
      <c r="V327" s="1" t="n">
        <f aca="false">IF(01_Supuestos!$C$184="Sí",MAX(0.001,IF(U299&gt;0,U320/U299,$C$328*(1-$C$279))),$C$172)</f>
        <v>0.137700720350308</v>
      </c>
      <c r="W327" s="1" t="n">
        <f aca="false">IF(01_Supuestos!$C$184="Sí",MAX(0.001,IF(V299&gt;0,V320/V299,$C$328*(1-$C$279))),$C$172)</f>
        <v>0.137794278005541</v>
      </c>
      <c r="X327" s="1" t="n">
        <f aca="false">IF(01_Supuestos!$C$184="Sí",MAX(0.001,IF(W299&gt;0,W320/W299,$C$328*(1-$C$279))),$C$172)</f>
        <v>0.137934527438384</v>
      </c>
      <c r="Y327" s="1" t="n">
        <f aca="false">IF(01_Supuestos!$C$184="Sí",MAX(0.001,IF(X299&gt;0,X320/X299,$C$328*(1-$C$279))),$C$172)</f>
        <v>0.13808251832353</v>
      </c>
      <c r="Z327" s="1" t="n">
        <f aca="false">IF(01_Supuestos!$C$184="Sí",MAX(0.001,IF(Y299&gt;0,Y320/Y299,$C$328*(1-$C$279))),$C$172)</f>
        <v>0.13823710343343</v>
      </c>
      <c r="AA327" s="1" t="n">
        <f aca="false">IF(01_Supuestos!$C$184="Sí",MAX(0.001,IF(Z299&gt;0,Z320/Z299,$C$328*(1-$C$279))),$C$172)</f>
        <v>0.138397220208339</v>
      </c>
      <c r="AB327" s="1" t="n">
        <f aca="false">IF(01_Supuestos!$C$184="Sí",MAX(0.001,IF(AA299&gt;0,AA320/AA299,$C$328*(1-$C$279))),$C$172)</f>
        <v>0.138561873171196</v>
      </c>
      <c r="AC327" s="1" t="n">
        <f aca="false">IF(01_Supuestos!$C$184="Sí",MAX(0.001,IF(AB299&gt;0,AB320/AB299,$C$328*(1-$C$279))),$C$172)</f>
        <v>0.138729302901998</v>
      </c>
      <c r="AD327" s="1" t="n">
        <f aca="false">IF(01_Supuestos!$C$184="Sí",MAX(0.001,IF(AC299&gt;0,AC320/AC299,$C$328*(1-$C$279))),$C$172)</f>
        <v>0.138898582527511</v>
      </c>
      <c r="AE327" s="1" t="n">
        <f aca="false">IF(01_Supuestos!$C$184="Sí",MAX(0.001,IF(AD299&gt;0,AD320/AD299,$C$328*(1-$C$279))),$C$172)</f>
        <v>0.139068851410506</v>
      </c>
      <c r="AF327" s="1" t="n">
        <f aca="false">IF(01_Supuestos!$C$184="Sí",MAX(0.001,IF(AE299&gt;0,AE320/AE299,$C$328*(1-$C$279))),$C$172)</f>
        <v>0.139239311107147</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0.0951227722265819</v>
      </c>
      <c r="N330" s="1" t="n">
        <f aca="false">N343</f>
        <v>0.116937286988959</v>
      </c>
      <c r="O330" s="1" t="n">
        <f aca="false">O343</f>
        <v>0.125840037713673</v>
      </c>
      <c r="P330" s="1" t="n">
        <f aca="false">P343</f>
        <v>0.128479138535279</v>
      </c>
      <c r="Q330" s="1" t="n">
        <f aca="false">Q343</f>
        <v>0.131388853204598</v>
      </c>
      <c r="R330" s="1" t="n">
        <f aca="false">R343</f>
        <v>0.134376121526952</v>
      </c>
      <c r="S330" s="1" t="n">
        <f aca="false">S343</f>
        <v>0.137450622997526</v>
      </c>
      <c r="T330" s="1" t="n">
        <f aca="false">T343</f>
        <v>0.140613644446018</v>
      </c>
      <c r="U330" s="1" t="n">
        <f aca="false">U343</f>
        <v>0.143868066901881</v>
      </c>
      <c r="V330" s="1" t="n">
        <f aca="false">V343</f>
        <v>0.147214903147602</v>
      </c>
      <c r="W330" s="1" t="n">
        <f aca="false">W343</f>
        <v>0.150655220945251</v>
      </c>
      <c r="X330" s="1" t="n">
        <f aca="false">X343</f>
        <v>0.154200557265855</v>
      </c>
      <c r="Y330" s="1" t="n">
        <f aca="false">Y343</f>
        <v>0.157852031456927</v>
      </c>
      <c r="Z330" s="1" t="n">
        <f aca="false">Z343</f>
        <v>0.161610808031509</v>
      </c>
      <c r="AA330" s="1" t="n">
        <f aca="false">AA343</f>
        <v>0.165478100068611</v>
      </c>
      <c r="AB330" s="1" t="n">
        <f aca="false">AB343</f>
        <v>0.169455168726456</v>
      </c>
      <c r="AC330" s="1" t="n">
        <f aca="false">AC343</f>
        <v>0.173543095464757</v>
      </c>
      <c r="AD330" s="1" t="n">
        <f aca="false">AD343</f>
        <v>0.177743013019736</v>
      </c>
      <c r="AE330" s="1" t="n">
        <f aca="false">AE343</f>
        <v>0.182056104878937</v>
      </c>
      <c r="AF330" s="1" t="n">
        <f aca="false">AF343</f>
        <v>0.18648360475494</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0.0951227722265819</v>
      </c>
      <c r="N331" s="1" t="n">
        <f aca="false">N330*$C$338</f>
        <v>0.116937286988959</v>
      </c>
      <c r="O331" s="1" t="n">
        <f aca="false">O330*$C$338</f>
        <v>0.125840037713673</v>
      </c>
      <c r="P331" s="1" t="n">
        <f aca="false">P330*$C$338</f>
        <v>0.128479138535279</v>
      </c>
      <c r="Q331" s="1" t="n">
        <f aca="false">Q330*$C$338</f>
        <v>0.131388853204598</v>
      </c>
      <c r="R331" s="1" t="n">
        <f aca="false">R330*$C$338</f>
        <v>0.134376121526952</v>
      </c>
      <c r="S331" s="1" t="n">
        <f aca="false">S330*$C$338</f>
        <v>0.137450622997526</v>
      </c>
      <c r="T331" s="1" t="n">
        <f aca="false">T330*$C$338</f>
        <v>0.140613644446018</v>
      </c>
      <c r="U331" s="1" t="n">
        <f aca="false">U330*$C$338</f>
        <v>0.143868066901881</v>
      </c>
      <c r="V331" s="1" t="n">
        <f aca="false">V330*$C$338</f>
        <v>0.147214903147602</v>
      </c>
      <c r="W331" s="1" t="n">
        <f aca="false">W330*$C$338</f>
        <v>0.150655220945251</v>
      </c>
      <c r="X331" s="1" t="n">
        <f aca="false">X330*$C$338</f>
        <v>0.154200557265855</v>
      </c>
      <c r="Y331" s="1" t="n">
        <f aca="false">Y330*$C$338</f>
        <v>0.157852031456927</v>
      </c>
      <c r="Z331" s="1" t="n">
        <f aca="false">Z330*$C$338</f>
        <v>0.161610808031509</v>
      </c>
      <c r="AA331" s="1" t="n">
        <f aca="false">AA330*$C$338</f>
        <v>0.165478100068611</v>
      </c>
      <c r="AB331" s="1" t="n">
        <f aca="false">AB330*$C$338</f>
        <v>0.169455168726456</v>
      </c>
      <c r="AC331" s="1" t="n">
        <f aca="false">AC330*$C$338</f>
        <v>0.173543095464757</v>
      </c>
      <c r="AD331" s="1" t="n">
        <f aca="false">AD330*$C$338</f>
        <v>0.177743013019736</v>
      </c>
      <c r="AE331" s="1" t="n">
        <f aca="false">AE330*$C$338</f>
        <v>0.182056104878937</v>
      </c>
      <c r="AF331" s="1" t="n">
        <f aca="false">AF330*$C$338</f>
        <v>0.18648360475494</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0.0951227722265819</v>
      </c>
      <c r="N332" s="1" t="n">
        <f aca="false">IF($C$339&lt;=0,N331,IF($C$339=1,M331,L331))</f>
        <v>0.116937286988959</v>
      </c>
      <c r="O332" s="1" t="n">
        <f aca="false">IF($C$339&lt;=0,O331,IF($C$339=1,N331,M331))</f>
        <v>0.125840037713673</v>
      </c>
      <c r="P332" s="1" t="n">
        <f aca="false">IF($C$339&lt;=0,P331,IF($C$339=1,O331,N331))</f>
        <v>0.128479138535279</v>
      </c>
      <c r="Q332" s="1" t="n">
        <f aca="false">IF($C$339&lt;=0,Q331,IF($C$339=1,P331,O331))</f>
        <v>0.131388853204598</v>
      </c>
      <c r="R332" s="1" t="n">
        <f aca="false">IF($C$339&lt;=0,R331,IF($C$339=1,Q331,P331))</f>
        <v>0.134376121526952</v>
      </c>
      <c r="S332" s="1" t="n">
        <f aca="false">IF($C$339&lt;=0,S331,IF($C$339=1,R331,Q331))</f>
        <v>0.137450622997526</v>
      </c>
      <c r="T332" s="1" t="n">
        <f aca="false">IF($C$339&lt;=0,T331,IF($C$339=1,S331,R331))</f>
        <v>0.140613644446018</v>
      </c>
      <c r="U332" s="1" t="n">
        <f aca="false">IF($C$339&lt;=0,U331,IF($C$339=1,T331,S331))</f>
        <v>0.143868066901881</v>
      </c>
      <c r="V332" s="1" t="n">
        <f aca="false">IF($C$339&lt;=0,V331,IF($C$339=1,U331,T331))</f>
        <v>0.147214903147602</v>
      </c>
      <c r="W332" s="1" t="n">
        <f aca="false">IF($C$339&lt;=0,W331,IF($C$339=1,V331,U331))</f>
        <v>0.150655220945251</v>
      </c>
      <c r="X332" s="1" t="n">
        <f aca="false">IF($C$339&lt;=0,X331,IF($C$339=1,W331,V331))</f>
        <v>0.154200557265855</v>
      </c>
      <c r="Y332" s="1" t="n">
        <f aca="false">IF($C$339&lt;=0,Y331,IF($C$339=1,X331,W331))</f>
        <v>0.157852031456927</v>
      </c>
      <c r="Z332" s="1" t="n">
        <f aca="false">IF($C$339&lt;=0,Z331,IF($C$339=1,Y331,X331))</f>
        <v>0.161610808031509</v>
      </c>
      <c r="AA332" s="1" t="n">
        <f aca="false">IF($C$339&lt;=0,AA331,IF($C$339=1,Z331,Y331))</f>
        <v>0.165478100068611</v>
      </c>
      <c r="AB332" s="1" t="n">
        <f aca="false">IF($C$339&lt;=0,AB331,IF($C$339=1,AA331,Z331))</f>
        <v>0.169455168726456</v>
      </c>
      <c r="AC332" s="1" t="n">
        <f aca="false">IF($C$339&lt;=0,AC331,IF($C$339=1,AB331,AA331))</f>
        <v>0.173543095464757</v>
      </c>
      <c r="AD332" s="1" t="n">
        <f aca="false">IF($C$339&lt;=0,AD331,IF($C$339=1,AC331,AB331))</f>
        <v>0.177743013019736</v>
      </c>
      <c r="AE332" s="1" t="n">
        <f aca="false">IF($C$339&lt;=0,AE331,IF($C$339=1,AD331,AC331))</f>
        <v>0.182056104878937</v>
      </c>
      <c r="AF332" s="1" t="n">
        <f aca="false">IF($C$339&lt;=0,AF331,IF($C$339=1,AE331,AD331))</f>
        <v>0.18648360475494</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0.0399515643351644</v>
      </c>
      <c r="N341" s="1" t="n">
        <f aca="false">M284*$C$340</f>
        <v>0.0491136605353627</v>
      </c>
      <c r="O341" s="1" t="n">
        <f aca="false">N284*$C$340</f>
        <v>0.0528528158397428</v>
      </c>
      <c r="P341" s="1" t="n">
        <f aca="false">O284*$C$340</f>
        <v>0.0539612381848173</v>
      </c>
      <c r="Q341" s="1" t="n">
        <f aca="false">P284*$C$340</f>
        <v>0.0551833183459313</v>
      </c>
      <c r="R341" s="1" t="n">
        <f aca="false">Q284*$C$340</f>
        <v>0.0564379710413199</v>
      </c>
      <c r="S341" s="1" t="n">
        <f aca="false">R284*$C$340</f>
        <v>0.057729261658961</v>
      </c>
      <c r="T341" s="1" t="n">
        <f aca="false">S284*$C$340</f>
        <v>0.0590577306673275</v>
      </c>
      <c r="U341" s="1" t="n">
        <f aca="false">T284*$C$340</f>
        <v>0.0604245880987901</v>
      </c>
      <c r="V341" s="1" t="n">
        <f aca="false">U284*$C$340</f>
        <v>0.0618302593219928</v>
      </c>
      <c r="W341" s="1" t="n">
        <f aca="false">V284*$C$340</f>
        <v>0.0632751927970054</v>
      </c>
      <c r="X341" s="1" t="n">
        <f aca="false">W284*$C$340</f>
        <v>0.0647642340516589</v>
      </c>
      <c r="Y341" s="1" t="n">
        <f aca="false">X284*$C$340</f>
        <v>0.0662978532119095</v>
      </c>
      <c r="Z341" s="1" t="n">
        <f aca="false">Y284*$C$340</f>
        <v>0.0678765393732338</v>
      </c>
      <c r="AA341" s="1" t="n">
        <f aca="false">Z284*$C$340</f>
        <v>0.0695008020288165</v>
      </c>
      <c r="AB341" s="1" t="n">
        <f aca="false">AA284*$C$340</f>
        <v>0.0711711708651115</v>
      </c>
      <c r="AC341" s="1" t="n">
        <f aca="false">AB284*$C$340</f>
        <v>0.072888100095198</v>
      </c>
      <c r="AD341" s="1" t="n">
        <f aca="false">AC284*$C$340</f>
        <v>0.074652065468289</v>
      </c>
      <c r="AE341" s="1" t="n">
        <f aca="false">AD284*$C$340</f>
        <v>0.0764635640491537</v>
      </c>
      <c r="AF341" s="1" t="n">
        <f aca="false">AE284*$C$340</f>
        <v>0.0783231139970748</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0.0551712078914175</v>
      </c>
      <c r="N342" s="1" t="n">
        <f aca="false">M289*$C$340</f>
        <v>0.0678236264535962</v>
      </c>
      <c r="O342" s="1" t="n">
        <f aca="false">N289*$C$340</f>
        <v>0.0729872218739306</v>
      </c>
      <c r="P342" s="1" t="n">
        <f aca="false">O289*$C$340</f>
        <v>0.074517900350462</v>
      </c>
      <c r="Q342" s="1" t="n">
        <f aca="false">P289*$C$340</f>
        <v>0.0762055348586671</v>
      </c>
      <c r="R342" s="1" t="n">
        <f aca="false">Q289*$C$340</f>
        <v>0.0779381504856322</v>
      </c>
      <c r="S342" s="1" t="n">
        <f aca="false">R289*$C$340</f>
        <v>0.0797213613385652</v>
      </c>
      <c r="T342" s="1" t="n">
        <f aca="false">S289*$C$340</f>
        <v>0.0815559137786903</v>
      </c>
      <c r="U342" s="1" t="n">
        <f aca="false">T289*$C$340</f>
        <v>0.0834434788030912</v>
      </c>
      <c r="V342" s="1" t="n">
        <f aca="false">U289*$C$340</f>
        <v>0.0853846438256091</v>
      </c>
      <c r="W342" s="1" t="n">
        <f aca="false">V289*$C$340</f>
        <v>0.0873800281482455</v>
      </c>
      <c r="X342" s="1" t="n">
        <f aca="false">W289*$C$340</f>
        <v>0.0894363232141956</v>
      </c>
      <c r="Y342" s="1" t="n">
        <f aca="false">X289*$C$340</f>
        <v>0.0915541782450179</v>
      </c>
      <c r="Z342" s="1" t="n">
        <f aca="false">Y289*$C$340</f>
        <v>0.0937342686582753</v>
      </c>
      <c r="AA342" s="1" t="n">
        <f aca="false">Z289*$C$340</f>
        <v>0.0959772980397942</v>
      </c>
      <c r="AB342" s="1" t="n">
        <f aca="false">AA289*$C$340</f>
        <v>0.0982839978613444</v>
      </c>
      <c r="AC342" s="1" t="n">
        <f aca="false">AB289*$C$340</f>
        <v>0.100654995369559</v>
      </c>
      <c r="AD342" s="1" t="n">
        <f aca="false">AC289*$C$340</f>
        <v>0.103090947551447</v>
      </c>
      <c r="AE342" s="1" t="n">
        <f aca="false">AD289*$C$340</f>
        <v>0.105592540829784</v>
      </c>
      <c r="AF342" s="1" t="n">
        <f aca="false">AE289*$C$340</f>
        <v>0.108160490757865</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0.0951227722265819</v>
      </c>
      <c r="N343" s="1" t="n">
        <f aca="false">N341+N342</f>
        <v>0.116937286988959</v>
      </c>
      <c r="O343" s="1" t="n">
        <f aca="false">O341+O342</f>
        <v>0.125840037713673</v>
      </c>
      <c r="P343" s="1" t="n">
        <f aca="false">P341+P342</f>
        <v>0.128479138535279</v>
      </c>
      <c r="Q343" s="1" t="n">
        <f aca="false">Q341+Q342</f>
        <v>0.131388853204598</v>
      </c>
      <c r="R343" s="1" t="n">
        <f aca="false">R341+R342</f>
        <v>0.134376121526952</v>
      </c>
      <c r="S343" s="1" t="n">
        <f aca="false">S341+S342</f>
        <v>0.137450622997526</v>
      </c>
      <c r="T343" s="1" t="n">
        <f aca="false">T341+T342</f>
        <v>0.140613644446018</v>
      </c>
      <c r="U343" s="1" t="n">
        <f aca="false">U341+U342</f>
        <v>0.143868066901881</v>
      </c>
      <c r="V343" s="1" t="n">
        <f aca="false">V341+V342</f>
        <v>0.147214903147602</v>
      </c>
      <c r="W343" s="1" t="n">
        <f aca="false">W341+W342</f>
        <v>0.150655220945251</v>
      </c>
      <c r="X343" s="1" t="n">
        <f aca="false">X341+X342</f>
        <v>0.154200557265855</v>
      </c>
      <c r="Y343" s="1" t="n">
        <f aca="false">Y341+Y342</f>
        <v>0.157852031456927</v>
      </c>
      <c r="Z343" s="1" t="n">
        <f aca="false">Z341+Z342</f>
        <v>0.161610808031509</v>
      </c>
      <c r="AA343" s="1" t="n">
        <f aca="false">AA341+AA342</f>
        <v>0.165478100068611</v>
      </c>
      <c r="AB343" s="1" t="n">
        <f aca="false">AB341+AB342</f>
        <v>0.169455168726456</v>
      </c>
      <c r="AC343" s="1" t="n">
        <f aca="false">AC341+AC342</f>
        <v>0.173543095464757</v>
      </c>
      <c r="AD343" s="1" t="n">
        <f aca="false">AD341+AD342</f>
        <v>0.177743013019736</v>
      </c>
      <c r="AE343" s="1" t="n">
        <f aca="false">AE341+AE342</f>
        <v>0.182056104878937</v>
      </c>
      <c r="AF343" s="1" t="n">
        <f aca="false">AF341+AF342</f>
        <v>0.18648360475494</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1401</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398</v>
      </c>
      <c r="D6" s="83" t="s">
        <v>434</v>
      </c>
    </row>
    <row r="7" customFormat="false" ht="15" hidden="false" customHeight="true" outlineLevel="0" collapsed="false">
      <c r="B7" s="1" t="s">
        <v>1002</v>
      </c>
      <c r="C7" s="124" t="n">
        <v>0.001</v>
      </c>
      <c r="D7" s="83" t="s">
        <v>434</v>
      </c>
    </row>
    <row r="8" customFormat="false" ht="15" hidden="false" customHeight="true" outlineLevel="0" collapsed="false">
      <c r="B8" s="1" t="s">
        <v>1003</v>
      </c>
      <c r="C8" s="124" t="n">
        <f aca="false">$C$340*(1-$C$338)</f>
        <v>0</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52" t="n">
        <v>0.0022</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1021</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1026</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1</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1.015</v>
      </c>
      <c r="D42" s="116" t="n">
        <f aca="false">IF($C$6="Sí",(1+01_Supuestos!$I$104)^D$39,1)</f>
        <v>1.030225</v>
      </c>
      <c r="E42" s="116" t="n">
        <f aca="false">IF($C$6="Sí",(1+01_Supuestos!$I$104)^E$39,1)</f>
        <v>1.045678375</v>
      </c>
      <c r="F42" s="116" t="n">
        <f aca="false">IF($C$6="Sí",(1+01_Supuestos!$I$104)^F$39,1)</f>
        <v>1.061363550625</v>
      </c>
      <c r="G42" s="116" t="n">
        <f aca="false">IF($C$6="Sí",(1+01_Supuestos!$I$104)^G$39,1)</f>
        <v>1.07728400388437</v>
      </c>
      <c r="H42" s="116" t="n">
        <f aca="false">IF($C$6="Sí",(1+01_Supuestos!$I$104)^H$39,1)</f>
        <v>1.09344326394264</v>
      </c>
      <c r="I42" s="116" t="n">
        <f aca="false">IF($C$6="Sí",(1+01_Supuestos!$I$104)^I$39,1)</f>
        <v>1.10984491290178</v>
      </c>
      <c r="J42" s="116" t="n">
        <f aca="false">IF($C$6="Sí",(1+01_Supuestos!$I$104)^J$39,1)</f>
        <v>1.12649258659531</v>
      </c>
      <c r="K42" s="116" t="n">
        <f aca="false">IF($C$6="Sí",(1+01_Supuestos!$I$104)^K$39,1)</f>
        <v>1.14338997539424</v>
      </c>
      <c r="L42" s="116" t="n">
        <f aca="false">IF($C$6="Sí",(1+01_Supuestos!$I$104)^L$39,1)</f>
        <v>1.16054082502515</v>
      </c>
      <c r="M42" s="116" t="n">
        <f aca="false">IF($C$6="Sí",(1+01_Supuestos!$I$104)^M$39,1)</f>
        <v>1.17794893740053</v>
      </c>
      <c r="N42" s="116" t="n">
        <f aca="false">IF($C$6="Sí",(1+01_Supuestos!$I$104)^N$39,1)</f>
        <v>1.19561817146153</v>
      </c>
      <c r="O42" s="116" t="n">
        <f aca="false">IF($C$6="Sí",(1+01_Supuestos!$I$104)^O$39,1)</f>
        <v>1.21355244403346</v>
      </c>
      <c r="P42" s="116" t="n">
        <f aca="false">IF($C$6="Sí",(1+01_Supuestos!$I$104)^P$39,1)</f>
        <v>1.23175573069396</v>
      </c>
      <c r="Q42" s="116" t="n">
        <f aca="false">IF($C$6="Sí",(1+01_Supuestos!$I$104)^Q$39,1)</f>
        <v>1.25023206665437</v>
      </c>
      <c r="R42" s="116" t="n">
        <f aca="false">IF($C$6="Sí",(1+01_Supuestos!$I$104)^R$39,1)</f>
        <v>1.26898554765418</v>
      </c>
      <c r="S42" s="116" t="n">
        <f aca="false">IF($C$6="Sí",(1+01_Supuestos!$I$104)^S$39,1)</f>
        <v>1.288020330869</v>
      </c>
      <c r="T42" s="116" t="n">
        <f aca="false">IF($C$6="Sí",(1+01_Supuestos!$I$104)^T$39,1)</f>
        <v>1.30734063583203</v>
      </c>
      <c r="U42" s="116" t="n">
        <f aca="false">IF($C$6="Sí",(1+01_Supuestos!$I$104)^U$39,1)</f>
        <v>1.32695074536951</v>
      </c>
      <c r="V42" s="116" t="n">
        <f aca="false">IF($C$6="Sí",(1+01_Supuestos!$I$104)^V$39,1)</f>
        <v>1.34685500655005</v>
      </c>
      <c r="W42" s="116" t="n">
        <f aca="false">IF($C$6="Sí",(1+01_Supuestos!$I$104)^W$39,1)</f>
        <v>1.3670578316483</v>
      </c>
      <c r="X42" s="116" t="n">
        <f aca="false">IF($C$6="Sí",(1+01_Supuestos!$I$104)^X$39,1)</f>
        <v>1.38756369912303</v>
      </c>
      <c r="Y42" s="116" t="n">
        <f aca="false">IF($C$6="Sí",(1+01_Supuestos!$I$104)^Y$39,1)</f>
        <v>1.40837715460987</v>
      </c>
      <c r="Z42" s="116" t="n">
        <f aca="false">IF($C$6="Sí",(1+01_Supuestos!$I$104)^Z$39,1)</f>
        <v>1.42950281192902</v>
      </c>
      <c r="AA42" s="116" t="n">
        <f aca="false">IF($C$6="Sí",(1+01_Supuestos!$I$104)^AA$39,1)</f>
        <v>1.45094535410796</v>
      </c>
      <c r="AB42" s="116" t="n">
        <f aca="false">IF($C$6="Sí",(1+01_Supuestos!$I$104)^AB$39,1)</f>
        <v>1.47270953441958</v>
      </c>
      <c r="AC42" s="116" t="n">
        <f aca="false">IF($C$6="Sí",(1+01_Supuestos!$I$104)^AC$39,1)</f>
        <v>1.49480017743587</v>
      </c>
      <c r="AD42" s="116" t="n">
        <f aca="false">IF($C$6="Sí",(1+01_Supuestos!$I$104)^AD$39,1)</f>
        <v>1.51722218009741</v>
      </c>
      <c r="AE42" s="116" t="n">
        <f aca="false">IF($C$6="Sí",(1+01_Supuestos!$I$104)^AE$39,1)</f>
        <v>1.53998051279887</v>
      </c>
      <c r="AF42" s="116" t="n">
        <f aca="false">IF($C$6="Sí",(1+01_Supuestos!$I$104)^AF$39,1)</f>
        <v>1.56308022049085</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57.20223777748</v>
      </c>
      <c r="D48" s="116" t="n">
        <f aca="false">SUMPRODUCT(($C$39:$BT$39&gt;=D$39-$C$29+1)*($C$39:$BT$39&lt;=D$39)*($C$45:$BT$45))/$C$29+D47</f>
        <v>34.966185862</v>
      </c>
      <c r="E48" s="116" t="n">
        <f aca="false">SUMPRODUCT(($C$39:$BT$39&gt;=E$39-$C$29+1)*($C$39:$BT$39&lt;=E$39)*($C$45:$BT$45))/$C$29+E47</f>
        <v>29.7357744</v>
      </c>
      <c r="F48" s="116" t="n">
        <f aca="false">SUMPRODUCT(($C$39:$BT$39&gt;=F$39-$C$29+1)*($C$39:$BT$39&lt;=F$39)*($C$45:$BT$45))/$C$29+F47</f>
        <v>82.048473431352</v>
      </c>
      <c r="G48" s="116" t="n">
        <f aca="false">SUMPRODUCT(($C$39:$BT$39&gt;=G$39-$C$29+1)*($C$39:$BT$39&lt;=G$39)*($C$45:$BT$45))/$C$29+G47</f>
        <v>0</v>
      </c>
      <c r="H48" s="116" t="n">
        <f aca="false">SUMPRODUCT(($C$39:$BT$39&gt;=H$39-$C$29+1)*($C$39:$BT$39&lt;=H$39)*($C$45:$BT$45))/$C$29+H47</f>
        <v>0</v>
      </c>
      <c r="I48" s="116" t="n">
        <f aca="false">SUMPRODUCT(($C$39:$BT$39&gt;=I$39-$C$29+1)*($C$39:$BT$39&lt;=I$39)*($C$45:$BT$45))/$C$29+I47</f>
        <v>0</v>
      </c>
      <c r="J48" s="116" t="n">
        <f aca="false">SUMPRODUCT(($C$39:$BT$39&gt;=J$39-$C$29+1)*($C$39:$BT$39&lt;=J$39)*($C$45:$BT$45))/$C$29+J47</f>
        <v>0</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45.640408</v>
      </c>
      <c r="G49" s="116" t="n">
        <f aca="false">SUMPRODUCT(($C$39:$BT$39&gt;=G$39-$C$29+1)*($C$39:$BT$39&lt;=G$39)*($C$46:$BT$46))/$C$29</f>
        <v>0</v>
      </c>
      <c r="H49" s="116" t="n">
        <f aca="false">SUMPRODUCT(($C$39:$BT$39&gt;=H$39-$C$29+1)*($C$39:$BT$39&lt;=H$39)*($C$46:$BT$46))/$C$29</f>
        <v>0</v>
      </c>
      <c r="I49" s="116" t="n">
        <f aca="false">SUMPRODUCT(($C$39:$BT$39&gt;=I$39-$C$29+1)*($C$39:$BT$39&lt;=I$39)*($C$46:$BT$46))/$C$29</f>
        <v>0</v>
      </c>
      <c r="J49" s="116" t="n">
        <f aca="false">SUMPRODUCT(($C$39:$BT$39&gt;=J$39-$C$29+1)*($C$39:$BT$39&lt;=J$39)*($C$46:$BT$46))/$C$29</f>
        <v>0</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4.28520470662724</v>
      </c>
      <c r="G50" s="116" t="n">
        <f aca="false">IF($C$6="Sí",23_v67_Intermedio!G24,22_v67_Prudente!G24)-G194+G345</f>
        <v>4.273187630098</v>
      </c>
      <c r="H50" s="116" t="n">
        <f aca="false">IF($C$6="Sí",23_v67_Intermedio!H24,22_v67_Prudente!H24)-H194+H345</f>
        <v>4.26099029742082</v>
      </c>
      <c r="I50" s="116" t="n">
        <f aca="false">IF($C$6="Sí",23_v67_Intermedio!I24,22_v67_Prudente!I24)-I194+I345</f>
        <v>4.24861000475348</v>
      </c>
      <c r="J50" s="116" t="n">
        <f aca="false">IF($C$6="Sí",23_v67_Intermedio!J24,22_v67_Prudente!J24)-J194+J345</f>
        <v>4.23604400769613</v>
      </c>
      <c r="K50" s="116" t="n">
        <f aca="false">IF($C$6="Sí",23_v67_Intermedio!K24,22_v67_Prudente!K24)-K194+K345</f>
        <v>4.22328952068292</v>
      </c>
      <c r="L50" s="116" t="n">
        <f aca="false">IF($C$6="Sí",23_v67_Intermedio!L24,22_v67_Prudente!L24)-L194+L345</f>
        <v>4.21034371636452</v>
      </c>
      <c r="M50" s="116" t="n">
        <f aca="false">IF($C$6="Sí",23_v67_Intermedio!M24,22_v67_Prudente!M24)-M194+M345</f>
        <v>4.19720372498134</v>
      </c>
      <c r="N50" s="116" t="n">
        <f aca="false">IF($C$6="Sí",23_v67_Intermedio!N24,22_v67_Prudente!N24)-N194+N345</f>
        <v>4.18386663372741</v>
      </c>
      <c r="O50" s="116" t="n">
        <f aca="false">IF($C$6="Sí",23_v67_Intermedio!O24,22_v67_Prudente!O24)-O194+O345</f>
        <v>4.17032948610467</v>
      </c>
      <c r="P50" s="116" t="n">
        <f aca="false">IF($C$6="Sí",23_v67_Intermedio!P24,22_v67_Prudente!P24)-P194+P345</f>
        <v>4.15658928126759</v>
      </c>
      <c r="Q50" s="116" t="n">
        <f aca="false">IF($C$6="Sí",23_v67_Intermedio!Q24,22_v67_Prudente!Q24)-Q194+Q345</f>
        <v>4.14264297335795</v>
      </c>
      <c r="R50" s="116" t="n">
        <f aca="false">IF($C$6="Sí",23_v67_Intermedio!R24,22_v67_Prudente!R24)-R194+R345</f>
        <v>4.03921595620195</v>
      </c>
      <c r="S50" s="116" t="n">
        <f aca="false">IF($C$6="Sí",23_v67_Intermedio!S24,22_v67_Prudente!S24)-S194+S345</f>
        <v>3.93710917558176</v>
      </c>
      <c r="T50" s="116" t="n">
        <f aca="false">IF($C$6="Sí",23_v67_Intermedio!T24,22_v67_Prudente!T24)-T194+T345</f>
        <v>3.83635392931346</v>
      </c>
      <c r="U50" s="116" t="n">
        <f aca="false">IF($C$6="Sí",23_v67_Intermedio!U24,22_v67_Prudente!U24)-U194+U345</f>
        <v>3.73698215709441</v>
      </c>
      <c r="V50" s="116" t="n">
        <f aca="false">IF($C$6="Sí",23_v67_Intermedio!V24,22_v67_Prudente!V24)-V194+V345</f>
        <v>3.63902645271765</v>
      </c>
      <c r="W50" s="116" t="n">
        <f aca="false">IF($C$6="Sí",23_v67_Intermedio!W24,22_v67_Prudente!W24)-W194+W345</f>
        <v>3.54252007650835</v>
      </c>
      <c r="X50" s="116" t="n">
        <f aca="false">IF($C$6="Sí",23_v67_Intermedio!X24,22_v67_Prudente!X24)-X194+X345</f>
        <v>3.44749696798619</v>
      </c>
      <c r="Y50" s="116" t="n">
        <f aca="false">IF($C$6="Sí",23_v67_Intermedio!Y24,22_v67_Prudente!Y24)-Y194+Y345</f>
        <v>3.35399175875756</v>
      </c>
      <c r="Z50" s="116" t="n">
        <f aca="false">IF($C$6="Sí",23_v67_Intermedio!Z24,22_v67_Prudente!Z24)-Z194+Z345</f>
        <v>3.26203978564186</v>
      </c>
      <c r="AA50" s="116" t="n">
        <f aca="false">IF($C$6="Sí",23_v67_Intermedio!AA24,22_v67_Prudente!AA24)-AA194+AA345</f>
        <v>3.17167710403571</v>
      </c>
      <c r="AB50" s="116" t="n">
        <f aca="false">IF($C$6="Sí",23_v67_Intermedio!AB24,22_v67_Prudente!AB24)-AB194+AB345</f>
        <v>3.08294050151949</v>
      </c>
      <c r="AC50" s="116" t="n">
        <f aca="false">IF($C$6="Sí",23_v67_Intermedio!AC24,22_v67_Prudente!AC24)-AC194+AC345</f>
        <v>2.99586751171043</v>
      </c>
      <c r="AD50" s="116" t="n">
        <f aca="false">IF($C$6="Sí",23_v67_Intermedio!AD24,22_v67_Prudente!AD24)-AD194+AD345</f>
        <v>2.91049642836646</v>
      </c>
      <c r="AE50" s="116" t="n">
        <f aca="false">IF($C$6="Sí",23_v67_Intermedio!AE24,22_v67_Prudente!AE24)-AE194+AE345</f>
        <v>2.82686631974539</v>
      </c>
      <c r="AF50" s="116" t="n">
        <f aca="false">IF($C$6="Sí",23_v67_Intermedio!AF24,22_v67_Prudente!AF24)-AF194+AF345</f>
        <v>2.74501704322382</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2.84699989001482</v>
      </c>
      <c r="G51" s="116" t="n">
        <f aca="false">IF(G$39&lt;4,0,01_Supuestos!$I$21*01_Supuestos!$I$64/1000000000000*G42)+G194+G348</f>
        <v>2.88970488836504</v>
      </c>
      <c r="H51" s="116" t="n">
        <f aca="false">IF(H$39&lt;4,0,01_Supuestos!$I$21*01_Supuestos!$I$64/1000000000000*H42)+H194+H348</f>
        <v>2.93305046169052</v>
      </c>
      <c r="I51" s="116" t="n">
        <f aca="false">IF(I$39&lt;4,0,01_Supuestos!$I$21*01_Supuestos!$I$64/1000000000000*I42)+I194+I348</f>
        <v>2.97704621861587</v>
      </c>
      <c r="J51" s="116" t="n">
        <f aca="false">IF(J$39&lt;4,0,01_Supuestos!$I$21*01_Supuestos!$I$64/1000000000000*J42)+J194+J348</f>
        <v>3.02170191189511</v>
      </c>
      <c r="K51" s="116" t="n">
        <f aca="false">IF(K$39&lt;4,0,01_Supuestos!$I$21*01_Supuestos!$I$64/1000000000000*K42)+K194+K348</f>
        <v>3.06702744057354</v>
      </c>
      <c r="L51" s="116" t="n">
        <f aca="false">IF(L$39&lt;4,0,01_Supuestos!$I$21*01_Supuestos!$I$64/1000000000000*L42)+L194+L348</f>
        <v>3.11303285218214</v>
      </c>
      <c r="M51" s="116" t="n">
        <f aca="false">IF(M$39&lt;4,0,01_Supuestos!$I$21*01_Supuestos!$I$64/1000000000000*M42)+M194+M348</f>
        <v>3.15972834496487</v>
      </c>
      <c r="N51" s="116" t="n">
        <f aca="false">IF(N$39&lt;4,0,01_Supuestos!$I$21*01_Supuestos!$I$64/1000000000000*N42)+N194+N348</f>
        <v>3.20712427013934</v>
      </c>
      <c r="O51" s="116" t="n">
        <f aca="false">IF(O$39&lt;4,0,01_Supuestos!$I$21*01_Supuestos!$I$64/1000000000000*O42)+O194+O348</f>
        <v>3.25523113419143</v>
      </c>
      <c r="P51" s="116" t="n">
        <f aca="false">IF(P$39&lt;4,0,01_Supuestos!$I$21*01_Supuestos!$I$64/1000000000000*P42)+P194+P348</f>
        <v>3.3040596012043</v>
      </c>
      <c r="Q51" s="116" t="n">
        <f aca="false">IF(Q$39&lt;4,0,01_Supuestos!$I$21*01_Supuestos!$I$64/1000000000000*Q42)+Q194+Q348</f>
        <v>3.35362049522237</v>
      </c>
      <c r="R51" s="116" t="n">
        <f aca="false">IF(R$39&lt;4,0,01_Supuestos!$I$21*01_Supuestos!$I$64/1000000000000*R42)+R194+R348</f>
        <v>3.40392480265071</v>
      </c>
      <c r="S51" s="116" t="n">
        <f aca="false">IF(S$39&lt;4,0,01_Supuestos!$I$21*01_Supuestos!$I$64/1000000000000*S42)+S194+S348</f>
        <v>3.45498367469046</v>
      </c>
      <c r="T51" s="116" t="n">
        <f aca="false">IF(T$39&lt;4,0,01_Supuestos!$I$21*01_Supuestos!$I$64/1000000000000*T42)+T194+T348</f>
        <v>3.50680842981082</v>
      </c>
      <c r="U51" s="116" t="n">
        <f aca="false">IF(U$39&lt;4,0,01_Supuestos!$I$21*01_Supuestos!$I$64/1000000000000*U42)+U194+U348</f>
        <v>3.55941055625798</v>
      </c>
      <c r="V51" s="116" t="n">
        <f aca="false">IF(V$39&lt;4,0,01_Supuestos!$I$21*01_Supuestos!$I$64/1000000000000*V42)+V194+V348</f>
        <v>3.61280171460185</v>
      </c>
      <c r="W51" s="116" t="n">
        <f aca="false">IF(W$39&lt;4,0,01_Supuestos!$I$21*01_Supuestos!$I$64/1000000000000*W42)+W194+W348</f>
        <v>3.66699374032088</v>
      </c>
      <c r="X51" s="116" t="n">
        <f aca="false">IF(X$39&lt;4,0,01_Supuestos!$I$21*01_Supuestos!$I$64/1000000000000*X42)+X194+X348</f>
        <v>3.72199864642569</v>
      </c>
      <c r="Y51" s="116" t="n">
        <f aca="false">IF(Y$39&lt;4,0,01_Supuestos!$I$21*01_Supuestos!$I$64/1000000000000*Y42)+Y194+Y348</f>
        <v>3.77782862612208</v>
      </c>
      <c r="Z51" s="116" t="n">
        <f aca="false">IF(Z$39&lt;4,0,01_Supuestos!$I$21*01_Supuestos!$I$64/1000000000000*Z42)+Z194+Z348</f>
        <v>3.83449605551391</v>
      </c>
      <c r="AA51" s="116" t="n">
        <f aca="false">IF(AA$39&lt;4,0,01_Supuestos!$I$21*01_Supuestos!$I$64/1000000000000*AA42)+AA194+AA348</f>
        <v>3.89201349634662</v>
      </c>
      <c r="AB51" s="116" t="n">
        <f aca="false">IF(AB$39&lt;4,0,01_Supuestos!$I$21*01_Supuestos!$I$64/1000000000000*AB42)+AB194+AB348</f>
        <v>3.95039369879182</v>
      </c>
      <c r="AC51" s="116" t="n">
        <f aca="false">IF(AC$39&lt;4,0,01_Supuestos!$I$21*01_Supuestos!$I$64/1000000000000*AC42)+AC194+AC348</f>
        <v>4.00964960427369</v>
      </c>
      <c r="AD51" s="116" t="n">
        <f aca="false">IF(AD$39&lt;4,0,01_Supuestos!$I$21*01_Supuestos!$I$64/1000000000000*AD42)+AD194+AD348</f>
        <v>4.0697943483378</v>
      </c>
      <c r="AE51" s="116" t="n">
        <f aca="false">IF(AE$39&lt;4,0,01_Supuestos!$I$21*01_Supuestos!$I$64/1000000000000*AE42)+AE194+AE348</f>
        <v>4.13084126356287</v>
      </c>
      <c r="AF51" s="116" t="n">
        <f aca="false">IF(AF$39&lt;4,0,01_Supuestos!$I$21*01_Supuestos!$I$64/1000000000000*AF42)+AF194+AF348</f>
        <v>4.19280388251631</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10.9916285</v>
      </c>
      <c r="E54" s="116" t="n">
        <f aca="false">01_Supuestos!$I$132*(1+01_Supuestos!$I$133)^(E$39-1)*(1+$C$14)^(E$39-1)</f>
        <v>11.2912053347675</v>
      </c>
      <c r="F54" s="116" t="n">
        <f aca="false">01_Supuestos!$I$132*(1+01_Supuestos!$I$133)^(F$39-1)*(1+$C$14)^(F$39-1)</f>
        <v>11.5989471361666</v>
      </c>
      <c r="G54" s="116" t="n">
        <f aca="false">01_Supuestos!$I$132*(1+01_Supuestos!$I$133)^(G$39-1)*(1+$C$14)^(G$39-1)</f>
        <v>11.9150764403628</v>
      </c>
      <c r="H54" s="116" t="n">
        <f aca="false">01_Supuestos!$I$132*(1+01_Supuestos!$I$133)^(H$39-1)*(1+$C$14)^(H$39-1)</f>
        <v>12.2398218487449</v>
      </c>
      <c r="I54" s="116" t="n">
        <f aca="false">01_Supuestos!$I$132*(1+01_Supuestos!$I$133)^(I$39-1)*(1+$C$14)^(I$39-1)</f>
        <v>12.5734181932324</v>
      </c>
      <c r="J54" s="116" t="n">
        <f aca="false">01_Supuestos!$I$132*(1+01_Supuestos!$I$133)^(J$39-1)*(1+$C$14)^(J$39-1)</f>
        <v>12.916106706089</v>
      </c>
      <c r="K54" s="116" t="n">
        <f aca="false">01_Supuestos!$I$132*(1+01_Supuestos!$I$133)^(K$39-1)*(1+$C$14)^(K$39-1)</f>
        <v>13.2681351943634</v>
      </c>
      <c r="L54" s="116" t="n">
        <f aca="false">01_Supuestos!$I$132*(1+01_Supuestos!$I$133)^(L$39-1)*(1+$C$14)^(L$39-1)</f>
        <v>13.6297582190858</v>
      </c>
      <c r="M54" s="116" t="n">
        <f aca="false">01_Supuestos!$I$132*(1+01_Supuestos!$I$133)^(M$39-1)*(1+$C$14)^(M$39-1)</f>
        <v>14.001237279347</v>
      </c>
      <c r="N54" s="116" t="n">
        <f aca="false">01_Supuestos!$I$132*(1+01_Supuestos!$I$133)^(N$39-1)*(1+$C$14)^(N$39-1)</f>
        <v>14.3828410013956</v>
      </c>
      <c r="O54" s="116" t="n">
        <f aca="false">01_Supuestos!$I$132*(1+01_Supuestos!$I$133)^(O$39-1)*(1+$C$14)^(O$39-1)</f>
        <v>14.7748453328886</v>
      </c>
      <c r="P54" s="116" t="n">
        <f aca="false">01_Supuestos!$I$132*(1+01_Supuestos!$I$133)^(P$39-1)*(1+$C$14)^(P$39-1)</f>
        <v>15.1775337424365</v>
      </c>
      <c r="Q54" s="116" t="n">
        <f aca="false">01_Supuestos!$I$132*(1+01_Supuestos!$I$133)^(Q$39-1)*(1+$C$14)^(Q$39-1)</f>
        <v>15.5911974245866</v>
      </c>
      <c r="R54" s="116" t="n">
        <f aca="false">01_Supuestos!$I$132*(1+01_Supuestos!$I$133)^(R$39-1)*(1+$C$14)^(R$39-1)</f>
        <v>16.0161355103937</v>
      </c>
      <c r="S54" s="116" t="n">
        <f aca="false">01_Supuestos!$I$132*(1+01_Supuestos!$I$133)^(S$39-1)*(1+$C$14)^(S$39-1)</f>
        <v>16.4526552837295</v>
      </c>
      <c r="T54" s="116" t="n">
        <f aca="false">01_Supuestos!$I$132*(1+01_Supuestos!$I$133)^(T$39-1)*(1+$C$14)^(T$39-1)</f>
        <v>16.9010724034875</v>
      </c>
      <c r="U54" s="116" t="n">
        <f aca="false">01_Supuestos!$I$132*(1+01_Supuestos!$I$133)^(U$39-1)*(1+$C$14)^(U$39-1)</f>
        <v>17.3617111318446</v>
      </c>
      <c r="V54" s="116" t="n">
        <f aca="false">01_Supuestos!$I$132*(1+01_Supuestos!$I$133)^(V$39-1)*(1+$C$14)^(V$39-1)</f>
        <v>17.834904568743</v>
      </c>
      <c r="W54" s="116" t="n">
        <f aca="false">01_Supuestos!$I$132*(1+01_Supuestos!$I$133)^(W$39-1)*(1+$C$14)^(W$39-1)</f>
        <v>18.3209948927641</v>
      </c>
      <c r="X54" s="116" t="n">
        <f aca="false">01_Supuestos!$I$132*(1+01_Supuestos!$I$133)^(X$39-1)*(1+$C$14)^(X$39-1)</f>
        <v>18.8203336085664</v>
      </c>
      <c r="Y54" s="116" t="n">
        <f aca="false">01_Supuestos!$I$132*(1+01_Supuestos!$I$133)^(Y$39-1)*(1+$C$14)^(Y$39-1)</f>
        <v>19.3332818010679</v>
      </c>
      <c r="Z54" s="116" t="n">
        <f aca="false">01_Supuestos!$I$132*(1+01_Supuestos!$I$133)^(Z$39-1)*(1+$C$14)^(Z$39-1)</f>
        <v>19.860210396556</v>
      </c>
      <c r="AA54" s="116" t="n">
        <f aca="false">01_Supuestos!$I$132*(1+01_Supuestos!$I$133)^(AA$39-1)*(1+$C$14)^(AA$39-1)</f>
        <v>20.4015004309141</v>
      </c>
      <c r="AB54" s="116" t="n">
        <f aca="false">01_Supuestos!$I$132*(1+01_Supuestos!$I$133)^(AB$39-1)*(1+$C$14)^(AB$39-1)</f>
        <v>20.9575433251587</v>
      </c>
      <c r="AC54" s="116" t="n">
        <f aca="false">01_Supuestos!$I$132*(1+01_Supuestos!$I$133)^(AC$39-1)*(1+$C$14)^(AC$39-1)</f>
        <v>21.5287411684858</v>
      </c>
      <c r="AD54" s="116" t="n">
        <f aca="false">01_Supuestos!$I$132*(1+01_Supuestos!$I$133)^(AD$39-1)*(1+$C$14)^(AD$39-1)</f>
        <v>22.1155070090329</v>
      </c>
      <c r="AE54" s="116" t="n">
        <f aca="false">01_Supuestos!$I$132*(1+01_Supuestos!$I$133)^(AE$39-1)*(1+$C$14)^(AE$39-1)</f>
        <v>22.7182651525641</v>
      </c>
      <c r="AF54" s="116" t="n">
        <f aca="false">01_Supuestos!$I$132*(1+01_Supuestos!$I$133)^(AF$39-1)*(1+$C$14)^(AF$39-1)</f>
        <v>23.3374514692973</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(IF($C$11="Libro",C55*C54,IF(C$39&lt;=20,01_Supuestos!$I$26+(01_Supuestos!$I$27-01_Supuestos!$I$26)*(C$39-1)/19,01_Supuestos!$I$27*IF($C$6="Sí",(1+01_Supuestos!$I$9)^(C$39-20),1))*C55/0.1))*(1-IF(C$39&gt;=$C$198,$C$197,0))</f>
        <v>1.07</v>
      </c>
      <c r="D56" s="116" t="n">
        <f aca="false">(IF($C$11="Libro",D55*D54,IF(D$39&lt;=20,01_Supuestos!$I$26+(01_Supuestos!$I$27-01_Supuestos!$I$26)*(D$39-1)/19,01_Supuestos!$I$27*IF($C$6="Sí",(1+01_Supuestos!$I$9)^(D$39-20),1))*D55/0.1))*(1-IF(D$39&gt;=$C$198,$C$197,0))</f>
        <v>1.09916285</v>
      </c>
      <c r="E56" s="116" t="n">
        <f aca="false">(IF($C$11="Libro",E55*E54,IF(E$39&lt;=20,01_Supuestos!$I$26+(01_Supuestos!$I$27-01_Supuestos!$I$26)*(E$39-1)/19,01_Supuestos!$I$27*IF($C$6="Sí",(1+01_Supuestos!$I$9)^(E$39-20),1))*E55/0.1))*(1-IF(E$39&gt;=$C$198,$C$197,0))</f>
        <v>1.12912053347675</v>
      </c>
      <c r="F56" s="116" t="n">
        <f aca="false">(IF($C$11="Libro",F55*F54,IF(F$39&lt;=20,01_Supuestos!$I$26+(01_Supuestos!$I$27-01_Supuestos!$I$26)*(F$39-1)/19,01_Supuestos!$I$27*IF($C$6="Sí",(1+01_Supuestos!$I$9)^(F$39-20),1))*F55/0.1))*(1-IF(F$39&gt;=$C$198,$C$197,0))</f>
        <v>1.15989471361666</v>
      </c>
      <c r="G56" s="116" t="n">
        <f aca="false">(IF($C$11="Libro",G55*G54,IF(G$39&lt;=20,01_Supuestos!$I$26+(01_Supuestos!$I$27-01_Supuestos!$I$26)*(G$39-1)/19,01_Supuestos!$I$27*IF($C$6="Sí",(1+01_Supuestos!$I$9)^(G$39-20),1))*G55/0.1))*(1-IF(G$39&gt;=$C$198,$C$197,0))</f>
        <v>1.19150764403628</v>
      </c>
      <c r="H56" s="116" t="n">
        <f aca="false">(IF($C$11="Libro",H55*H54,IF(H$39&lt;=20,01_Supuestos!$I$26+(01_Supuestos!$I$27-01_Supuestos!$I$26)*(H$39-1)/19,01_Supuestos!$I$27*IF($C$6="Sí",(1+01_Supuestos!$I$9)^(H$39-20),1))*H55/0.1))*(1-IF(H$39&gt;=$C$198,$C$197,0))</f>
        <v>1.22398218487449</v>
      </c>
      <c r="I56" s="116" t="n">
        <f aca="false">(IF($C$11="Libro",I55*I54,IF(I$39&lt;=20,01_Supuestos!$I$26+(01_Supuestos!$I$27-01_Supuestos!$I$26)*(I$39-1)/19,01_Supuestos!$I$27*IF($C$6="Sí",(1+01_Supuestos!$I$9)^(I$39-20),1))*I55/0.1))*(1-IF(I$39&gt;=$C$198,$C$197,0))</f>
        <v>1.25734181932324</v>
      </c>
      <c r="J56" s="116" t="n">
        <f aca="false">(IF($C$11="Libro",J55*J54,IF(J$39&lt;=20,01_Supuestos!$I$26+(01_Supuestos!$I$27-01_Supuestos!$I$26)*(J$39-1)/19,01_Supuestos!$I$27*IF($C$6="Sí",(1+01_Supuestos!$I$9)^(J$39-20),1))*J55/0.1))*(1-IF(J$39&gt;=$C$198,$C$197,0))</f>
        <v>1.2916106706089</v>
      </c>
      <c r="K56" s="116" t="n">
        <f aca="false">(IF($C$11="Libro",K55*K54,IF(K$39&lt;=20,01_Supuestos!$I$26+(01_Supuestos!$I$27-01_Supuestos!$I$26)*(K$39-1)/19,01_Supuestos!$I$27*IF($C$6="Sí",(1+01_Supuestos!$I$9)^(K$39-20),1))*K55/0.1))*(1-IF(K$39&gt;=$C$198,$C$197,0))</f>
        <v>1.32681351943634</v>
      </c>
      <c r="L56" s="116" t="n">
        <f aca="false">(IF($C$11="Libro",L55*L54,IF(L$39&lt;=20,01_Supuestos!$I$26+(01_Supuestos!$I$27-01_Supuestos!$I$26)*(L$39-1)/19,01_Supuestos!$I$27*IF($C$6="Sí",(1+01_Supuestos!$I$9)^(L$39-20),1))*L55/0.1))*(1-IF(L$39&gt;=$C$198,$C$197,0))</f>
        <v>1.36297582190858</v>
      </c>
      <c r="M56" s="116" t="n">
        <f aca="false">(IF($C$11="Libro",M55*M54,IF(M$39&lt;=20,01_Supuestos!$I$26+(01_Supuestos!$I$27-01_Supuestos!$I$26)*(M$39-1)/19,01_Supuestos!$I$27*IF($C$6="Sí",(1+01_Supuestos!$I$9)^(M$39-20),1))*M55/0.1))*(1-IF(M$39&gt;=$C$198,$C$197,0))</f>
        <v>1.4001237279347</v>
      </c>
      <c r="N56" s="116" t="n">
        <f aca="false">(IF($C$11="Libro",N55*N54,IF(N$39&lt;=20,01_Supuestos!$I$26+(01_Supuestos!$I$27-01_Supuestos!$I$26)*(N$39-1)/19,01_Supuestos!$I$27*IF($C$6="Sí",(1+01_Supuestos!$I$9)^(N$39-20),1))*N55/0.1))*(1-IF(N$39&gt;=$C$198,$C$197,0))</f>
        <v>1.43828410013956</v>
      </c>
      <c r="O56" s="116" t="n">
        <f aca="false">(IF($C$11="Libro",O55*O54,IF(O$39&lt;=20,01_Supuestos!$I$26+(01_Supuestos!$I$27-01_Supuestos!$I$26)*(O$39-1)/19,01_Supuestos!$I$27*IF($C$6="Sí",(1+01_Supuestos!$I$9)^(O$39-20),1))*O55/0.1))*(1-IF(O$39&gt;=$C$198,$C$197,0))</f>
        <v>1.47748453328886</v>
      </c>
      <c r="P56" s="116" t="n">
        <f aca="false">(IF($C$11="Libro",P55*P54,IF(P$39&lt;=20,01_Supuestos!$I$26+(01_Supuestos!$I$27-01_Supuestos!$I$26)*(P$39-1)/19,01_Supuestos!$I$27*IF($C$6="Sí",(1+01_Supuestos!$I$9)^(P$39-20),1))*P55/0.1))*(1-IF(P$39&gt;=$C$198,$C$197,0))</f>
        <v>1.51775337424365</v>
      </c>
      <c r="Q56" s="116" t="n">
        <f aca="false">(IF($C$11="Libro",Q55*Q54,IF(Q$39&lt;=20,01_Supuestos!$I$26+(01_Supuestos!$I$27-01_Supuestos!$I$26)*(Q$39-1)/19,01_Supuestos!$I$27*IF($C$6="Sí",(1+01_Supuestos!$I$9)^(Q$39-20),1))*Q55/0.1))*(1-IF(Q$39&gt;=$C$198,$C$197,0))</f>
        <v>1.55911974245866</v>
      </c>
      <c r="R56" s="116" t="n">
        <f aca="false">(IF($C$11="Libro",R55*R54,IF(R$39&lt;=20,01_Supuestos!$I$26+(01_Supuestos!$I$27-01_Supuestos!$I$26)*(R$39-1)/19,01_Supuestos!$I$27*IF($C$6="Sí",(1+01_Supuestos!$I$9)^(R$39-20),1))*R55/0.1))*(1-IF(R$39&gt;=$C$198,$C$197,0))</f>
        <v>1.20121016327953</v>
      </c>
      <c r="S56" s="116" t="n">
        <f aca="false">(IF($C$11="Libro",S55*S54,IF(S$39&lt;=20,01_Supuestos!$I$26+(01_Supuestos!$I$27-01_Supuestos!$I$26)*(S$39-1)/19,01_Supuestos!$I$27*IF($C$6="Sí",(1+01_Supuestos!$I$9)^(S$39-20),1))*S55/0.1))*(1-IF(S$39&gt;=$C$198,$C$197,0))</f>
        <v>1.23394914627971</v>
      </c>
      <c r="T56" s="116" t="n">
        <f aca="false">(IF($C$11="Libro",T55*T54,IF(T$39&lt;=20,01_Supuestos!$I$26+(01_Supuestos!$I$27-01_Supuestos!$I$26)*(T$39-1)/19,01_Supuestos!$I$27*IF($C$6="Sí",(1+01_Supuestos!$I$9)^(T$39-20),1))*T55/0.1))*(1-IF(T$39&gt;=$C$198,$C$197,0))</f>
        <v>1.26758043026157</v>
      </c>
      <c r="U56" s="116" t="n">
        <f aca="false">(IF($C$11="Libro",U55*U54,IF(U$39&lt;=20,01_Supuestos!$I$26+(01_Supuestos!$I$27-01_Supuestos!$I$26)*(U$39-1)/19,01_Supuestos!$I$27*IF($C$6="Sí",(1+01_Supuestos!$I$9)^(U$39-20),1))*U55/0.1))*(1-IF(U$39&gt;=$C$198,$C$197,0))</f>
        <v>1.30212833488834</v>
      </c>
      <c r="V56" s="116" t="n">
        <f aca="false">(IF($C$11="Libro",V55*V54,IF(V$39&lt;=20,01_Supuestos!$I$26+(01_Supuestos!$I$27-01_Supuestos!$I$26)*(V$39-1)/19,01_Supuestos!$I$27*IF($C$6="Sí",(1+01_Supuestos!$I$9)^(V$39-20),1))*V55/0.1))*(1-IF(V$39&gt;=$C$198,$C$197,0))</f>
        <v>1.33761784265573</v>
      </c>
      <c r="W56" s="116" t="n">
        <f aca="false">(IF($C$11="Libro",W55*W54,IF(W$39&lt;=20,01_Supuestos!$I$26+(01_Supuestos!$I$27-01_Supuestos!$I$26)*(W$39-1)/19,01_Supuestos!$I$27*IF($C$6="Sí",(1+01_Supuestos!$I$9)^(W$39-20),1))*W55/0.1))*(1-IF(W$39&gt;=$C$198,$C$197,0))</f>
        <v>1.37407461695731</v>
      </c>
      <c r="X56" s="116" t="n">
        <f aca="false">(IF($C$11="Libro",X55*X54,IF(X$39&lt;=20,01_Supuestos!$I$26+(01_Supuestos!$I$27-01_Supuestos!$I$26)*(X$39-1)/19,01_Supuestos!$I$27*IF($C$6="Sí",(1+01_Supuestos!$I$9)^(X$39-20),1))*X55/0.1))*(1-IF(X$39&gt;=$C$198,$C$197,0))</f>
        <v>1.41152502064248</v>
      </c>
      <c r="Y56" s="116" t="n">
        <f aca="false">(IF($C$11="Libro",Y55*Y54,IF(Y$39&lt;=20,01_Supuestos!$I$26+(01_Supuestos!$I$27-01_Supuestos!$I$26)*(Y$39-1)/19,01_Supuestos!$I$27*IF($C$6="Sí",(1+01_Supuestos!$I$9)^(Y$39-20),1))*Y55/0.1))*(1-IF(Y$39&gt;=$C$198,$C$197,0))</f>
        <v>1.44999613508009</v>
      </c>
      <c r="Z56" s="116" t="n">
        <f aca="false">(IF($C$11="Libro",Z55*Z54,IF(Z$39&lt;=20,01_Supuestos!$I$26+(01_Supuestos!$I$27-01_Supuestos!$I$26)*(Z$39-1)/19,01_Supuestos!$I$27*IF($C$6="Sí",(1+01_Supuestos!$I$9)^(Z$39-20),1))*Z55/0.1))*(1-IF(Z$39&gt;=$C$198,$C$197,0))</f>
        <v>1.4895157797417</v>
      </c>
      <c r="AA56" s="116" t="n">
        <f aca="false">(IF($C$11="Libro",AA55*AA54,IF(AA$39&lt;=20,01_Supuestos!$I$26+(01_Supuestos!$I$27-01_Supuestos!$I$26)*(AA$39-1)/19,01_Supuestos!$I$27*IF($C$6="Sí",(1+01_Supuestos!$I$9)^(AA$39-20),1))*AA55/0.1))*(1-IF(AA$39&gt;=$C$198,$C$197,0))</f>
        <v>1.53011253231856</v>
      </c>
      <c r="AB56" s="116" t="n">
        <f aca="false">(IF($C$11="Libro",AB55*AB54,IF(AB$39&lt;=20,01_Supuestos!$I$26+(01_Supuestos!$I$27-01_Supuestos!$I$26)*(AB$39-1)/19,01_Supuestos!$I$27*IF($C$6="Sí",(1+01_Supuestos!$I$9)^(AB$39-20),1))*AB55/0.1))*(1-IF(AB$39&gt;=$C$198,$C$197,0))</f>
        <v>1.5718157493869</v>
      </c>
      <c r="AC56" s="116" t="n">
        <f aca="false">(IF($C$11="Libro",AC55*AC54,IF(AC$39&lt;=20,01_Supuestos!$I$26+(01_Supuestos!$I$27-01_Supuestos!$I$26)*(AC$39-1)/19,01_Supuestos!$I$27*IF($C$6="Sí",(1+01_Supuestos!$I$9)^(AC$39-20),1))*AC55/0.1))*(1-IF(AC$39&gt;=$C$198,$C$197,0))</f>
        <v>1.61465558763644</v>
      </c>
      <c r="AD56" s="116" t="n">
        <f aca="false">(IF($C$11="Libro",AD55*AD54,IF(AD$39&lt;=20,01_Supuestos!$I$26+(01_Supuestos!$I$27-01_Supuestos!$I$26)*(AD$39-1)/19,01_Supuestos!$I$27*IF($C$6="Sí",(1+01_Supuestos!$I$9)^(AD$39-20),1))*AD55/0.1))*(1-IF(AD$39&gt;=$C$198,$C$197,0))</f>
        <v>1.65866302567747</v>
      </c>
      <c r="AE56" s="116" t="n">
        <f aca="false">(IF($C$11="Libro",AE55*AE54,IF(AE$39&lt;=20,01_Supuestos!$I$26+(01_Supuestos!$I$27-01_Supuestos!$I$26)*(AE$39-1)/19,01_Supuestos!$I$27*IF($C$6="Sí",(1+01_Supuestos!$I$9)^(AE$39-20),1))*AE55/0.1))*(1-IF(AE$39&gt;=$C$198,$C$197,0))</f>
        <v>1.70386988644231</v>
      </c>
      <c r="AF56" s="116" t="n">
        <f aca="false">(IF($C$11="Libro",AF55*AF54,IF(AF$39&lt;=20,01_Supuestos!$I$26+(01_Supuestos!$I$27-01_Supuestos!$I$26)*(AF$39-1)/19,01_Supuestos!$I$27*IF($C$6="Sí",(1+01_Supuestos!$I$9)^(AF$39-20),1))*AF55/0.1))*(1-IF(AF$39&gt;=$C$198,$C$197,0))</f>
        <v>1.75030886019729</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4.28520470662724</v>
      </c>
      <c r="G57" s="116" t="n">
        <f aca="false">IF(G$39&lt;=01_Supuestos!$I$29,MIN(G50,G53+G56),0)</f>
        <v>4.273187630098</v>
      </c>
      <c r="H57" s="116" t="n">
        <f aca="false">IF(H$39&lt;=01_Supuestos!$I$29,MIN(H50,H53+H56),0)</f>
        <v>4.26099029742082</v>
      </c>
      <c r="I57" s="116" t="n">
        <f aca="false">IF(I$39&lt;=01_Supuestos!$I$29,MIN(I50,I53+I56),0)</f>
        <v>4.24861000475348</v>
      </c>
      <c r="J57" s="116" t="n">
        <f aca="false">IF(J$39&lt;=01_Supuestos!$I$29,MIN(J50,J53+J56),0)</f>
        <v>4.23604400769613</v>
      </c>
      <c r="K57" s="116" t="n">
        <f aca="false">IF(K$39&lt;=01_Supuestos!$I$29,MIN(K50,K53+K56),0)</f>
        <v>4.22328952068292</v>
      </c>
      <c r="L57" s="116" t="n">
        <f aca="false">IF(L$39&lt;=01_Supuestos!$I$29,MIN(L50,L53+L56),0)</f>
        <v>4.21034371636452</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57.20223777748</v>
      </c>
      <c r="D64" s="116" t="n">
        <f aca="false">D48+D50-D57</f>
        <v>34.966185862</v>
      </c>
      <c r="E64" s="116" t="n">
        <f aca="false">E48+E50-E57</f>
        <v>29.7357744</v>
      </c>
      <c r="F64" s="116" t="n">
        <f aca="false">F48+F50-F57</f>
        <v>82.048473431352</v>
      </c>
      <c r="G64" s="116" t="n">
        <f aca="false">G48+G50-G57</f>
        <v>0</v>
      </c>
      <c r="H64" s="116" t="n">
        <f aca="false">H48+H50-H57</f>
        <v>0</v>
      </c>
      <c r="I64" s="116" t="n">
        <f aca="false">I48+I50-I57</f>
        <v>0</v>
      </c>
      <c r="J64" s="116" t="n">
        <f aca="false">J48+J50-J57</f>
        <v>0</v>
      </c>
      <c r="K64" s="116" t="n">
        <f aca="false">K48+K50-K57</f>
        <v>0</v>
      </c>
      <c r="L64" s="116" t="n">
        <f aca="false">L48+L50-L57</f>
        <v>0</v>
      </c>
      <c r="M64" s="116" t="n">
        <f aca="false">M48+M50-M57</f>
        <v>4.19720372498134</v>
      </c>
      <c r="N64" s="116" t="n">
        <f aca="false">N48+N50-N57</f>
        <v>4.18386663372741</v>
      </c>
      <c r="O64" s="116" t="n">
        <f aca="false">O48+O50-O57</f>
        <v>4.17032948610467</v>
      </c>
      <c r="P64" s="116" t="n">
        <f aca="false">P48+P50-P57</f>
        <v>4.15658928126759</v>
      </c>
      <c r="Q64" s="116" t="n">
        <f aca="false">Q48+Q50-Q57</f>
        <v>4.14264297335795</v>
      </c>
      <c r="R64" s="116" t="n">
        <f aca="false">R48+R50-R57</f>
        <v>4.03921595620195</v>
      </c>
      <c r="S64" s="116" t="n">
        <f aca="false">S48+S50-S57</f>
        <v>3.93710917558176</v>
      </c>
      <c r="T64" s="116" t="n">
        <f aca="false">T48+T50-T57</f>
        <v>3.83635392931346</v>
      </c>
      <c r="U64" s="116" t="n">
        <f aca="false">U48+U50-U57</f>
        <v>3.73698215709441</v>
      </c>
      <c r="V64" s="116" t="n">
        <f aca="false">V48+V50-V57</f>
        <v>3.63902645271765</v>
      </c>
      <c r="W64" s="116" t="n">
        <f aca="false">W48+W50-W57</f>
        <v>3.54252007650835</v>
      </c>
      <c r="X64" s="116" t="n">
        <f aca="false">X48+X50-X57</f>
        <v>3.44749696798619</v>
      </c>
      <c r="Y64" s="116" t="n">
        <f aca="false">Y48+Y50-Y57</f>
        <v>3.35399175875756</v>
      </c>
      <c r="Z64" s="116" t="n">
        <f aca="false">Z48+Z50-Z57</f>
        <v>3.26203978564186</v>
      </c>
      <c r="AA64" s="116" t="n">
        <f aca="false">AA48+AA50-AA57</f>
        <v>3.17167710403571</v>
      </c>
      <c r="AB64" s="116" t="n">
        <f aca="false">AB48+AB50-AB57</f>
        <v>3.08294050151949</v>
      </c>
      <c r="AC64" s="116" t="n">
        <f aca="false">AC48+AC50-AC57</f>
        <v>2.99586751171043</v>
      </c>
      <c r="AD64" s="116" t="n">
        <f aca="false">AD48+AD50-AD57</f>
        <v>2.91049642836646</v>
      </c>
      <c r="AE64" s="116" t="n">
        <f aca="false">AE48+AE50-AE57</f>
        <v>2.82686631974539</v>
      </c>
      <c r="AF64" s="116" t="n">
        <f aca="false">AF48+AF50-AF57</f>
        <v>2.74501704322382</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v>
      </c>
      <c r="H65" s="116" t="n">
        <f aca="false">MIN(H58,H64)</f>
        <v>0</v>
      </c>
      <c r="I65" s="116" t="n">
        <f aca="false">MIN(I58,I64)</f>
        <v>0</v>
      </c>
      <c r="J65" s="116" t="n">
        <f aca="false">MIN(J58,J64)</f>
        <v>0</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57.12223777748</v>
      </c>
      <c r="D66" s="116" t="n">
        <f aca="false">D64-D65</f>
        <v>34.883361862</v>
      </c>
      <c r="E66" s="116" t="n">
        <f aca="false">E64-E65</f>
        <v>29.6500267128</v>
      </c>
      <c r="F66" s="116" t="n">
        <f aca="false">F64-F65</f>
        <v>81.9596988507938</v>
      </c>
      <c r="G66" s="116" t="n">
        <f aca="false">G64-G65</f>
        <v>0</v>
      </c>
      <c r="H66" s="116" t="n">
        <f aca="false">H64-H65</f>
        <v>0</v>
      </c>
      <c r="I66" s="116" t="n">
        <f aca="false">I64-I65</f>
        <v>0</v>
      </c>
      <c r="J66" s="116" t="n">
        <f aca="false">J64-J65</f>
        <v>0</v>
      </c>
      <c r="K66" s="116" t="n">
        <f aca="false">K64-K65</f>
        <v>0</v>
      </c>
      <c r="L66" s="116" t="n">
        <f aca="false">L64-L65</f>
        <v>0</v>
      </c>
      <c r="M66" s="116" t="n">
        <f aca="false">M64-M65</f>
        <v>4.08402830179079</v>
      </c>
      <c r="N66" s="116" t="n">
        <f aca="false">N64-N65</f>
        <v>4.06669611809824</v>
      </c>
      <c r="O66" s="116" t="n">
        <f aca="false">O64-O65</f>
        <v>4.04902285127379</v>
      </c>
      <c r="P66" s="116" t="n">
        <f aca="false">P64-P65</f>
        <v>4.03100052222718</v>
      </c>
      <c r="Q66" s="116" t="n">
        <f aca="false">Q64-Q65</f>
        <v>4.01262093112342</v>
      </c>
      <c r="R66" s="116" t="n">
        <f aca="false">R64-R65</f>
        <v>3.90460413587654</v>
      </c>
      <c r="S66" s="116" t="n">
        <f aca="false">S64-S65</f>
        <v>3.79774555799886</v>
      </c>
      <c r="T66" s="116" t="n">
        <f aca="false">T64-T65</f>
        <v>3.69207077602989</v>
      </c>
      <c r="U66" s="116" t="n">
        <f aca="false">U64-U65</f>
        <v>3.58760580849993</v>
      </c>
      <c r="V66" s="116" t="n">
        <f aca="false">V64-V65</f>
        <v>3.48437711901778</v>
      </c>
      <c r="W66" s="116" t="n">
        <f aca="false">W64-W65</f>
        <v>3.38241162132888</v>
      </c>
      <c r="X66" s="116" t="n">
        <f aca="false">X64-X65</f>
        <v>3.28173668433887</v>
      </c>
      <c r="Y66" s="116" t="n">
        <f aca="false">Y64-Y65</f>
        <v>3.1823801370975</v>
      </c>
      <c r="Z66" s="116" t="n">
        <f aca="false">Z64-Z65</f>
        <v>3.0843702737372</v>
      </c>
      <c r="AA66" s="116" t="n">
        <f aca="false">AA64-AA65</f>
        <v>2.98773585836081</v>
      </c>
      <c r="AB66" s="116" t="n">
        <f aca="false">AB64-AB65</f>
        <v>2.89250612987227</v>
      </c>
      <c r="AC66" s="116" t="n">
        <f aca="false">AC64-AC65</f>
        <v>2.79871080674406</v>
      </c>
      <c r="AD66" s="116" t="n">
        <f aca="false">AD64-AD65</f>
        <v>2.70638009171477</v>
      </c>
      <c r="AE66" s="116" t="n">
        <f aca="false">AE64-AE65</f>
        <v>2.6155446764099</v>
      </c>
      <c r="AF66" s="116" t="n">
        <f aca="false">AF64-AF65</f>
        <v>2.52623574587859</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57.12223777748</v>
      </c>
      <c r="D67" s="116" t="n">
        <f aca="false">C67+D66-D63</f>
        <v>92.00559963948</v>
      </c>
      <c r="E67" s="116" t="n">
        <f aca="false">D67+E66-E63</f>
        <v>121.65562635228</v>
      </c>
      <c r="F67" s="116" t="n">
        <f aca="false">E67+F66-F63</f>
        <v>203.615325203074</v>
      </c>
      <c r="G67" s="116" t="n">
        <f aca="false">F67+G66-G63</f>
        <v>202.231010903074</v>
      </c>
      <c r="H67" s="116" t="n">
        <f aca="false">G67+H66-H63</f>
        <v>200.859188018074</v>
      </c>
      <c r="I67" s="116" t="n">
        <f aca="false">H67+I66-I63</f>
        <v>199.499231977324</v>
      </c>
      <c r="J67" s="116" t="n">
        <f aca="false">I67+J66-J63</f>
        <v>198.150549438611</v>
      </c>
      <c r="K67" s="116" t="n">
        <f aca="false">J67+K66-K63</f>
        <v>196.812576726834</v>
      </c>
      <c r="L67" s="116" t="n">
        <f aca="false">K67+L66-L63</f>
        <v>195.484778350646</v>
      </c>
      <c r="M67" s="116" t="n">
        <f aca="false">L67+M66-M63</f>
        <v>198.250673895059</v>
      </c>
      <c r="N67" s="116" t="n">
        <f aca="false">M67+N66-N63</f>
        <v>201.008419593647</v>
      </c>
      <c r="O67" s="116" t="n">
        <f aca="false">N67+O66-O63</f>
        <v>203.757215246387</v>
      </c>
      <c r="P67" s="116" t="n">
        <f aca="false">O67+P66-P63</f>
        <v>206.496275630006</v>
      </c>
      <c r="Q67" s="116" t="n">
        <f aca="false">P67+Q66-Q63</f>
        <v>209.224829129453</v>
      </c>
      <c r="R67" s="116" t="n">
        <f aca="false">Q67+R66-R63</f>
        <v>211.852844905236</v>
      </c>
      <c r="S67" s="116" t="n">
        <f aca="false">R67+S66-S63</f>
        <v>214.381107221146</v>
      </c>
      <c r="T67" s="116" t="n">
        <f aca="false">S67+T66-T63</f>
        <v>216.810444617192</v>
      </c>
      <c r="U67" s="116" t="n">
        <f aca="false">T67+U66-U63</f>
        <v>219.141729414707</v>
      </c>
      <c r="V67" s="116" t="n">
        <f aca="false">U67+V66-V63</f>
        <v>221.375877273289</v>
      </c>
      <c r="W67" s="116" t="n">
        <f aca="false">V67+W66-W63</f>
        <v>223.513846797204</v>
      </c>
      <c r="X67" s="116" t="n">
        <f aca="false">W67+X66-X63</f>
        <v>225.556639189</v>
      </c>
      <c r="Y67" s="116" t="n">
        <f aca="false">X67+Y66-Y63</f>
        <v>227.505297948181</v>
      </c>
      <c r="Z67" s="116" t="n">
        <f aca="false">Y67+Z66-Z63</f>
        <v>229.360908612898</v>
      </c>
      <c r="AA67" s="116" t="n">
        <f aca="false">Z67+AA66-AA63</f>
        <v>231.124598542689</v>
      </c>
      <c r="AB67" s="116" t="n">
        <f aca="false">AA67+AB66-AB63</f>
        <v>232.797536740421</v>
      </c>
      <c r="AC67" s="116" t="n">
        <f aca="false">AB67+AC66-AC63</f>
        <v>234.380933711631</v>
      </c>
      <c r="AD67" s="116" t="n">
        <f aca="false">AC67+AD66-AD63</f>
        <v>235.876041359589</v>
      </c>
      <c r="AE67" s="116" t="n">
        <f aca="false">AD67+AE66-AE63</f>
        <v>237.28415291443</v>
      </c>
      <c r="AF67" s="116" t="n">
        <f aca="false">AE67+AF66-AF63</f>
        <v>238.606602894817</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19.4215608443432</v>
      </c>
      <c r="D68" s="116" t="n">
        <f aca="false">C68+(01_Supuestos!$I$125-1)*D66</f>
        <v>31.2819038774232</v>
      </c>
      <c r="E68" s="116" t="n">
        <f aca="false">D68+(01_Supuestos!$I$125-1)*E66</f>
        <v>41.3629129597752</v>
      </c>
      <c r="F68" s="116" t="n">
        <f aca="false">E68+(01_Supuestos!$I$125-1)*F66</f>
        <v>69.2292105690451</v>
      </c>
      <c r="G68" s="116" t="n">
        <f aca="false">F68+(01_Supuestos!$I$125-1)*G66</f>
        <v>69.2292105690451</v>
      </c>
      <c r="H68" s="116" t="n">
        <f aca="false">G68+(01_Supuestos!$I$125-1)*H66</f>
        <v>69.2292105690451</v>
      </c>
      <c r="I68" s="116" t="n">
        <f aca="false">H68+(01_Supuestos!$I$125-1)*I66</f>
        <v>69.2292105690451</v>
      </c>
      <c r="J68" s="116" t="n">
        <f aca="false">I68+(01_Supuestos!$I$125-1)*J66</f>
        <v>69.2292105690451</v>
      </c>
      <c r="K68" s="116" t="n">
        <f aca="false">J68+(01_Supuestos!$I$125-1)*K66</f>
        <v>69.2292105690451</v>
      </c>
      <c r="L68" s="116" t="n">
        <f aca="false">K68+(01_Supuestos!$I$125-1)*L66</f>
        <v>69.2292105690451</v>
      </c>
      <c r="M68" s="116" t="n">
        <f aca="false">L68+(01_Supuestos!$I$125-1)*M66</f>
        <v>70.617780191654</v>
      </c>
      <c r="N68" s="116" t="n">
        <f aca="false">M68+(01_Supuestos!$I$125-1)*N66</f>
        <v>72.0004568718074</v>
      </c>
      <c r="O68" s="116" t="n">
        <f aca="false">N68+(01_Supuestos!$I$125-1)*O66</f>
        <v>73.3771246412405</v>
      </c>
      <c r="P68" s="116" t="n">
        <f aca="false">O68+(01_Supuestos!$I$125-1)*P66</f>
        <v>74.7476648187977</v>
      </c>
      <c r="Q68" s="116" t="n">
        <f aca="false">P68+(01_Supuestos!$I$125-1)*Q66</f>
        <v>76.1119559353797</v>
      </c>
      <c r="R68" s="116" t="n">
        <f aca="false">Q68+(01_Supuestos!$I$125-1)*R66</f>
        <v>77.4395213415777</v>
      </c>
      <c r="S68" s="116" t="n">
        <f aca="false">R68+(01_Supuestos!$I$125-1)*S66</f>
        <v>78.7307548312973</v>
      </c>
      <c r="T68" s="116" t="n">
        <f aca="false">S68+(01_Supuestos!$I$125-1)*T66</f>
        <v>79.9860588951475</v>
      </c>
      <c r="U68" s="116" t="n">
        <f aca="false">T68+(01_Supuestos!$I$125-1)*U66</f>
        <v>81.2058448700374</v>
      </c>
      <c r="V68" s="116" t="n">
        <f aca="false">U68+(01_Supuestos!$I$125-1)*V66</f>
        <v>82.3905330905035</v>
      </c>
      <c r="W68" s="116" t="n">
        <f aca="false">V68+(01_Supuestos!$I$125-1)*W66</f>
        <v>83.5405530417553</v>
      </c>
      <c r="X68" s="116" t="n">
        <f aca="false">W68+(01_Supuestos!$I$125-1)*X66</f>
        <v>84.6563435144305</v>
      </c>
      <c r="Y68" s="116" t="n">
        <f aca="false">X68+(01_Supuestos!$I$125-1)*Y66</f>
        <v>85.7383527610437</v>
      </c>
      <c r="Z68" s="116" t="n">
        <f aca="false">Y68+(01_Supuestos!$I$125-1)*Z66</f>
        <v>86.7870386541143</v>
      </c>
      <c r="AA68" s="116" t="n">
        <f aca="false">Z68+(01_Supuestos!$I$125-1)*AA66</f>
        <v>87.802868845957</v>
      </c>
      <c r="AB68" s="116" t="n">
        <f aca="false">AA68+(01_Supuestos!$I$125-1)*AB66</f>
        <v>88.7863209301136</v>
      </c>
      <c r="AC68" s="116" t="n">
        <f aca="false">AB68+(01_Supuestos!$I$125-1)*AC66</f>
        <v>89.7378826044066</v>
      </c>
      <c r="AD68" s="116" t="n">
        <f aca="false">AC68+(01_Supuestos!$I$125-1)*AD66</f>
        <v>90.6580518355896</v>
      </c>
      <c r="AE68" s="116" t="n">
        <f aca="false">AD68+(01_Supuestos!$I$125-1)*AE66</f>
        <v>91.5473370255689</v>
      </c>
      <c r="AF68" s="116" t="n">
        <f aca="false">AE68+(01_Supuestos!$I$125-1)*AF66</f>
        <v>92.4062571791677</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57.20223777748</v>
      </c>
      <c r="D69" s="116" t="n">
        <f aca="false">C69+D48+D49+D50+D51-D63+D245</f>
        <v>92.16842363948</v>
      </c>
      <c r="E69" s="116" t="n">
        <f aca="false">D69+E48+E49+E50+E51-E63+E245</f>
        <v>121.90419803948</v>
      </c>
      <c r="F69" s="116" t="n">
        <f aca="false">E69+F48+F49+F50+F51-F63+F245</f>
        <v>256.725284067474</v>
      </c>
      <c r="G69" s="116" t="n">
        <f aca="false">F69+G48+G49+G50+G51-G63+G245</f>
        <v>262.503862285937</v>
      </c>
      <c r="H69" s="116" t="n">
        <f aca="false">G69+H48+H49+H50+H51-H63+H245</f>
        <v>268.326080160048</v>
      </c>
      <c r="I69" s="116" t="n">
        <f aca="false">H69+I48+I49+I50+I51-I63+I245</f>
        <v>274.191780342668</v>
      </c>
      <c r="J69" s="116" t="n">
        <f aca="false">I69+J48+J49+J50+J51-J63+J245</f>
        <v>280.100843723547</v>
      </c>
      <c r="K69" s="116" t="n">
        <f aca="false">J69+K48+K49+K50+K51-K63+K245</f>
        <v>286.053187973026</v>
      </c>
      <c r="L69" s="116" t="n">
        <f aca="false">K69+L48+L49+L50+L51-L63+L245</f>
        <v>292.048766165385</v>
      </c>
      <c r="M69" s="116" t="n">
        <f aca="false">L69+M48+M49+M50+M51-M63+M245</f>
        <v>298.087565477952</v>
      </c>
      <c r="N69" s="116" t="n">
        <f aca="false">M69+N48+N49+N50+N51-N63+N245</f>
        <v>304.169605962309</v>
      </c>
      <c r="O69" s="116" t="n">
        <f aca="false">N69+O48+O49+O50+O51-O63+O245</f>
        <v>310.294939384071</v>
      </c>
      <c r="P69" s="116" t="n">
        <f aca="false">O69+P48+P49+P50+P51-P63+P245</f>
        <v>316.463648127936</v>
      </c>
      <c r="Q69" s="116" t="n">
        <f aca="false">P69+Q48+Q49+Q50+Q51-Q63+Q245</f>
        <v>322.675844164839</v>
      </c>
      <c r="R69" s="116" t="n">
        <f aca="false">Q69+R48+R49+R50+R51-R63+R245</f>
        <v>328.842396563598</v>
      </c>
      <c r="S69" s="116" t="n">
        <f aca="false">R69+S48+S49+S50+S51-S63+S245</f>
        <v>334.965006171782</v>
      </c>
      <c r="T69" s="116" t="n">
        <f aca="false">S69+T48+T49+T50+T51-T63+T245</f>
        <v>341.045435150922</v>
      </c>
      <c r="U69" s="116" t="n">
        <f aca="false">T69+U48+U49+U50+U51-U63+U245</f>
        <v>347.085506853289</v>
      </c>
      <c r="V69" s="116" t="n">
        <f aca="false">U69+V48+V49+V50+V51-V63+V245</f>
        <v>353.087105760173</v>
      </c>
      <c r="W69" s="116" t="n">
        <f aca="false">V69+W48+W49+W50+W51-W63+W245</f>
        <v>359.052177479588</v>
      </c>
      <c r="X69" s="116" t="n">
        <f aca="false">W69+X48+X49+X50+X51-X63+X245</f>
        <v>364.982728801457</v>
      </c>
      <c r="Y69" s="116" t="n">
        <f aca="false">X69+Y48+Y49+Y50+Y51-Y63+Y245</f>
        <v>370.880827808421</v>
      </c>
      <c r="Z69" s="116" t="n">
        <f aca="false">Y69+Z48+Z49+Z50+Z51-Z63+Z245</f>
        <v>376.748604040556</v>
      </c>
      <c r="AA69" s="116" t="n">
        <f aca="false">Z69+AA48+AA49+AA50+AA51-AA63+AA245</f>
        <v>382.588248712369</v>
      </c>
      <c r="AB69" s="116" t="n">
        <f aca="false">AA69+AB48+AB49+AB50+AB51-AB63+AB245</f>
        <v>388.40201498054</v>
      </c>
      <c r="AC69" s="116" t="n">
        <f aca="false">AB69+AC48+AC49+AC50+AC51-AC63+AC245</f>
        <v>394.19221826099</v>
      </c>
      <c r="AD69" s="116" t="n">
        <f aca="false">AC69+AD48+AD49+AD50+AD51-AD63+AD245</f>
        <v>399.961236593937</v>
      </c>
      <c r="AE69" s="116" t="n">
        <f aca="false">AD69+AE48+AE49+AE50+AE51-AE63+AE245</f>
        <v>405.711511055676</v>
      </c>
      <c r="AF69" s="116" t="n">
        <f aca="false">AE69+AF48+AF49+AF50+AF51-AF63+AF245</f>
        <v>411.445546215926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53.1099588644002</v>
      </c>
      <c r="G70" s="116" t="n">
        <f aca="false">F70+G49+G51+G57+G65+G245</f>
        <v>60.2728513828633</v>
      </c>
      <c r="H70" s="116" t="n">
        <f aca="false">G70+H49+H51+H57+H65+H245</f>
        <v>67.4668921419746</v>
      </c>
      <c r="I70" s="116" t="n">
        <f aca="false">H70+I49+I51+I57+I65+I245</f>
        <v>74.6925483653439</v>
      </c>
      <c r="J70" s="116" t="n">
        <f aca="false">I70+J49+J51+J57+J65+J245</f>
        <v>81.9502942849352</v>
      </c>
      <c r="K70" s="116" t="n">
        <f aca="false">J70+K49+K51+K57+K65+K245</f>
        <v>89.2406112461916</v>
      </c>
      <c r="L70" s="116" t="n">
        <f aca="false">K70+L49+L51+L57+L65+L245</f>
        <v>96.5639878147383</v>
      </c>
      <c r="M70" s="116" t="n">
        <f aca="false">L70+M49+M51+M57+M65+M245</f>
        <v>99.8368915828937</v>
      </c>
      <c r="N70" s="116" t="n">
        <f aca="false">M70+N49+N51+N57+N65+N245</f>
        <v>103.161186368662</v>
      </c>
      <c r="O70" s="116" t="n">
        <f aca="false">N70+O49+O51+O57+O65+O245</f>
        <v>106.537724137685</v>
      </c>
      <c r="P70" s="116" t="n">
        <f aca="false">O70+P49+P51+P57+P65+P245</f>
        <v>109.967372497929</v>
      </c>
      <c r="Q70" s="116" t="n">
        <f aca="false">P70+Q49+Q51+Q57+Q65+Q245</f>
        <v>113.451015035386</v>
      </c>
      <c r="R70" s="116" t="n">
        <f aca="false">Q70+R49+R51+R57+R65+R245</f>
        <v>116.989551658362</v>
      </c>
      <c r="S70" s="116" t="n">
        <f aca="false">R70+S49+S51+S57+S65+S245</f>
        <v>120.583898950636</v>
      </c>
      <c r="T70" s="116" t="n">
        <f aca="false">S70+T49+T51+T57+T65+T245</f>
        <v>124.23499053373</v>
      </c>
      <c r="U70" s="116" t="n">
        <f aca="false">T70+U49+U51+U57+U65+U245</f>
        <v>127.943777438583</v>
      </c>
      <c r="V70" s="116" t="n">
        <f aca="false">U70+V49+V51+V57+V65+V245</f>
        <v>131.711228486884</v>
      </c>
      <c r="W70" s="116" t="n">
        <f aca="false">V70+W49+W51+W57+W65+W245</f>
        <v>135.538330682385</v>
      </c>
      <c r="X70" s="116" t="n">
        <f aca="false">W70+X49+X51+X57+X65+X245</f>
        <v>139.426089612458</v>
      </c>
      <c r="Y70" s="116" t="n">
        <f aca="false">X70+Y49+Y51+Y57+Y65+Y245</f>
        <v>143.37552986024</v>
      </c>
      <c r="Z70" s="116" t="n">
        <f aca="false">Y70+Z49+Z51+Z57+Z65+Z245</f>
        <v>147.387695427658</v>
      </c>
      <c r="AA70" s="116" t="n">
        <f aca="false">Z70+AA49+AA51+AA57+AA65+AA245</f>
        <v>151.46365016968</v>
      </c>
      <c r="AB70" s="116" t="n">
        <f aca="false">AA70+AB49+AB51+AB57+AB65+AB245</f>
        <v>155.604478240119</v>
      </c>
      <c r="AC70" s="116" t="n">
        <f aca="false">AB70+AC49+AC51+AC57+AC65+AC245</f>
        <v>159.811284549359</v>
      </c>
      <c r="AD70" s="116" t="n">
        <f aca="false">AC70+AD49+AD51+AD57+AD65+AD245</f>
        <v>164.085195234348</v>
      </c>
      <c r="AE70" s="116" t="n">
        <f aca="false">AD70+AE49+AE51+AE57+AE65+AE245</f>
        <v>168.427358141247</v>
      </c>
      <c r="AF70" s="116" t="n">
        <f aca="false">AE70+AF49+AF51+AF57+AF65+AF245</f>
        <v>172.838943321108</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1084</v>
      </c>
      <c r="C72" s="116" t="n">
        <f aca="false">IF($C$173="Sí",(C83-C326)+C181,$C$15*0)</f>
        <v>20.1906899625578</v>
      </c>
      <c r="D72" s="116" t="n">
        <f aca="false">IF($C$173="Sí",(D83-D326)+D181,$C$15*C83)</f>
        <v>40.997071116064</v>
      </c>
      <c r="E72" s="116" t="n">
        <f aca="false">IF($C$173="Sí",(E83-E326)+E181,$C$15*D83)</f>
        <v>62.7022025701422</v>
      </c>
      <c r="F72" s="116" t="n">
        <f aca="false">IF($C$173="Sí",(F83-F326)+F181,$C$15*E83)</f>
        <v>86.7011992410515</v>
      </c>
      <c r="G72" s="116" t="n">
        <f aca="false">IF($C$173="Sí",(G83-G326)+G181,$C$15*F83)</f>
        <v>108.927009705299</v>
      </c>
      <c r="H72" s="116" t="n">
        <f aca="false">IF($C$173="Sí",(H83-H326)+H181,$C$15*G83)</f>
        <v>123.578649010258</v>
      </c>
      <c r="I72" s="116" t="n">
        <f aca="false">IF($C$173="Sí",(I83-I326)+I181,$C$15*H83)</f>
        <v>139.05602848246</v>
      </c>
      <c r="J72" s="116" t="n">
        <f aca="false">IF($C$173="Sí",(J83-J326)+J181,$C$15*I83)</f>
        <v>154.888437368127</v>
      </c>
      <c r="K72" s="116" t="n">
        <f aca="false">IF($C$173="Sí",(K83-K326)+K181,$C$15*J83)</f>
        <v>171.084037878002</v>
      </c>
      <c r="L72" s="116" t="n">
        <f aca="false">IF($C$173="Sí",(L83-L326)+L181,$C$15*K83)</f>
        <v>187.652378758606</v>
      </c>
      <c r="M72" s="116" t="n">
        <f aca="false">IF($C$173="Sí",(M83-M326)+M181,$C$15*L83)</f>
        <v>201.492891786311</v>
      </c>
      <c r="N72" s="116" t="n">
        <f aca="false">IF($C$173="Sí",(N83-N326)+N181,$C$15*M83)</f>
        <v>206.829349576801</v>
      </c>
      <c r="O72" s="116" t="n">
        <f aca="false">IF($C$173="Sí",(O83-O326)+O181,$C$15*N83)</f>
        <v>212.558326925522</v>
      </c>
      <c r="P72" s="116" t="n">
        <f aca="false">IF($C$173="Sí",(P83-P326)+P181,$C$15*O83)</f>
        <v>217.63065329352</v>
      </c>
      <c r="Q72" s="116" t="n">
        <f aca="false">IF($C$173="Sí",(Q83-Q326)+Q181,$C$15*P83)</f>
        <v>222.629875658643</v>
      </c>
      <c r="R72" s="116" t="n">
        <f aca="false">IF($C$173="Sí",(R83-R326)+R181,$C$15*Q83)</f>
        <v>227.748997179024</v>
      </c>
      <c r="S72" s="116" t="n">
        <f aca="false">IF($C$173="Sí",(S83-S326)+S181,$C$15*R83)</f>
        <v>232.985127753442</v>
      </c>
      <c r="T72" s="116" t="n">
        <f aca="false">IF($C$173="Sí",(T83-T326)+T181,$C$15*S83)</f>
        <v>238.341180128304</v>
      </c>
      <c r="U72" s="116" t="n">
        <f aca="false">IF($C$173="Sí",(U83-U326)+U181,$C$15*T83)</f>
        <v>243.820012160246</v>
      </c>
      <c r="V72" s="116" t="n">
        <f aca="false">IF($C$173="Sí",(V83-V326)+V181,$C$15*U83)</f>
        <v>249.424509149281</v>
      </c>
      <c r="W72" s="116" t="n">
        <f aca="false">IF($C$173="Sí",(W83-W326)+W181,$C$15*V83)</f>
        <v>255.156382877453</v>
      </c>
      <c r="X72" s="116" t="n">
        <f aca="false">IF($C$173="Sí",(X83-X326)+X181,$C$15*W83)</f>
        <v>261.019189187475</v>
      </c>
      <c r="Y72" s="116" t="n">
        <f aca="false">IF($C$173="Sí",(Y83-Y326)+Y181,$C$15*X83)</f>
        <v>267.016308949955</v>
      </c>
      <c r="Z72" s="116" t="n">
        <f aca="false">IF($C$173="Sí",(Z83-Z326)+Z181,$C$15*Y83)</f>
        <v>273.150869229211</v>
      </c>
      <c r="AA72" s="116" t="n">
        <f aca="false">IF($C$173="Sí",(AA83-AA326)+AA181,$C$15*Z83)</f>
        <v>279.426068487804</v>
      </c>
      <c r="AB72" s="116" t="n">
        <f aca="false">IF($C$173="Sí",(AB83-AB326)+AB181,$C$15*AA83)</f>
        <v>285.845204766632</v>
      </c>
      <c r="AC72" s="116" t="n">
        <f aca="false">IF($C$173="Sí",(AC83-AC326)+AC181,$C$15*AB83)</f>
        <v>292.411638285315</v>
      </c>
      <c r="AD72" s="116" t="n">
        <f aca="false">IF($C$173="Sí",(AD83-AD326)+AD181,$C$15*AC83)</f>
        <v>299.128798703559</v>
      </c>
      <c r="AE72" s="116" t="n">
        <f aca="false">IF($C$173="Sí",(AE83-AE326)+AE181,$C$15*AD83)</f>
        <v>306.000194089256</v>
      </c>
      <c r="AF72" s="116" t="n">
        <f aca="false">IF($C$173="Sí",(AF83-AF326)+AF181,$C$15*AE83)</f>
        <v>313.029412764432</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20.1906899625578</v>
      </c>
      <c r="D73" s="116" t="n">
        <f aca="false">D72-C72</f>
        <v>20.8063811535061</v>
      </c>
      <c r="E73" s="116" t="n">
        <f aca="false">E72-D72</f>
        <v>21.7051314540782</v>
      </c>
      <c r="F73" s="116" t="n">
        <f aca="false">F72-E72</f>
        <v>23.9989966709094</v>
      </c>
      <c r="G73" s="116" t="n">
        <f aca="false">G72-F72</f>
        <v>22.2258104642471</v>
      </c>
      <c r="H73" s="116" t="n">
        <f aca="false">H72-G72</f>
        <v>14.651639304959</v>
      </c>
      <c r="I73" s="116" t="n">
        <f aca="false">I72-H72</f>
        <v>15.4773794722021</v>
      </c>
      <c r="J73" s="116" t="n">
        <f aca="false">J72-I72</f>
        <v>15.8324088856674</v>
      </c>
      <c r="K73" s="116" t="n">
        <f aca="false">K72-J72</f>
        <v>16.1956005098754</v>
      </c>
      <c r="L73" s="116" t="n">
        <f aca="false">L72-K72</f>
        <v>16.5683408806031</v>
      </c>
      <c r="M73" s="116" t="n">
        <f aca="false">M72-L72</f>
        <v>13.8405130277052</v>
      </c>
      <c r="N73" s="116" t="n">
        <f aca="false">N72-M72</f>
        <v>5.33645779049056</v>
      </c>
      <c r="O73" s="116" t="n">
        <f aca="false">O72-N72</f>
        <v>5.72897734872117</v>
      </c>
      <c r="P73" s="116" t="n">
        <f aca="false">P72-O72</f>
        <v>5.07232636799708</v>
      </c>
      <c r="Q73" s="116" t="n">
        <f aca="false">Q72-P72</f>
        <v>4.99922236512356</v>
      </c>
      <c r="R73" s="116" t="n">
        <f aca="false">R72-Q72</f>
        <v>5.11912152038039</v>
      </c>
      <c r="S73" s="116" t="n">
        <f aca="false">S72-R72</f>
        <v>5.23613057441855</v>
      </c>
      <c r="T73" s="116" t="n">
        <f aca="false">T72-S72</f>
        <v>5.3560523748622</v>
      </c>
      <c r="U73" s="116" t="n">
        <f aca="false">U72-T72</f>
        <v>5.47883203194218</v>
      </c>
      <c r="V73" s="116" t="n">
        <f aca="false">V72-U72</f>
        <v>5.60449698903429</v>
      </c>
      <c r="W73" s="116" t="n">
        <f aca="false">W72-V72</f>
        <v>5.73187372817216</v>
      </c>
      <c r="X73" s="116" t="n">
        <f aca="false">X72-W72</f>
        <v>5.86280631002182</v>
      </c>
      <c r="Y73" s="116" t="n">
        <f aca="false">Y72-X72</f>
        <v>5.99711976248</v>
      </c>
      <c r="Z73" s="116" t="n">
        <f aca="false">Z72-Y72</f>
        <v>6.13456027925673</v>
      </c>
      <c r="AA73" s="116" t="n">
        <f aca="false">AA72-Z72</f>
        <v>6.27519925859286</v>
      </c>
      <c r="AB73" s="116" t="n">
        <f aca="false">AB72-AA72</f>
        <v>6.4191362788273</v>
      </c>
      <c r="AC73" s="116" t="n">
        <f aca="false">AC72-AB72</f>
        <v>6.56643351868354</v>
      </c>
      <c r="AD73" s="116" t="n">
        <f aca="false">AD72-AC72</f>
        <v>6.71716041824402</v>
      </c>
      <c r="AE73" s="116" t="n">
        <f aca="false">AE72-AD72</f>
        <v>6.87139538569721</v>
      </c>
      <c r="AF73" s="116" t="n">
        <f aca="false">AF72-AE72</f>
        <v>7.02921867517557</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2.95721969309572</v>
      </c>
      <c r="E75" s="116" t="n">
        <f aca="false">$C$19*D81</f>
        <v>4.86193850558283</v>
      </c>
      <c r="F75" s="116" t="n">
        <f aca="false">$C$19*E81</f>
        <v>6.55554179038171</v>
      </c>
      <c r="G75" s="116" t="n">
        <f aca="false">$C$19*F81</f>
        <v>13.6427421446266</v>
      </c>
      <c r="H75" s="116" t="n">
        <f aca="false">$C$19*G81</f>
        <v>14.277817108395</v>
      </c>
      <c r="I75" s="116" t="n">
        <f aca="false">$C$19*H81</f>
        <v>14.9150740549458</v>
      </c>
      <c r="J75" s="116" t="n">
        <f aca="false">$C$19*I81</f>
        <v>15.554505116922</v>
      </c>
      <c r="K75" s="116" t="n">
        <f aca="false">$C$19*J81</f>
        <v>16.1961043388112</v>
      </c>
      <c r="L75" s="116" t="n">
        <f aca="false">$C$19*K81</f>
        <v>16.8398676041304</v>
      </c>
      <c r="M75" s="116" t="n">
        <f aca="false">$C$19*L81</f>
        <v>17.4900982319835</v>
      </c>
      <c r="N75" s="116" t="n">
        <f aca="false">$C$19*M81</f>
        <v>18.1213040415011</v>
      </c>
      <c r="O75" s="116" t="n">
        <f aca="false">$C$19*N81</f>
        <v>18.7604809007079</v>
      </c>
      <c r="P75" s="116" t="n">
        <f aca="false">$C$19*O81</f>
        <v>19.3623989251979</v>
      </c>
      <c r="Q75" s="116" t="n">
        <f aca="false">$C$19*P81</f>
        <v>19.8382778801439</v>
      </c>
      <c r="R75" s="116" t="n">
        <f aca="false">$C$19*Q81</f>
        <v>20.3180820983724</v>
      </c>
      <c r="S75" s="116" t="n">
        <f aca="false">$C$19*R81</f>
        <v>20.7966454269296</v>
      </c>
      <c r="T75" s="116" t="n">
        <f aca="false">$C$19*S81</f>
        <v>21.2744267767822</v>
      </c>
      <c r="U75" s="116" t="n">
        <f aca="false">$C$19*T81</f>
        <v>21.7515081436038</v>
      </c>
      <c r="V75" s="116" t="n">
        <f aca="false">$C$19*U81</f>
        <v>22.2286225939309</v>
      </c>
      <c r="W75" s="116" t="n">
        <f aca="false">$C$19*V81</f>
        <v>22.706499224283</v>
      </c>
      <c r="X75" s="116" t="n">
        <f aca="false">$C$19*W81</f>
        <v>23.1789213926564</v>
      </c>
      <c r="Y75" s="116" t="n">
        <f aca="false">$C$19*X81</f>
        <v>23.6466521045131</v>
      </c>
      <c r="Z75" s="116" t="n">
        <f aca="false">$C$19*Y81</f>
        <v>24.1104596863957</v>
      </c>
      <c r="AA75" s="116" t="n">
        <f aca="false">$C$19*Z81</f>
        <v>24.571116354884</v>
      </c>
      <c r="AB75" s="116" t="n">
        <f aca="false">$C$19*AA81</f>
        <v>25.0293993967948</v>
      </c>
      <c r="AC75" s="116" t="n">
        <f aca="false">$C$19*AB81</f>
        <v>25.4862438969841</v>
      </c>
      <c r="AD75" s="116" t="n">
        <f aca="false">$C$19*AC81</f>
        <v>25.9425896517676</v>
      </c>
      <c r="AE75" s="116" t="n">
        <f aca="false">$C$19*AD81</f>
        <v>26.3993824370938</v>
      </c>
      <c r="AF75" s="116" t="n">
        <f aca="false">$C$19*AE81</f>
        <v>26.8575752992452</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177.586206896552</v>
      </c>
      <c r="D76" s="116" t="n">
        <f aca="false">(IF($C$173="Sí",(MAX(0,D74-C96)+MAX(0,C276+D53-D75))/D327,D73+MAX(0,D74-C96)+MAX(0,C276+D53-D75)))+IF($C$173="Sí",MAX(0,$C$226*(D70+C121)*0.3/0.55-C227)/D327,0)</f>
        <v>721.340370467992</v>
      </c>
      <c r="E76" s="116" t="n">
        <f aca="false">(IF($C$173="Sí",(MAX(0,E74-D96)+MAX(0,D276+E53-E75))/E327,E73+MAX(0,E74-D96)+MAX(0,D276+E53-E75)))+IF($C$173="Sí",MAX(0,$C$226*(E70+D121)*0.3/0.55-D227)/E327,0)</f>
        <v>650.020810319395</v>
      </c>
      <c r="F76" s="116" t="n">
        <f aca="false">(IF($C$173="Sí",(MAX(0,F74-E96)+MAX(0,E276+F53-F75))/F327,F73+MAX(0,F74-E96)+MAX(0,E276+F53-F75)))+IF($C$173="Sí",MAX(0,$C$226*(F70+E121)*0.3/0.55-E227)/F327,0)</f>
        <v>763.101458454192</v>
      </c>
      <c r="G76" s="116" t="n">
        <f aca="false">(IF($C$173="Sí",(MAX(0,G74-F96)+MAX(0,F276+G53-G75))/G327,G73+MAX(0,G74-F96)+MAX(0,F276+G53-G75)))+IF($C$173="Sí",MAX(0,$C$226*(G70+F121)*0.3/0.55-F227)/G327,0)</f>
        <v>16915.0817813716</v>
      </c>
      <c r="H76" s="116" t="n">
        <f aca="false">(IF($C$173="Sí",(MAX(0,H74-G96)+MAX(0,G276+H53-H75))/H327,H73+MAX(0,H74-G96)+MAX(0,G276+H53-H75)))+IF($C$173="Sí",MAX(0,$C$226*(H70+G121)*0.3/0.55-G227)/H327,0)</f>
        <v>841.092012729372</v>
      </c>
      <c r="I76" s="116" t="n">
        <f aca="false">(IF($C$173="Sí",(MAX(0,I74-H96)+MAX(0,H276+I53-I75))/I327,I73+MAX(0,I74-H96)+MAX(0,H276+I53-I75)))+IF($C$173="Sí",MAX(0,$C$226*(I70+H121)*0.3/0.55-H227)/I327,0)</f>
        <v>916.32524228234</v>
      </c>
      <c r="J76" s="116" t="n">
        <f aca="false">(IF($C$173="Sí",(MAX(0,J74-I96)+MAX(0,I276+J53-J75))/J327,J73+MAX(0,J74-I96)+MAX(0,I276+J53-J75)))+IF($C$173="Sí",MAX(0,$C$226*(J70+I121)*0.3/0.55-I227)/J327,0)</f>
        <v>1008.72795034206</v>
      </c>
      <c r="K76" s="116" t="n">
        <f aca="false">(IF($C$173="Sí",(MAX(0,K74-J96)+MAX(0,J276+K53-K75))/K327,K73+MAX(0,K74-J96)+MAX(0,J276+K53-K75)))+IF($C$173="Sí",MAX(0,$C$226*(K70+J121)*0.3/0.55-J227)/K327,0)</f>
        <v>1112.43014225711</v>
      </c>
      <c r="L76" s="116" t="n">
        <f aca="false">(IF($C$173="Sí",(MAX(0,L74-K96)+MAX(0,K276+L53-L75))/L327,L73+MAX(0,L74-K96)+MAX(0,K276+L53-L75)))+IF($C$173="Sí",MAX(0,$C$226*(L70+K121)*0.3/0.55-K227)/L327,0)</f>
        <v>1226.18998380199</v>
      </c>
      <c r="M76" s="116" t="n">
        <f aca="false">(IF($C$173="Sí",(MAX(0,M74-L96)+MAX(0,L276+M53-M75))/M327,M73+MAX(0,M74-L96)+MAX(0,L276+M53-M75)))+IF($C$173="Sí",MAX(0,$C$226*(M70+L121)*0.3/0.55-L227)/M327,0)</f>
        <v>1158.58760581963</v>
      </c>
      <c r="N76" s="116" t="n">
        <f aca="false">(IF($C$173="Sí",(MAX(0,N74-M96)+MAX(0,M276+N53-N75))/N327,N73+MAX(0,N74-M96)+MAX(0,M276+N53-N75)))+IF($C$173="Sí",MAX(0,$C$226*(N70+M121)*0.3/0.55-M227)/N327,0)</f>
        <v>966.895074167216</v>
      </c>
      <c r="O76" s="116" t="n">
        <f aca="false">(IF($C$173="Sí",(MAX(0,O74-N96)+MAX(0,N276+O53-O75))/O327,O73+MAX(0,O74-N96)+MAX(0,N276+O53-O75)))+IF($C$173="Sí",MAX(0,$C$226*(O70+N121)*0.3/0.55-N227)/O327,0)</f>
        <v>882.178335834664</v>
      </c>
      <c r="P76" s="116" t="n">
        <f aca="false">(IF($C$173="Sí",(MAX(0,P74-O96)+MAX(0,O276+P53-P75))/P327,P73+MAX(0,P74-O96)+MAX(0,O276+P53-P75)))+IF($C$173="Sí",MAX(0,$C$226*(P70+O121)*0.3/0.55-O227)/P327,0)</f>
        <v>980.123800278203</v>
      </c>
      <c r="Q76" s="116" t="n">
        <f aca="false">(IF($C$173="Sí",(MAX(0,Q74-P96)+MAX(0,P276+Q53-Q75))/Q327,Q73+MAX(0,Q74-P96)+MAX(0,P276+Q53-Q75)))+IF($C$173="Sí",MAX(0,$C$226*(Q70+P121)*0.3/0.55-P227)/Q327,0)</f>
        <v>980.759399340638</v>
      </c>
      <c r="R76" s="116" t="n">
        <f aca="false">(IF($C$173="Sí",(MAX(0,R74-Q96)+MAX(0,Q276+R53-R75))/R327,R73+MAX(0,R74-Q96)+MAX(0,Q276+R53-R75)))+IF($C$173="Sí",MAX(0,$C$226*(R70+Q121)*0.3/0.55-Q227)/R327,0)</f>
        <v>985.971971593327</v>
      </c>
      <c r="S76" s="116" t="n">
        <f aca="false">(IF($C$173="Sí",(MAX(0,S74-R96)+MAX(0,R276+S53-S75))/S327,S73+MAX(0,S74-R96)+MAX(0,R276+S53-S75)))+IF($C$173="Sí",MAX(0,$C$226*(S70+R121)*0.3/0.55-R227)/S327,0)</f>
        <v>988.299199623913</v>
      </c>
      <c r="T76" s="116" t="n">
        <f aca="false">(IF($C$173="Sí",(MAX(0,T74-S96)+MAX(0,S276+T53-T75))/T327,T73+MAX(0,T74-S96)+MAX(0,S276+T53-T75)))+IF($C$173="Sí",MAX(0,$C$226*(T70+S121)*0.3/0.55-S227)/T327,0)</f>
        <v>990.788710200702</v>
      </c>
      <c r="U76" s="116" t="n">
        <f aca="false">(IF($C$173="Sí",(MAX(0,U74-T96)+MAX(0,T276+U53-U75))/U327,U73+MAX(0,U74-T96)+MAX(0,T276+U53-U75)))+IF($C$173="Sí",MAX(0,$C$226*(U70+T121)*0.3/0.55-T227)/U327,0)</f>
        <v>993.434676380934</v>
      </c>
      <c r="V76" s="116" t="n">
        <f aca="false">(IF($C$173="Sí",(MAX(0,V74-U96)+MAX(0,U276+V53-V75))/V327,V73+MAX(0,V74-U96)+MAX(0,U276+V53-V75)))+IF($C$173="Sí",MAX(0,$C$226*(V70+U121)*0.3/0.55-U227)/V327,0)</f>
        <v>996.269482548419</v>
      </c>
      <c r="W76" s="116" t="n">
        <f aca="false">(IF($C$173="Sí",(MAX(0,W74-V96)+MAX(0,V276+W53-W75))/W327,W73+MAX(0,W74-V96)+MAX(0,V276+W53-W75)))+IF($C$173="Sí",MAX(0,$C$226*(W70+V121)*0.3/0.55-V227)/W327,0)</f>
        <v>999.297680638547</v>
      </c>
      <c r="X76" s="116" t="n">
        <f aca="false">(IF($C$173="Sí",(MAX(0,X74-W96)+MAX(0,W276+X53-X75))/X327,X73+MAX(0,X74-W96)+MAX(0,W276+X53-X75)))+IF($C$173="Sí",MAX(0,$C$226*(X70+W121)*0.3/0.55-W227)/X327,0)</f>
        <v>1002.28113595671</v>
      </c>
      <c r="Y76" s="116" t="n">
        <f aca="false">(IF($C$173="Sí",(MAX(0,Y74-X96)+MAX(0,X276+Y53-Y75))/Y327,Y73+MAX(0,Y74-X96)+MAX(0,X276+Y53-Y75)))+IF($C$173="Sí",MAX(0,$C$226*(Y70+X121)*0.3/0.55-X227)/Y327,0)</f>
        <v>1005.50328384685</v>
      </c>
      <c r="Z76" s="116" t="n">
        <f aca="false">(IF($C$173="Sí",(MAX(0,Z74-Y96)+MAX(0,Y276+Z53-Z75))/Z327,Z73+MAX(0,Z74-Y96)+MAX(0,Y276+Z53-Z75)))+IF($C$173="Sí",MAX(0,$C$226*(Z70+Y121)*0.3/0.55-Y227)/Z327,0)</f>
        <v>1008.97230390515</v>
      </c>
      <c r="AA76" s="116" t="n">
        <f aca="false">(IF($C$173="Sí",(MAX(0,AA74-Z96)+MAX(0,Z276+AA53-AA75))/AA327,AA73+MAX(0,AA74-Z96)+MAX(0,Z276+AA53-AA75)))+IF($C$173="Sí",MAX(0,$C$226*(AA70+Z121)*0.3/0.55-Z227)/AA327,0)</f>
        <v>1012.693580365</v>
      </c>
      <c r="AB76" s="116" t="n">
        <f aca="false">(IF($C$173="Sí",(MAX(0,AB74-AA96)+MAX(0,AA276+AB53-AB75))/AB327,AB73+MAX(0,AB74-AA96)+MAX(0,AA276+AB53-AB75)))+IF($C$173="Sí",MAX(0,$C$226*(AB70+AA121)*0.3/0.55-AA227)/AB327,0)</f>
        <v>1016.67218125579</v>
      </c>
      <c r="AC76" s="116" t="n">
        <f aca="false">(IF($C$173="Sí",(MAX(0,AC74-AB96)+MAX(0,AB276+AC53-AC75))/AC327,AC73+MAX(0,AC74-AB96)+MAX(0,AB276+AC53-AC75)))+IF($C$173="Sí",MAX(0,$C$226*(AC70+AB121)*0.3/0.55-AB227)/AC327,0)</f>
        <v>1020.91753179337</v>
      </c>
      <c r="AD76" s="116" t="n">
        <f aca="false">(IF($C$173="Sí",(MAX(0,AD74-AC96)+MAX(0,AC276+AD53-AD75))/AD327,AD73+MAX(0,AD74-AC96)+MAX(0,AC276+AD53-AD75)))+IF($C$173="Sí",MAX(0,$C$226*(AD70+AC121)*0.3/0.55-AC227)/AD327,0)</f>
        <v>1025.43311496992</v>
      </c>
      <c r="AE76" s="116" t="n">
        <f aca="false">(IF($C$173="Sí",(MAX(0,AE74-AD96)+MAX(0,AD276+AE53-AE75))/AE327,AE73+MAX(0,AE74-AD96)+MAX(0,AD276+AE53-AE75)))+IF($C$173="Sí",MAX(0,$C$226*(AE70+AD121)*0.3/0.55-AD227)/AE327,0)</f>
        <v>1030.2221080064</v>
      </c>
      <c r="AF76" s="116" t="n">
        <f aca="false">(IF($C$173="Sí",(MAX(0,AF74-AE96)+MAX(0,AE276+AF53-AF75))/AF327,AF73+MAX(0,AF74-AE96)+MAX(0,AE276+AF53-AF75)))+IF($C$173="Sí",MAX(0,$C$226*(AF70+AE121)*0.3/0.55-AE227)/AF327,0)</f>
        <v>1035.28746368953</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26.299</v>
      </c>
      <c r="E78" s="116" t="n">
        <f aca="false">MIN(MIN(D83+IF(E$39&lt;=01_Supuestos!$C$182,01_Supuestos!$C$181,$C$174)*E41,D83+E76),IF(01_Supuestos!$C$179&gt;0,01_Supuestos!$C$179/(1-01_Supuestos!$C$179)*64_Inflacion!$C$5*E41/$C$41,1E+099))</f>
        <v>39.903877</v>
      </c>
      <c r="F78" s="116" t="n">
        <f aca="false">MIN(MIN(E83+IF(F$39&lt;=01_Supuestos!$C$182,01_Supuestos!$C$181,$C$174)*F41,E83+F76),IF(01_Supuestos!$C$179&gt;0,01_Supuestos!$C$179/(1-01_Supuestos!$C$179)*64_Inflacion!$C$5*F41/$C$41,1E+099))</f>
        <v>53.821666171</v>
      </c>
      <c r="G78" s="116" t="n">
        <f aca="false">MIN(MIN(F83+IF(G$39&lt;=01_Supuestos!$C$182,01_Supuestos!$C$181,$C$174)*G41,F83+G76),IF(01_Supuestos!$C$179&gt;0,01_Supuestos!$C$179/(1-01_Supuestos!$C$179)*64_Inflacion!$C$5*G41/$C$41,1E+099))</f>
        <v>68.059564492933</v>
      </c>
      <c r="H78" s="116" t="n">
        <f aca="false">MIN(MIN(G83+IF(H$39&lt;=01_Supuestos!$C$182,01_Supuestos!$C$181,$C$174)*H41,G83+H76),IF(01_Supuestos!$C$179&gt;0,01_Supuestos!$C$179/(1-01_Supuestos!$C$179)*64_Inflacion!$C$5*H41/$C$41,1E+099))</f>
        <v>82.6249344762704</v>
      </c>
      <c r="I78" s="116" t="n">
        <f aca="false">MIN(MIN(H83+IF(I$39&lt;=01_Supuestos!$C$182,01_Supuestos!$C$181,$C$174)*I41,H83+I76),IF(01_Supuestos!$C$179&gt;0,01_Supuestos!$C$179/(1-01_Supuestos!$C$179)*64_Inflacion!$C$5*I41/$C$41,1E+099))</f>
        <v>97.5253079692246</v>
      </c>
      <c r="J78" s="116" t="n">
        <f aca="false">MIN(MIN(I83+IF(J$39&lt;=01_Supuestos!$C$182,01_Supuestos!$C$181,$C$174)*J41,I83+J76),IF(01_Supuestos!$C$179&gt;0,01_Supuestos!$C$179/(1-01_Supuestos!$C$179)*64_Inflacion!$C$5*J41/$C$41,1E+099))</f>
        <v>112.768390052517</v>
      </c>
      <c r="K78" s="116" t="n">
        <f aca="false">MIN(MIN(J83+IF(K$39&lt;=01_Supuestos!$C$182,01_Supuestos!$C$181,$C$174)*K41,J83+K76),IF(01_Supuestos!$C$179&gt;0,01_Supuestos!$C$179/(1-01_Supuestos!$C$179)*64_Inflacion!$C$5*K41/$C$41,1E+099))</f>
        <v>128.362063023725</v>
      </c>
      <c r="L78" s="116" t="n">
        <f aca="false">MIN(MIN(K83+IF(L$39&lt;=01_Supuestos!$C$182,01_Supuestos!$C$181,$C$174)*L41,K83+L76),IF(01_Supuestos!$C$179&gt;0,01_Supuestos!$C$179/(1-01_Supuestos!$C$179)*64_Inflacion!$C$5*L41/$C$41,1E+099))</f>
        <v>144.31439047327</v>
      </c>
      <c r="M78" s="116" t="n">
        <f aca="false">MIN(MIN(L83+IF(M$39&lt;=01_Supuestos!$C$182,01_Supuestos!$C$181,$C$174)*M41,L83+M76),IF(01_Supuestos!$C$179&gt;0,01_Supuestos!$C$179/(1-01_Supuestos!$C$179)*64_Inflacion!$C$5*M41/$C$41,1E+099))</f>
        <v>158.440006281451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244.062969768443</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13</v>
      </c>
      <c r="D79" s="116" t="n">
        <f aca="false">MAX(0,MIN(D67,$C$9*(D69+D68+C121),D78))</f>
        <v>26.299</v>
      </c>
      <c r="E79" s="116" t="n">
        <f aca="false">MAX(0,MIN(E67,$C$9*(E69+E68+D121),E78))</f>
        <v>39.903877</v>
      </c>
      <c r="F79" s="116" t="n">
        <f aca="false">MAX(0,MIN(F67,$C$9*(F69+F68+E121),F78))</f>
        <v>53.821666171</v>
      </c>
      <c r="G79" s="116" t="n">
        <f aca="false">MAX(0,MIN(G67,$C$9*(G69+G68+F121),G78))</f>
        <v>68.059564492933</v>
      </c>
      <c r="H79" s="116" t="n">
        <f aca="false">MAX(0,MIN(H67,$C$9*(H69+H68+G121),H78))</f>
        <v>82.6249344762704</v>
      </c>
      <c r="I79" s="116" t="n">
        <f aca="false">MAX(0,MIN(I67,$C$9*(I69+I68+H121),I78))</f>
        <v>97.5253079692246</v>
      </c>
      <c r="J79" s="116" t="n">
        <f aca="false">MAX(0,MIN(J67,$C$9*(J69+J68+I121),J78))</f>
        <v>112.768390052517</v>
      </c>
      <c r="K79" s="116" t="n">
        <f aca="false">MAX(0,MIN(K67,$C$9*(K69+K68+J121),K78))</f>
        <v>128.362063023725</v>
      </c>
      <c r="L79" s="116" t="n">
        <f aca="false">MAX(0,MIN(L67,$C$9*(L69+L68+K121),L78))</f>
        <v>144.31439047327</v>
      </c>
      <c r="M79" s="116" t="n">
        <f aca="false">MAX(0,MIN(M67,$C$9*(M69+M68+L121),M78))</f>
        <v>158.440006281451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194.422066254599</v>
      </c>
      <c r="W79" s="116" t="n">
        <f aca="false">MAX(0,MIN(W67,$C$9*(W69+W68+V121),W78))</f>
        <v>198.893773778455</v>
      </c>
      <c r="X79" s="116" t="n">
        <f aca="false">MAX(0,MIN(X67,$C$9*(X69+X68+W121),X78))</f>
        <v>203.468330575359</v>
      </c>
      <c r="Y79" s="116" t="n">
        <f aca="false">MAX(0,MIN(Y67,$C$9*(Y69+Y68+X121),Y78))</f>
        <v>208.148102178592</v>
      </c>
      <c r="Z79" s="116" t="n">
        <f aca="false">MAX(0,MIN(Z67,$C$9*(Z69+Z68+Y121),Z78))</f>
        <v>212.9355085287</v>
      </c>
      <c r="AA79" s="116" t="n">
        <f aca="false">MAX(0,MIN(AA67,$C$9*(AA69+AA68+Z121),AA78))</f>
        <v>217.83302522486</v>
      </c>
      <c r="AB79" s="116" t="n">
        <f aca="false">MAX(0,MIN(AB67,$C$9*(AB69+AB68+AA121),AB78))</f>
        <v>222.843184805032</v>
      </c>
      <c r="AC79" s="116" t="n">
        <f aca="false">MAX(0,MIN(AC67,$C$9*(AC69+AC68+AB121),AC78))</f>
        <v>227.968578055547</v>
      </c>
      <c r="AD79" s="116" t="n">
        <f aca="false">MAX(0,MIN(AD67,$C$9*(AD69+AD68+AC121),AD78))</f>
        <v>233.211855350825</v>
      </c>
      <c r="AE79" s="116" t="n">
        <f aca="false">MAX(0,MIN(AE67,$C$9*(AE69+AE68+AD121),AE78))</f>
        <v>237.28415291443</v>
      </c>
      <c r="AF79" s="116" t="n">
        <f aca="false">MAX(0,MIN(AF67,$C$9*(AF69+AF68+AE121),AF78))</f>
        <v>238.606602894817</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1.94215608443432</v>
      </c>
      <c r="D80" s="116" t="n">
        <f aca="false">IF($C$177&lt;=1,D68,SUMPRODUCT($C$189:D189,((D$39-$C$39:D$39+1)&gt;=$C$177)+((D$39-$C$39:D$39+1)&lt;$C$177)*(D$39-$C$39:D$39+1)/$C$177))</f>
        <v>5.07034647217664</v>
      </c>
      <c r="E80" s="116" t="n">
        <f aca="false">IF($C$177&lt;=1,E68,SUMPRODUCT($C$189:E189,((E$39-$C$39:E$39+1)&gt;=$C$177)+((E$39-$C$39:E$39+1)&lt;$C$177)*(E$39-$C$39:E$39+1)/$C$177))</f>
        <v>9.20663776815416</v>
      </c>
      <c r="F80" s="116" t="n">
        <f aca="false">IF($C$177&lt;=1,F68,SUMPRODUCT($C$189:F189,((F$39-$C$39:F$39+1)&gt;=$C$177)+((F$39-$C$39:F$39+1)&lt;$C$177)*(F$39-$C$39:F$39+1)/$C$177))</f>
        <v>16.1295588250587</v>
      </c>
      <c r="G80" s="116" t="n">
        <f aca="false">IF($C$177&lt;=1,G68,SUMPRODUCT($C$189:G189,((G$39-$C$39:G$39+1)&gt;=$C$177)+((G$39-$C$39:G$39+1)&lt;$C$177)*(G$39-$C$39:G$39+1)/$C$177))</f>
        <v>23.0524798819632</v>
      </c>
      <c r="H80" s="116" t="n">
        <f aca="false">IF($C$177&lt;=1,H68,SUMPRODUCT($C$189:H189,((H$39-$C$39:H$39+1)&gt;=$C$177)+((H$39-$C$39:H$39+1)&lt;$C$177)*(H$39-$C$39:H$39+1)/$C$177))</f>
        <v>29.9754009388677</v>
      </c>
      <c r="I80" s="116" t="n">
        <f aca="false">IF($C$177&lt;=1,I68,SUMPRODUCT($C$189:I189,((I$39-$C$39:I$39+1)&gt;=$C$177)+((I$39-$C$39:I$39+1)&lt;$C$177)*(I$39-$C$39:I$39+1)/$C$177))</f>
        <v>36.8983219957722</v>
      </c>
      <c r="J80" s="116" t="n">
        <f aca="false">IF($C$177&lt;=1,J68,SUMPRODUCT($C$189:J189,((J$39-$C$39:J$39+1)&gt;=$C$177)+((J$39-$C$39:J$39+1)&lt;$C$177)*(J$39-$C$39:J$39+1)/$C$177))</f>
        <v>43.8212430526767</v>
      </c>
      <c r="K80" s="116" t="n">
        <f aca="false">IF($C$177&lt;=1,K68,SUMPRODUCT($C$189:K189,((K$39-$C$39:K$39+1)&gt;=$C$177)+((K$39-$C$39:K$39+1)&lt;$C$177)*(K$39-$C$39:K$39+1)/$C$177))</f>
        <v>50.7441641095812</v>
      </c>
      <c r="L80" s="116" t="n">
        <f aca="false">IF($C$177&lt;=1,L68,SUMPRODUCT($C$189:L189,((L$39-$C$39:L$39+1)&gt;=$C$177)+((L$39-$C$39:L$39+1)&lt;$C$177)*(L$39-$C$39:L$39+1)/$C$177))</f>
        <v>57.6670851664857</v>
      </c>
      <c r="M80" s="116" t="n">
        <f aca="false">IF($C$177&lt;=1,M68,SUMPRODUCT($C$189:M189,((M$39-$C$39:M$39+1)&gt;=$C$177)+((M$39-$C$39:M$39+1)&lt;$C$177)*(M$39-$C$39:M$39+1)/$C$177))</f>
        <v>62.7867071012168</v>
      </c>
      <c r="N80" s="116" t="n">
        <f aca="false">IF($C$177&lt;=1,N68,SUMPRODUCT($C$189:N189,((N$39-$C$39:N$39+1)&gt;=$C$177)+((N$39-$C$39:N$39+1)&lt;$C$177)*(N$39-$C$39:N$39+1)/$C$177))</f>
        <v>66.8585624006552</v>
      </c>
      <c r="O80" s="116" t="n">
        <f aca="false">IF($C$177&lt;=1,O68,SUMPRODUCT($C$189:O189,((O$39-$C$39:O$39+1)&gt;=$C$177)+((O$39-$C$39:O$39+1)&lt;$C$177)*(O$39-$C$39:O$39+1)/$C$177))</f>
        <v>70.0599835688018</v>
      </c>
      <c r="P80" s="116" t="n">
        <f aca="false">IF($C$177&lt;=1,P68,SUMPRODUCT($C$189:P189,((P$39-$C$39:P$39+1)&gt;=$C$177)+((P$39-$C$39:P$39+1)&lt;$C$177)*(P$39-$C$39:P$39+1)/$C$177))</f>
        <v>70.611828993777</v>
      </c>
      <c r="Q80" s="116" t="n">
        <f aca="false">IF($C$177&lt;=1,Q68,SUMPRODUCT($C$189:Q189,((Q$39-$C$39:Q$39+1)&gt;=$C$177)+((Q$39-$C$39:Q$39+1)&lt;$C$177)*(Q$39-$C$39:Q$39+1)/$C$177))</f>
        <v>71.3001035304105</v>
      </c>
      <c r="R80" s="116" t="n">
        <f aca="false">IF($C$177&lt;=1,R68,SUMPRODUCT($C$189:R189,((R$39-$C$39:R$39+1)&gt;=$C$177)+((R$39-$C$39:R$39+1)&lt;$C$177)*(R$39-$C$39:R$39+1)/$C$177))</f>
        <v>72.1211346076637</v>
      </c>
      <c r="S80" s="116" t="n">
        <f aca="false">IF($C$177&lt;=1,S68,SUMPRODUCT($C$189:S189,((S$39-$C$39:S$39+1)&gt;=$C$177)+((S$39-$C$39:S$39+1)&lt;$C$177)*(S$39-$C$39:S$39+1)/$C$177))</f>
        <v>73.071289033889</v>
      </c>
      <c r="T80" s="116" t="n">
        <f aca="false">IF($C$177&lt;=1,T68,SUMPRODUCT($C$189:T189,((T$39-$C$39:T$39+1)&gt;=$C$177)+((T$39-$C$39:T$39+1)&lt;$C$177)*(T$39-$C$39:T$39+1)/$C$177))</f>
        <v>74.1469738664992</v>
      </c>
      <c r="U80" s="116" t="n">
        <f aca="false">IF($C$177&lt;=1,U68,SUMPRODUCT($C$189:U189,((U$39-$C$39:U$39+1)&gt;=$C$177)+((U$39-$C$39:U$39+1)&lt;$C$177)*(U$39-$C$39:U$39+1)/$C$177))</f>
        <v>75.3446372965984</v>
      </c>
      <c r="V80" s="116" t="n">
        <f aca="false">IF($C$177&lt;=1,V68,SUMPRODUCT($C$189:V189,((V$39-$C$39:V$39+1)&gt;=$C$177)+((V$39-$C$39:V$39+1)&lt;$C$177)*(V$39-$C$39:V$39+1)/$C$177))</f>
        <v>76.6607695487443</v>
      </c>
      <c r="W80" s="116" t="n">
        <f aca="false">IF($C$177&lt;=1,W68,SUMPRODUCT($C$189:W189,((W$39-$C$39:W$39+1)&gt;=$C$177)+((W$39-$C$39:W$39+1)&lt;$C$177)*(W$39-$C$39:W$39+1)/$C$177))</f>
        <v>77.9530468337544</v>
      </c>
      <c r="X80" s="116" t="n">
        <f aca="false">IF($C$177&lt;=1,X68,SUMPRODUCT($C$189:X189,((X$39-$C$39:X$39+1)&gt;=$C$177)+((X$39-$C$39:X$39+1)&lt;$C$177)*(X$39-$C$39:X$39+1)/$C$177))</f>
        <v>79.2186354980167</v>
      </c>
      <c r="Y80" s="116" t="n">
        <f aca="false">IF($C$177&lt;=1,Y68,SUMPRODUCT($C$189:Y189,((Y$39-$C$39:Y$39+1)&gt;=$C$177)+((Y$39-$C$39:Y$39+1)&lt;$C$177)*(Y$39-$C$39:Y$39+1)/$C$177))</f>
        <v>80.454758309997</v>
      </c>
      <c r="Z80" s="116" t="n">
        <f aca="false">IF($C$177&lt;=1,Z68,SUMPRODUCT($C$189:Z189,((Z$39-$C$39:Z$39+1)&gt;=$C$177)+((Z$39-$C$39:Z$39+1)&lt;$C$177)*(Z$39-$C$39:Z$39+1)/$C$177))</f>
        <v>81.6586956935287</v>
      </c>
      <c r="AA80" s="116" t="n">
        <f aca="false">IF($C$177&lt;=1,AA68,SUMPRODUCT($C$189:AA189,((AA$39-$C$39:AA$39+1)&gt;=$C$177)+((AA$39-$C$39:AA$39+1)&lt;$C$177)*(AA$39-$C$39:AA$39+1)/$C$177))</f>
        <v>82.8277869845864</v>
      </c>
      <c r="AB80" s="116" t="n">
        <f aca="false">IF($C$177&lt;=1,AB68,SUMPRODUCT($C$189:AB189,((AB$39-$C$39:AB$39+1)&gt;=$C$177)+((AB$39-$C$39:AB$39+1)&lt;$C$177)*(AB$39-$C$39:AB$39+1)/$C$177))</f>
        <v>83.96246694344</v>
      </c>
      <c r="AC80" s="116" t="n">
        <f aca="false">IF($C$177&lt;=1,AC68,SUMPRODUCT($C$189:AC189,((AC$39-$C$39:AC$39+1)&gt;=$C$177)+((AC$39-$C$39:AC$39+1)&lt;$C$177)*(AC$39-$C$39:AC$39+1)/$C$177))</f>
        <v>85.0631797207509</v>
      </c>
      <c r="AD80" s="116" t="n">
        <f aca="false">IF($C$177&lt;=1,AD68,SUMPRODUCT($C$189:AD189,((AD$39-$C$39:AD$39+1)&gt;=$C$177)+((AD$39-$C$39:AD$39+1)&lt;$C$177)*(AD$39-$C$39:AD$39+1)/$C$177))</f>
        <v>86.1303790147951</v>
      </c>
      <c r="AE80" s="116" t="n">
        <f aca="false">IF($C$177&lt;=1,AE68,SUMPRODUCT($C$189:AE189,((AE$39-$C$39:AE$39+1)&gt;=$C$177)+((AE$39-$C$39:AE$39+1)&lt;$C$177)*(AE$39-$C$39:AE$39+1)/$C$177))</f>
        <v>87.1645282303483</v>
      </c>
      <c r="AF80" s="116" t="n">
        <f aca="false">IF($C$177&lt;=1,AF68,SUMPRODUCT($C$189:AF189,((AF$39-$C$39:AF$39+1)&gt;=$C$177)+((AF$39-$C$39:AF$39+1)&lt;$C$177)*(AF$39-$C$39:AF$39+1)/$C$177))</f>
        <v>88.1661006392147</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59.1443938619143</v>
      </c>
      <c r="D81" s="116" t="n">
        <f aca="false">D69+D80+C121</f>
        <v>97.2387701116566</v>
      </c>
      <c r="E81" s="116" t="n">
        <f aca="false">E69+E80+D121</f>
        <v>131.110835807634</v>
      </c>
      <c r="F81" s="116" t="n">
        <f aca="false">F69+F80+E121</f>
        <v>272.854842892533</v>
      </c>
      <c r="G81" s="116" t="n">
        <f aca="false">G69+G80+F121</f>
        <v>285.5563421679</v>
      </c>
      <c r="H81" s="116" t="n">
        <f aca="false">H69+H80+G121</f>
        <v>298.301481098916</v>
      </c>
      <c r="I81" s="116" t="n">
        <f aca="false">I69+I80+H121</f>
        <v>311.09010233844</v>
      </c>
      <c r="J81" s="116" t="n">
        <f aca="false">J69+J80+I121</f>
        <v>323.922086776223</v>
      </c>
      <c r="K81" s="116" t="n">
        <f aca="false">K69+K80+J121</f>
        <v>336.797352082607</v>
      </c>
      <c r="L81" s="116" t="n">
        <f aca="false">L69+L80+K121</f>
        <v>349.801964639669</v>
      </c>
      <c r="M81" s="116" t="n">
        <f aca="false">M69+M80+L121</f>
        <v>362.426080830021</v>
      </c>
      <c r="N81" s="116" t="n">
        <f aca="false">N69+N80+M121</f>
        <v>375.209618014158</v>
      </c>
      <c r="O81" s="116" t="n">
        <f aca="false">O69+O80+N121</f>
        <v>387.247978503958</v>
      </c>
      <c r="P81" s="116" t="n">
        <f aca="false">P69+P80+O121</f>
        <v>396.765557602879</v>
      </c>
      <c r="Q81" s="116" t="n">
        <f aca="false">Q69+Q80+P121</f>
        <v>406.361641967449</v>
      </c>
      <c r="R81" s="116" t="n">
        <f aca="false">R69+R80+Q121</f>
        <v>415.932908538592</v>
      </c>
      <c r="S81" s="116" t="n">
        <f aca="false">S69+S80+R121</f>
        <v>425.488535535643</v>
      </c>
      <c r="T81" s="116" t="n">
        <f aca="false">T69+T80+S121</f>
        <v>435.030162872076</v>
      </c>
      <c r="U81" s="116" t="n">
        <f aca="false">U69+U80+T121</f>
        <v>444.572451878619</v>
      </c>
      <c r="V81" s="116" t="n">
        <f aca="false">V69+V80+U121</f>
        <v>454.12998448566</v>
      </c>
      <c r="W81" s="116" t="n">
        <f aca="false">W69+W80+V121</f>
        <v>463.578427853128</v>
      </c>
      <c r="X81" s="116" t="n">
        <f aca="false">X69+X80+W121</f>
        <v>472.933042090261</v>
      </c>
      <c r="Y81" s="116" t="n">
        <f aca="false">Y69+Y80+X121</f>
        <v>482.209193727914</v>
      </c>
      <c r="Z81" s="116" t="n">
        <f aca="false">Z69+Z80+Y121</f>
        <v>491.422327097679</v>
      </c>
      <c r="AA81" s="116" t="n">
        <f aca="false">AA69+AA80+Z121</f>
        <v>500.587987935895</v>
      </c>
      <c r="AB81" s="116" t="n">
        <f aca="false">AB69+AB80+AA121</f>
        <v>509.724877939683</v>
      </c>
      <c r="AC81" s="116" t="n">
        <f aca="false">AC69+AC80+AB121</f>
        <v>518.851793035352</v>
      </c>
      <c r="AD81" s="116" t="n">
        <f aca="false">AD69+AD80+AC121</f>
        <v>527.987648741876</v>
      </c>
      <c r="AE81" s="116" t="n">
        <f aca="false">AE69+AE80+AD121</f>
        <v>537.151505984904</v>
      </c>
      <c r="AF81" s="116" t="n">
        <f aca="false">AF69+AF80+AE121</f>
        <v>546.362596256517</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1.29157510946422</v>
      </c>
      <c r="AF82" s="116" t="n">
        <f aca="false">MAX(0,MIN(AF80,$C$9*AF81-AF79,AF78-AF79))</f>
        <v>5.45636687362594</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13</v>
      </c>
      <c r="D83" s="136" t="n">
        <f aca="false">D79+D82</f>
        <v>26.299</v>
      </c>
      <c r="E83" s="136" t="n">
        <f aca="false">E79+E82</f>
        <v>39.903877</v>
      </c>
      <c r="F83" s="136" t="n">
        <f aca="false">F79+F82</f>
        <v>53.821666171</v>
      </c>
      <c r="G83" s="136" t="n">
        <f aca="false">G79+G82</f>
        <v>68.059564492933</v>
      </c>
      <c r="H83" s="136" t="n">
        <f aca="false">H79+H82</f>
        <v>82.6249344762704</v>
      </c>
      <c r="I83" s="136" t="n">
        <f aca="false">I79+I82</f>
        <v>97.5253079692246</v>
      </c>
      <c r="J83" s="136" t="n">
        <f aca="false">J79+J82</f>
        <v>112.768390052517</v>
      </c>
      <c r="K83" s="136" t="n">
        <f aca="false">K79+K82</f>
        <v>128.362063023725</v>
      </c>
      <c r="L83" s="136" t="n">
        <f aca="false">L79+L82</f>
        <v>144.31439047327</v>
      </c>
      <c r="M83" s="136" t="n">
        <f aca="false">M79+M82</f>
        <v>158.440006281451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194.422066254599</v>
      </c>
      <c r="W83" s="136" t="n">
        <f aca="false">W79+W82</f>
        <v>198.893773778455</v>
      </c>
      <c r="X83" s="136" t="n">
        <f aca="false">X79+X82</f>
        <v>203.468330575359</v>
      </c>
      <c r="Y83" s="136" t="n">
        <f aca="false">Y79+Y82</f>
        <v>208.148102178592</v>
      </c>
      <c r="Z83" s="136" t="n">
        <f aca="false">Z79+Z82</f>
        <v>212.9355085287</v>
      </c>
      <c r="AA83" s="136" t="n">
        <f aca="false">AA79+AA82</f>
        <v>217.83302522486</v>
      </c>
      <c r="AB83" s="136" t="n">
        <f aca="false">AB79+AB82</f>
        <v>222.843184805032</v>
      </c>
      <c r="AC83" s="136" t="n">
        <f aca="false">AC79+AC82</f>
        <v>227.968578055547</v>
      </c>
      <c r="AD83" s="136" t="n">
        <f aca="false">AD79+AD82</f>
        <v>233.211855350825</v>
      </c>
      <c r="AE83" s="136" t="n">
        <f aca="false">AE79+AE82</f>
        <v>238.575728023894</v>
      </c>
      <c r="AF83" s="136" t="n">
        <f aca="false">AF79+AF82</f>
        <v>244.062969768443</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46.0643938619143</v>
      </c>
      <c r="D84" s="116" t="n">
        <f aca="false">D67-D79+D80-D82</f>
        <v>70.7769461116566</v>
      </c>
      <c r="E84" s="116" t="n">
        <f aca="false">E67-E79+E80-E82</f>
        <v>90.9583871204342</v>
      </c>
      <c r="F84" s="116" t="n">
        <f aca="false">F67-F79+F80-F82</f>
        <v>165.923217857133</v>
      </c>
      <c r="G84" s="116" t="n">
        <f aca="false">G67-G79+G80-G82</f>
        <v>157.223926292104</v>
      </c>
      <c r="H84" s="116" t="n">
        <f aca="false">H67-H79+H80-H82</f>
        <v>148.209654480671</v>
      </c>
      <c r="I84" s="116" t="n">
        <f aca="false">I67-I79+I80-I82</f>
        <v>138.872246003871</v>
      </c>
      <c r="J84" s="116" t="n">
        <f aca="false">J67-J79+J80-J82</f>
        <v>129.203402438771</v>
      </c>
      <c r="K84" s="116" t="n">
        <f aca="false">K67-K79+K80-K82</f>
        <v>119.194677812691</v>
      </c>
      <c r="L84" s="116" t="n">
        <f aca="false">L67-L79+L80-L82</f>
        <v>108.837473043862</v>
      </c>
      <c r="M84" s="116" t="n">
        <f aca="false">M67-M79+M80-M82</f>
        <v>102.597374714824</v>
      </c>
      <c r="N84" s="116" t="n">
        <f aca="false">N67-N79+N80-N82</f>
        <v>105.782855568378</v>
      </c>
      <c r="O84" s="116" t="n">
        <f aca="false">O67-O79+O80-O82</f>
        <v>108.005137481467</v>
      </c>
      <c r="P84" s="116" t="n">
        <f aca="false">P67-P79+P80-P82</f>
        <v>107.482365879387</v>
      </c>
      <c r="Q84" s="116" t="n">
        <f aca="false">Q67-Q79+Q80-Q82</f>
        <v>106.997801924345</v>
      </c>
      <c r="R84" s="116" t="n">
        <f aca="false">R67-R79+R80-R82</f>
        <v>106.455724770465</v>
      </c>
      <c r="S84" s="116" t="n">
        <f aca="false">S67-S79+S80-S82</f>
        <v>105.851221653525</v>
      </c>
      <c r="T84" s="116" t="n">
        <f aca="false">T67-T79+T80-T82</f>
        <v>105.179416866346</v>
      </c>
      <c r="U84" s="116" t="n">
        <f aca="false">U67-U79+U80-U82</f>
        <v>104.435471056761</v>
      </c>
      <c r="V84" s="116" t="n">
        <f aca="false">V67-V79+V80-V82</f>
        <v>103.614580567434</v>
      </c>
      <c r="W84" s="116" t="n">
        <f aca="false">W67-W79+W80-W82</f>
        <v>102.573119852504</v>
      </c>
      <c r="X84" s="116" t="n">
        <f aca="false">X67-X79+X80-X82</f>
        <v>101.306944111657</v>
      </c>
      <c r="Y84" s="116" t="n">
        <f aca="false">Y67-Y79+Y80-Y82</f>
        <v>99.8119540795858</v>
      </c>
      <c r="Z84" s="116" t="n">
        <f aca="false">Z67-Z79+Z80-Z82</f>
        <v>98.0840957777267</v>
      </c>
      <c r="AA84" s="116" t="n">
        <f aca="false">AA67-AA79+AA80-AA82</f>
        <v>96.119360302416</v>
      </c>
      <c r="AB84" s="116" t="n">
        <f aca="false">AB67-AB79+AB80-AB82</f>
        <v>93.9168188788293</v>
      </c>
      <c r="AC84" s="116" t="n">
        <f aca="false">AC67-AC79+AC80-AC82</f>
        <v>91.4755353768348</v>
      </c>
      <c r="AD84" s="116" t="n">
        <f aca="false">AD67-AD79+AD80-AD82</f>
        <v>88.7945650235592</v>
      </c>
      <c r="AE84" s="116" t="n">
        <f aca="false">AE67-AE79+AE80-AE82</f>
        <v>85.8729531208841</v>
      </c>
      <c r="AF84" s="116" t="n">
        <f aca="false">AF67-AF79+AF80-AF82</f>
        <v>82.7097337655888</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7.09732726342972</v>
      </c>
      <c r="D85" s="116" t="n">
        <f aca="false">IF(AND($C$31&gt;0,D$39&gt;10),MIN(D83,MAX(01_Supuestos!$I$137*D81,C85*(1-1/MAX(1,$C$31)))),MIN(IF(D$39&lt;=10,01_Supuestos!$I$136,01_Supuestos!$I$137)*D81,D83))</f>
        <v>11.6686524133988</v>
      </c>
      <c r="E85" s="116" t="n">
        <f aca="false">IF(AND($C$31&gt;0,E$39&gt;10),MIN(E83,MAX(01_Supuestos!$I$137*E81,D85*(1-1/MAX(1,$C$31)))),MIN(IF(E$39&lt;=10,01_Supuestos!$I$136,01_Supuestos!$I$137)*E81,E83))</f>
        <v>15.7333002969161</v>
      </c>
      <c r="F85" s="116" t="n">
        <f aca="false">IF(AND($C$31&gt;0,F$39&gt;10),MIN(F83,MAX(01_Supuestos!$I$137*F81,E85*(1-1/MAX(1,$C$31)))),MIN(IF(F$39&lt;=10,01_Supuestos!$I$136,01_Supuestos!$I$137)*F81,F83))</f>
        <v>32.7425811471039</v>
      </c>
      <c r="G85" s="116" t="n">
        <f aca="false">IF(AND($C$31&gt;0,G$39&gt;10),MIN(G83,MAX(01_Supuestos!$I$137*G81,F85*(1-1/MAX(1,$C$31)))),MIN(IF(G$39&lt;=10,01_Supuestos!$I$136,01_Supuestos!$I$137)*G81,G83))</f>
        <v>34.266761060148</v>
      </c>
      <c r="H85" s="116" t="n">
        <f aca="false">IF(AND($C$31&gt;0,H$39&gt;10),MIN(H83,MAX(01_Supuestos!$I$137*H81,G85*(1-1/MAX(1,$C$31)))),MIN(IF(H$39&lt;=10,01_Supuestos!$I$136,01_Supuestos!$I$137)*H81,H83))</f>
        <v>35.7961777318699</v>
      </c>
      <c r="I85" s="116" t="n">
        <f aca="false">IF(AND($C$31&gt;0,I$39&gt;10),MIN(I83,MAX(01_Supuestos!$I$137*I81,H85*(1-1/MAX(1,$C$31)))),MIN(IF(I$39&lt;=10,01_Supuestos!$I$136,01_Supuestos!$I$137)*I81,I83))</f>
        <v>37.3308122806128</v>
      </c>
      <c r="J85" s="116" t="n">
        <f aca="false">IF(AND($C$31&gt;0,J$39&gt;10),MIN(J83,MAX(01_Supuestos!$I$137*J81,I85*(1-1/MAX(1,$C$31)))),MIN(IF(J$39&lt;=10,01_Supuestos!$I$136,01_Supuestos!$I$137)*J81,J83))</f>
        <v>38.8706504131468</v>
      </c>
      <c r="K85" s="116" t="n">
        <f aca="false">IF(AND($C$31&gt;0,K$39&gt;10),MIN(K83,MAX(01_Supuestos!$I$137*K81,J85*(1-1/MAX(1,$C$31)))),MIN(IF(K$39&lt;=10,01_Supuestos!$I$136,01_Supuestos!$I$137)*K81,K83))</f>
        <v>40.4156822499129</v>
      </c>
      <c r="L85" s="116" t="n">
        <f aca="false">IF(AND($C$31&gt;0,L$39&gt;10),MIN(L83,MAX(01_Supuestos!$I$137*L81,K85*(1-1/MAX(1,$C$31)))),MIN(IF(L$39&lt;=10,01_Supuestos!$I$136,01_Supuestos!$I$137)*L81,L83))</f>
        <v>41.9762357567603</v>
      </c>
      <c r="M85" s="116" t="n">
        <f aca="false">IF(AND($C$31&gt;0,M$39&gt;10),MIN(M83,MAX(01_Supuestos!$I$137*M81,L85*(1-1/MAX(1,$C$31)))),MIN(IF(M$39&lt;=10,01_Supuestos!$I$136,01_Supuestos!$I$137)*M81,M83))</f>
        <v>33.5809886054082</v>
      </c>
      <c r="N85" s="116" t="n">
        <f aca="false">IF(AND($C$31&gt;0,N$39&gt;10),MIN(N83,MAX(01_Supuestos!$I$137*N81,M85*(1-1/MAX(1,$C$31)))),MIN(IF(N$39&lt;=10,01_Supuestos!$I$136,01_Supuestos!$I$137)*N81,N83))</f>
        <v>28.1407213510619</v>
      </c>
      <c r="O85" s="116" t="n">
        <f aca="false">IF(AND($C$31&gt;0,O$39&gt;10),MIN(O83,MAX(01_Supuestos!$I$137*O81,N85*(1-1/MAX(1,$C$31)))),MIN(IF(O$39&lt;=10,01_Supuestos!$I$136,01_Supuestos!$I$137)*O81,O83))</f>
        <v>29.0435983877968</v>
      </c>
      <c r="P85" s="116" t="n">
        <f aca="false">IF(AND($C$31&gt;0,P$39&gt;10),MIN(P83,MAX(01_Supuestos!$I$137*P81,O85*(1-1/MAX(1,$C$31)))),MIN(IF(P$39&lt;=10,01_Supuestos!$I$136,01_Supuestos!$I$137)*P81,P83))</f>
        <v>29.7574168202159</v>
      </c>
      <c r="Q85" s="116" t="n">
        <f aca="false">IF(AND($C$31&gt;0,Q$39&gt;10),MIN(Q83,MAX(01_Supuestos!$I$137*Q81,P85*(1-1/MAX(1,$C$31)))),MIN(IF(Q$39&lt;=10,01_Supuestos!$I$136,01_Supuestos!$I$137)*Q81,Q83))</f>
        <v>30.4771231475587</v>
      </c>
      <c r="R85" s="116" t="n">
        <f aca="false">IF(AND($C$31&gt;0,R$39&gt;10),MIN(R83,MAX(01_Supuestos!$I$137*R81,Q85*(1-1/MAX(1,$C$31)))),MIN(IF(R$39&lt;=10,01_Supuestos!$I$136,01_Supuestos!$I$137)*R81,R83))</f>
        <v>31.1949681403944</v>
      </c>
      <c r="S85" s="116" t="n">
        <f aca="false">IF(AND($C$31&gt;0,S$39&gt;10),MIN(S83,MAX(01_Supuestos!$I$137*S81,R85*(1-1/MAX(1,$C$31)))),MIN(IF(S$39&lt;=10,01_Supuestos!$I$136,01_Supuestos!$I$137)*S81,S83))</f>
        <v>31.9116401651732</v>
      </c>
      <c r="T85" s="116" t="n">
        <f aca="false">IF(AND($C$31&gt;0,T$39&gt;10),MIN(T83,MAX(01_Supuestos!$I$137*T81,S85*(1-1/MAX(1,$C$31)))),MIN(IF(T$39&lt;=10,01_Supuestos!$I$136,01_Supuestos!$I$137)*T81,T83))</f>
        <v>32.6272622154057</v>
      </c>
      <c r="U85" s="116" t="n">
        <f aca="false">IF(AND($C$31&gt;0,U$39&gt;10),MIN(U83,MAX(01_Supuestos!$I$137*U81,T85*(1-1/MAX(1,$C$31)))),MIN(IF(U$39&lt;=10,01_Supuestos!$I$136,01_Supuestos!$I$137)*U81,U83))</f>
        <v>33.3429338908964</v>
      </c>
      <c r="V85" s="116" t="n">
        <f aca="false">IF(AND($C$31&gt;0,V$39&gt;10),MIN(V83,MAX(01_Supuestos!$I$137*V81,U85*(1-1/MAX(1,$C$31)))),MIN(IF(V$39&lt;=10,01_Supuestos!$I$136,01_Supuestos!$I$137)*V81,V83))</f>
        <v>34.0597488364245</v>
      </c>
      <c r="W85" s="116" t="n">
        <f aca="false">IF(AND($C$31&gt;0,W$39&gt;10),MIN(W83,MAX(01_Supuestos!$I$137*W81,V85*(1-1/MAX(1,$C$31)))),MIN(IF(W$39&lt;=10,01_Supuestos!$I$136,01_Supuestos!$I$137)*W81,W83))</f>
        <v>34.7683820889846</v>
      </c>
      <c r="X85" s="116" t="n">
        <f aca="false">IF(AND($C$31&gt;0,X$39&gt;10),MIN(X83,MAX(01_Supuestos!$I$137*X81,W85*(1-1/MAX(1,$C$31)))),MIN(IF(X$39&lt;=10,01_Supuestos!$I$136,01_Supuestos!$I$137)*X81,X83))</f>
        <v>35.4699781567696</v>
      </c>
      <c r="Y85" s="116" t="n">
        <f aca="false">IF(AND($C$31&gt;0,Y$39&gt;10),MIN(Y83,MAX(01_Supuestos!$I$137*Y81,X85*(1-1/MAX(1,$C$31)))),MIN(IF(Y$39&lt;=10,01_Supuestos!$I$136,01_Supuestos!$I$137)*Y81,Y83))</f>
        <v>36.1656895295936</v>
      </c>
      <c r="Z85" s="116" t="n">
        <f aca="false">IF(AND($C$31&gt;0,Z$39&gt;10),MIN(Z83,MAX(01_Supuestos!$I$137*Z81,Y85*(1-1/MAX(1,$C$31)))),MIN(IF(Z$39&lt;=10,01_Supuestos!$I$136,01_Supuestos!$I$137)*Z81,Z83))</f>
        <v>36.8566745323259</v>
      </c>
      <c r="AA85" s="116" t="n">
        <f aca="false">IF(AND($C$31&gt;0,AA$39&gt;10),MIN(AA83,MAX(01_Supuestos!$I$137*AA81,Z85*(1-1/MAX(1,$C$31)))),MIN(IF(AA$39&lt;=10,01_Supuestos!$I$136,01_Supuestos!$I$137)*AA81,AA83))</f>
        <v>37.5440990951921</v>
      </c>
      <c r="AB85" s="116" t="n">
        <f aca="false">IF(AND($C$31&gt;0,AB$39&gt;10),MIN(AB83,MAX(01_Supuestos!$I$137*AB81,AA85*(1-1/MAX(1,$C$31)))),MIN(IF(AB$39&lt;=10,01_Supuestos!$I$136,01_Supuestos!$I$137)*AB81,AB83))</f>
        <v>38.2293658454762</v>
      </c>
      <c r="AC85" s="116" t="n">
        <f aca="false">IF(AND($C$31&gt;0,AC$39&gt;10),MIN(AC83,MAX(01_Supuestos!$I$137*AC81,AB85*(1-1/MAX(1,$C$31)))),MIN(IF(AC$39&lt;=10,01_Supuestos!$I$136,01_Supuestos!$I$137)*AC81,AC83))</f>
        <v>38.9138844776514</v>
      </c>
      <c r="AD85" s="116" t="n">
        <f aca="false">IF(AND($C$31&gt;0,AD$39&gt;10),MIN(AD83,MAX(01_Supuestos!$I$137*AD81,AC85*(1-1/MAX(1,$C$31)))),MIN(IF(AD$39&lt;=10,01_Supuestos!$I$136,01_Supuestos!$I$137)*AD81,AD83))</f>
        <v>39.5990736556407</v>
      </c>
      <c r="AE85" s="116" t="n">
        <f aca="false">IF(AND($C$31&gt;0,AE$39&gt;10),MIN(AE83,MAX(01_Supuestos!$I$137*AE81,AD85*(1-1/MAX(1,$C$31)))),MIN(IF(AE$39&lt;=10,01_Supuestos!$I$136,01_Supuestos!$I$137)*AE81,AE83))</f>
        <v>40.2863629488678</v>
      </c>
      <c r="AF85" s="116" t="n">
        <f aca="false">IF(AND($C$31&gt;0,AF$39&gt;10),MIN(AF83,MAX(01_Supuestos!$I$137*AF81,AE85*(1-1/MAX(1,$C$31)))),MIN(IF(AF$39&lt;=10,01_Supuestos!$I$136,01_Supuestos!$I$137)*AF81,AF83))</f>
        <v>40.9771947192387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0.65</v>
      </c>
      <c r="D86" s="116" t="n">
        <f aca="false">01_Supuestos!$I$127*D83</f>
        <v>1.31495</v>
      </c>
      <c r="E86" s="116" t="n">
        <f aca="false">01_Supuestos!$I$127*E83</f>
        <v>1.99519385</v>
      </c>
      <c r="F86" s="116" t="n">
        <f aca="false">01_Supuestos!$I$127*F83</f>
        <v>2.69108330855</v>
      </c>
      <c r="G86" s="116" t="n">
        <f aca="false">01_Supuestos!$I$127*G83</f>
        <v>3.40297822464665</v>
      </c>
      <c r="H86" s="116" t="n">
        <f aca="false">01_Supuestos!$I$127*H83</f>
        <v>4.13124672381352</v>
      </c>
      <c r="I86" s="116" t="n">
        <f aca="false">01_Supuestos!$I$127*I83</f>
        <v>4.87626539846123</v>
      </c>
      <c r="J86" s="116" t="n">
        <f aca="false">01_Supuestos!$I$127*J83</f>
        <v>5.63841950262584</v>
      </c>
      <c r="K86" s="116" t="n">
        <f aca="false">01_Supuestos!$I$127*K83</f>
        <v>6.41810315118623</v>
      </c>
      <c r="L86" s="116" t="n">
        <f aca="false">01_Supuestos!$I$127*L83</f>
        <v>7.21571952366352</v>
      </c>
      <c r="M86" s="116" t="n">
        <f aca="false">01_Supuestos!$I$127*M83</f>
        <v>7.92200031407257</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9.72110331272994</v>
      </c>
      <c r="W86" s="116" t="n">
        <f aca="false">01_Supuestos!$I$127*W83</f>
        <v>9.94468868892272</v>
      </c>
      <c r="X86" s="116" t="n">
        <f aca="false">01_Supuestos!$I$127*X83</f>
        <v>10.1734165287679</v>
      </c>
      <c r="Y86" s="116" t="n">
        <f aca="false">01_Supuestos!$I$127*Y83</f>
        <v>10.4074051089296</v>
      </c>
      <c r="Z86" s="116" t="n">
        <f aca="false">01_Supuestos!$I$127*Z83</f>
        <v>10.646775426435</v>
      </c>
      <c r="AA86" s="116" t="n">
        <f aca="false">01_Supuestos!$I$127*AA83</f>
        <v>10.891651261243</v>
      </c>
      <c r="AB86" s="116" t="n">
        <f aca="false">01_Supuestos!$I$127*AB83</f>
        <v>11.1421592402516</v>
      </c>
      <c r="AC86" s="116" t="n">
        <f aca="false">01_Supuestos!$I$127*AC83</f>
        <v>11.3984289027774</v>
      </c>
      <c r="AD86" s="116" t="n">
        <f aca="false">01_Supuestos!$I$127*AD83</f>
        <v>11.6605927675412</v>
      </c>
      <c r="AE86" s="116" t="n">
        <f aca="false">01_Supuestos!$I$127*AE83</f>
        <v>11.9287864011947</v>
      </c>
      <c r="AF86" s="116" t="n">
        <f aca="false">01_Supuestos!$I$127*AF83</f>
        <v>12.2031484884222</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5.25267273657028</v>
      </c>
      <c r="D87" s="116" t="n">
        <f aca="false">D83-D85-D86</f>
        <v>13.3153975866012</v>
      </c>
      <c r="E87" s="116" t="n">
        <f aca="false">E83-E85-E86</f>
        <v>22.1753828530839</v>
      </c>
      <c r="F87" s="116" t="n">
        <f aca="false">F83-F85-F86</f>
        <v>18.3880017153461</v>
      </c>
      <c r="G87" s="116" t="n">
        <f aca="false">G83-G85-G86</f>
        <v>30.3898252081383</v>
      </c>
      <c r="H87" s="116" t="n">
        <f aca="false">H83-H85-H86</f>
        <v>42.697510020587</v>
      </c>
      <c r="I87" s="116" t="n">
        <f aca="false">I83-I85-I86</f>
        <v>55.3182302901506</v>
      </c>
      <c r="J87" s="116" t="n">
        <f aca="false">J83-J85-J86</f>
        <v>68.2593201367442</v>
      </c>
      <c r="K87" s="116" t="n">
        <f aca="false">K83-K85-K86</f>
        <v>81.5282776226256</v>
      </c>
      <c r="L87" s="116" t="n">
        <f aca="false">L83-L85-L86</f>
        <v>95.1224351928465</v>
      </c>
      <c r="M87" s="116" t="n">
        <f aca="false">M83-M85-M86</f>
        <v>116.937017361971</v>
      </c>
      <c r="N87" s="116" t="n">
        <f aca="false">N83-N85-N86</f>
        <v>125.839198753567</v>
      </c>
      <c r="O87" s="116" t="n">
        <f aca="false">O83-O85-O86</f>
        <v>128.477859879238</v>
      </c>
      <c r="P87" s="116" t="n">
        <f aca="false">P83-P85-P86</f>
        <v>131.387034986961</v>
      </c>
      <c r="Q87" s="116" t="n">
        <f aca="false">Q83-Q85-Q86</f>
        <v>134.373651051183</v>
      </c>
      <c r="R87" s="116" t="n">
        <f aca="false">R83-R85-R86</f>
        <v>137.447373864918</v>
      </c>
      <c r="S87" s="116" t="n">
        <f aca="false">S83-S85-S86</f>
        <v>140.609475706262</v>
      </c>
      <c r="T87" s="116" t="n">
        <f aca="false">T83-T85-T86</f>
        <v>143.861839321072</v>
      </c>
      <c r="U87" s="116" t="n">
        <f aca="false">U83-U85-U86</f>
        <v>147.205416980921</v>
      </c>
      <c r="V87" s="116" t="n">
        <f aca="false">V83-V85-V86</f>
        <v>150.641214105444</v>
      </c>
      <c r="W87" s="116" t="n">
        <f aca="false">W83-W85-W86</f>
        <v>154.180703000547</v>
      </c>
      <c r="X87" s="116" t="n">
        <f aca="false">X83-X85-X86</f>
        <v>157.824935889821</v>
      </c>
      <c r="Y87" s="116" t="n">
        <f aca="false">Y83-Y85-Y86</f>
        <v>161.575007540069</v>
      </c>
      <c r="Z87" s="116" t="n">
        <f aca="false">Z83-Z85-Z86</f>
        <v>165.432058569939</v>
      </c>
      <c r="AA87" s="116" t="n">
        <f aca="false">AA83-AA85-AA86</f>
        <v>169.397274868425</v>
      </c>
      <c r="AB87" s="116" t="n">
        <f aca="false">AB83-AB85-AB86</f>
        <v>173.471659719304</v>
      </c>
      <c r="AC87" s="116" t="n">
        <f aca="false">AC83-AC85-AC86</f>
        <v>177.656264675119</v>
      </c>
      <c r="AD87" s="116" t="n">
        <f aca="false">AD83-AD85-AD86</f>
        <v>181.952188927643</v>
      </c>
      <c r="AE87" s="116" t="n">
        <f aca="false">AE83-AE85-AE86</f>
        <v>186.360578673831</v>
      </c>
      <c r="AF87" s="116" t="n">
        <f aca="false">AF83-AF85-AF86</f>
        <v>190.882626560782</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0.0365625</v>
      </c>
      <c r="D88" s="116" t="n">
        <f aca="false">D86/01_Supuestos!$I$131*01_Supuestos!$I$129*01_Supuestos!$I$130*01_Supuestos!$I$128</f>
        <v>0.0739659375</v>
      </c>
      <c r="E88" s="116" t="n">
        <f aca="false">E86/01_Supuestos!$I$131*01_Supuestos!$I$129*01_Supuestos!$I$130*01_Supuestos!$I$128</f>
        <v>0.1122296540625</v>
      </c>
      <c r="F88" s="116" t="n">
        <f aca="false">F86/01_Supuestos!$I$131*01_Supuestos!$I$129*01_Supuestos!$I$130*01_Supuestos!$I$128</f>
        <v>0.151373436105938</v>
      </c>
      <c r="G88" s="116" t="n">
        <f aca="false">G86/01_Supuestos!$I$131*01_Supuestos!$I$129*01_Supuestos!$I$130*01_Supuestos!$I$128</f>
        <v>0.191417525136374</v>
      </c>
      <c r="H88" s="116" t="n">
        <f aca="false">H86/01_Supuestos!$I$131*01_Supuestos!$I$129*01_Supuestos!$I$130*01_Supuestos!$I$128</f>
        <v>0.232382628214511</v>
      </c>
      <c r="I88" s="116" t="n">
        <f aca="false">I86/01_Supuestos!$I$131*01_Supuestos!$I$129*01_Supuestos!$I$130*01_Supuestos!$I$128</f>
        <v>0.274289928663444</v>
      </c>
      <c r="J88" s="116" t="n">
        <f aca="false">J86/01_Supuestos!$I$131*01_Supuestos!$I$129*01_Supuestos!$I$130*01_Supuestos!$I$128</f>
        <v>0.317161097022704</v>
      </c>
      <c r="K88" s="116" t="n">
        <f aca="false">K86/01_Supuestos!$I$131*01_Supuestos!$I$129*01_Supuestos!$I$130*01_Supuestos!$I$128</f>
        <v>0.361018302254226</v>
      </c>
      <c r="L88" s="116" t="n">
        <f aca="false">L86/01_Supuestos!$I$131*01_Supuestos!$I$129*01_Supuestos!$I$130*01_Supuestos!$I$128</f>
        <v>0.405884223206073</v>
      </c>
      <c r="M88" s="116" t="n">
        <f aca="false">M86/01_Supuestos!$I$131*01_Supuestos!$I$129*01_Supuestos!$I$130*01_Supuestos!$I$128</f>
        <v>0.445612517666582</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0.546812061341059</v>
      </c>
      <c r="W88" s="116" t="n">
        <f aca="false">W86/01_Supuestos!$I$131*01_Supuestos!$I$129*01_Supuestos!$I$130*01_Supuestos!$I$128</f>
        <v>0.559388738751903</v>
      </c>
      <c r="X88" s="116" t="n">
        <f aca="false">X86/01_Supuestos!$I$131*01_Supuestos!$I$129*01_Supuestos!$I$130*01_Supuestos!$I$128</f>
        <v>0.572254679743197</v>
      </c>
      <c r="Y88" s="116" t="n">
        <f aca="false">Y86/01_Supuestos!$I$131*01_Supuestos!$I$129*01_Supuestos!$I$130*01_Supuestos!$I$128</f>
        <v>0.585416537377291</v>
      </c>
      <c r="Z88" s="116" t="n">
        <f aca="false">Z86/01_Supuestos!$I$131*01_Supuestos!$I$129*01_Supuestos!$I$130*01_Supuestos!$I$128</f>
        <v>0.598881117736968</v>
      </c>
      <c r="AA88" s="116" t="n">
        <f aca="false">AA86/01_Supuestos!$I$131*01_Supuestos!$I$129*01_Supuestos!$I$130*01_Supuestos!$I$128</f>
        <v>0.612655383444918</v>
      </c>
      <c r="AB88" s="116" t="n">
        <f aca="false">AB86/01_Supuestos!$I$131*01_Supuestos!$I$129*01_Supuestos!$I$130*01_Supuestos!$I$128</f>
        <v>0.626746457264152</v>
      </c>
      <c r="AC88" s="116" t="n">
        <f aca="false">AC86/01_Supuestos!$I$131*01_Supuestos!$I$129*01_Supuestos!$I$130*01_Supuestos!$I$128</f>
        <v>0.641161625781227</v>
      </c>
      <c r="AD88" s="116" t="n">
        <f aca="false">AD86/01_Supuestos!$I$131*01_Supuestos!$I$129*01_Supuestos!$I$130*01_Supuestos!$I$128</f>
        <v>0.655908343174195</v>
      </c>
      <c r="AE88" s="116" t="n">
        <f aca="false">AE86/01_Supuestos!$I$131*01_Supuestos!$I$129*01_Supuestos!$I$130*01_Supuestos!$I$128</f>
        <v>0.670994235067202</v>
      </c>
      <c r="AF88" s="116" t="n">
        <f aca="false">AF86/01_Supuestos!$I$131*01_Supuestos!$I$129*01_Supuestos!$I$130*01_Supuestos!$I$128</f>
        <v>0.686427102473747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0.609310037442153</v>
      </c>
      <c r="D90" s="116" t="n">
        <f aca="false">D83-C83-D73+D185-D228</f>
        <v>0.651418846493865</v>
      </c>
      <c r="E90" s="116" t="n">
        <f aca="false">E83-D83-E73+E185-E228</f>
        <v>0.429724145921821</v>
      </c>
      <c r="F90" s="116" t="n">
        <f aca="false">F83-E83-F73+F185-F228</f>
        <v>-1.1672920895094</v>
      </c>
      <c r="G90" s="116" t="n">
        <f aca="false">G83-F83-G73+G185-G228</f>
        <v>1.32308881308492</v>
      </c>
      <c r="H90" s="116" t="n">
        <f aca="false">H83-G83-H73+H185-H228</f>
        <v>0.896145662591842</v>
      </c>
      <c r="I90" s="116" t="n">
        <f aca="false">I83-H83-I73+I185-I228</f>
        <v>0.428004549602434</v>
      </c>
      <c r="J90" s="116" t="n">
        <f aca="false">J83-I83-J73+J185-J228</f>
        <v>0.438798968638608</v>
      </c>
      <c r="K90" s="116" t="n">
        <f aca="false">K83-J83-K73+K185-K228</f>
        <v>0.449845125079598</v>
      </c>
      <c r="L90" s="116" t="n">
        <f aca="false">L83-K83-L73+L185-L228</f>
        <v>0.459950003955903</v>
      </c>
      <c r="M90" s="116" t="n">
        <f aca="false">M83-L83-M73+M185-M228</f>
        <v>1.38581337449456</v>
      </c>
      <c r="N90" s="116" t="n">
        <f aca="false">N83-M83-N73+N185-N228</f>
        <v>-0.566310708336125</v>
      </c>
      <c r="O90" s="116" t="n">
        <f aca="false">O83-N83-O73+O185-O228</f>
        <v>-0.849116883677183</v>
      </c>
      <c r="P90" s="116" t="n">
        <f aca="false">P83-O83-P73+P185-P228</f>
        <v>-0.0802291122570225</v>
      </c>
      <c r="Q90" s="116" t="n">
        <f aca="false">Q83-P83-Q73+Q185-Q228</f>
        <v>0.107693127498429</v>
      </c>
      <c r="R90" s="116" t="n">
        <f aca="false">R83-Q83-R73+R185-R228</f>
        <v>0.105253028571909</v>
      </c>
      <c r="S90" s="116" t="n">
        <f aca="false">S83-R83-S73+S185-S228</f>
        <v>0.108404589159719</v>
      </c>
      <c r="T90" s="116" t="n">
        <f aca="false">T83-S83-T73+T185-T228</f>
        <v>0.111407097478335</v>
      </c>
      <c r="U90" s="116" t="n">
        <f aca="false">U83-T83-U73+U185-U228</f>
        <v>0.114379008262183</v>
      </c>
      <c r="V90" s="116" t="n">
        <f aca="false">V83-U83-V73+V185-V228</f>
        <v>0.117357905094821</v>
      </c>
      <c r="W90" s="116" t="n">
        <f aca="false">W83-V83-W73+W185-W228</f>
        <v>0.121583828521828</v>
      </c>
      <c r="X90" s="116" t="n">
        <f aca="false">X83-W83-X73+X185-X228</f>
        <v>0.125280770476166</v>
      </c>
      <c r="Y90" s="116" t="n">
        <f aca="false">Y83-X83-Y73+Y185-Y228</f>
        <v>0.128693320869488</v>
      </c>
      <c r="Z90" s="116" t="n">
        <f aca="false">Z83-Y83-Z73+Z185-Z228</f>
        <v>0.132146505009757</v>
      </c>
      <c r="AA90" s="116" t="n">
        <f aca="false">AA83-Z83-AA73+AA185-AA228</f>
        <v>0.13564178171174</v>
      </c>
      <c r="AB90" s="116" t="n">
        <f aca="false">AB83-AA83-AB73+AB185-AB228</f>
        <v>0.139154105404302</v>
      </c>
      <c r="AC90" s="116" t="n">
        <f aca="false">AC83-AB83-AC73+AC185-AC228</f>
        <v>0.142697544385385</v>
      </c>
      <c r="AD90" s="116" t="n">
        <f aca="false">AD83-AC83-AD73+AD185-AD228</f>
        <v>0.146280659275519</v>
      </c>
      <c r="AE90" s="116" t="n">
        <f aca="false">AE83-AD83-AE73+AE185-AE228</f>
        <v>0.149904836605273</v>
      </c>
      <c r="AF90" s="116" t="n">
        <f aca="false">AF83-AE83-AF73+AF185-AF228</f>
        <v>0.153571452239888</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0.609310037442153</v>
      </c>
      <c r="D92" s="116" t="n">
        <f aca="false">IF(D90&gt;0,IF($C$20="BC",MIN(D90-D91,MAX(0,C276+D53-D75)),MIN(D90,MAX(0,C276+D53-D75))),0)</f>
        <v>0.651418846493865</v>
      </c>
      <c r="E92" s="116" t="n">
        <f aca="false">IF(E90&gt;0,IF($C$20="BC",MIN(E90-E91,MAX(0,D276+E53-E75)),MIN(E90,MAX(0,D276+E53-E75))),0)</f>
        <v>0.429724145921821</v>
      </c>
      <c r="F92" s="116" t="n">
        <f aca="false">IF(F90&gt;0,IF($C$20="BC",MIN(F90-F91,MAX(0,E276+F53-F75)),MIN(F90,MAX(0,E276+F53-F75))),0)</f>
        <v>0</v>
      </c>
      <c r="G92" s="116" t="n">
        <f aca="false">IF(G90&gt;0,IF($C$20="BC",MIN(G90-G91,MAX(0,F276+G53-G75)),MIN(G90,MAX(0,F276+G53-G75))),0)</f>
        <v>1.32308881308492</v>
      </c>
      <c r="H92" s="116" t="n">
        <f aca="false">IF(H90&gt;0,IF($C$20="BC",MIN(H90-H91,MAX(0,G276+H53-H75)),MIN(H90,MAX(0,G276+H53-H75))),0)</f>
        <v>0.896145662591842</v>
      </c>
      <c r="I92" s="116" t="n">
        <f aca="false">IF(I90&gt;0,IF($C$20="BC",MIN(I90-I91,MAX(0,H276+I53-I75)),MIN(I90,MAX(0,H276+I53-I75))),0)</f>
        <v>0.428004549602434</v>
      </c>
      <c r="J92" s="116" t="n">
        <f aca="false">IF(J90&gt;0,IF($C$20="BC",MIN(J90-J91,MAX(0,I276+J53-J75)),MIN(J90,MAX(0,I276+J53-J75))),0)</f>
        <v>0.438798968638608</v>
      </c>
      <c r="K92" s="116" t="n">
        <f aca="false">IF(K90&gt;0,IF($C$20="BC",MIN(K90-K91,MAX(0,J276+K53-K75)),MIN(K90,MAX(0,J276+K53-K75))),0)</f>
        <v>0.449845125079598</v>
      </c>
      <c r="L92" s="116" t="n">
        <f aca="false">IF(L90&gt;0,IF($C$20="BC",MIN(L90-L91,MAX(0,K276+L53-L75)),MIN(L90,MAX(0,K276+L53-L75))),0)</f>
        <v>0.459950003955903</v>
      </c>
      <c r="M92" s="116" t="n">
        <f aca="false">IF(M90&gt;0,IF($C$20="BC",MIN(M90-M91,MAX(0,L276+M53-M75)),MIN(M90,MAX(0,L276+M53-M75))),0)</f>
        <v>1.38581337449456</v>
      </c>
      <c r="N92" s="116" t="n">
        <f aca="false">IF(N90&gt;0,IF($C$20="BC",MIN(N90-N91,MAX(0,M276+N53-N75)),MIN(N90,MAX(0,M276+N53-N75))),0)</f>
        <v>0</v>
      </c>
      <c r="O92" s="116" t="n">
        <f aca="false">IF(O90&gt;0,IF($C$20="BC",MIN(O90-O91,MAX(0,N276+O53-O75)),MIN(O90,MAX(0,N276+O53-O75))),0)</f>
        <v>0</v>
      </c>
      <c r="P92" s="116" t="n">
        <f aca="false">IF(P90&gt;0,IF($C$20="BC",MIN(P90-P91,MAX(0,O276+P53-P75)),MIN(P90,MAX(0,O276+P53-P75))),0)</f>
        <v>0</v>
      </c>
      <c r="Q92" s="116" t="n">
        <f aca="false">IF(Q90&gt;0,IF($C$20="BC",MIN(Q90-Q91,MAX(0,P276+Q53-Q75)),MIN(Q90,MAX(0,P276+Q53-Q75))),0)</f>
        <v>0.107693127498429</v>
      </c>
      <c r="R92" s="116" t="n">
        <f aca="false">IF(R90&gt;0,IF($C$20="BC",MIN(R90-R91,MAX(0,Q276+R53-R75)),MIN(R90,MAX(0,Q276+R53-R75))),0)</f>
        <v>0.105253028571909</v>
      </c>
      <c r="S92" s="116" t="n">
        <f aca="false">IF(S90&gt;0,IF($C$20="BC",MIN(S90-S91,MAX(0,R276+S53-S75)),MIN(S90,MAX(0,R276+S53-S75))),0)</f>
        <v>0.108404589159719</v>
      </c>
      <c r="T92" s="116" t="n">
        <f aca="false">IF(T90&gt;0,IF($C$20="BC",MIN(T90-T91,MAX(0,S276+T53-T75)),MIN(T90,MAX(0,S276+T53-T75))),0)</f>
        <v>0.111407097478335</v>
      </c>
      <c r="U92" s="116" t="n">
        <f aca="false">IF(U90&gt;0,IF($C$20="BC",MIN(U90-U91,MAX(0,T276+U53-U75)),MIN(U90,MAX(0,T276+U53-U75))),0)</f>
        <v>0.114379008262183</v>
      </c>
      <c r="V92" s="116" t="n">
        <f aca="false">IF(V90&gt;0,IF($C$20="BC",MIN(V90-V91,MAX(0,U276+V53-V75)),MIN(V90,MAX(0,U276+V53-V75))),0)</f>
        <v>0.117357905094821</v>
      </c>
      <c r="W92" s="116" t="n">
        <f aca="false">IF(W90&gt;0,IF($C$20="BC",MIN(W90-W91,MAX(0,V276+W53-W75)),MIN(W90,MAX(0,V276+W53-W75))),0)</f>
        <v>0.121583828521828</v>
      </c>
      <c r="X92" s="116" t="n">
        <f aca="false">IF(X90&gt;0,IF($C$20="BC",MIN(X90-X91,MAX(0,W276+X53-X75)),MIN(X90,MAX(0,W276+X53-X75))),0)</f>
        <v>0.125280770476166</v>
      </c>
      <c r="Y92" s="116" t="n">
        <f aca="false">IF(Y90&gt;0,IF($C$20="BC",MIN(Y90-Y91,MAX(0,X276+Y53-Y75)),MIN(Y90,MAX(0,X276+Y53-Y75))),0)</f>
        <v>0.128693320869488</v>
      </c>
      <c r="Z92" s="116" t="n">
        <f aca="false">IF(Z90&gt;0,IF($C$20="BC",MIN(Z90-Z91,MAX(0,Y276+Z53-Z75)),MIN(Z90,MAX(0,Y276+Z53-Z75))),0)</f>
        <v>0.132146505009757</v>
      </c>
      <c r="AA92" s="116" t="n">
        <f aca="false">IF(AA90&gt;0,IF($C$20="BC",MIN(AA90-AA91,MAX(0,Z276+AA53-AA75)),MIN(AA90,MAX(0,Z276+AA53-AA75))),0)</f>
        <v>0.13564178171174</v>
      </c>
      <c r="AB92" s="116" t="n">
        <f aca="false">IF(AB90&gt;0,IF($C$20="BC",MIN(AB90-AB91,MAX(0,AA276+AB53-AB75)),MIN(AB90,MAX(0,AA276+AB53-AB75))),0)</f>
        <v>0.139154105404302</v>
      </c>
      <c r="AC92" s="116" t="n">
        <f aca="false">IF(AC90&gt;0,IF($C$20="BC",MIN(AC90-AC91,MAX(0,AB276+AC53-AC75)),MIN(AC90,MAX(0,AB276+AC53-AC75))),0)</f>
        <v>0.142697544385385</v>
      </c>
      <c r="AD92" s="116" t="n">
        <f aca="false">IF(AD90&gt;0,IF($C$20="BC",MIN(AD90-AD91,MAX(0,AC276+AD53-AD75)),MIN(AD90,MAX(0,AC276+AD53-AD75))),0)</f>
        <v>0.146280659275519</v>
      </c>
      <c r="AE92" s="116" t="n">
        <f aca="false">IF(AE90&gt;0,IF($C$20="BC",MIN(AE90-AE91,MAX(0,AD276+AE53-AE75)),MIN(AE90,MAX(0,AD276+AE53-AE75))),0)</f>
        <v>0.149904836605273</v>
      </c>
      <c r="AF92" s="116" t="n">
        <f aca="false">IF(AF90&gt;0,IF($C$20="BC",MIN(AF90-AF91,MAX(0,AE276+AF53-AF75)),MIN(AF90,MAX(0,AE276+AF53-AF75))),0)</f>
        <v>0.153571452239888</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1.1672920895094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0.566310708336125</v>
      </c>
      <c r="O94" s="116" t="n">
        <f aca="false">IF(O90&lt;0,-O90-O93,0)</f>
        <v>0.849116883677183</v>
      </c>
      <c r="P94" s="116" t="n">
        <f aca="false">IF(P90&lt;0,-P90-P93,0)</f>
        <v>0.0802291122570225</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1.47860984654786</v>
      </c>
      <c r="D100" s="116" t="n">
        <f aca="false">$C$21*$C$22*D81</f>
        <v>2.43096925279142</v>
      </c>
      <c r="E100" s="116" t="n">
        <f aca="false">$C$21*$C$22*E81</f>
        <v>3.27777089519085</v>
      </c>
      <c r="F100" s="116" t="n">
        <f aca="false">$C$21*$C$22*F81</f>
        <v>6.82137107231332</v>
      </c>
      <c r="G100" s="116" t="n">
        <f aca="false">$C$21*$C$22*G81</f>
        <v>7.13890855419751</v>
      </c>
      <c r="H100" s="116" t="n">
        <f aca="false">$C$21*$C$22*H81</f>
        <v>7.4575370274729</v>
      </c>
      <c r="I100" s="116" t="n">
        <f aca="false">$C$21*$C$22*I81</f>
        <v>7.777252558461</v>
      </c>
      <c r="J100" s="116" t="n">
        <f aca="false">$C$21*$C$22*J81</f>
        <v>8.09805216940558</v>
      </c>
      <c r="K100" s="116" t="n">
        <f aca="false">$C$21*$C$22*K81</f>
        <v>8.41993380206518</v>
      </c>
      <c r="L100" s="116" t="n">
        <f aca="false">$C$21*$C$22*L81</f>
        <v>8.74504911599173</v>
      </c>
      <c r="M100" s="116" t="n">
        <f aca="false">$C$21*$C$22*M81</f>
        <v>9.06065202075053</v>
      </c>
      <c r="N100" s="116" t="n">
        <f aca="false">$C$21*$C$22*N81</f>
        <v>9.38024045035396</v>
      </c>
      <c r="O100" s="116" t="n">
        <f aca="false">$C$21*$C$22*O81</f>
        <v>9.68119946259894</v>
      </c>
      <c r="P100" s="116" t="n">
        <f aca="false">$C$21*$C$22*P81</f>
        <v>9.91913894007196</v>
      </c>
      <c r="Q100" s="116" t="n">
        <f aca="false">$C$21*$C$22*Q81</f>
        <v>10.1590410491862</v>
      </c>
      <c r="R100" s="116" t="n">
        <f aca="false">$C$21*$C$22*R81</f>
        <v>10.3983227134648</v>
      </c>
      <c r="S100" s="116" t="n">
        <f aca="false">$C$21*$C$22*S81</f>
        <v>10.6372133883911</v>
      </c>
      <c r="T100" s="116" t="n">
        <f aca="false">$C$21*$C$22*T81</f>
        <v>10.8757540718019</v>
      </c>
      <c r="U100" s="116" t="n">
        <f aca="false">$C$21*$C$22*U81</f>
        <v>11.1143112969655</v>
      </c>
      <c r="V100" s="116" t="n">
        <f aca="false">$C$21*$C$22*V81</f>
        <v>11.3532496121415</v>
      </c>
      <c r="W100" s="116" t="n">
        <f aca="false">$C$21*$C$22*W81</f>
        <v>11.5894606963282</v>
      </c>
      <c r="X100" s="116" t="n">
        <f aca="false">$C$21*$C$22*X81</f>
        <v>11.8233260522565</v>
      </c>
      <c r="Y100" s="116" t="n">
        <f aca="false">$C$21*$C$22*Y81</f>
        <v>12.0552298431979</v>
      </c>
      <c r="Z100" s="116" t="n">
        <f aca="false">$C$21*$C$22*Z81</f>
        <v>12.285558177442</v>
      </c>
      <c r="AA100" s="116" t="n">
        <f aca="false">$C$21*$C$22*AA81</f>
        <v>12.5146996983974</v>
      </c>
      <c r="AB100" s="116" t="n">
        <f aca="false">$C$21*$C$22*AB81</f>
        <v>12.7431219484921</v>
      </c>
      <c r="AC100" s="116" t="n">
        <f aca="false">$C$21*$C$22*AC81</f>
        <v>12.9712948258838</v>
      </c>
      <c r="AD100" s="116" t="n">
        <f aca="false">$C$21*$C$22*AD81</f>
        <v>13.1996912185469</v>
      </c>
      <c r="AE100" s="116" t="n">
        <f aca="false">$C$21*$C$22*AE81</f>
        <v>13.4287876496226</v>
      </c>
      <c r="AF100" s="116" t="n">
        <f aca="false">$C$21*$C$22*AF81</f>
        <v>13.6590649064129</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0.00243096925279142</v>
      </c>
      <c r="F102" s="116" t="n">
        <f aca="false">E104*$C$24</f>
        <v>0.00327777089519085</v>
      </c>
      <c r="G102" s="116" t="n">
        <f aca="false">F104*$C$24</f>
        <v>0.00682137107231332</v>
      </c>
      <c r="H102" s="116" t="n">
        <f aca="false">G104*$C$24</f>
        <v>0.00713890855419751</v>
      </c>
      <c r="I102" s="116" t="n">
        <f aca="false">H104*$C$24</f>
        <v>0.0074575370274729</v>
      </c>
      <c r="J102" s="116" t="n">
        <f aca="false">I104*$C$24</f>
        <v>0.007777252558461</v>
      </c>
      <c r="K102" s="116" t="n">
        <f aca="false">J104*$C$24</f>
        <v>0.00809805216940558</v>
      </c>
      <c r="L102" s="116" t="n">
        <f aca="false">K104*$C$24</f>
        <v>0.00841993380206518</v>
      </c>
      <c r="M102" s="116" t="n">
        <f aca="false">L104*$C$24</f>
        <v>0.00874504911599173</v>
      </c>
      <c r="N102" s="116" t="n">
        <f aca="false">M104*$C$24</f>
        <v>0.00906065202075053</v>
      </c>
      <c r="O102" s="116" t="n">
        <f aca="false">N104*$C$24</f>
        <v>0.00938024045035396</v>
      </c>
      <c r="P102" s="116" t="n">
        <f aca="false">O104*$C$24</f>
        <v>0.00968119946259894</v>
      </c>
      <c r="Q102" s="116" t="n">
        <f aca="false">P104*$C$24</f>
        <v>0.00991913894007196</v>
      </c>
      <c r="R102" s="116" t="n">
        <f aca="false">Q104*$C$24</f>
        <v>0.0101590410491862</v>
      </c>
      <c r="S102" s="116" t="n">
        <f aca="false">R104*$C$24</f>
        <v>0.0103983227134648</v>
      </c>
      <c r="T102" s="116" t="n">
        <f aca="false">S104*$C$24</f>
        <v>0.0106372133883911</v>
      </c>
      <c r="U102" s="116" t="n">
        <f aca="false">T104*$C$24</f>
        <v>0.0108757540718019</v>
      </c>
      <c r="V102" s="116" t="n">
        <f aca="false">U104*$C$24</f>
        <v>0.0111143112969655</v>
      </c>
      <c r="W102" s="116" t="n">
        <f aca="false">V104*$C$24</f>
        <v>0.0113532496121415</v>
      </c>
      <c r="X102" s="116" t="n">
        <f aca="false">W104*$C$24</f>
        <v>0.0115894606963282</v>
      </c>
      <c r="Y102" s="116" t="n">
        <f aca="false">X104*$C$24</f>
        <v>0.0118233260522565</v>
      </c>
      <c r="Z102" s="116" t="n">
        <f aca="false">Y104*$C$24</f>
        <v>0.0120552298431979</v>
      </c>
      <c r="AA102" s="116" t="n">
        <f aca="false">Z104*$C$24</f>
        <v>0.012285558177442</v>
      </c>
      <c r="AB102" s="116" t="n">
        <f aca="false">AA104*$C$24</f>
        <v>0.0125146996983974</v>
      </c>
      <c r="AC102" s="116" t="n">
        <f aca="false">AB104*$C$24</f>
        <v>0.0127431219484921</v>
      </c>
      <c r="AD102" s="116" t="n">
        <f aca="false">AC104*$C$24</f>
        <v>0.0129712948258838</v>
      </c>
      <c r="AE102" s="116" t="n">
        <f aca="false">AD104*$C$24</f>
        <v>0.0131996912185469</v>
      </c>
      <c r="AF102" s="116" t="n">
        <f aca="false">AE104*$C$24</f>
        <v>0.0134287876496226</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2.43096925279142</v>
      </c>
      <c r="E103" s="116" t="n">
        <f aca="false">MIN(MAX(0,E100-D104-E101),MAX(0,D276))</f>
        <v>0.846801642399438</v>
      </c>
      <c r="F103" s="116" t="n">
        <f aca="false">MIN(MAX(0,F100-E104-F101),MAX(0,E276))</f>
        <v>3.54360017712247</v>
      </c>
      <c r="G103" s="116" t="n">
        <f aca="false">MIN(MAX(0,G100-F104-G101),MAX(0,F276))</f>
        <v>0.317537481884187</v>
      </c>
      <c r="H103" s="116" t="n">
        <f aca="false">MIN(MAX(0,H100-G104-H101),MAX(0,G276))</f>
        <v>0.318628473275398</v>
      </c>
      <c r="I103" s="116" t="n">
        <f aca="false">MIN(MAX(0,I100-H104-I101),MAX(0,H276))</f>
        <v>0.319715530988097</v>
      </c>
      <c r="J103" s="116" t="n">
        <f aca="false">MIN(MAX(0,J100-I104-J101),MAX(0,I276))</f>
        <v>0.320799610944581</v>
      </c>
      <c r="K103" s="116" t="n">
        <f aca="false">MIN(MAX(0,K100-J104-K101),MAX(0,J276))</f>
        <v>0.321881632659601</v>
      </c>
      <c r="L103" s="116" t="n">
        <f aca="false">MIN(MAX(0,L100-K104-L101),MAX(0,K276))</f>
        <v>0.325115313926547</v>
      </c>
      <c r="M103" s="116" t="n">
        <f aca="false">MIN(MAX(0,M100-L104-M101),MAX(0,L276))</f>
        <v>0.315602904758798</v>
      </c>
      <c r="N103" s="116" t="n">
        <f aca="false">MIN(MAX(0,N100-M104-N101),MAX(0,M276))</f>
        <v>0.31958842960343</v>
      </c>
      <c r="O103" s="116" t="n">
        <f aca="false">MIN(MAX(0,O100-N104-O101),MAX(0,N276))</f>
        <v>0.300959012244983</v>
      </c>
      <c r="P103" s="116" t="n">
        <f aca="false">MIN(MAX(0,P100-O104-P101),MAX(0,O276))</f>
        <v>0.237939477473024</v>
      </c>
      <c r="Q103" s="116" t="n">
        <f aca="false">MIN(MAX(0,Q100-P104-Q101),MAX(0,P276))</f>
        <v>0.239902109114256</v>
      </c>
      <c r="R103" s="116" t="n">
        <f aca="false">MIN(MAX(0,R100-Q104-R101),MAX(0,Q276))</f>
        <v>0.239281664278581</v>
      </c>
      <c r="S103" s="116" t="n">
        <f aca="false">MIN(MAX(0,S100-R104-S101),MAX(0,R276))</f>
        <v>0.238890674926282</v>
      </c>
      <c r="T103" s="116" t="n">
        <f aca="false">MIN(MAX(0,T100-S104-T101),MAX(0,S276))</f>
        <v>0.238540683410809</v>
      </c>
      <c r="U103" s="116" t="n">
        <f aca="false">MIN(MAX(0,U100-T104-U101),MAX(0,T276))</f>
        <v>0.23855722516358</v>
      </c>
      <c r="V103" s="116" t="n">
        <f aca="false">MIN(MAX(0,V100-U104-V101),MAX(0,U276))</f>
        <v>0.238938315176037</v>
      </c>
      <c r="W103" s="116" t="n">
        <f aca="false">MIN(MAX(0,W100-V104-W101),MAX(0,V276))</f>
        <v>0.23621108418669</v>
      </c>
      <c r="X103" s="116" t="n">
        <f aca="false">MIN(MAX(0,X100-W104-X101),MAX(0,W276))</f>
        <v>0.233865355928325</v>
      </c>
      <c r="Y103" s="116" t="n">
        <f aca="false">MIN(MAX(0,Y100-X104-Y101),MAX(0,X276))</f>
        <v>0.231903790941336</v>
      </c>
      <c r="Z103" s="116" t="n">
        <f aca="false">MIN(MAX(0,Z100-Y104-Z101),MAX(0,Y276))</f>
        <v>0.230328334244117</v>
      </c>
      <c r="AA103" s="116" t="n">
        <f aca="false">MIN(MAX(0,AA100-Z104-AA101),MAX(0,Z276))</f>
        <v>0.229141520955402</v>
      </c>
      <c r="AB103" s="116" t="n">
        <f aca="false">MIN(MAX(0,AB100-AA104-AB101),MAX(0,AA276))</f>
        <v>0.228422250094692</v>
      </c>
      <c r="AC103" s="116" t="n">
        <f aca="false">MIN(MAX(0,AC100-AB104-AC101),MAX(0,AB276))</f>
        <v>0.228172877391739</v>
      </c>
      <c r="AD103" s="116" t="n">
        <f aca="false">MIN(MAX(0,AD100-AC104-AD101),MAX(0,AC276))</f>
        <v>0.228396392663091</v>
      </c>
      <c r="AE103" s="116" t="n">
        <f aca="false">MIN(MAX(0,AE100-AD104-AE101),MAX(0,AD276))</f>
        <v>0.229096431075694</v>
      </c>
      <c r="AF103" s="116" t="n">
        <f aca="false">MIN(MAX(0,AF100-AE104-AF101),MAX(0,AE276))</f>
        <v>0.23027725679032</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2.43096925279142</v>
      </c>
      <c r="E104" s="136" t="n">
        <f aca="false">D104+E101+E103</f>
        <v>3.27777089519085</v>
      </c>
      <c r="F104" s="136" t="n">
        <f aca="false">E104+F101+F103</f>
        <v>6.82137107231332</v>
      </c>
      <c r="G104" s="136" t="n">
        <f aca="false">F104+G101+G103</f>
        <v>7.13890855419751</v>
      </c>
      <c r="H104" s="136" t="n">
        <f aca="false">G104+H101+H103</f>
        <v>7.4575370274729</v>
      </c>
      <c r="I104" s="136" t="n">
        <f aca="false">H104+I101+I103</f>
        <v>7.777252558461</v>
      </c>
      <c r="J104" s="136" t="n">
        <f aca="false">I104+J101+J103</f>
        <v>8.09805216940558</v>
      </c>
      <c r="K104" s="136" t="n">
        <f aca="false">J104+K101+K103</f>
        <v>8.41993380206518</v>
      </c>
      <c r="L104" s="136" t="n">
        <f aca="false">K104+L101+L103</f>
        <v>8.74504911599173</v>
      </c>
      <c r="M104" s="136" t="n">
        <f aca="false">L104+M101+M103</f>
        <v>9.06065202075053</v>
      </c>
      <c r="N104" s="136" t="n">
        <f aca="false">M104+N101+N103</f>
        <v>9.38024045035396</v>
      </c>
      <c r="O104" s="136" t="n">
        <f aca="false">N104+O101+O103</f>
        <v>9.68119946259894</v>
      </c>
      <c r="P104" s="136" t="n">
        <f aca="false">O104+P101+P103</f>
        <v>9.91913894007196</v>
      </c>
      <c r="Q104" s="136" t="n">
        <f aca="false">P104+Q101+Q103</f>
        <v>10.1590410491862</v>
      </c>
      <c r="R104" s="136" t="n">
        <f aca="false">Q104+R101+R103</f>
        <v>10.3983227134648</v>
      </c>
      <c r="S104" s="136" t="n">
        <f aca="false">R104+S101+S103</f>
        <v>10.6372133883911</v>
      </c>
      <c r="T104" s="136" t="n">
        <f aca="false">S104+T101+T103</f>
        <v>10.8757540718019</v>
      </c>
      <c r="U104" s="136" t="n">
        <f aca="false">T104+U101+U103</f>
        <v>11.1143112969655</v>
      </c>
      <c r="V104" s="136" t="n">
        <f aca="false">U104+V101+V103</f>
        <v>11.3532496121415</v>
      </c>
      <c r="W104" s="136" t="n">
        <f aca="false">V104+W101+W103</f>
        <v>11.5894606963282</v>
      </c>
      <c r="X104" s="136" t="n">
        <f aca="false">W104+X101+X103</f>
        <v>11.8233260522565</v>
      </c>
      <c r="Y104" s="136" t="n">
        <f aca="false">X104+Y101+Y103</f>
        <v>12.0552298431979</v>
      </c>
      <c r="Z104" s="136" t="n">
        <f aca="false">Y104+Z101+Z103</f>
        <v>12.285558177442</v>
      </c>
      <c r="AA104" s="136" t="n">
        <f aca="false">Z104+AA101+AA103</f>
        <v>12.5146996983974</v>
      </c>
      <c r="AB104" s="136" t="n">
        <f aca="false">AA104+AB101+AB103</f>
        <v>12.7431219484921</v>
      </c>
      <c r="AC104" s="136" t="n">
        <f aca="false">AB104+AC101+AC103</f>
        <v>12.9712948258838</v>
      </c>
      <c r="AD104" s="136" t="n">
        <f aca="false">AC104+AD101+AD103</f>
        <v>13.1996912185469</v>
      </c>
      <c r="AE104" s="136" t="n">
        <f aca="false">AD104+AE101+AE103</f>
        <v>13.4287876496226</v>
      </c>
      <c r="AF104" s="136" t="n">
        <f aca="false">AE104+AF101+AF103</f>
        <v>13.6590649064129</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18.9301820453556</v>
      </c>
      <c r="E105" s="139" t="n">
        <f aca="false">E104/($C$36*(1+$C$23)^(E$39-1))</f>
        <v>25.5243046277455</v>
      </c>
      <c r="F105" s="139" t="n">
        <f aca="false">F104/($C$36*(1+$C$23)^(F$39-1))</f>
        <v>53.1186464203681</v>
      </c>
      <c r="G105" s="139" t="n">
        <f aca="false">G104/($C$36*(1+$C$23)^(G$39-1))</f>
        <v>55.5913401129721</v>
      </c>
      <c r="H105" s="139" t="n">
        <f aca="false">H104/($C$36*(1+$C$23)^(H$39-1))</f>
        <v>58.0725294562807</v>
      </c>
      <c r="I105" s="139" t="n">
        <f aca="false">I104/($C$36*(1+$C$23)^(I$39-1))</f>
        <v>60.5621838183762</v>
      </c>
      <c r="J105" s="139" t="n">
        <f aca="false">J104/($C$36*(1+$C$23)^(J$39-1))</f>
        <v>63.060280011196</v>
      </c>
      <c r="K105" s="139" t="n">
        <f aca="false">K104/($C$36*(1+$C$23)^(K$39-1))</f>
        <v>65.5668020070237</v>
      </c>
      <c r="L105" s="139" t="n">
        <f aca="false">L104/($C$36*(1+$C$23)^(L$39-1))</f>
        <v>68.0985049774728</v>
      </c>
      <c r="M105" s="139" t="n">
        <f aca="false">M104/($C$36*(1+$C$23)^(M$39-1))</f>
        <v>70.556133939364</v>
      </c>
      <c r="N105" s="139" t="n">
        <f aca="false">N104/($C$36*(1+$C$23)^(N$39-1))</f>
        <v>73.0447985512406</v>
      </c>
      <c r="O105" s="139" t="n">
        <f aca="false">O104/($C$36*(1+$C$23)^(O$39-1))</f>
        <v>75.3883941699207</v>
      </c>
      <c r="P105" s="139" t="n">
        <f aca="false">P104/($C$36*(1+$C$23)^(P$39-1))</f>
        <v>77.2412508521552</v>
      </c>
      <c r="Q105" s="139" t="n">
        <f aca="false">Q104/($C$36*(1+$C$23)^(Q$39-1))</f>
        <v>79.1093907282078</v>
      </c>
      <c r="R105" s="139" t="n">
        <f aca="false">R104/($C$36*(1+$C$23)^(R$39-1))</f>
        <v>80.9726991430337</v>
      </c>
      <c r="S105" s="139" t="n">
        <f aca="false">S104/($C$36*(1+$C$23)^(S$39-1))</f>
        <v>82.8329628876696</v>
      </c>
      <c r="T105" s="139" t="n">
        <f aca="false">T104/($C$36*(1+$C$23)^(T$39-1))</f>
        <v>84.6905012160565</v>
      </c>
      <c r="U105" s="139" t="n">
        <f aca="false">U104/($C$36*(1+$C$23)^(U$39-1))</f>
        <v>86.5481683565997</v>
      </c>
      <c r="V105" s="139" t="n">
        <f aca="false">V104/($C$36*(1+$C$23)^(V$39-1))</f>
        <v>88.4088030802594</v>
      </c>
      <c r="W105" s="139" t="n">
        <f aca="false">W104/($C$36*(1+$C$23)^(W$39-1))</f>
        <v>90.2482006043747</v>
      </c>
      <c r="X105" s="139" t="n">
        <f aca="false">X104/($C$36*(1+$C$23)^(X$39-1))</f>
        <v>92.0693317259393</v>
      </c>
      <c r="Y105" s="139" t="n">
        <f aca="false">Y104/($C$36*(1+$C$23)^(Y$39-1))</f>
        <v>93.8751879598208</v>
      </c>
      <c r="Z105" s="139" t="n">
        <f aca="false">Z104/($C$36*(1+$C$23)^(Z$39-1))</f>
        <v>95.6687759669245</v>
      </c>
      <c r="AA105" s="139" t="n">
        <f aca="false">AA104/($C$36*(1+$C$23)^(AA$39-1))</f>
        <v>97.4531221493596</v>
      </c>
      <c r="AB105" s="139" t="n">
        <f aca="false">AB104/($C$36*(1+$C$23)^(AB$39-1))</f>
        <v>99.2318673031854</v>
      </c>
      <c r="AC105" s="139" t="n">
        <f aca="false">AC104/($C$36*(1+$C$23)^(AC$39-1))</f>
        <v>101.008670568746</v>
      </c>
      <c r="AD105" s="139" t="n">
        <f aca="false">AD104/($C$36*(1+$C$23)^(AD$39-1))</f>
        <v>102.787214368365</v>
      </c>
      <c r="AE105" s="139" t="n">
        <f aca="false">AE104/($C$36*(1+$C$23)^(AE$39-1))</f>
        <v>104.571209431743</v>
      </c>
      <c r="AF105" s="139" t="n">
        <f aca="false">AF104/($C$36*(1+$C$23)^(AF$39-1))</f>
        <v>106.364399693998</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0.513188403282038</v>
      </c>
      <c r="D107" s="116" t="n">
        <f aca="false">D87*(1-$C$340)*$C$175+D85*01_Supuestos!$I$126+D55*D88</f>
        <v>1.04613222441358</v>
      </c>
      <c r="E107" s="116" t="n">
        <f aca="false">E87*(1-$C$340)*$C$175+E85*01_Supuestos!$I$126+E55*E88</f>
        <v>1.59314289850282</v>
      </c>
      <c r="F107" s="116" t="n">
        <f aca="false">F87*(1-$C$340)*$C$175+F85*01_Supuestos!$I$126+F55*F88</f>
        <v>2.11473397918087</v>
      </c>
      <c r="G107" s="116" t="n">
        <f aca="false">G87*(1-$C$340)*$C$175+G85*01_Supuestos!$I$126+G55*G88</f>
        <v>2.69526791638556</v>
      </c>
      <c r="H107" s="116" t="n">
        <f aca="false">H87*(1-$C$340)*$C$175+H85*01_Supuestos!$I$126+H55*H88</f>
        <v>3.2892423100506</v>
      </c>
      <c r="I107" s="116" t="n">
        <f aca="false">I87*(1-$C$340)*$C$175+I85*01_Supuestos!$I$126+I55*I88</f>
        <v>3.89696670266486</v>
      </c>
      <c r="J107" s="116" t="n">
        <f aca="false">J87*(1-$C$340)*$C$175+J85*01_Supuestos!$I$126+J55*J88</f>
        <v>4.51875774134226</v>
      </c>
      <c r="K107" s="116" t="n">
        <f aca="false">K87*(1-$C$340)*$C$175+K85*01_Supuestos!$I$126+K55*K88</f>
        <v>5.15493934205706</v>
      </c>
      <c r="L107" s="116" t="n">
        <f aca="false">L87*(1-$C$340)*$C$175+L85*01_Supuestos!$I$126+L55*L88</f>
        <v>5.80581230117013</v>
      </c>
      <c r="M107" s="116" t="n">
        <f aca="false">M87*(1-$C$340)*$C$175+M85*01_Supuestos!$I$126+M55*M88</f>
        <v>6.41106425080116</v>
      </c>
      <c r="N107" s="116" t="n">
        <f aca="false">N87*(1-$C$340)*$C$175+N85*01_Supuestos!$I$126+N55*N88</f>
        <v>6.57688947545673</v>
      </c>
      <c r="O107" s="116" t="n">
        <f aca="false">O87*(1-$C$340)*$C$175+O85*01_Supuestos!$I$126+O55*O88</f>
        <v>6.72740200459442</v>
      </c>
      <c r="P107" s="116" t="n">
        <f aca="false">P87*(1-$C$340)*$C$175+P85*01_Supuestos!$I$126+P55*P88</f>
        <v>6.88199677376538</v>
      </c>
      <c r="Q107" s="116" t="n">
        <f aca="false">Q87*(1-$C$340)*$C$175+Q85*01_Supuestos!$I$126+Q55*Q88</f>
        <v>7.04017835962739</v>
      </c>
      <c r="R107" s="116" t="n">
        <f aca="false">R87*(1-$C$340)*$C$175+R85*01_Supuestos!$I$126+R55*R88</f>
        <v>7.20205257387739</v>
      </c>
      <c r="S107" s="116" t="n">
        <f aca="false">S87*(1-$C$340)*$C$175+S85*01_Supuestos!$I$126+S55*S88</f>
        <v>7.36770218487749</v>
      </c>
      <c r="T107" s="116" t="n">
        <f aca="false">T87*(1-$C$340)*$C$175+T85*01_Supuestos!$I$126+T55*T88</f>
        <v>7.53721358328641</v>
      </c>
      <c r="U107" s="116" t="n">
        <f aca="false">U87*(1-$C$340)*$C$175+U85*01_Supuestos!$I$126+U55*U88</f>
        <v>7.7106722672881</v>
      </c>
      <c r="V107" s="116" t="n">
        <f aca="false">V87*(1-$C$340)*$C$175+V85*01_Supuestos!$I$126+V55*V88</f>
        <v>7.88816579391866</v>
      </c>
      <c r="W107" s="116" t="n">
        <f aca="false">W87*(1-$C$340)*$C$175+W85*01_Supuestos!$I$126+W55*W88</f>
        <v>8.06981461622908</v>
      </c>
      <c r="X107" s="116" t="n">
        <f aca="false">X87*(1-$C$340)*$C$175+X85*01_Supuestos!$I$126+X55*X88</f>
        <v>8.25571036526416</v>
      </c>
      <c r="Y107" s="116" t="n">
        <f aca="false">Y87*(1-$C$340)*$C$175+Y85*01_Supuestos!$I$126+Y55*Y88</f>
        <v>8.44594683382022</v>
      </c>
      <c r="Z107" s="116" t="n">
        <f aca="false">Z87*(1-$C$340)*$C$175+Z85*01_Supuestos!$I$126+Z55*Z88</f>
        <v>8.6406200330556</v>
      </c>
      <c r="AA107" s="116" t="n">
        <f aca="false">AA87*(1-$C$340)*$C$175+AA85*01_Supuestos!$I$126+AA55*AA88</f>
        <v>8.8398282386751</v>
      </c>
      <c r="AB107" s="116" t="n">
        <f aca="false">AB87*(1-$C$340)*$C$175+AB85*01_Supuestos!$I$126+AB55*AB88</f>
        <v>9.0436713661076</v>
      </c>
      <c r="AC107" s="116" t="n">
        <f aca="false">AC87*(1-$C$340)*$C$175+AC85*01_Supuestos!$I$126+AC55*AC88</f>
        <v>9.25225170333324</v>
      </c>
      <c r="AD107" s="116" t="n">
        <f aca="false">AD87*(1-$C$340)*$C$175+AD85*01_Supuestos!$I$126+AD55*AD88</f>
        <v>9.4656739603078</v>
      </c>
      <c r="AE107" s="116" t="n">
        <f aca="false">AE87*(1-$C$340)*$C$175+AE85*01_Supuestos!$I$126+AE55*AE88</f>
        <v>9.68404531955321</v>
      </c>
      <c r="AF107" s="116" t="n">
        <f aca="false">AF87*(1-$C$340)*$C$175+AF85*01_Supuestos!$I$126+AF55*AF88</f>
        <v>9.90747548818846</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v>
      </c>
      <c r="E108" s="116" t="n">
        <f aca="false">E330-E332</f>
        <v>0</v>
      </c>
      <c r="F108" s="116" t="n">
        <f aca="false">F330-F332</f>
        <v>0</v>
      </c>
      <c r="G108" s="116" t="n">
        <f aca="false">G330-G332</f>
        <v>0</v>
      </c>
      <c r="H108" s="116" t="n">
        <f aca="false">H330-H332</f>
        <v>0</v>
      </c>
      <c r="I108" s="116" t="n">
        <f aca="false">I330-I332</f>
        <v>0</v>
      </c>
      <c r="J108" s="116" t="n">
        <f aca="false">J330-J332</f>
        <v>0</v>
      </c>
      <c r="K108" s="116" t="n">
        <f aca="false">K330-K332</f>
        <v>0</v>
      </c>
      <c r="L108" s="116" t="n">
        <f aca="false">L330-L332</f>
        <v>0</v>
      </c>
      <c r="M108" s="116" t="n">
        <f aca="false">M330-M332</f>
        <v>0</v>
      </c>
      <c r="N108" s="116" t="n">
        <f aca="false">N330-N332</f>
        <v>0</v>
      </c>
      <c r="O108" s="116" t="n">
        <f aca="false">O330-O332</f>
        <v>0</v>
      </c>
      <c r="P108" s="116" t="n">
        <f aca="false">P330-P332</f>
        <v>0</v>
      </c>
      <c r="Q108" s="116" t="n">
        <f aca="false">Q330-Q332</f>
        <v>0</v>
      </c>
      <c r="R108" s="116" t="n">
        <f aca="false">R330-R332</f>
        <v>0</v>
      </c>
      <c r="S108" s="116" t="n">
        <f aca="false">S330-S332</f>
        <v>0</v>
      </c>
      <c r="T108" s="116" t="n">
        <f aca="false">T330-T332</f>
        <v>0</v>
      </c>
      <c r="U108" s="116" t="n">
        <f aca="false">U330-U332</f>
        <v>0</v>
      </c>
      <c r="V108" s="116" t="n">
        <f aca="false">V330-V332</f>
        <v>0</v>
      </c>
      <c r="W108" s="116" t="n">
        <f aca="false">W330-W332</f>
        <v>0</v>
      </c>
      <c r="X108" s="116" t="n">
        <f aca="false">X330-X332</f>
        <v>0</v>
      </c>
      <c r="Y108" s="116" t="n">
        <f aca="false">Y330-Y332</f>
        <v>0</v>
      </c>
      <c r="Z108" s="116" t="n">
        <f aca="false">Z330-Z332</f>
        <v>0</v>
      </c>
      <c r="AA108" s="116" t="n">
        <f aca="false">AA330-AA332</f>
        <v>0</v>
      </c>
      <c r="AB108" s="116" t="n">
        <f aca="false">AB330-AB332</f>
        <v>0</v>
      </c>
      <c r="AC108" s="116" t="n">
        <f aca="false">AC330-AC332</f>
        <v>0</v>
      </c>
      <c r="AD108" s="116" t="n">
        <f aca="false">AD330-AD332</f>
        <v>0</v>
      </c>
      <c r="AE108" s="116" t="n">
        <f aca="false">AE330-AE332</f>
        <v>0</v>
      </c>
      <c r="AF108" s="116" t="n">
        <f aca="false">AF330-AF332</f>
        <v>0</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1.25532630043128</v>
      </c>
      <c r="G109" s="116" t="n">
        <f aca="false">(G70+F121)*(0.3*$C$5+0.25*01_Supuestos!$I$134)/0.55-F227*$C$5</f>
        <v>1.42463103268586</v>
      </c>
      <c r="H109" s="116" t="n">
        <f aca="false">(H70+G121)*(0.3*$C$5+0.25*01_Supuestos!$I$134)/0.55-G227*$C$5</f>
        <v>1.59467199608304</v>
      </c>
      <c r="I109" s="116" t="n">
        <f aca="false">(I70+H121)*(0.3*$C$5+0.25*01_Supuestos!$I$134)/0.55-H227*$C$5</f>
        <v>1.76546023408995</v>
      </c>
      <c r="J109" s="116" t="n">
        <f aca="false">(J70+I121)*(0.3*$C$5+0.25*01_Supuestos!$I$134)/0.55-I227*$C$5</f>
        <v>1.93700695582574</v>
      </c>
      <c r="K109" s="116" t="n">
        <f aca="false">(K70+J121)*(0.3*$C$5+0.25*01_Supuestos!$I$134)/0.55-J227*$C$5</f>
        <v>2.10932353854635</v>
      </c>
      <c r="L109" s="116" t="n">
        <f aca="false">(L70+K121)*(0.3*$C$5+0.25*01_Supuestos!$I$134)/0.55-K227*$C$5</f>
        <v>2.2844569356236</v>
      </c>
      <c r="M109" s="116" t="n">
        <f aca="false">(M70+L121)*(0.3*$C$5+0.25*01_Supuestos!$I$134)/0.55-L227*$C$5</f>
        <v>2.39646017788854</v>
      </c>
      <c r="N109" s="116" t="n">
        <f aca="false">(N70+M121)*(0.3*$C$5+0.25*01_Supuestos!$I$134)/0.55-M227*$C$5</f>
        <v>2.53718957865114</v>
      </c>
      <c r="O109" s="116" t="n">
        <f aca="false">(O70+N121)*(0.3*$C$5+0.25*01_Supuestos!$I$134)/0.55-N227*$C$5</f>
        <v>2.68109115628</v>
      </c>
      <c r="P109" s="116" t="n">
        <f aca="false">(P70+O121)*(0.3*$C$5+0.25*01_Supuestos!$I$134)/0.55-O227*$C$5</f>
        <v>2.82826707041498</v>
      </c>
      <c r="Q109" s="116" t="n">
        <f aca="false">(Q70+P121)*(0.3*$C$5+0.25*01_Supuestos!$I$134)/0.55-P227*$C$5</f>
        <v>2.97432221999748</v>
      </c>
      <c r="R109" s="116" t="n">
        <f aca="false">(R70+Q121)*(0.3*$C$5+0.25*01_Supuestos!$I$134)/0.55-Q227*$C$5</f>
        <v>3.11902923151637</v>
      </c>
      <c r="S109" s="116" t="n">
        <f aca="false">(S70+R121)*(0.3*$C$5+0.25*01_Supuestos!$I$134)/0.55-R227*$C$5</f>
        <v>3.26267238299619</v>
      </c>
      <c r="T109" s="116" t="n">
        <f aca="false">(T70+S121)*(0.3*$C$5+0.25*01_Supuestos!$I$134)/0.55-S227*$C$5</f>
        <v>3.40535577645273</v>
      </c>
      <c r="U109" s="116" t="n">
        <f aca="false">(U70+T121)*(0.3*$C$5+0.25*01_Supuestos!$I$134)/0.55-T227*$C$5</f>
        <v>3.54748928577287</v>
      </c>
      <c r="V109" s="116" t="n">
        <f aca="false">(V70+U121)*(0.3*$C$5+0.25*01_Supuestos!$I$134)/0.55-U227*$C$5</f>
        <v>3.68947889023119</v>
      </c>
      <c r="W109" s="116" t="n">
        <f aca="false">(W70+V121)*(0.3*$C$5+0.25*01_Supuestos!$I$134)/0.55-V227*$C$5</f>
        <v>3.83172717252401</v>
      </c>
      <c r="X109" s="116" t="n">
        <f aca="false">(X70+W121)*(0.3*$C$5+0.25*01_Supuestos!$I$134)/0.55-W227*$C$5</f>
        <v>3.97463813862215</v>
      </c>
      <c r="Y109" s="116" t="n">
        <f aca="false">(Y70+X121)*(0.3*$C$5+0.25*01_Supuestos!$I$134)/0.55-X227*$C$5</f>
        <v>4.11861597655741</v>
      </c>
      <c r="Z109" s="116" t="n">
        <f aca="false">(Z70+Y121)*(0.3*$C$5+0.25*01_Supuestos!$I$134)/0.55-Y227*$C$5</f>
        <v>4.26406435688415</v>
      </c>
      <c r="AA109" s="116" t="n">
        <f aca="false">(AA70+Z121)*(0.3*$C$5+0.25*01_Supuestos!$I$134)/0.55-Z227*$C$5</f>
        <v>4.41138696602191</v>
      </c>
      <c r="AB109" s="116" t="n">
        <f aca="false">(AB70+AA121)*(0.3*$C$5+0.25*01_Supuestos!$I$134)/0.55-AA227*$C$5</f>
        <v>4.56098793695579</v>
      </c>
      <c r="AC109" s="116" t="n">
        <f aca="false">(AC70+AB121)*(0.3*$C$5+0.25*01_Supuestos!$I$134)/0.55-AB227*$C$5</f>
        <v>4.7132724269793</v>
      </c>
      <c r="AD109" s="116" t="n">
        <f aca="false">(AD70+AC121)*(0.3*$C$5+0.25*01_Supuestos!$I$134)/0.55-AC227*$C$5</f>
        <v>4.8686472159589</v>
      </c>
      <c r="AE109" s="116" t="n">
        <f aca="false">(AE70+AD121)*(0.3*$C$5+0.25*01_Supuestos!$I$134)/0.55-AD227*$C$5</f>
        <v>5.02752131440298</v>
      </c>
      <c r="AF109" s="116" t="n">
        <f aca="false">(AF70+AE121)*(0.3*$C$5+0.25*01_Supuestos!$I$134)/0.55-AE227*$C$5</f>
        <v>5.19030655525873</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0.662166704630107</v>
      </c>
      <c r="E110" s="116" t="n">
        <f aca="false">D120*$C$10</f>
        <v>1.2287195340969</v>
      </c>
      <c r="F110" s="116" t="n">
        <f aca="false">E120*$C$10</f>
        <v>1.85778093283674</v>
      </c>
      <c r="G110" s="116" t="n">
        <f aca="false">F120*$C$10</f>
        <v>2.16569019411384</v>
      </c>
      <c r="H110" s="116" t="n">
        <f aca="false">G120*$C$10</f>
        <v>2.55048786469948</v>
      </c>
      <c r="I110" s="116" t="n">
        <f aca="false">H120*$C$10</f>
        <v>2.9935373640235</v>
      </c>
      <c r="J110" s="116" t="n">
        <f aca="false">I120*$C$10</f>
        <v>3.4980540840059</v>
      </c>
      <c r="K110" s="116" t="n">
        <f aca="false">J120*$C$10</f>
        <v>4.04923056185656</v>
      </c>
      <c r="L110" s="116" t="n">
        <f aca="false">K120*$C$10</f>
        <v>4.64553908899086</v>
      </c>
      <c r="M110" s="116" t="n">
        <f aca="false">L120*$C$10</f>
        <v>5.24323000577438</v>
      </c>
      <c r="N110" s="116" t="n">
        <f aca="false">M120*$C$10</f>
        <v>5.23268476647823</v>
      </c>
      <c r="O110" s="116" t="n">
        <f aca="false">N120*$C$10</f>
        <v>5.29165998973875</v>
      </c>
      <c r="P110" s="116" t="n">
        <f aca="false">O120*$C$10</f>
        <v>5.36255747390399</v>
      </c>
      <c r="Q110" s="116" t="n">
        <f aca="false">P120*$C$10</f>
        <v>5.41015897921996</v>
      </c>
      <c r="R110" s="116" t="n">
        <f aca="false">Q120*$C$10</f>
        <v>5.45256233692457</v>
      </c>
      <c r="S110" s="116" t="n">
        <f aca="false">R120*$C$10</f>
        <v>5.48254597838958</v>
      </c>
      <c r="T110" s="116" t="n">
        <f aca="false">S120*$C$10</f>
        <v>5.51357886426636</v>
      </c>
      <c r="U110" s="116" t="n">
        <f aca="false">T120*$C$10</f>
        <v>5.5456960069944</v>
      </c>
      <c r="V110" s="116" t="n">
        <f aca="false">U120*$C$10</f>
        <v>5.57891773054559</v>
      </c>
      <c r="W110" s="116" t="n">
        <f aca="false">V120*$C$10</f>
        <v>5.61326398732906</v>
      </c>
      <c r="X110" s="116" t="n">
        <f aca="false">W120*$C$10</f>
        <v>5.64883377697777</v>
      </c>
      <c r="Y110" s="116" t="n">
        <f aca="false">X120*$C$10</f>
        <v>5.6856670382761</v>
      </c>
      <c r="Z110" s="116" t="n">
        <f aca="false">Y120*$C$10</f>
        <v>5.72379600409052</v>
      </c>
      <c r="AA110" s="116" t="n">
        <f aca="false">Z120*$C$10</f>
        <v>5.76324243700759</v>
      </c>
      <c r="AB110" s="116" t="n">
        <f aca="false">AA120*$C$10</f>
        <v>5.80402896004539</v>
      </c>
      <c r="AC110" s="116" t="n">
        <f aca="false">AB120*$C$10</f>
        <v>5.84617733883147</v>
      </c>
      <c r="AD110" s="116" t="n">
        <f aca="false">AC120*$C$10</f>
        <v>5.88970981963655</v>
      </c>
      <c r="AE110" s="116" t="n">
        <f aca="false">AD120*$C$10</f>
        <v>5.93464932871741</v>
      </c>
      <c r="AF110" s="116" t="n">
        <f aca="false">AE120*$C$10</f>
        <v>5.98101973037405</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2.7678832694438</v>
      </c>
      <c r="D111" s="136" t="n">
        <f aca="false">D69*01_Supuestos!$I$107-D218</f>
        <v>4.3735351761424</v>
      </c>
      <c r="E111" s="136" t="n">
        <f aca="false">E69*01_Supuestos!$I$107-E218</f>
        <v>5.67892317111064</v>
      </c>
      <c r="F111" s="136" t="n">
        <f aca="false">F69*01_Supuestos!$I$107-F218</f>
        <v>12.0443998036171</v>
      </c>
      <c r="G111" s="136" t="n">
        <f aca="false">G69*01_Supuestos!$I$107-G218</f>
        <v>11.9819731818688</v>
      </c>
      <c r="H111" s="136" t="n">
        <f aca="false">H69*01_Supuestos!$I$107-H218</f>
        <v>11.9443885205307</v>
      </c>
      <c r="I111" s="136" t="n">
        <f aca="false">I69*01_Supuestos!$I$107-I218</f>
        <v>11.9301765419694</v>
      </c>
      <c r="J111" s="136" t="n">
        <f aca="false">J69*01_Supuestos!$I$107-J218</f>
        <v>11.9379641311511</v>
      </c>
      <c r="K111" s="136" t="n">
        <f aca="false">K69*01_Supuestos!$I$107-K218</f>
        <v>11.9664681843108</v>
      </c>
      <c r="L111" s="136" t="n">
        <f aca="false">L69*01_Supuestos!$I$107-L218</f>
        <v>12.0144898536262</v>
      </c>
      <c r="M111" s="136" t="n">
        <f aca="false">M69*01_Supuestos!$I$107-M218</f>
        <v>12.1731377818496</v>
      </c>
      <c r="N111" s="136" t="n">
        <f aca="false">N69*01_Supuestos!$I$107-N218</f>
        <v>12.3995659728803</v>
      </c>
      <c r="O111" s="136" t="n">
        <f aca="false">O69*01_Supuestos!$I$107-O218</f>
        <v>12.6811119740544</v>
      </c>
      <c r="P111" s="136" t="n">
        <f aca="false">P69*01_Supuestos!$I$107-P218</f>
        <v>13.1722970754047</v>
      </c>
      <c r="Q111" s="136" t="n">
        <f aca="false">Q69*01_Supuestos!$I$107-Q218</f>
        <v>13.653870464581</v>
      </c>
      <c r="R111" s="136" t="n">
        <f aca="false">R69*01_Supuestos!$I$107-R218</f>
        <v>14.1221357146533</v>
      </c>
      <c r="S111" s="136" t="n">
        <f aca="false">S69*01_Supuestos!$I$107-S218</f>
        <v>14.5778889652226</v>
      </c>
      <c r="T111" s="136" t="n">
        <f aca="false">T69*01_Supuestos!$I$107-T218</f>
        <v>15.0218835607841</v>
      </c>
      <c r="U111" s="136" t="n">
        <f aca="false">U69*01_Supuestos!$I$107-U218</f>
        <v>15.4548330022679</v>
      </c>
      <c r="V111" s="136" t="n">
        <f aca="false">V69*01_Supuestos!$I$107-V218</f>
        <v>15.8774137109029</v>
      </c>
      <c r="W111" s="136" t="n">
        <f aca="false">W69*01_Supuestos!$I$107-W218</f>
        <v>16.2902676166039</v>
      </c>
      <c r="X111" s="136" t="n">
        <f aca="false">X69*01_Supuestos!$I$107-X218</f>
        <v>16.6940045822918</v>
      </c>
      <c r="Y111" s="136" t="n">
        <f aca="false">Y69*01_Supuestos!$I$107-Y218</f>
        <v>17.0892046748216</v>
      </c>
      <c r="Z111" s="136" t="n">
        <f aca="false">Z69*01_Supuestos!$I$107-Z218</f>
        <v>17.4764202925041</v>
      </c>
      <c r="AA111" s="136" t="n">
        <f aca="false">AA69*01_Supuestos!$I$107-AA218</f>
        <v>17.8561781585618</v>
      </c>
      <c r="AB111" s="136" t="n">
        <f aca="false">AB69*01_Supuestos!$I$107-AB218</f>
        <v>18.2289811892588</v>
      </c>
      <c r="AC111" s="136" t="n">
        <f aca="false">AC69*01_Supuestos!$I$107-AC218</f>
        <v>18.5953102448786</v>
      </c>
      <c r="AD111" s="136" t="n">
        <f aca="false">AD69*01_Supuestos!$I$107-AD218</f>
        <v>18.9556257711976</v>
      </c>
      <c r="AE111" s="136" t="n">
        <f aca="false">AE69*01_Supuestos!$I$107-AE218</f>
        <v>19.3103693386089</v>
      </c>
      <c r="AF111" s="136" t="n">
        <f aca="false">AF69*01_Supuestos!$I$107-AF218</f>
        <v>19.6599650855894</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0.0591443938619143</v>
      </c>
      <c r="D112" s="116" t="n">
        <f aca="false">D81*$C$7</f>
        <v>0.0972387701116566</v>
      </c>
      <c r="E112" s="116" t="n">
        <f aca="false">E81*$C$7</f>
        <v>0.131110835807634</v>
      </c>
      <c r="F112" s="116" t="n">
        <f aca="false">F81*$C$7</f>
        <v>0.272854842892533</v>
      </c>
      <c r="G112" s="116" t="n">
        <f aca="false">G81*$C$7</f>
        <v>0.2855563421679</v>
      </c>
      <c r="H112" s="116" t="n">
        <f aca="false">H81*$C$7</f>
        <v>0.298301481098916</v>
      </c>
      <c r="I112" s="116" t="n">
        <f aca="false">I81*$C$7</f>
        <v>0.31109010233844</v>
      </c>
      <c r="J112" s="116" t="n">
        <f aca="false">J81*$C$7</f>
        <v>0.323922086776223</v>
      </c>
      <c r="K112" s="116" t="n">
        <f aca="false">K81*$C$7</f>
        <v>0.336797352082607</v>
      </c>
      <c r="L112" s="116" t="n">
        <f aca="false">L81*$C$7</f>
        <v>0.349801964639669</v>
      </c>
      <c r="M112" s="116" t="n">
        <f aca="false">M81*$C$7</f>
        <v>0.362426080830021</v>
      </c>
      <c r="N112" s="116" t="n">
        <f aca="false">N81*$C$7</f>
        <v>0.375209618014158</v>
      </c>
      <c r="O112" s="116" t="n">
        <f aca="false">O81*$C$7</f>
        <v>0.387247978503958</v>
      </c>
      <c r="P112" s="116" t="n">
        <f aca="false">P81*$C$7</f>
        <v>0.396765557602879</v>
      </c>
      <c r="Q112" s="116" t="n">
        <f aca="false">Q81*$C$7</f>
        <v>0.406361641967449</v>
      </c>
      <c r="R112" s="116" t="n">
        <f aca="false">R81*$C$7</f>
        <v>0.415932908538592</v>
      </c>
      <c r="S112" s="116" t="n">
        <f aca="false">S81*$C$7</f>
        <v>0.425488535535643</v>
      </c>
      <c r="T112" s="116" t="n">
        <f aca="false">T81*$C$7</f>
        <v>0.435030162872076</v>
      </c>
      <c r="U112" s="116" t="n">
        <f aca="false">U81*$C$7</f>
        <v>0.444572451878619</v>
      </c>
      <c r="V112" s="116" t="n">
        <f aca="false">V81*$C$7</f>
        <v>0.45412998448566</v>
      </c>
      <c r="W112" s="116" t="n">
        <f aca="false">W81*$C$7</f>
        <v>0.463578427853128</v>
      </c>
      <c r="X112" s="116" t="n">
        <f aca="false">X81*$C$7</f>
        <v>0.472933042090261</v>
      </c>
      <c r="Y112" s="116" t="n">
        <f aca="false">Y81*$C$7</f>
        <v>0.482209193727914</v>
      </c>
      <c r="Z112" s="116" t="n">
        <f aca="false">Z81*$C$7</f>
        <v>0.491422327097679</v>
      </c>
      <c r="AA112" s="116" t="n">
        <f aca="false">AA81*$C$7</f>
        <v>0.500587987935895</v>
      </c>
      <c r="AB112" s="116" t="n">
        <f aca="false">AB81*$C$7</f>
        <v>0.509724877939683</v>
      </c>
      <c r="AC112" s="116" t="n">
        <f aca="false">AC81*$C$7</f>
        <v>0.518851793035352</v>
      </c>
      <c r="AD112" s="116" t="n">
        <f aca="false">AD81*$C$7</f>
        <v>0.527987648741876</v>
      </c>
      <c r="AE112" s="116" t="n">
        <f aca="false">AE81*$C$7</f>
        <v>0.537151505984904</v>
      </c>
      <c r="AF112" s="116" t="n">
        <f aca="false">AF81*$C$7</f>
        <v>0.546362596256517</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-2.14164125884051</v>
      </c>
      <c r="D113" s="136" t="n">
        <f aca="false">D107+D109+D110-D111-D112-D108-D97-D98-D102+D184-D190-D229-D265-D268-D274</f>
        <v>-2.42955105166348</v>
      </c>
      <c r="E113" s="136" t="n">
        <f aca="false">E107+E109+E110-E111-E112-E108-E97-E98-E102+E184-E190-E229-E265-E268-E274</f>
        <v>-2.47941192401709</v>
      </c>
      <c r="F113" s="136" t="n">
        <f aca="false">F107+F109+F110-F111-F112-F108-F97-F98-F102+F184-F190-F229-F265-F268-F274</f>
        <v>-6.30097445431648</v>
      </c>
      <c r="G113" s="136" t="n">
        <f aca="false">G107+G109+G110-G111-G112-G108-G97-G98-G102+G184-G190-G229-G265-G268-G274</f>
        <v>-4.97538288263142</v>
      </c>
      <c r="H113" s="136" t="n">
        <f aca="false">H107+H109+H110-H111-H112-H108-H97-H98-H102+H184-H190-H229-H265-H268-H274</f>
        <v>-3.78481331510548</v>
      </c>
      <c r="I113" s="136" t="n">
        <f aca="false">I107+I109+I110-I111-I112-I108-I97-I98-I102+I184-I190-I229-I265-I268-I274</f>
        <v>-2.54475988282669</v>
      </c>
      <c r="J113" s="136" t="n">
        <f aca="false">J107+J109+J110-J111-J112-J108-J97-J98-J102+J184-J190-J229-J265-J268-J274</f>
        <v>-1.25005775174904</v>
      </c>
      <c r="K113" s="136" t="n">
        <f aca="false">K107+K109+K110-K111-K112-K108-K97-K98-K102+K184-K190-K229-K265-K268-K274</f>
        <v>0.0861133077987713</v>
      </c>
      <c r="L113" s="136" t="n">
        <f aca="false">L107+L109+L110-L111-L112-L108-L97-L98-L102+L184-L190-L229-L265-L268-L274</f>
        <v>1.46569494305322</v>
      </c>
      <c r="M113" s="136" t="n">
        <f aca="false">M107+M109+M110-M111-M112-M108-M97-M98-M102+M184-M190-M229-M265-M268-M274</f>
        <v>2.6296414003417</v>
      </c>
      <c r="N113" s="136" t="n">
        <f aca="false">N107+N109+N110-N111-N112-N108-N97-N98-N102+N184-N190-N229-N265-N268-N274</f>
        <v>2.71160589989095</v>
      </c>
      <c r="O113" s="136" t="n">
        <f aca="false">O107+O109+O110-O111-O112-O108-O97-O98-O102+O184-O190-O229-O265-O268-O274</f>
        <v>2.79702493008126</v>
      </c>
      <c r="P113" s="136" t="n">
        <f aca="false">P107+P109+P110-P111-P112-P108-P97-P98-P102+P184-P190-P229-P265-P268-P274</f>
        <v>2.69561379103358</v>
      </c>
      <c r="Q113" s="136" t="n">
        <f aca="false">Q107+Q109+Q110-Q111-Q112-Q108-Q97-Q98-Q102+Q184-Q190-Q229-Q265-Q268-Q274</f>
        <v>2.58368309513069</v>
      </c>
      <c r="R113" s="136" t="n">
        <f aca="false">R107+R109+R110-R111-R112-R108-R97-R98-R102+R184-R190-R229-R265-R268-R274</f>
        <v>2.48286296264231</v>
      </c>
      <c r="S113" s="136" t="n">
        <f aca="false">S107+S109+S110-S111-S112-S108-S97-S98-S102+S184-S190-S229-S265-S268-S274</f>
        <v>2.38551352468202</v>
      </c>
      <c r="T113" s="136" t="n">
        <f aca="false">T107+T109+T110-T111-T112-T108-T97-T98-T102+T184-T190-T229-T265-T268-T274</f>
        <v>2.30455387407657</v>
      </c>
      <c r="U113" s="136" t="n">
        <f aca="false">U107+U109+U110-U111-U112-U108-U97-U98-U102+U184-U190-U229-U265-U268-U274</f>
        <v>2.23980144801188</v>
      </c>
      <c r="V113" s="136" t="n">
        <f aca="false">V107+V109+V110-V111-V112-V108-V97-V98-V102+V184-V190-V229-V265-V268-V274</f>
        <v>2.19109436304213</v>
      </c>
      <c r="W113" s="136" t="n">
        <f aca="false">W107+W109+W110-W111-W112-W108-W97-W98-W102+W184-W190-W229-W265-W268-W274</f>
        <v>2.15847425100207</v>
      </c>
      <c r="X113" s="136" t="n">
        <f aca="false">X107+X109+X110-X111-X112-X108-X97-X98-X102+X184-X190-X229-X265-X268-X274</f>
        <v>2.1419298187096</v>
      </c>
      <c r="Y113" s="136" t="n">
        <f aca="false">Y107+Y109+Y110-Y111-Y112-Y108-Y97-Y98-Y102+Y184-Y190-Y229-Y265-Y268-Y274</f>
        <v>2.14141975409747</v>
      </c>
      <c r="Z113" s="136" t="n">
        <f aca="false">Z107+Z109+Z110-Z111-Z112-Z108-Z97-Z98-Z102+Z184-Z190-Z229-Z265-Z268-Z274</f>
        <v>2.15692487534517</v>
      </c>
      <c r="AA113" s="136" t="n">
        <f aca="false">AA107+AA109+AA110-AA111-AA112-AA108-AA97-AA98-AA102+AA184-AA190-AA229-AA265-AA268-AA274</f>
        <v>2.18844377676368</v>
      </c>
      <c r="AB113" s="136" t="n">
        <f aca="false">AB107+AB109+AB110-AB111-AB112-AB108-AB97-AB98-AB102+AB184-AB190-AB229-AB265-AB268-AB274</f>
        <v>2.2359990379082</v>
      </c>
      <c r="AC113" s="136" t="n">
        <f aca="false">AC107+AC109+AC110-AC111-AC112-AC108-AC97-AC98-AC102+AC184-AC190-AC229-AC265-AC268-AC274</f>
        <v>2.29963807953238</v>
      </c>
      <c r="AD113" s="136" t="n">
        <f aca="false">AD107+AD109+AD110-AD111-AD112-AD108-AD97-AD98-AD102+AD184-AD190-AD229-AD265-AD268-AD274</f>
        <v>2.37943356573565</v>
      </c>
      <c r="AE113" s="136" t="n">
        <f aca="false">AE107+AE109+AE110-AE111-AE112-AE108-AE97-AE98-AE102+AE184-AE190-AE229-AE265-AE268-AE274</f>
        <v>2.47548270249696</v>
      </c>
      <c r="AF113" s="136" t="n">
        <f aca="false">AF107+AF109+AF110-AF111-AF112-AF108-AF97-AF98-AF102+AF184-AF190-AF229-AF265-AF268-AF274</f>
        <v>2.58790668019546</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18.9190487037173</v>
      </c>
      <c r="D114" s="116" t="n">
        <f aca="false">C120+D53+D56-D57+(D58-D65)+D113-D92+D94-D95-D103+D60-D245</f>
        <v>35.1062724027686</v>
      </c>
      <c r="E114" s="116" t="n">
        <f aca="false">D120+E53+E56-E57+(E58-E65)+E113-E92+E94-E95-E103+E60-E245</f>
        <v>53.079455223907</v>
      </c>
      <c r="F114" s="116" t="n">
        <f aca="false">E120+F53+F56-F57+(F58-F65)+F113-F92+F94-F95-F103+F60-F245</f>
        <v>61.8768626889668</v>
      </c>
      <c r="G114" s="116" t="n">
        <f aca="false">F120+G53+G56-G57+(G58-G65)+G113-G92+G94-G95-G103+G60-G245</f>
        <v>72.8710818485565</v>
      </c>
      <c r="H114" s="116" t="n">
        <f aca="false">G120+H53+H56-H57+(H58-H65)+H113-H92+H94-H95-H103+H60-H245</f>
        <v>85.5296389721001</v>
      </c>
      <c r="I114" s="116" t="n">
        <f aca="false">H120+I53+I56-I57+(I58-I65)+I113-I92+I94-I95-I103+I60-I245</f>
        <v>99.9444024001686</v>
      </c>
      <c r="J114" s="116" t="n">
        <f aca="false">I120+J53+J56-J57+(J58-J65)+J113-J92+J94-J95-J103+J60-J245</f>
        <v>115.69230176733</v>
      </c>
      <c r="K114" s="116" t="n">
        <f aca="false">J120+K53+K56-K57+(K58-K65)+K113-K92+K94-K95-K103+K60-K245</f>
        <v>132.81580156468</v>
      </c>
      <c r="L114" s="116" t="n">
        <f aca="false">K120+L53+L56-L57+(L58-L65)+L113-L92+L94-L95-L103+L60-L245</f>
        <v>151.272266536607</v>
      </c>
      <c r="M114" s="116" t="n">
        <f aca="false">L120+M53+M56-M57+(M58-M65)+M113-M92+M94-M95-M103+M60-M245</f>
        <v>152.134920442577</v>
      </c>
      <c r="N114" s="116" t="n">
        <f aca="false">M120+N53+N56-N57+(N58-N65)+N113-N92+N94-N95-N103+N60-N245</f>
        <v>153.901891320998</v>
      </c>
      <c r="O114" s="116" t="n">
        <f aca="false">N120+O53+O56-O57+(O58-O65)+O113-O92+O94-O95-O103+O60-O245</f>
        <v>156.01295275591</v>
      </c>
      <c r="P114" s="116" t="n">
        <f aca="false">O120+P53+P56-P57+(P58-P65)+P113-P92+P94-P95-P103+P60-P245</f>
        <v>157.27158462589</v>
      </c>
      <c r="Q114" s="116" t="n">
        <f aca="false">P120+Q53+Q56-Q57+(Q58-Q65)+Q113-Q92+Q94-Q95-Q103+Q60-Q245</f>
        <v>158.371178435833</v>
      </c>
      <c r="R114" s="116" t="n">
        <f aca="false">Q120+R53+R56-R57+(R58-R65)+R113-R92+R94-R95-R103+R60-R245</f>
        <v>159.127033773773</v>
      </c>
      <c r="S114" s="116" t="n">
        <f aca="false">R120+S53+S56-S57+(S58-S65)+S113-S92+S94-S95-S103+S60-S245</f>
        <v>159.916338218007</v>
      </c>
      <c r="T114" s="116" t="n">
        <f aca="false">S120+T53+T56-T57+(T58-T65)+T113-T92+T94-T95-T103+T60-T245</f>
        <v>160.753011216774</v>
      </c>
      <c r="U114" s="116" t="n">
        <f aca="false">T120+U53+U56-U57+(U58-U65)+U113-U92+U94-U95-U103+U60-U245</f>
        <v>161.637450892172</v>
      </c>
      <c r="V114" s="116" t="n">
        <f aca="false">U120+V53+V56-V57+(V58-V65)+V113-V92+V94-V95-V103+V60-V245</f>
        <v>162.570065429587</v>
      </c>
      <c r="W114" s="116" t="n">
        <f aca="false">V120+W53+W56-W57+(W58-W65)+W113-W92+W94-W95-W103+W60-W245</f>
        <v>163.553725021795</v>
      </c>
      <c r="X114" s="116" t="n">
        <f aca="false">W120+X53+X56-X57+(X58-X65)+X113-X92+X94-X95-X103+X60-X245</f>
        <v>164.589559483741</v>
      </c>
      <c r="Y114" s="116" t="n">
        <f aca="false">X120+Y53+Y56-Y57+(Y58-Y65)+Y113-Y92+Y94-Y95-Y103+Y60-Y245</f>
        <v>165.678448442398</v>
      </c>
      <c r="Z114" s="116" t="n">
        <f aca="false">Y120+Z53+Z56-Z57+(Z58-Z65)+Z113-Z92+Z94-Z95-Z103+Z60-Z245</f>
        <v>166.820994504134</v>
      </c>
      <c r="AA114" s="116" t="n">
        <f aca="false">Z120+AA53+AA56-AA57+(AA58-AA65)+AA113-AA92+AA94-AA95-AA103+AA60-AA245</f>
        <v>168.017842635204</v>
      </c>
      <c r="AB114" s="116" t="n">
        <f aca="false">AA120+AB53+AB56-AB57+(AB58-AB65)+AB113-AB92+AB94-AB95-AB103+AB60-AB245</f>
        <v>169.269637290236</v>
      </c>
      <c r="AC114" s="116" t="n">
        <f aca="false">AB120+AC53+AC56-AC57+(AC58-AC65)+AC113-AC92+AC94-AC95-AC103+AC60-AC245</f>
        <v>170.577061497719</v>
      </c>
      <c r="AD114" s="116" t="n">
        <f aca="false">AC120+AD53+AD56-AD57+(AD58-AD65)+AD113-AD92+AD94-AD95-AD103+AD60-AD245</f>
        <v>171.940842957662</v>
      </c>
      <c r="AE114" s="116" t="n">
        <f aca="false">AD120+AE53+AE56-AE57+(AE58-AE65)+AE113-AE92+AE94-AE95-AE103+AE60-AE245</f>
        <v>173.361760713184</v>
      </c>
      <c r="AF114" s="116" t="n">
        <f aca="false">AE120+AF53+AF56-AF57+(AF58-AF65)+AF113-AF92+AF94-AF95-AF103+AF60-AF245</f>
        <v>174.84064484205</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0.0861133077987713</v>
      </c>
      <c r="L115" s="116" t="n">
        <f aca="false">IF(L113&gt;0,MIN(L113,01_Supuestos!$I$106*L81),0)</f>
        <v>1.46569494305322</v>
      </c>
      <c r="M115" s="116" t="n">
        <f aca="false">IF(M113&gt;0,MIN(M113,01_Supuestos!$I$106*M81),0)</f>
        <v>2.6296414003417</v>
      </c>
      <c r="N115" s="116" t="n">
        <f aca="false">IF(N113&gt;0,MIN(N113,01_Supuestos!$I$106*N81),0)</f>
        <v>2.71160589989095</v>
      </c>
      <c r="O115" s="116" t="n">
        <f aca="false">IF(O113&gt;0,MIN(O113,01_Supuestos!$I$106*O81),0)</f>
        <v>2.79702493008126</v>
      </c>
      <c r="P115" s="116" t="n">
        <f aca="false">IF(P113&gt;0,MIN(P113,01_Supuestos!$I$106*P81),0)</f>
        <v>2.69561379103358</v>
      </c>
      <c r="Q115" s="116" t="n">
        <f aca="false">IF(Q113&gt;0,MIN(Q113,01_Supuestos!$I$106*Q81),0)</f>
        <v>2.58368309513069</v>
      </c>
      <c r="R115" s="116" t="n">
        <f aca="false">IF(R113&gt;0,MIN(R113,01_Supuestos!$I$106*R81),0)</f>
        <v>2.48286296264231</v>
      </c>
      <c r="S115" s="116" t="n">
        <f aca="false">IF(S113&gt;0,MIN(S113,01_Supuestos!$I$106*S81),0)</f>
        <v>2.38551352468202</v>
      </c>
      <c r="T115" s="116" t="n">
        <f aca="false">IF(T113&gt;0,MIN(T113,01_Supuestos!$I$106*T81),0)</f>
        <v>2.30455387407657</v>
      </c>
      <c r="U115" s="116" t="n">
        <f aca="false">IF(U113&gt;0,MIN(U113,01_Supuestos!$I$106*U81),0)</f>
        <v>2.23980144801188</v>
      </c>
      <c r="V115" s="116" t="n">
        <f aca="false">IF(V113&gt;0,MIN(V113,01_Supuestos!$I$106*V81),0)</f>
        <v>2.19109436304213</v>
      </c>
      <c r="W115" s="116" t="n">
        <f aca="false">IF(W113&gt;0,MIN(W113,01_Supuestos!$I$106*W81),0)</f>
        <v>2.15847425100207</v>
      </c>
      <c r="X115" s="116" t="n">
        <f aca="false">IF(X113&gt;0,MIN(X113,01_Supuestos!$I$106*X81),0)</f>
        <v>2.1419298187096</v>
      </c>
      <c r="Y115" s="116" t="n">
        <f aca="false">IF(Y113&gt;0,MIN(Y113,01_Supuestos!$I$106*Y81),0)</f>
        <v>2.14141975409747</v>
      </c>
      <c r="Z115" s="116" t="n">
        <f aca="false">IF(Z113&gt;0,MIN(Z113,01_Supuestos!$I$106*Z81),0)</f>
        <v>2.15692487534517</v>
      </c>
      <c r="AA115" s="116" t="n">
        <f aca="false">IF(AA113&gt;0,MIN(AA113,01_Supuestos!$I$106*AA81),0)</f>
        <v>2.18844377676368</v>
      </c>
      <c r="AB115" s="116" t="n">
        <f aca="false">IF(AB113&gt;0,MIN(AB113,01_Supuestos!$I$106*AB81),0)</f>
        <v>2.2359990379082</v>
      </c>
      <c r="AC115" s="116" t="n">
        <f aca="false">IF(AC113&gt;0,MIN(AC113,01_Supuestos!$I$106*AC81),0)</f>
        <v>2.29963807953238</v>
      </c>
      <c r="AD115" s="116" t="n">
        <f aca="false">IF(AD113&gt;0,MIN(AD113,01_Supuestos!$I$106*AD81),0)</f>
        <v>2.37943356573565</v>
      </c>
      <c r="AE115" s="116" t="n">
        <f aca="false">IF(AE113&gt;0,MIN(AE113,01_Supuestos!$I$106*AE81),0)</f>
        <v>2.47548270249696</v>
      </c>
      <c r="AF115" s="116" t="n">
        <f aca="false">IF(AF113&gt;0,MIN(AF113,01_Supuestos!$I$106*AF81),0)</f>
        <v>2.58790668019546</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18.9190487037173</v>
      </c>
      <c r="D120" s="136" t="n">
        <f aca="false">D114-D115+D118+D119</f>
        <v>35.1062724027686</v>
      </c>
      <c r="E120" s="136" t="n">
        <f aca="false">E114-E115+E118+E119</f>
        <v>53.079455223907</v>
      </c>
      <c r="F120" s="136" t="n">
        <f aca="false">F114-F115+F118+F119</f>
        <v>61.8768626889668</v>
      </c>
      <c r="G120" s="136" t="n">
        <f aca="false">G114-G115+G118+G119</f>
        <v>72.8710818485565</v>
      </c>
      <c r="H120" s="136" t="n">
        <f aca="false">H114-H115+H118+H119</f>
        <v>85.5296389721001</v>
      </c>
      <c r="I120" s="136" t="n">
        <f aca="false">I114-I115+I118+I119</f>
        <v>99.9444024001686</v>
      </c>
      <c r="J120" s="136" t="n">
        <f aca="false">J114-J115+J118+J119</f>
        <v>115.69230176733</v>
      </c>
      <c r="K120" s="136" t="n">
        <f aca="false">K114-K115+K118+K119</f>
        <v>132.729688256882</v>
      </c>
      <c r="L120" s="136" t="n">
        <f aca="false">L114-L115+L118+L119</f>
        <v>149.806571593554</v>
      </c>
      <c r="M120" s="136" t="n">
        <f aca="false">M114-M115+M118+M119</f>
        <v>149.505279042235</v>
      </c>
      <c r="N120" s="136" t="n">
        <f aca="false">N114-N115+N118+N119</f>
        <v>151.190285421107</v>
      </c>
      <c r="O120" s="136" t="n">
        <f aca="false">O114-O115+O118+O119</f>
        <v>153.215927825828</v>
      </c>
      <c r="P120" s="136" t="n">
        <f aca="false">P114-P115+P118+P119</f>
        <v>154.575970834856</v>
      </c>
      <c r="Q120" s="136" t="n">
        <f aca="false">Q114-Q115+Q118+Q119</f>
        <v>155.787495340702</v>
      </c>
      <c r="R120" s="136" t="n">
        <f aca="false">R114-R115+R118+R119</f>
        <v>156.644170811131</v>
      </c>
      <c r="S120" s="136" t="n">
        <f aca="false">S114-S115+S118+S119</f>
        <v>157.530824693325</v>
      </c>
      <c r="T120" s="136" t="n">
        <f aca="false">T114-T115+T118+T119</f>
        <v>158.448457342697</v>
      </c>
      <c r="U120" s="136" t="n">
        <f aca="false">U114-U115+U118+U119</f>
        <v>159.39764944416</v>
      </c>
      <c r="V120" s="136" t="n">
        <f aca="false">V114-V115+V118+V119</f>
        <v>160.378971066545</v>
      </c>
      <c r="W120" s="136" t="n">
        <f aca="false">W114-W115+W118+W119</f>
        <v>161.395250770793</v>
      </c>
      <c r="X120" s="136" t="n">
        <f aca="false">X114-X115+X118+X119</f>
        <v>162.447629665031</v>
      </c>
      <c r="Y120" s="136" t="n">
        <f aca="false">Y114-Y115+Y118+Y119</f>
        <v>163.537028688301</v>
      </c>
      <c r="Z120" s="136" t="n">
        <f aca="false">Z114-Z115+Z118+Z119</f>
        <v>164.664069628788</v>
      </c>
      <c r="AA120" s="136" t="n">
        <f aca="false">AA114-AA115+AA118+AA119</f>
        <v>165.82939885844</v>
      </c>
      <c r="AB120" s="136" t="n">
        <f aca="false">AB114-AB115+AB118+AB119</f>
        <v>167.033638252328</v>
      </c>
      <c r="AC120" s="136" t="n">
        <f aca="false">AC114-AC115+AC118+AC119</f>
        <v>168.277423418187</v>
      </c>
      <c r="AD120" s="136" t="n">
        <f aca="false">AD114-AD115+AD118+AD119</f>
        <v>169.561409391926</v>
      </c>
      <c r="AE120" s="136" t="n">
        <f aca="false">AE114-AE115+AE118+AE119</f>
        <v>170.886278010687</v>
      </c>
      <c r="AF120" s="136" t="n">
        <f aca="false">AF114-AF115+AF118+AF119</f>
        <v>172.252738161854</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0.0861133077987713</v>
      </c>
      <c r="L121" s="116" t="n">
        <f aca="false">K121+L115</f>
        <v>1.55180825085199</v>
      </c>
      <c r="M121" s="116" t="n">
        <f aca="false">L121+M115</f>
        <v>4.18144965119369</v>
      </c>
      <c r="N121" s="116" t="n">
        <f aca="false">M121+N115</f>
        <v>6.89305555108464</v>
      </c>
      <c r="O121" s="116" t="n">
        <f aca="false">N121+O115</f>
        <v>9.6900804811659</v>
      </c>
      <c r="P121" s="116" t="n">
        <f aca="false">O121+P115</f>
        <v>12.3856942721995</v>
      </c>
      <c r="Q121" s="116" t="n">
        <f aca="false">P121+Q115</f>
        <v>14.9693773673302</v>
      </c>
      <c r="R121" s="116" t="n">
        <f aca="false">Q121+R115</f>
        <v>17.4522403299725</v>
      </c>
      <c r="S121" s="116" t="n">
        <f aca="false">R121+S115</f>
        <v>19.8377538546545</v>
      </c>
      <c r="T121" s="116" t="n">
        <f aca="false">S121+T115</f>
        <v>22.1423077287311</v>
      </c>
      <c r="U121" s="116" t="n">
        <f aca="false">T121+U115</f>
        <v>24.3821091767429</v>
      </c>
      <c r="V121" s="116" t="n">
        <f aca="false">U121+V115</f>
        <v>26.5732035397851</v>
      </c>
      <c r="W121" s="116" t="n">
        <f aca="false">V121+W115</f>
        <v>28.7316777907871</v>
      </c>
      <c r="X121" s="116" t="n">
        <f aca="false">W121+X115</f>
        <v>30.8736076094967</v>
      </c>
      <c r="Y121" s="116" t="n">
        <f aca="false">X121+Y115</f>
        <v>33.0150273635942</v>
      </c>
      <c r="Z121" s="116" t="n">
        <f aca="false">Y121+Z115</f>
        <v>35.1719522389394</v>
      </c>
      <c r="AA121" s="116" t="n">
        <f aca="false">Z121+AA115</f>
        <v>37.360396015703</v>
      </c>
      <c r="AB121" s="116" t="n">
        <f aca="false">AA121+AB115</f>
        <v>39.5963950536112</v>
      </c>
      <c r="AC121" s="116" t="n">
        <f aca="false">AB121+AC115</f>
        <v>41.8960331331436</v>
      </c>
      <c r="AD121" s="116" t="n">
        <f aca="false">AC121+AD115</f>
        <v>44.2754666988793</v>
      </c>
      <c r="AE121" s="116" t="n">
        <f aca="false">AD121+AE115</f>
        <v>46.7509494013762</v>
      </c>
      <c r="AF121" s="116" t="n">
        <f aca="false">AE121+AF115</f>
        <v>49.3388560815717</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0.303424833194702</v>
      </c>
      <c r="D122" s="87" t="n">
        <f aca="false">D276/(D81+D115)</f>
        <v>0.340712143088745</v>
      </c>
      <c r="E122" s="87" t="n">
        <f aca="false">E276/(E81+E115)</f>
        <v>0.38179401357329</v>
      </c>
      <c r="F122" s="87" t="n">
        <f aca="false">F276/(F81+F115)</f>
        <v>0.226775753851427</v>
      </c>
      <c r="G122" s="87" t="n">
        <f aca="false">G276/(G81+G115)</f>
        <v>0.255189856037972</v>
      </c>
      <c r="H122" s="87" t="n">
        <f aca="false">H276/(H81+H115)</f>
        <v>0.286722139819811</v>
      </c>
      <c r="I122" s="87" t="n">
        <f aca="false">I276/(I81+I115)</f>
        <v>0.321271559747142</v>
      </c>
      <c r="J122" s="87" t="n">
        <f aca="false">J276/(J81+J115)</f>
        <v>0.357160892975028</v>
      </c>
      <c r="K122" s="87" t="n">
        <f aca="false">K276/(K81+K115)</f>
        <v>0.393992884462478</v>
      </c>
      <c r="L122" s="87" t="n">
        <f aca="false">L276/(L81+L115)</f>
        <v>0.42647413590967</v>
      </c>
      <c r="M122" s="87" t="n">
        <f aca="false">M276/(M81+M115)</f>
        <v>0.409540982206251</v>
      </c>
      <c r="N122" s="87" t="n">
        <f aca="false">N276/(N81+N115)</f>
        <v>0.400057673012544</v>
      </c>
      <c r="O122" s="87" t="n">
        <f aca="false">O276/(O81+O115)</f>
        <v>0.392816025014762</v>
      </c>
      <c r="P122" s="87" t="n">
        <f aca="false">P276/(P81+P115)</f>
        <v>0.386961191485686</v>
      </c>
      <c r="Q122" s="87" t="n">
        <f aca="false">Q276/(Q81+Q115)</f>
        <v>0.380949446767394</v>
      </c>
      <c r="R122" s="87" t="n">
        <f aca="false">R276/(R81+R115)</f>
        <v>0.374374441596948</v>
      </c>
      <c r="S122" s="87" t="n">
        <f aca="false">S276/(S81+S115)</f>
        <v>0.368171019110146</v>
      </c>
      <c r="T122" s="87" t="n">
        <f aca="false">T276/(T81+T115)</f>
        <v>0.362304777726273</v>
      </c>
      <c r="U122" s="87" t="n">
        <f aca="false">U276/(U81+U115)</f>
        <v>0.356744131919847</v>
      </c>
      <c r="V122" s="87" t="n">
        <f aca="false">V276/(V81+V115)</f>
        <v>0.351460799205639</v>
      </c>
      <c r="W122" s="87" t="n">
        <f aca="false">W276/(W81+W115)</f>
        <v>0.346537390620399</v>
      </c>
      <c r="X122" s="87" t="n">
        <f aca="false">X276/(X81+X115)</f>
        <v>0.341941039352749</v>
      </c>
      <c r="Y122" s="87" t="n">
        <f aca="false">Y276/(Y81+Y115)</f>
        <v>0.33764183245816</v>
      </c>
      <c r="Z122" s="87" t="n">
        <f aca="false">Z276/(Z81+Z115)</f>
        <v>0.333612219254686</v>
      </c>
      <c r="AA122" s="87" t="n">
        <f aca="false">AA276/(AA81+AA115)</f>
        <v>0.329827311701064</v>
      </c>
      <c r="AB122" s="87" t="n">
        <f aca="false">AB276/(AB81+AB115)</f>
        <v>0.326262505132084</v>
      </c>
      <c r="AC122" s="87" t="n">
        <f aca="false">AC276/(AC81+AC115)</f>
        <v>0.322895445299259</v>
      </c>
      <c r="AD122" s="87" t="n">
        <f aca="false">AD276/(AD81+AD115)</f>
        <v>0.319705756726396</v>
      </c>
      <c r="AE122" s="87" t="n">
        <f aca="false">AE276/(AE81+AE115)</f>
        <v>0.316674817222086</v>
      </c>
      <c r="AF122" s="87" t="n">
        <f aca="false">AF276/(AF81+AF115)</f>
        <v>0.313785554873083</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2.14164125884051</v>
      </c>
      <c r="D127" s="116" t="n">
        <f aca="false">MAX(0,-D113)</f>
        <v>2.42955105166348</v>
      </c>
      <c r="E127" s="116" t="n">
        <f aca="false">MAX(0,-E113)</f>
        <v>2.47941192401709</v>
      </c>
      <c r="F127" s="116" t="n">
        <f aca="false">MAX(0,-F113)</f>
        <v>6.30097445431648</v>
      </c>
      <c r="G127" s="116" t="n">
        <f aca="false">MAX(0,-G113)</f>
        <v>4.97538288263142</v>
      </c>
      <c r="H127" s="116" t="n">
        <f aca="false">MAX(0,-H113)</f>
        <v>3.78481331510548</v>
      </c>
      <c r="I127" s="116" t="n">
        <f aca="false">MAX(0,-I113)</f>
        <v>2.54475988282669</v>
      </c>
      <c r="J127" s="116" t="n">
        <f aca="false">MAX(0,-J113)</f>
        <v>1.25005775174904</v>
      </c>
      <c r="K127" s="116" t="n">
        <f aca="false">MAX(0,-K113)</f>
        <v>0</v>
      </c>
      <c r="L127" s="116" t="n">
        <f aca="false">MAX(0,-L113)</f>
        <v>0</v>
      </c>
      <c r="M127" s="116" t="n">
        <f aca="false">MAX(0,-M113)</f>
        <v>0</v>
      </c>
      <c r="N127" s="116" t="n">
        <f aca="false">MAX(0,-N113)</f>
        <v>0</v>
      </c>
      <c r="O127" s="116" t="n">
        <f aca="false">MAX(0,-O113)</f>
        <v>0</v>
      </c>
      <c r="P127" s="116" t="n">
        <f aca="false">MAX(0,-P113)</f>
        <v>0</v>
      </c>
      <c r="Q127" s="116" t="n">
        <f aca="false">MAX(0,-Q113)</f>
        <v>0</v>
      </c>
      <c r="R127" s="116" t="n">
        <f aca="false">MAX(0,-R113)</f>
        <v>0</v>
      </c>
      <c r="S127" s="116" t="n">
        <f aca="false">MAX(0,-S113)</f>
        <v>0</v>
      </c>
      <c r="T127" s="116" t="n">
        <f aca="false">MAX(0,-T113)</f>
        <v>0</v>
      </c>
      <c r="U127" s="116" t="n">
        <f aca="false">MAX(0,-U113)</f>
        <v>0</v>
      </c>
      <c r="V127" s="116" t="n">
        <f aca="false">MAX(0,-V113)</f>
        <v>0</v>
      </c>
      <c r="W127" s="116" t="n">
        <f aca="false">MAX(0,-W113)</f>
        <v>0</v>
      </c>
      <c r="X127" s="116" t="n">
        <f aca="false">MAX(0,-X113)</f>
        <v>0</v>
      </c>
      <c r="Y127" s="116" t="n">
        <f aca="false">MAX(0,-Y113)</f>
        <v>0</v>
      </c>
      <c r="Z127" s="116" t="n">
        <f aca="false">MAX(0,-Z113)</f>
        <v>0</v>
      </c>
      <c r="AA127" s="116" t="n">
        <f aca="false">MAX(0,-AA113)</f>
        <v>0</v>
      </c>
      <c r="AB127" s="116" t="n">
        <f aca="false">MAX(0,-AB113)</f>
        <v>0</v>
      </c>
      <c r="AC127" s="116" t="n">
        <f aca="false">MAX(0,-AC113)</f>
        <v>0</v>
      </c>
      <c r="AD127" s="116" t="n">
        <f aca="false">MAX(0,-AD113)</f>
        <v>0</v>
      </c>
      <c r="AE127" s="116" t="n">
        <f aca="false">MAX(0,-AE113)</f>
        <v>0</v>
      </c>
      <c r="AF127" s="116" t="n">
        <f aca="false">MAX(0,-AF113)</f>
        <v>0</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4.73683578096921</v>
      </c>
      <c r="D128" s="116" t="n">
        <f aca="false">IF(AVERAGE(E127:I127)&gt;0,D120/AVERAGE(E127:I127),99)</f>
        <v>8.73927653327555</v>
      </c>
      <c r="E128" s="116" t="n">
        <f aca="false">IF(AVERAGE(F127:J127)&gt;0,E120/AVERAGE(F127:J127),99)</f>
        <v>14.0749597467522</v>
      </c>
      <c r="F128" s="116" t="n">
        <f aca="false">IF(AVERAGE(G127:K127)&gt;0,F120/AVERAGE(G127:K127),99)</f>
        <v>24.642291723214</v>
      </c>
      <c r="G128" s="116" t="n">
        <f aca="false">IF(AVERAGE(H127:L127)&gt;0,G120/AVERAGE(H127:L127),99)</f>
        <v>48.0703363609157</v>
      </c>
      <c r="H128" s="116" t="n">
        <f aca="false">IF(AVERAGE(I127:M127)&gt;0,H120/AVERAGE(I127:M127),99)</f>
        <v>112.692686722036</v>
      </c>
      <c r="I128" s="116" t="n">
        <f aca="false">IF(AVERAGE(J127:N127)&gt;0,I120/AVERAGE(J127:N127),99)</f>
        <v>399.759140169043</v>
      </c>
      <c r="J128" s="116" t="n">
        <f aca="false">IF(AVERAGE(K127:O127)&gt;0,J120/AVERAGE(K127:O127),99)</f>
        <v>99</v>
      </c>
      <c r="K128" s="116" t="n">
        <f aca="false">IF(AVERAGE(L127:P127)&gt;0,K120/AVERAGE(L127:P127),99)</f>
        <v>99</v>
      </c>
      <c r="L128" s="116" t="n">
        <f aca="false">IF(AVERAGE(M127:Q127)&gt;0,L120/AVERAGE(M127:Q127),99)</f>
        <v>99</v>
      </c>
      <c r="M128" s="116" t="n">
        <f aca="false">IF(AVERAGE(N127:R127)&gt;0,M120/AVERAGE(N127:R127),99)</f>
        <v>99</v>
      </c>
      <c r="N128" s="116" t="n">
        <f aca="false">IF(AVERAGE(O127:S127)&gt;0,N120/AVERAGE(O127:S127),99)</f>
        <v>99</v>
      </c>
      <c r="O128" s="116" t="n">
        <f aca="false">IF(AVERAGE(P127:T127)&gt;0,O120/AVERAGE(P127:T127),99)</f>
        <v>99</v>
      </c>
      <c r="P128" s="116" t="n">
        <f aca="false">IF(AVERAGE(Q127:U127)&gt;0,P120/AVERAGE(Q127:U127),99)</f>
        <v>99</v>
      </c>
      <c r="Q128" s="116" t="n">
        <f aca="false">IF(AVERAGE(R127:V127)&gt;0,Q120/AVERAGE(R127:V127),99)</f>
        <v>99</v>
      </c>
      <c r="R128" s="116" t="n">
        <f aca="false">IF(AVERAGE(S127:W127)&gt;0,R120/AVERAGE(S127:W127),99)</f>
        <v>99</v>
      </c>
      <c r="S128" s="116" t="n">
        <f aca="false">IF(AVERAGE(T127:X127)&gt;0,S120/AVERAGE(T127:X127),99)</f>
        <v>99</v>
      </c>
      <c r="T128" s="116" t="n">
        <f aca="false">IF(AVERAGE(U127:Y127)&gt;0,T120/AVERAGE(U127:Y127),99)</f>
        <v>99</v>
      </c>
      <c r="U128" s="116" t="n">
        <f aca="false">IF(AVERAGE(V127:Z127)&gt;0,U120/AVERAGE(V127:Z127),99)</f>
        <v>99</v>
      </c>
      <c r="V128" s="116" t="n">
        <f aca="false">IF(AVERAGE(W127:AA127)&gt;0,V120/AVERAGE(W127:AA127),99)</f>
        <v>99</v>
      </c>
      <c r="W128" s="116" t="n">
        <f aca="false">IF(AVERAGE(X127:AB127)&gt;0,W120/AVERAGE(X127:AB127),99)</f>
        <v>99</v>
      </c>
      <c r="X128" s="116" t="n">
        <f aca="false">IF(AVERAGE(Y127:AC127)&gt;0,X120/AVERAGE(Y127:AC127),99)</f>
        <v>99</v>
      </c>
      <c r="Y128" s="116" t="n">
        <f aca="false">IF(AVERAGE(Z127:AD127)&gt;0,Y120/AVERAGE(Z127:AD127),99)</f>
        <v>99</v>
      </c>
      <c r="Z128" s="116" t="n">
        <f aca="false">IF(AVERAGE(AA127:AE127)&gt;0,Z120/AVERAGE(AA127:AE127),99)</f>
        <v>99</v>
      </c>
      <c r="AA128" s="116" t="n">
        <f aca="false">IF(AVERAGE(AB127:AF127)&gt;0,AA120/AVERAGE(AB127:AF127),99)</f>
        <v>99</v>
      </c>
      <c r="AB128" s="116" t="n">
        <f aca="false">IF(AVERAGE(AC127:AF127)&gt;0,AB120/AVERAGE(AC127:AF127),99)</f>
        <v>99</v>
      </c>
      <c r="AC128" s="116" t="n">
        <f aca="false">IF(AVERAGE(AD127:AF127)&gt;0,AC120/AVERAGE(AD127:AF127),99)</f>
        <v>99</v>
      </c>
      <c r="AD128" s="116" t="n">
        <f aca="false">IF(AVERAGE(AE127:AF127)&gt;0,AD120/AVERAGE(AE127:AF127),99)</f>
        <v>99</v>
      </c>
      <c r="AE128" s="116" t="n">
        <f aca="false">IF(AVERAGE(AF127:AF127)&gt;0,AE120/AVERAGE(AF127:AF127),99)</f>
        <v>99</v>
      </c>
      <c r="AF128" s="116" t="n">
        <f aca="false">IF(AF127&gt;0,AF120/AF127,99)</f>
        <v>99</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0.04</v>
      </c>
      <c r="D129" s="87" t="n">
        <f aca="false">D83/D41</f>
        <v>0.0791006842619746</v>
      </c>
      <c r="E129" s="87" t="n">
        <f aca="false">E83/E41</f>
        <v>0.11732227200584</v>
      </c>
      <c r="F129" s="87" t="n">
        <f aca="false">F83/F41</f>
        <v>0.154684527864947</v>
      </c>
      <c r="G129" s="87" t="n">
        <f aca="false">G83/G41</f>
        <v>0.191206772106497</v>
      </c>
      <c r="H129" s="87" t="n">
        <f aca="false">H83/H41</f>
        <v>0.226907890622187</v>
      </c>
      <c r="I129" s="87" t="n">
        <f aca="false">I83/I41</f>
        <v>0.26180634469422</v>
      </c>
      <c r="J129" s="87" t="n">
        <f aca="false">J83/J41</f>
        <v>0.295920180541759</v>
      </c>
      <c r="K129" s="87" t="n">
        <f aca="false">K83/K41</f>
        <v>0.329267038652746</v>
      </c>
      <c r="L129" s="87" t="n">
        <f aca="false">L83/L41</f>
        <v>0.36186416290591</v>
      </c>
      <c r="M129" s="87" t="n">
        <f aca="false">M83/M41</f>
        <v>0.388351648351648</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0.388351648351648</v>
      </c>
      <c r="W129" s="87" t="n">
        <f aca="false">W83/W41</f>
        <v>0.388351648351648</v>
      </c>
      <c r="X129" s="87" t="n">
        <f aca="false">X83/X41</f>
        <v>0.388351648351648</v>
      </c>
      <c r="Y129" s="87" t="n">
        <f aca="false">Y83/Y41</f>
        <v>0.388351648351648</v>
      </c>
      <c r="Z129" s="87" t="n">
        <f aca="false">Z83/Z41</f>
        <v>0.388351648351648</v>
      </c>
      <c r="AA129" s="87" t="n">
        <f aca="false">AA83/AA41</f>
        <v>0.388351648351648</v>
      </c>
      <c r="AB129" s="87" t="n">
        <f aca="false">AB83/AB41</f>
        <v>0.388351648351648</v>
      </c>
      <c r="AC129" s="87" t="n">
        <f aca="false">AC83/AC41</f>
        <v>0.388351648351648</v>
      </c>
      <c r="AD129" s="87" t="n">
        <f aca="false">AD83/AD41</f>
        <v>0.388351648351648</v>
      </c>
      <c r="AE129" s="87" t="n">
        <f aca="false">AE83/AE41</f>
        <v>0.388351648351648</v>
      </c>
      <c r="AF129" s="87" t="n">
        <f aca="false">AF83/AF41</f>
        <v>0.388351648351648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-1.09916285</v>
      </c>
      <c r="E134" s="116" t="n">
        <f aca="false">-E56</f>
        <v>-1.12912053347675</v>
      </c>
      <c r="F134" s="116" t="n">
        <f aca="false">-F56</f>
        <v>-1.15989471361666</v>
      </c>
      <c r="G134" s="116" t="n">
        <f aca="false">-G56</f>
        <v>-1.19150764403628</v>
      </c>
      <c r="H134" s="116" t="n">
        <f aca="false">-H56</f>
        <v>-1.22398218487449</v>
      </c>
      <c r="I134" s="116" t="n">
        <f aca="false">-I56</f>
        <v>-1.25734181932324</v>
      </c>
      <c r="J134" s="116" t="n">
        <f aca="false">-J56</f>
        <v>-1.2916106706089</v>
      </c>
      <c r="K134" s="116" t="n">
        <f aca="false">-K56</f>
        <v>-1.32681351943634</v>
      </c>
      <c r="L134" s="116" t="n">
        <f aca="false">-L56</f>
        <v>-1.36297582190858</v>
      </c>
      <c r="M134" s="116" t="n">
        <f aca="false">-M56</f>
        <v>-1.4001237279347</v>
      </c>
      <c r="N134" s="116" t="n">
        <f aca="false">-N56</f>
        <v>-1.43828410013956</v>
      </c>
      <c r="O134" s="116" t="n">
        <f aca="false">-O56</f>
        <v>-1.47748453328886</v>
      </c>
      <c r="P134" s="116" t="n">
        <f aca="false">-P56</f>
        <v>-1.51775337424365</v>
      </c>
      <c r="Q134" s="116" t="n">
        <f aca="false">-Q56</f>
        <v>-1.55911974245866</v>
      </c>
      <c r="R134" s="116" t="n">
        <f aca="false">-R56</f>
        <v>-1.20121016327953</v>
      </c>
      <c r="S134" s="116" t="n">
        <f aca="false">-S56</f>
        <v>-1.23394914627971</v>
      </c>
      <c r="T134" s="116" t="n">
        <f aca="false">-T56</f>
        <v>-1.26758043026157</v>
      </c>
      <c r="U134" s="116" t="n">
        <f aca="false">-U56</f>
        <v>-1.30212833488834</v>
      </c>
      <c r="V134" s="116" t="n">
        <f aca="false">-V56</f>
        <v>-1.33761784265573</v>
      </c>
      <c r="W134" s="116" t="n">
        <f aca="false">-W56</f>
        <v>-1.37407461695731</v>
      </c>
      <c r="X134" s="116" t="n">
        <f aca="false">-X56</f>
        <v>-1.41152502064248</v>
      </c>
      <c r="Y134" s="116" t="n">
        <f aca="false">-Y56</f>
        <v>-1.44999613508009</v>
      </c>
      <c r="Z134" s="116" t="n">
        <f aca="false">-Z56</f>
        <v>-1.4895157797417</v>
      </c>
      <c r="AA134" s="116" t="n">
        <f aca="false">-AA56</f>
        <v>-1.53011253231856</v>
      </c>
      <c r="AB134" s="116" t="n">
        <f aca="false">-AB56</f>
        <v>-1.5718157493869</v>
      </c>
      <c r="AC134" s="116" t="n">
        <f aca="false">-AC56</f>
        <v>-1.61465558763644</v>
      </c>
      <c r="AD134" s="116" t="n">
        <f aca="false">-AD56</f>
        <v>-1.65866302567747</v>
      </c>
      <c r="AE134" s="116" t="n">
        <f aca="false">-AE56</f>
        <v>-1.70386988644231</v>
      </c>
      <c r="AF134" s="116" t="n">
        <f aca="false">-AF56</f>
        <v>-1.75030886019729</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0.0518923171110637</v>
      </c>
      <c r="F136" s="116" t="n">
        <f aca="false">01_Supuestos!$C$152*MAX(0,F111-01_Supuestos!$C$153-01_Supuestos!$C$154-F59-0.05*SUM($C$51:F51))</f>
        <v>0.674204980911639</v>
      </c>
      <c r="G136" s="116" t="n">
        <f aca="false">01_Supuestos!$C$152*MAX(0,G111-01_Supuestos!$C$153-01_Supuestos!$C$154-G59-0.05*SUM($C$51:G51))</f>
        <v>0.653513794294979</v>
      </c>
      <c r="H136" s="116" t="n">
        <f aca="false">01_Supuestos!$C$152*MAX(0,H111-01_Supuestos!$C$153-01_Supuestos!$C$154-H59-0.05*SUM($C$51:H51))</f>
        <v>0.635090075852714</v>
      </c>
      <c r="I136" s="116" t="n">
        <f aca="false">01_Supuestos!$C$152*MAX(0,I111-01_Supuestos!$C$153-01_Supuestos!$C$154-I59-0.05*SUM($C$51:I51))</f>
        <v>0.61878364690351</v>
      </c>
      <c r="J136" s="116" t="n">
        <f aca="false">01_Supuestos!$C$152*MAX(0,J111-01_Supuestos!$C$153-01_Supuestos!$C$154-J59-0.05*SUM($C$51:J51))</f>
        <v>0.604453896262204</v>
      </c>
      <c r="K136" s="116" t="n">
        <f aca="false">01_Supuestos!$C$152*MAX(0,K111-01_Supuestos!$C$153-01_Supuestos!$C$154-K59-0.05*SUM($C$51:K51))</f>
        <v>0.591969164375303</v>
      </c>
      <c r="L136" s="116" t="n">
        <f aca="false">01_Supuestos!$C$152*MAX(0,L111-01_Supuestos!$C$153-01_Supuestos!$C$154-L59-0.05*SUM($C$51:L51))</f>
        <v>0.58120616704594</v>
      </c>
      <c r="M136" s="116" t="n">
        <f aca="false">01_Supuestos!$C$152*MAX(0,M111-01_Supuestos!$C$153-01_Supuestos!$C$154-M59-0.05*SUM($C$51:M51))</f>
        <v>0.58127231814345</v>
      </c>
      <c r="N136" s="116" t="n">
        <f aca="false">01_Supuestos!$C$152*MAX(0,N111-01_Supuestos!$C$153-01_Supuestos!$C$154-N59-0.05*SUM($C$51:N51))</f>
        <v>0.58787951589582</v>
      </c>
      <c r="O136" s="116" t="n">
        <f aca="false">01_Supuestos!$C$152*MAX(0,O111-01_Supuestos!$C$153-01_Supuestos!$C$154-O59-0.05*SUM($C$51:O51))</f>
        <v>0.599757960342281</v>
      </c>
      <c r="P136" s="116" t="n">
        <f aca="false">01_Supuestos!$C$152*MAX(0,P111-01_Supuestos!$C$153-01_Supuestos!$C$154-P59-0.05*SUM($C$51:P51))</f>
        <v>0.63235617247129</v>
      </c>
      <c r="Q136" s="116" t="n">
        <f aca="false">01_Supuestos!$C$152*MAX(0,Q111-01_Supuestos!$C$153-01_Supuestos!$C$154-Q59-0.05*SUM($C$51:Q51))</f>
        <v>0.663745408912807</v>
      </c>
      <c r="R136" s="116" t="n">
        <f aca="false">01_Supuestos!$C$152*MAX(0,R111-01_Supuestos!$C$153-01_Supuestos!$C$154-R59-0.05*SUM($C$51:R51))</f>
        <v>0.693552309906785</v>
      </c>
      <c r="S136" s="116" t="n">
        <f aca="false">01_Supuestos!$C$152*MAX(0,S111-01_Supuestos!$C$153-01_Supuestos!$C$154-S59-0.05*SUM($C$51:S51))</f>
        <v>0.721852716590258</v>
      </c>
      <c r="T136" s="116" t="n">
        <f aca="false">01_Supuestos!$C$152*MAX(0,T111-01_Supuestos!$C$153-01_Supuestos!$C$154-T59-0.05*SUM($C$51:T51))</f>
        <v>0.748718133997358</v>
      </c>
      <c r="U136" s="116" t="n">
        <f aca="false">01_Supuestos!$C$152*MAX(0,U111-01_Supuestos!$C$153-01_Supuestos!$C$154-U59-0.05*SUM($C$51:U51))</f>
        <v>0.774216025364445</v>
      </c>
      <c r="V136" s="116" t="n">
        <f aca="false">01_Supuestos!$C$152*MAX(0,V111-01_Supuestos!$C$153-01_Supuestos!$C$154-V59-0.05*SUM($C$51:V51))</f>
        <v>0.798410087654932</v>
      </c>
      <c r="W136" s="116" t="n">
        <f aca="false">01_Supuestos!$C$152*MAX(0,W111-01_Supuestos!$C$153-01_Supuestos!$C$154-W59-0.05*SUM($C$51:W51))</f>
        <v>0.821360509523427</v>
      </c>
      <c r="X136" s="116" t="n">
        <f aca="false">01_Supuestos!$C$152*MAX(0,X111-01_Supuestos!$C$153-01_Supuestos!$C$154-X59-0.05*SUM($C$51:X51))</f>
        <v>0.84312421286009</v>
      </c>
      <c r="Y136" s="116" t="n">
        <f aca="false">01_Supuestos!$C$152*MAX(0,Y111-01_Supuestos!$C$153-01_Supuestos!$C$154-Y59-0.05*SUM($C$51:Y51))</f>
        <v>0.863755078982465</v>
      </c>
      <c r="Z136" s="116" t="n">
        <f aca="false">01_Supuestos!$C$152*MAX(0,Z111-01_Supuestos!$C$153-01_Supuestos!$C$154-Z59-0.05*SUM($C$51:Z51))</f>
        <v>0.883304160473144</v>
      </c>
      <c r="AA136" s="116" t="n">
        <f aca="false">01_Supuestos!$C$152*MAX(0,AA111-01_Supuestos!$C$153-01_Supuestos!$C$154-AA59-0.05*SUM($C$51:AA51))</f>
        <v>0.901819879597179</v>
      </c>
      <c r="AB136" s="116" t="n">
        <f aca="false">01_Supuestos!$C$152*MAX(0,AB111-01_Supuestos!$C$153-01_Supuestos!$C$154-AB59-0.05*SUM($C$51:AB51))</f>
        <v>0.919348214172919</v>
      </c>
      <c r="AC136" s="116" t="n">
        <f aca="false">01_Supuestos!$C$152*MAX(0,AC111-01_Supuestos!$C$153-01_Supuestos!$C$154-AC59-0.05*SUM($C$51:AC51))</f>
        <v>0.935932871713529</v>
      </c>
      <c r="AD136" s="116" t="n">
        <f aca="false">01_Supuestos!$C$152*MAX(0,AD111-01_Supuestos!$C$153-01_Supuestos!$C$154-AD59-0.05*SUM($C$51:AD51))</f>
        <v>0.951615452603739</v>
      </c>
      <c r="AE136" s="116" t="n">
        <f aca="false">01_Supuestos!$C$152*MAX(0,AE111-01_Supuestos!$C$153-01_Supuestos!$C$154-AE59-0.05*SUM($C$51:AE51))</f>
        <v>0.966435603027056</v>
      </c>
      <c r="AF136" s="116" t="n">
        <f aca="false">01_Supuestos!$C$152*MAX(0,AF111-01_Supuestos!$C$153-01_Supuestos!$C$154-AF59-0.05*SUM($C$51:AF51))</f>
        <v>0.980431158312526</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0.03290625</v>
      </c>
      <c r="D139" s="116" t="n">
        <f aca="false">(1-D55)*D88</f>
        <v>0.06656934375</v>
      </c>
      <c r="E139" s="116" t="n">
        <f aca="false">(1-E55)*E88</f>
        <v>0.10100668865625</v>
      </c>
      <c r="F139" s="116" t="n">
        <f aca="false">(1-F55)*F88</f>
        <v>0.136236092495344</v>
      </c>
      <c r="G139" s="116" t="n">
        <f aca="false">(1-G55)*G88</f>
        <v>0.172275772622737</v>
      </c>
      <c r="H139" s="116" t="n">
        <f aca="false">(1-H55)*H88</f>
        <v>0.20914436539306</v>
      </c>
      <c r="I139" s="116" t="n">
        <f aca="false">(1-I55)*I88</f>
        <v>0.2468609357971</v>
      </c>
      <c r="J139" s="116" t="n">
        <f aca="false">(1-J55)*J88</f>
        <v>0.285444987320433</v>
      </c>
      <c r="K139" s="116" t="n">
        <f aca="false">(1-K55)*K88</f>
        <v>0.324916472028803</v>
      </c>
      <c r="L139" s="116" t="n">
        <f aca="false">(1-L55)*L88</f>
        <v>0.365295800885466</v>
      </c>
      <c r="M139" s="116" t="n">
        <f aca="false">(1-M55)*M88</f>
        <v>0.401051265899924</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0.492130855206953</v>
      </c>
      <c r="W139" s="116" t="n">
        <f aca="false">(1-W55)*W88</f>
        <v>0.503449864876713</v>
      </c>
      <c r="X139" s="116" t="n">
        <f aca="false">(1-X55)*X88</f>
        <v>0.515029211768877</v>
      </c>
      <c r="Y139" s="116" t="n">
        <f aca="false">(1-Y55)*Y88</f>
        <v>0.526874883639562</v>
      </c>
      <c r="Z139" s="116" t="n">
        <f aca="false">(1-Z55)*Z88</f>
        <v>0.538993005963272</v>
      </c>
      <c r="AA139" s="116" t="n">
        <f aca="false">(1-AA55)*AA88</f>
        <v>0.551389845100427</v>
      </c>
      <c r="AB139" s="116" t="n">
        <f aca="false">(1-AB55)*AB88</f>
        <v>0.564071811537736</v>
      </c>
      <c r="AC139" s="116" t="n">
        <f aca="false">(1-AC55)*AC88</f>
        <v>0.577045463203104</v>
      </c>
      <c r="AD139" s="116" t="n">
        <f aca="false">(1-AD55)*AD88</f>
        <v>0.590317508856776</v>
      </c>
      <c r="AE139" s="116" t="n">
        <f aca="false">(1-AE55)*AE88</f>
        <v>0.603894811560481</v>
      </c>
      <c r="AF139" s="116" t="n">
        <f aca="false">(1-AF55)*AF88</f>
        <v>0.617784392226372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-18.79839375</v>
      </c>
      <c r="D140" s="116" t="n">
        <f aca="false">SUM(D133:D139)</f>
        <v>-18.72585661315</v>
      </c>
      <c r="E140" s="116" t="n">
        <f aca="false">SUM(E133:E139)</f>
        <v>-18.6715257414024</v>
      </c>
      <c r="F140" s="116" t="n">
        <f aca="false">SUM(F133:F139)</f>
        <v>-17.9053316044843</v>
      </c>
      <c r="G140" s="116" t="n">
        <f aca="false">SUM(G133:G139)</f>
        <v>-17.9188812074649</v>
      </c>
      <c r="H140" s="116" t="n">
        <f aca="false">SUM(H133:H139)</f>
        <v>-17.9302774850647</v>
      </c>
      <c r="I140" s="116" t="n">
        <f aca="false">SUM(I133:I139)</f>
        <v>-17.9396725908155</v>
      </c>
      <c r="J140" s="116" t="n">
        <f aca="false">SUM(J133:J139)</f>
        <v>-17.9472093855934</v>
      </c>
      <c r="K140" s="116" t="n">
        <f aca="false">SUM(K133:K139)</f>
        <v>-17.9530220586423</v>
      </c>
      <c r="L140" s="116" t="n">
        <f aca="false">SUM(L133:L139)</f>
        <v>-17.957236709319</v>
      </c>
      <c r="M140" s="116" t="n">
        <f aca="false">SUM(M133:M139)</f>
        <v>2.64369838142713</v>
      </c>
      <c r="N140" s="116" t="n">
        <f aca="false">SUM(N133:N139)</f>
        <v>2.62356292533079</v>
      </c>
      <c r="O140" s="116" t="n">
        <f aca="false">SUM(O133:O139)</f>
        <v>2.60780500492654</v>
      </c>
      <c r="P140" s="116" t="n">
        <f aca="false">SUM(P133:P139)</f>
        <v>2.61185164811787</v>
      </c>
      <c r="Q140" s="116" t="n">
        <f aca="false">SUM(Q133:Q139)</f>
        <v>2.61375189886109</v>
      </c>
      <c r="R140" s="116" t="n">
        <f aca="false">SUM(R133:R139)</f>
        <v>3.01351283619473</v>
      </c>
      <c r="S140" s="116" t="n">
        <f aca="false">SUM(S133:S139)</f>
        <v>3.02129281755379</v>
      </c>
      <c r="T140" s="116" t="n">
        <f aca="false">SUM(T133:T139)</f>
        <v>3.02692670114187</v>
      </c>
      <c r="U140" s="116" t="n">
        <f aca="false">SUM(U133:U139)</f>
        <v>3.03046479298947</v>
      </c>
      <c r="V140" s="116" t="n">
        <f aca="false">SUM(V133:V139)</f>
        <v>3.03195304490733</v>
      </c>
      <c r="W140" s="116" t="n">
        <f aca="false">SUM(W133:W139)</f>
        <v>3.03143329880297</v>
      </c>
      <c r="X140" s="116" t="n">
        <f aca="false">SUM(X133:X139)</f>
        <v>3.02894351410582</v>
      </c>
      <c r="Y140" s="116" t="n">
        <f aca="false">SUM(Y133:Y139)</f>
        <v>3.02451797935769</v>
      </c>
      <c r="Z140" s="116" t="n">
        <f aca="false">SUM(Z133:Z139)</f>
        <v>3.018187508956</v>
      </c>
      <c r="AA140" s="116" t="n">
        <f aca="false">SUM(AA133:AA139)</f>
        <v>3.00997962597249</v>
      </c>
      <c r="AB140" s="116" t="n">
        <f aca="false">SUM(AB133:AB139)</f>
        <v>2.9999187319094</v>
      </c>
      <c r="AC140" s="116" t="n">
        <f aca="false">SUM(AC133:AC139)</f>
        <v>2.98802626419826</v>
      </c>
      <c r="AD140" s="116" t="n">
        <f aca="false">SUM(AD133:AD139)</f>
        <v>2.97432084219357</v>
      </c>
      <c r="AE140" s="116" t="n">
        <f aca="false">SUM(AE133:AE139)</f>
        <v>2.95881840236344</v>
      </c>
      <c r="AF140" s="116" t="n">
        <f aca="false">SUM(AF133:AF139)</f>
        <v>2.94153232333327</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-0.283893090537189</v>
      </c>
      <c r="D141" s="116" t="n">
        <f aca="false">-D85*01_Supuestos!$I$126</f>
        <v>-0.466746096535952</v>
      </c>
      <c r="E141" s="116" t="n">
        <f aca="false">-E85*01_Supuestos!$I$126</f>
        <v>-0.629332011876644</v>
      </c>
      <c r="F141" s="116" t="n">
        <f aca="false">-F85*01_Supuestos!$I$126</f>
        <v>-1.30970324588416</v>
      </c>
      <c r="G141" s="116" t="n">
        <f aca="false">-G85*01_Supuestos!$I$126</f>
        <v>-1.37067044240592</v>
      </c>
      <c r="H141" s="116" t="n">
        <f aca="false">-H85*01_Supuestos!$I$126</f>
        <v>-1.4318471092748</v>
      </c>
      <c r="I141" s="116" t="n">
        <f aca="false">-I85*01_Supuestos!$I$126</f>
        <v>-1.49323249122451</v>
      </c>
      <c r="J141" s="116" t="n">
        <f aca="false">-J85*01_Supuestos!$I$126</f>
        <v>-1.55482601652587</v>
      </c>
      <c r="K141" s="116" t="n">
        <f aca="false">-K85*01_Supuestos!$I$126</f>
        <v>-1.61662728999652</v>
      </c>
      <c r="L141" s="116" t="n">
        <f aca="false">-L85*01_Supuestos!$I$126</f>
        <v>-1.67904943027041</v>
      </c>
      <c r="M141" s="116" t="n">
        <f aca="false">-M85*01_Supuestos!$I$126</f>
        <v>-1.34323954421633</v>
      </c>
      <c r="N141" s="116" t="n">
        <f aca="false">-N85*01_Supuestos!$I$126</f>
        <v>-1.12562885404247</v>
      </c>
      <c r="O141" s="116" t="n">
        <f aca="false">-O85*01_Supuestos!$I$126</f>
        <v>-1.16174393551187</v>
      </c>
      <c r="P141" s="116" t="n">
        <f aca="false">-P85*01_Supuestos!$I$126</f>
        <v>-1.19029667280864</v>
      </c>
      <c r="Q141" s="116" t="n">
        <f aca="false">-Q85*01_Supuestos!$I$126</f>
        <v>-1.21908492590235</v>
      </c>
      <c r="R141" s="116" t="n">
        <f aca="false">-R85*01_Supuestos!$I$126</f>
        <v>-1.24779872561578</v>
      </c>
      <c r="S141" s="116" t="n">
        <f aca="false">-S85*01_Supuestos!$I$126</f>
        <v>-1.27646560660693</v>
      </c>
      <c r="T141" s="116" t="n">
        <f aca="false">-T85*01_Supuestos!$I$126</f>
        <v>-1.30509048861623</v>
      </c>
      <c r="U141" s="116" t="n">
        <f aca="false">-U85*01_Supuestos!$I$126</f>
        <v>-1.33371735563586</v>
      </c>
      <c r="V141" s="116" t="n">
        <f aca="false">-V85*01_Supuestos!$I$126</f>
        <v>-1.36238995345698</v>
      </c>
      <c r="W141" s="116" t="n">
        <f aca="false">-W85*01_Supuestos!$I$126</f>
        <v>-1.39073528355938</v>
      </c>
      <c r="X141" s="116" t="n">
        <f aca="false">-X85*01_Supuestos!$I$126</f>
        <v>-1.41879912627078</v>
      </c>
      <c r="Y141" s="116" t="n">
        <f aca="false">-Y85*01_Supuestos!$I$126</f>
        <v>-1.44662758118374</v>
      </c>
      <c r="Z141" s="116" t="n">
        <f aca="false">-Z85*01_Supuestos!$I$126</f>
        <v>-1.47426698129304</v>
      </c>
      <c r="AA141" s="116" t="n">
        <f aca="false">-AA85*01_Supuestos!$I$126</f>
        <v>-1.50176396380769</v>
      </c>
      <c r="AB141" s="116" t="n">
        <f aca="false">-AB85*01_Supuestos!$I$126</f>
        <v>-1.52917463381905</v>
      </c>
      <c r="AC141" s="116" t="n">
        <f aca="false">-AC85*01_Supuestos!$I$126</f>
        <v>-1.55655537910606</v>
      </c>
      <c r="AD141" s="116" t="n">
        <f aca="false">-AD85*01_Supuestos!$I$126</f>
        <v>-1.58396294622563</v>
      </c>
      <c r="AE141" s="116" t="n">
        <f aca="false">-AE85*01_Supuestos!$I$126</f>
        <v>-1.61145451795471</v>
      </c>
      <c r="AF141" s="116" t="n">
        <f aca="false">-AF85*01_Supuestos!$I$126</f>
        <v>-1.63908778876955</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0.191627836112602</v>
      </c>
      <c r="D142" s="116" t="n">
        <f aca="false">D85*01_Supuestos!$I$101</f>
        <v>0.315053615161768</v>
      </c>
      <c r="E142" s="116" t="n">
        <f aca="false">E85*01_Supuestos!$I$101</f>
        <v>0.424799108016735</v>
      </c>
      <c r="F142" s="116" t="n">
        <f aca="false">F85*01_Supuestos!$I$101</f>
        <v>0.884049690971806</v>
      </c>
      <c r="G142" s="116" t="n">
        <f aca="false">G85*01_Supuestos!$I$101</f>
        <v>0.925202548623997</v>
      </c>
      <c r="H142" s="116" t="n">
        <f aca="false">H85*01_Supuestos!$I$101</f>
        <v>0.966496798760488</v>
      </c>
      <c r="I142" s="116" t="n">
        <f aca="false">I85*01_Supuestos!$I$101</f>
        <v>1.00793193157655</v>
      </c>
      <c r="J142" s="116" t="n">
        <f aca="false">J85*01_Supuestos!$I$101</f>
        <v>1.04950756115496</v>
      </c>
      <c r="K142" s="116" t="n">
        <f aca="false">K85*01_Supuestos!$I$101</f>
        <v>1.09122342074765</v>
      </c>
      <c r="L142" s="116" t="n">
        <f aca="false">L85*01_Supuestos!$I$101</f>
        <v>1.13335836543253</v>
      </c>
      <c r="M142" s="116" t="n">
        <f aca="false">M85*01_Supuestos!$I$101</f>
        <v>0.906686692346022</v>
      </c>
      <c r="N142" s="116" t="n">
        <f aca="false">N85*01_Supuestos!$I$101</f>
        <v>0.75979947647867</v>
      </c>
      <c r="O142" s="116" t="n">
        <f aca="false">O85*01_Supuestos!$I$101</f>
        <v>0.784177156470514</v>
      </c>
      <c r="P142" s="116" t="n">
        <f aca="false">P85*01_Supuestos!$I$101</f>
        <v>0.803450254145829</v>
      </c>
      <c r="Q142" s="116" t="n">
        <f aca="false">Q85*01_Supuestos!$I$101</f>
        <v>0.822882324984084</v>
      </c>
      <c r="R142" s="116" t="n">
        <f aca="false">R85*01_Supuestos!$I$101</f>
        <v>0.842264139790649</v>
      </c>
      <c r="S142" s="116" t="n">
        <f aca="false">S85*01_Supuestos!$I$101</f>
        <v>0.861614284459678</v>
      </c>
      <c r="T142" s="116" t="n">
        <f aca="false">T85*01_Supuestos!$I$101</f>
        <v>0.880936079815953</v>
      </c>
      <c r="U142" s="116" t="n">
        <f aca="false">U85*01_Supuestos!$I$101</f>
        <v>0.900259215054203</v>
      </c>
      <c r="V142" s="116" t="n">
        <f aca="false">V85*01_Supuestos!$I$101</f>
        <v>0.919613218583462</v>
      </c>
      <c r="W142" s="116" t="n">
        <f aca="false">W85*01_Supuestos!$I$101</f>
        <v>0.938746316402584</v>
      </c>
      <c r="X142" s="116" t="n">
        <f aca="false">X85*01_Supuestos!$I$101</f>
        <v>0.957689410232778</v>
      </c>
      <c r="Y142" s="116" t="n">
        <f aca="false">Y85*01_Supuestos!$I$101</f>
        <v>0.976473617299027</v>
      </c>
      <c r="Z142" s="116" t="n">
        <f aca="false">Z85*01_Supuestos!$I$101</f>
        <v>0.9951302123728</v>
      </c>
      <c r="AA142" s="116" t="n">
        <f aca="false">AA85*01_Supuestos!$I$101</f>
        <v>1.01369067557019</v>
      </c>
      <c r="AB142" s="116" t="n">
        <f aca="false">AB85*01_Supuestos!$I$101</f>
        <v>1.03219287782786</v>
      </c>
      <c r="AC142" s="116" t="n">
        <f aca="false">AC85*01_Supuestos!$I$101</f>
        <v>1.05067488089659</v>
      </c>
      <c r="AD142" s="116" t="n">
        <f aca="false">AD85*01_Supuestos!$I$101</f>
        <v>1.0691749887023</v>
      </c>
      <c r="AE142" s="116" t="n">
        <f aca="false">AE85*01_Supuestos!$I$101</f>
        <v>1.08773179961943</v>
      </c>
      <c r="AF142" s="116" t="n">
        <f aca="false">AF85*01_Supuestos!$I$101</f>
        <v>1.10638425741945</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0.714999999999993</v>
      </c>
      <c r="D143" s="116" t="n">
        <f aca="false">D41*((1+$C$14)^D$39-1)</f>
        <v>1.46449917899995</v>
      </c>
      <c r="E143" s="116" t="n">
        <f aca="false">E41*((1+$C$14)^E$39-1)</f>
        <v>2.24974689696922</v>
      </c>
      <c r="F143" s="116" t="n">
        <f aca="false">F41*((1+$C$14)^F$39-1)</f>
        <v>3.07203276037086</v>
      </c>
      <c r="G143" s="116" t="n">
        <f aca="false">G41*((1+$C$14)^G$39-1)</f>
        <v>3.93268783849619</v>
      </c>
      <c r="H143" s="116" t="n">
        <f aca="false">H41*((1+$C$14)^H$39-1)</f>
        <v>4.83308591511447</v>
      </c>
      <c r="I143" s="116" t="n">
        <f aca="false">I41*((1+$C$14)^I$39-1)</f>
        <v>5.77464477643511</v>
      </c>
      <c r="J143" s="116" t="n">
        <f aca="false">J41*((1+$C$14)^J$39-1)</f>
        <v>6.758827536408</v>
      </c>
      <c r="K143" s="116" t="n">
        <f aca="false">K41*((1+$C$14)^K$39-1)</f>
        <v>7.78714400041525</v>
      </c>
      <c r="L143" s="116" t="n">
        <f aca="false">L41*((1+$C$14)^L$39-1)</f>
        <v>8.86115206843713</v>
      </c>
      <c r="M143" s="116" t="n">
        <f aca="false">M41*((1+$C$14)^M$39-1)</f>
        <v>9.98245917880512</v>
      </c>
      <c r="N143" s="116" t="n">
        <f aca="false">N41*((1+$C$14)^N$39-1)</f>
        <v>11.1527237936849</v>
      </c>
      <c r="O143" s="116" t="n">
        <f aca="false">O41*((1+$C$14)^O$39-1)</f>
        <v>12.3736569274655</v>
      </c>
      <c r="P143" s="116" t="n">
        <f aca="false">P41*((1+$C$14)^P$39-1)</f>
        <v>13.64702371926</v>
      </c>
      <c r="Q143" s="116" t="n">
        <f aca="false">Q41*((1+$C$14)^Q$39-1)</f>
        <v>14.9746450507617</v>
      </c>
      <c r="R143" s="116" t="n">
        <f aca="false">R41*((1+$C$14)^R$39-1)</f>
        <v>16.3583992107272</v>
      </c>
      <c r="S143" s="116" t="n">
        <f aca="false">S41*((1+$C$14)^S$39-1)</f>
        <v>17.8002236074001</v>
      </c>
      <c r="T143" s="116" t="n">
        <f aca="false">T41*((1+$C$14)^T$39-1)</f>
        <v>19.3021165302197</v>
      </c>
      <c r="U143" s="116" t="n">
        <f aca="false">U41*((1+$C$14)^U$39-1)</f>
        <v>20.866138962198</v>
      </c>
      <c r="V143" s="116" t="n">
        <f aca="false">V41*((1+$C$14)^V$39-1)</f>
        <v>22.4944164443885</v>
      </c>
      <c r="W143" s="116" t="n">
        <f aca="false">W41*((1+$C$14)^W$39-1)</f>
        <v>24.1891409939062</v>
      </c>
      <c r="X143" s="116" t="n">
        <f aca="false">X41*((1+$C$14)^X$39-1)</f>
        <v>25.9525730769998</v>
      </c>
      <c r="Y143" s="116" t="n">
        <f aca="false">Y41*((1+$C$14)^Y$39-1)</f>
        <v>27.7870436387196</v>
      </c>
      <c r="Z143" s="116" t="n">
        <f aca="false">Z41*((1+$C$14)^Z$39-1)</f>
        <v>29.6949561907647</v>
      </c>
      <c r="AA143" s="116" t="n">
        <f aca="false">AA41*((1+$C$14)^AA$39-1)</f>
        <v>31.6787889591392</v>
      </c>
      <c r="AB143" s="116" t="n">
        <f aca="false">AB41*((1+$C$14)^AB$39-1)</f>
        <v>33.7410970932892</v>
      </c>
      <c r="AC143" s="116" t="n">
        <f aca="false">AC41*((1+$C$14)^AC$39-1)</f>
        <v>35.8845149384416</v>
      </c>
      <c r="AD143" s="116" t="n">
        <f aca="false">AD41*((1+$C$14)^AD$39-1)</f>
        <v>38.1117583729091</v>
      </c>
      <c r="AE143" s="116" t="n">
        <f aca="false">AE41*((1+$C$14)^AE$39-1)</f>
        <v>40.425627212179</v>
      </c>
      <c r="AF143" s="116" t="n">
        <f aca="false">AF41*((1+$C$14)^AF$39-1)</f>
        <v>42.8290076816476</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0.150149999999999</v>
      </c>
      <c r="D144" s="116" t="n">
        <f aca="false">$C$33*D143</f>
        <v>0.30754482758999</v>
      </c>
      <c r="E144" s="116" t="n">
        <f aca="false">$C$33*E143</f>
        <v>0.472446848363536</v>
      </c>
      <c r="F144" s="116" t="n">
        <f aca="false">$C$33*F143</f>
        <v>0.645126879677881</v>
      </c>
      <c r="G144" s="116" t="n">
        <f aca="false">$C$33*G143</f>
        <v>0.825864446084199</v>
      </c>
      <c r="H144" s="116" t="n">
        <f aca="false">$C$33*H143</f>
        <v>1.01494804217404</v>
      </c>
      <c r="I144" s="116" t="n">
        <f aca="false">$C$33*I143</f>
        <v>1.21267540305137</v>
      </c>
      <c r="J144" s="116" t="n">
        <f aca="false">$C$33*J143</f>
        <v>1.41935378264568</v>
      </c>
      <c r="K144" s="116" t="n">
        <f aca="false">$C$33*K143</f>
        <v>1.6353002400872</v>
      </c>
      <c r="L144" s="116" t="n">
        <f aca="false">$C$33*L143</f>
        <v>1.8608419343718</v>
      </c>
      <c r="M144" s="116" t="n">
        <f aca="false">$C$33*M143</f>
        <v>2.09631642754907</v>
      </c>
      <c r="N144" s="116" t="n">
        <f aca="false">$C$33*N143</f>
        <v>2.34207199667383</v>
      </c>
      <c r="O144" s="116" t="n">
        <f aca="false">$C$33*O143</f>
        <v>2.59846795476776</v>
      </c>
      <c r="P144" s="116" t="n">
        <f aca="false">$C$33*P143</f>
        <v>2.8658749810446</v>
      </c>
      <c r="Q144" s="116" t="n">
        <f aca="false">$C$33*Q143</f>
        <v>3.14467546065995</v>
      </c>
      <c r="R144" s="116" t="n">
        <f aca="false">$C$33*R143</f>
        <v>3.4352638342527</v>
      </c>
      <c r="S144" s="116" t="n">
        <f aca="false">$C$33*S143</f>
        <v>3.73804695755403</v>
      </c>
      <c r="T144" s="116" t="n">
        <f aca="false">$C$33*T143</f>
        <v>4.05344447134613</v>
      </c>
      <c r="U144" s="116" t="n">
        <f aca="false">$C$33*U143</f>
        <v>4.38188918206157</v>
      </c>
      <c r="V144" s="116" t="n">
        <f aca="false">$C$33*V143</f>
        <v>4.72382745332158</v>
      </c>
      <c r="W144" s="116" t="n">
        <f aca="false">$C$33*W143</f>
        <v>5.0797196087203</v>
      </c>
      <c r="X144" s="116" t="n">
        <f aca="false">$C$33*X143</f>
        <v>5.45004034616997</v>
      </c>
      <c r="Y144" s="116" t="n">
        <f aca="false">$C$33*Y143</f>
        <v>5.83527916413112</v>
      </c>
      <c r="Z144" s="116" t="n">
        <f aca="false">$C$33*Z143</f>
        <v>6.23594080006058</v>
      </c>
      <c r="AA144" s="116" t="n">
        <f aca="false">$C$33*AA143</f>
        <v>6.65254568141924</v>
      </c>
      <c r="AB144" s="116" t="n">
        <f aca="false">$C$33*AB143</f>
        <v>7.08563038959073</v>
      </c>
      <c r="AC144" s="116" t="n">
        <f aca="false">$C$33*AC143</f>
        <v>7.53574813707273</v>
      </c>
      <c r="AD144" s="116" t="n">
        <f aca="false">$C$33*AD143</f>
        <v>8.0034692583109</v>
      </c>
      <c r="AE144" s="116" t="n">
        <f aca="false">$C$33*AE143</f>
        <v>8.4893817145576</v>
      </c>
      <c r="AF144" s="116" t="n">
        <f aca="false">$C$33*AF143</f>
        <v>8.994091613146</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-18.7405090044246</v>
      </c>
      <c r="D148" s="136" t="n">
        <f aca="false">D140+D141+D142+D144+D145+D146+D147</f>
        <v>-18.5700042669342</v>
      </c>
      <c r="E148" s="136" t="n">
        <f aca="false">E140+E141+E142+E144+E145+E146+E147</f>
        <v>-18.4036117968988</v>
      </c>
      <c r="F148" s="136" t="n">
        <f aca="false">F140+F141+F142+F144+F145+F146+F147</f>
        <v>-17.6858582797188</v>
      </c>
      <c r="G148" s="136" t="n">
        <f aca="false">G140+G141+G142+G144+G145+G146+G147</f>
        <v>-17.5384846551627</v>
      </c>
      <c r="H148" s="136" t="n">
        <f aca="false">H140+H141+H142+H144+H145+H146+H147</f>
        <v>-17.380679753405</v>
      </c>
      <c r="I148" s="136" t="n">
        <f aca="false">I140+I141+I142+I144+I145+I146+I147</f>
        <v>-17.2122977474121</v>
      </c>
      <c r="J148" s="136" t="n">
        <f aca="false">J140+J141+J142+J144+J145+J146+J147</f>
        <v>-17.0331740583186</v>
      </c>
      <c r="K148" s="136" t="n">
        <f aca="false">K140+K141+K142+K144+K145+K146+K147</f>
        <v>-16.843125687804</v>
      </c>
      <c r="L148" s="136" t="n">
        <f aca="false">L140+L141+L142+L144+L145+L146+L147</f>
        <v>-16.6420858397851</v>
      </c>
      <c r="M148" s="136" t="n">
        <f aca="false">M140+M141+M142+M144+M145+M146+M147</f>
        <v>4.3034619571059</v>
      </c>
      <c r="N148" s="136" t="n">
        <f aca="false">N140+N141+N142+N144+N145+N146+N147</f>
        <v>4.59980554444081</v>
      </c>
      <c r="O148" s="136" t="n">
        <f aca="false">O140+O141+O142+O144+O145+O146+O147</f>
        <v>4.82870618065293</v>
      </c>
      <c r="P148" s="136" t="n">
        <f aca="false">P140+P141+P142+P144+P145+P146+P147</f>
        <v>5.09088021049966</v>
      </c>
      <c r="Q148" s="136" t="n">
        <f aca="false">Q140+Q141+Q142+Q144+Q145+Q146+Q147</f>
        <v>5.36222475860278</v>
      </c>
      <c r="R148" s="136" t="n">
        <f aca="false">R140+R141+R142+R144+R145+R146+R147</f>
        <v>6.04324208462231</v>
      </c>
      <c r="S148" s="136" t="n">
        <f aca="false">S140+S141+S142+S144+S145+S146+S147</f>
        <v>6.34448845296056</v>
      </c>
      <c r="T148" s="136" t="n">
        <f aca="false">T140+T141+T142+T144+T145+T146+T147</f>
        <v>6.65621676368772</v>
      </c>
      <c r="U148" s="136" t="n">
        <f aca="false">U140+U141+U142+U144+U145+U146+U147</f>
        <v>6.97889583446939</v>
      </c>
      <c r="V148" s="136" t="n">
        <f aca="false">V140+V141+V142+V144+V145+V146+V147</f>
        <v>7.31300376335539</v>
      </c>
      <c r="W148" s="136" t="n">
        <f aca="false">W140+W141+W142+W144+W145+W146+W147</f>
        <v>7.65916394036647</v>
      </c>
      <c r="X148" s="136" t="n">
        <f aca="false">X140+X141+X142+X144+X145+X146+X147</f>
        <v>8.01787414423778</v>
      </c>
      <c r="Y148" s="136" t="n">
        <f aca="false">Y140+Y141+Y142+Y144+Y145+Y146+Y147</f>
        <v>8.38964317960409</v>
      </c>
      <c r="Z148" s="136" t="n">
        <f aca="false">Z140+Z141+Z142+Z144+Z145+Z146+Z147</f>
        <v>8.77499154009635</v>
      </c>
      <c r="AA148" s="136" t="n">
        <f aca="false">AA140+AA141+AA142+AA144+AA145+AA146+AA147</f>
        <v>9.17445201915423</v>
      </c>
      <c r="AB148" s="136" t="n">
        <f aca="false">AB140+AB141+AB142+AB144+AB145+AB146+AB147</f>
        <v>9.58856736550894</v>
      </c>
      <c r="AC148" s="136" t="n">
        <f aca="false">AC140+AC141+AC142+AC144+AC145+AC146+AC147</f>
        <v>10.0178939030615</v>
      </c>
      <c r="AD148" s="136" t="n">
        <f aca="false">AD140+AD141+AD142+AD144+AD145+AD146+AD147</f>
        <v>10.4630021429811</v>
      </c>
      <c r="AE148" s="136" t="n">
        <f aca="false">AE140+AE141+AE142+AE144+AE145+AE146+AE147</f>
        <v>10.9244773985858</v>
      </c>
      <c r="AF148" s="136" t="n">
        <f aca="false">AF140+AF141+AF142+AF144+AF145+AF146+AF147</f>
        <v>11.4029204051292</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-18.7405090044246</v>
      </c>
      <c r="D149" s="138" t="n">
        <f aca="false">C149+D148</f>
        <v>-37.3105132713588</v>
      </c>
      <c r="E149" s="138" t="n">
        <f aca="false">D149+E148</f>
        <v>-55.7141250682576</v>
      </c>
      <c r="F149" s="138" t="n">
        <f aca="false">E149+F148</f>
        <v>-73.3999833479764</v>
      </c>
      <c r="G149" s="138" t="n">
        <f aca="false">F149+G148</f>
        <v>-90.938468003139</v>
      </c>
      <c r="H149" s="138" t="n">
        <f aca="false">G149+H148</f>
        <v>-108.319147756544</v>
      </c>
      <c r="I149" s="138" t="n">
        <f aca="false">H149+I148</f>
        <v>-125.531445503956</v>
      </c>
      <c r="J149" s="138" t="n">
        <f aca="false">I149+J148</f>
        <v>-142.564619562275</v>
      </c>
      <c r="K149" s="138" t="n">
        <f aca="false">J149+K148</f>
        <v>-159.407745250079</v>
      </c>
      <c r="L149" s="138" t="n">
        <f aca="false">K149+L148</f>
        <v>-176.049831089864</v>
      </c>
      <c r="M149" s="138" t="n">
        <f aca="false">L149+M148</f>
        <v>-171.746369132758</v>
      </c>
      <c r="N149" s="138" t="n">
        <f aca="false">M149+N148</f>
        <v>-167.146563588317</v>
      </c>
      <c r="O149" s="138" t="n">
        <f aca="false">N149+O148</f>
        <v>-162.317857407664</v>
      </c>
      <c r="P149" s="138" t="n">
        <f aca="false">O149+P148</f>
        <v>-157.226977197165</v>
      </c>
      <c r="Q149" s="138" t="n">
        <f aca="false">P149+Q148</f>
        <v>-151.864752438562</v>
      </c>
      <c r="R149" s="138" t="n">
        <f aca="false">Q149+R148</f>
        <v>-145.821510353939</v>
      </c>
      <c r="S149" s="138" t="n">
        <f aca="false">R149+S148</f>
        <v>-139.477021900979</v>
      </c>
      <c r="T149" s="138" t="n">
        <f aca="false">S149+T148</f>
        <v>-132.820805137291</v>
      </c>
      <c r="U149" s="138" t="n">
        <f aca="false">T149+U148</f>
        <v>-125.841909302822</v>
      </c>
      <c r="V149" s="138" t="n">
        <f aca="false">U149+V148</f>
        <v>-118.528905539466</v>
      </c>
      <c r="W149" s="138" t="n">
        <f aca="false">V149+W148</f>
        <v>-110.8697415991</v>
      </c>
      <c r="X149" s="138" t="n">
        <f aca="false">W149+X148</f>
        <v>-102.851867454862</v>
      </c>
      <c r="Y149" s="138" t="n">
        <f aca="false">X149+Y148</f>
        <v>-94.462224275258</v>
      </c>
      <c r="Z149" s="138" t="n">
        <f aca="false">Y149+Z148</f>
        <v>-85.6872327351617</v>
      </c>
      <c r="AA149" s="138" t="n">
        <f aca="false">Z149+AA148</f>
        <v>-76.5127807160075</v>
      </c>
      <c r="AB149" s="138" t="n">
        <f aca="false">AA149+AB148</f>
        <v>-66.9242133504985</v>
      </c>
      <c r="AC149" s="138" t="n">
        <f aca="false">AB149+AC148</f>
        <v>-56.906319447437</v>
      </c>
      <c r="AD149" s="138" t="n">
        <f aca="false">AC149+AD148</f>
        <v>-46.4433173044559</v>
      </c>
      <c r="AE149" s="138" t="n">
        <f aca="false">AD149+AE148</f>
        <v>-35.5188399058701</v>
      </c>
      <c r="AF149" s="138" t="n">
        <f aca="false">AE149+AF148</f>
        <v>-24.1159195007409</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13</v>
      </c>
      <c r="D152" s="116" t="n">
        <f aca="false">D83</f>
        <v>26.299</v>
      </c>
      <c r="E152" s="116" t="n">
        <f aca="false">E83</f>
        <v>39.903877</v>
      </c>
      <c r="F152" s="116" t="n">
        <f aca="false">F83</f>
        <v>53.821666171</v>
      </c>
      <c r="G152" s="116" t="n">
        <f aca="false">G83</f>
        <v>68.059564492933</v>
      </c>
      <c r="H152" s="116" t="n">
        <f aca="false">H83</f>
        <v>82.6249344762704</v>
      </c>
      <c r="I152" s="116" t="n">
        <f aca="false">I83</f>
        <v>97.5253079692246</v>
      </c>
      <c r="J152" s="116" t="n">
        <f aca="false">J83</f>
        <v>112.768390052517</v>
      </c>
      <c r="K152" s="116" t="n">
        <f aca="false">K83</f>
        <v>128.362063023725</v>
      </c>
      <c r="L152" s="116" t="n">
        <f aca="false">L83</f>
        <v>144.31439047327</v>
      </c>
      <c r="M152" s="116" t="n">
        <f aca="false">M83</f>
        <v>158.440006281451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194.422066254599</v>
      </c>
      <c r="W152" s="116" t="n">
        <f aca="false">W83</f>
        <v>198.893773778455</v>
      </c>
      <c r="X152" s="116" t="n">
        <f aca="false">X83</f>
        <v>203.468330575359</v>
      </c>
      <c r="Y152" s="116" t="n">
        <f aca="false">Y83</f>
        <v>208.148102178592</v>
      </c>
      <c r="Z152" s="116" t="n">
        <f aca="false">Z83</f>
        <v>212.9355085287</v>
      </c>
      <c r="AA152" s="116" t="n">
        <f aca="false">AA83</f>
        <v>217.83302522486</v>
      </c>
      <c r="AB152" s="116" t="n">
        <f aca="false">AB83</f>
        <v>222.843184805032</v>
      </c>
      <c r="AC152" s="116" t="n">
        <f aca="false">AC83</f>
        <v>227.968578055547</v>
      </c>
      <c r="AD152" s="116" t="n">
        <f aca="false">AD83</f>
        <v>233.211855350825</v>
      </c>
      <c r="AE152" s="116" t="n">
        <f aca="false">AE83</f>
        <v>238.575728023894</v>
      </c>
      <c r="AF152" s="116" t="n">
        <f aca="false">AF83</f>
        <v>244.062969768443</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18.9190487037173</v>
      </c>
      <c r="D153" s="116" t="n">
        <f aca="false">D120</f>
        <v>35.1062724027686</v>
      </c>
      <c r="E153" s="116" t="n">
        <f aca="false">E120</f>
        <v>53.079455223907</v>
      </c>
      <c r="F153" s="116" t="n">
        <f aca="false">F120</f>
        <v>61.8768626889668</v>
      </c>
      <c r="G153" s="116" t="n">
        <f aca="false">G120</f>
        <v>72.8710818485565</v>
      </c>
      <c r="H153" s="116" t="n">
        <f aca="false">H120</f>
        <v>85.5296389721001</v>
      </c>
      <c r="I153" s="116" t="n">
        <f aca="false">I120</f>
        <v>99.9444024001686</v>
      </c>
      <c r="J153" s="116" t="n">
        <f aca="false">J120</f>
        <v>115.69230176733</v>
      </c>
      <c r="K153" s="116" t="n">
        <f aca="false">K120</f>
        <v>132.729688256882</v>
      </c>
      <c r="L153" s="116" t="n">
        <f aca="false">L120</f>
        <v>149.806571593554</v>
      </c>
      <c r="M153" s="116" t="n">
        <f aca="false">M120</f>
        <v>149.505279042235</v>
      </c>
      <c r="N153" s="116" t="n">
        <f aca="false">N120</f>
        <v>151.190285421107</v>
      </c>
      <c r="O153" s="116" t="n">
        <f aca="false">O120</f>
        <v>153.215927825828</v>
      </c>
      <c r="P153" s="116" t="n">
        <f aca="false">P120</f>
        <v>154.575970834856</v>
      </c>
      <c r="Q153" s="116" t="n">
        <f aca="false">Q120</f>
        <v>155.787495340702</v>
      </c>
      <c r="R153" s="116" t="n">
        <f aca="false">R120</f>
        <v>156.644170811131</v>
      </c>
      <c r="S153" s="116" t="n">
        <f aca="false">S120</f>
        <v>157.530824693325</v>
      </c>
      <c r="T153" s="116" t="n">
        <f aca="false">T120</f>
        <v>158.448457342697</v>
      </c>
      <c r="U153" s="116" t="n">
        <f aca="false">U120</f>
        <v>159.39764944416</v>
      </c>
      <c r="V153" s="116" t="n">
        <f aca="false">V120</f>
        <v>160.378971066545</v>
      </c>
      <c r="W153" s="116" t="n">
        <f aca="false">W120</f>
        <v>161.395250770793</v>
      </c>
      <c r="X153" s="116" t="n">
        <f aca="false">X120</f>
        <v>162.447629665031</v>
      </c>
      <c r="Y153" s="116" t="n">
        <f aca="false">Y120</f>
        <v>163.537028688301</v>
      </c>
      <c r="Z153" s="116" t="n">
        <f aca="false">Z120</f>
        <v>164.664069628788</v>
      </c>
      <c r="AA153" s="116" t="n">
        <f aca="false">AA120</f>
        <v>165.82939885844</v>
      </c>
      <c r="AB153" s="116" t="n">
        <f aca="false">AB120</f>
        <v>167.033638252328</v>
      </c>
      <c r="AC153" s="116" t="n">
        <f aca="false">AC120</f>
        <v>168.277423418187</v>
      </c>
      <c r="AD153" s="116" t="n">
        <f aca="false">AD120</f>
        <v>169.561409391926</v>
      </c>
      <c r="AE153" s="116" t="n">
        <f aca="false">AE120</f>
        <v>170.886278010687</v>
      </c>
      <c r="AF153" s="116" t="n">
        <f aca="false">AF120</f>
        <v>172.252738161854</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2.43096925279142</v>
      </c>
      <c r="E154" s="116" t="n">
        <f aca="false">E104</f>
        <v>3.27777089519085</v>
      </c>
      <c r="F154" s="116" t="n">
        <f aca="false">F104</f>
        <v>6.82137107231332</v>
      </c>
      <c r="G154" s="116" t="n">
        <f aca="false">G104</f>
        <v>7.13890855419751</v>
      </c>
      <c r="H154" s="116" t="n">
        <f aca="false">H104</f>
        <v>7.4575370274729</v>
      </c>
      <c r="I154" s="116" t="n">
        <f aca="false">I104</f>
        <v>7.777252558461</v>
      </c>
      <c r="J154" s="116" t="n">
        <f aca="false">J104</f>
        <v>8.09805216940558</v>
      </c>
      <c r="K154" s="116" t="n">
        <f aca="false">K104</f>
        <v>8.41993380206518</v>
      </c>
      <c r="L154" s="116" t="n">
        <f aca="false">L104</f>
        <v>8.74504911599173</v>
      </c>
      <c r="M154" s="116" t="n">
        <f aca="false">M104</f>
        <v>9.06065202075053</v>
      </c>
      <c r="N154" s="116" t="n">
        <f aca="false">N104</f>
        <v>9.38024045035396</v>
      </c>
      <c r="O154" s="116" t="n">
        <f aca="false">O104</f>
        <v>9.68119946259894</v>
      </c>
      <c r="P154" s="116" t="n">
        <f aca="false">P104</f>
        <v>9.91913894007196</v>
      </c>
      <c r="Q154" s="116" t="n">
        <f aca="false">Q104</f>
        <v>10.1590410491862</v>
      </c>
      <c r="R154" s="116" t="n">
        <f aca="false">R104</f>
        <v>10.3983227134648</v>
      </c>
      <c r="S154" s="116" t="n">
        <f aca="false">S104</f>
        <v>10.6372133883911</v>
      </c>
      <c r="T154" s="116" t="n">
        <f aca="false">T104</f>
        <v>10.8757540718019</v>
      </c>
      <c r="U154" s="116" t="n">
        <f aca="false">U104</f>
        <v>11.1143112969655</v>
      </c>
      <c r="V154" s="116" t="n">
        <f aca="false">V104</f>
        <v>11.3532496121415</v>
      </c>
      <c r="W154" s="116" t="n">
        <f aca="false">W104</f>
        <v>11.5894606963282</v>
      </c>
      <c r="X154" s="116" t="n">
        <f aca="false">X104</f>
        <v>11.8233260522565</v>
      </c>
      <c r="Y154" s="116" t="n">
        <f aca="false">Y104</f>
        <v>12.0552298431979</v>
      </c>
      <c r="Z154" s="116" t="n">
        <f aca="false">Z104</f>
        <v>12.285558177442</v>
      </c>
      <c r="AA154" s="116" t="n">
        <f aca="false">AA104</f>
        <v>12.5146996983974</v>
      </c>
      <c r="AB154" s="116" t="n">
        <f aca="false">AB104</f>
        <v>12.7431219484921</v>
      </c>
      <c r="AC154" s="116" t="n">
        <f aca="false">AC104</f>
        <v>12.9712948258838</v>
      </c>
      <c r="AD154" s="116" t="n">
        <f aca="false">AD104</f>
        <v>13.1996912185469</v>
      </c>
      <c r="AE154" s="116" t="n">
        <f aca="false">AE104</f>
        <v>13.4287876496226</v>
      </c>
      <c r="AF154" s="116" t="n">
        <f aca="false">AF104</f>
        <v>13.6590649064129</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53.1099588644002</v>
      </c>
      <c r="G155" s="116" t="n">
        <f aca="false">G70+G121-G227</f>
        <v>60.2728513828633</v>
      </c>
      <c r="H155" s="116" t="n">
        <f aca="false">H70+H121-H227</f>
        <v>67.4668921419746</v>
      </c>
      <c r="I155" s="116" t="n">
        <f aca="false">I70+I121-I227</f>
        <v>74.6925483653439</v>
      </c>
      <c r="J155" s="116" t="n">
        <f aca="false">J70+J121-J227</f>
        <v>81.9502942849352</v>
      </c>
      <c r="K155" s="116" t="n">
        <f aca="false">K70+K121-K227</f>
        <v>89.3267245539904</v>
      </c>
      <c r="L155" s="116" t="n">
        <f aca="false">L70+L121-L227</f>
        <v>98.1157960655903</v>
      </c>
      <c r="M155" s="116" t="n">
        <f aca="false">M70+M121-M227</f>
        <v>104.018341234087</v>
      </c>
      <c r="N155" s="116" t="n">
        <f aca="false">N70+N121-N227</f>
        <v>110.054241919747</v>
      </c>
      <c r="O155" s="116" t="n">
        <f aca="false">O70+O121-O227</f>
        <v>116.22780461885</v>
      </c>
      <c r="P155" s="116" t="n">
        <f aca="false">P70+P121-P227</f>
        <v>122.353066770129</v>
      </c>
      <c r="Q155" s="116" t="n">
        <f aca="false">Q70+Q121-Q227</f>
        <v>128.420392402716</v>
      </c>
      <c r="R155" s="116" t="n">
        <f aca="false">R70+R121-R227</f>
        <v>134.441791988335</v>
      </c>
      <c r="S155" s="116" t="n">
        <f aca="false">S70+S121-S227</f>
        <v>140.42165280529</v>
      </c>
      <c r="T155" s="116" t="n">
        <f aca="false">T70+T121-T227</f>
        <v>146.377298262461</v>
      </c>
      <c r="U155" s="116" t="n">
        <f aca="false">U70+U121-U227</f>
        <v>152.325886615325</v>
      </c>
      <c r="V155" s="116" t="n">
        <f aca="false">V70+V121-V227</f>
        <v>158.284432026669</v>
      </c>
      <c r="W155" s="116" t="n">
        <f aca="false">W70+W121-W227</f>
        <v>164.270008473172</v>
      </c>
      <c r="X155" s="116" t="n">
        <f aca="false">X70+X121-X227</f>
        <v>170.299697221954</v>
      </c>
      <c r="Y155" s="116" t="n">
        <f aca="false">Y70+Y121-Y227</f>
        <v>176.390557223834</v>
      </c>
      <c r="Z155" s="116" t="n">
        <f aca="false">Z70+Z121-Z227</f>
        <v>182.559647666598</v>
      </c>
      <c r="AA155" s="116" t="n">
        <f aca="false">AA70+AA121-AA227</f>
        <v>188.824046185383</v>
      </c>
      <c r="AB155" s="116" t="n">
        <f aca="false">AB70+AB121-AB227</f>
        <v>195.20087329373</v>
      </c>
      <c r="AC155" s="116" t="n">
        <f aca="false">AC70+AC121-AC227</f>
        <v>201.707317682503</v>
      </c>
      <c r="AD155" s="116" t="n">
        <f aca="false">AD70+AD121-AD227</f>
        <v>208.360661933228</v>
      </c>
      <c r="AE155" s="116" t="n">
        <f aca="false">AE70+AE121-AE227</f>
        <v>215.178307542623</v>
      </c>
      <c r="AF155" s="116" t="n">
        <f aca="false">AF70+AF121-AF227</f>
        <v>222.17779940268</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39.7990487037173</v>
      </c>
      <c r="D156" s="136" t="n">
        <f aca="false">SUM(D152:D155)+D187</f>
        <v>79.95786565556</v>
      </c>
      <c r="E156" s="136" t="n">
        <f aca="false">SUM(E152:E155)+E187</f>
        <v>120.998453406298</v>
      </c>
      <c r="F156" s="136" t="n">
        <f aca="false">SUM(F152:F155)+F187</f>
        <v>209.03255280708</v>
      </c>
      <c r="G156" s="136" t="n">
        <f aca="false">SUM(G152:G155)+G187</f>
        <v>251.056101244349</v>
      </c>
      <c r="H156" s="136" t="n">
        <f aca="false">SUM(H152:H155)+H187</f>
        <v>286.77511256783</v>
      </c>
      <c r="I156" s="136" t="n">
        <f aca="false">SUM(I152:I155)+I187</f>
        <v>324.640631772061</v>
      </c>
      <c r="J156" s="136" t="n">
        <f aca="false">SUM(J152:J155)+J187</f>
        <v>364.238284524064</v>
      </c>
      <c r="K156" s="136" t="n">
        <f aca="false">SUM(K152:K155)+K187</f>
        <v>405.619428550285</v>
      </c>
      <c r="L156" s="136" t="n">
        <f aca="false">SUM(L152:L155)+L187</f>
        <v>448.838789597043</v>
      </c>
      <c r="M156" s="136" t="n">
        <f aca="false">SUM(M152:M155)+M187</f>
        <v>469.98197152118</v>
      </c>
      <c r="N156" s="136" t="n">
        <f aca="false">SUM(N152:N155)+N187</f>
        <v>482.79261409747</v>
      </c>
      <c r="O156" s="136" t="n">
        <f aca="false">SUM(O152:O155)+O187</f>
        <v>496.172638678583</v>
      </c>
      <c r="P156" s="136" t="n">
        <f aca="false">SUM(P152:P155)+P187</f>
        <v>508.887980572102</v>
      </c>
      <c r="Q156" s="136" t="n">
        <f aca="false">SUM(Q152:Q155)+Q187</f>
        <v>521.513648312272</v>
      </c>
      <c r="R156" s="136" t="n">
        <f aca="false">SUM(R152:R155)+R187</f>
        <v>533.85537958155</v>
      </c>
      <c r="S156" s="136" t="n">
        <f aca="false">SUM(S152:S155)+S187</f>
        <v>546.305320119204</v>
      </c>
      <c r="T156" s="136" t="n">
        <f aca="false">SUM(T152:T155)+T187</f>
        <v>558.884598381499</v>
      </c>
      <c r="U156" s="136" t="n">
        <f aca="false">SUM(U152:U155)+U187</f>
        <v>571.614147101194</v>
      </c>
      <c r="V156" s="136" t="n">
        <f aca="false">SUM(V152:V155)+V187</f>
        <v>584.514807344227</v>
      </c>
      <c r="W156" s="136" t="n">
        <f aca="false">SUM(W152:W155)+W187</f>
        <v>597.606332135859</v>
      </c>
      <c r="X156" s="136" t="n">
        <f aca="false">SUM(X152:X155)+X187</f>
        <v>610.910352215306</v>
      </c>
      <c r="Y156" s="136" t="n">
        <f aca="false">SUM(Y152:Y155)+Y187</f>
        <v>624.448328114746</v>
      </c>
      <c r="Z156" s="136" t="n">
        <f aca="false">SUM(Z152:Z155)+Z187</f>
        <v>638.241494616508</v>
      </c>
      <c r="AA156" s="136" t="n">
        <f aca="false">SUM(AA152:AA155)+AA187</f>
        <v>652.311204926205</v>
      </c>
      <c r="AB156" s="136" t="n">
        <f aca="false">SUM(AB152:AB155)+AB187</f>
        <v>666.678984062766</v>
      </c>
      <c r="AC156" s="136" t="n">
        <f aca="false">SUM(AC152:AC155)+AC187</f>
        <v>681.366517557859</v>
      </c>
      <c r="AD156" s="136" t="n">
        <f aca="false">SUM(AD152:AD155)+AD187</f>
        <v>696.395685252505</v>
      </c>
      <c r="AE156" s="136" t="n">
        <f aca="false">SUM(AE152:AE155)+AE187</f>
        <v>711.78859613404</v>
      </c>
      <c r="AF156" s="136" t="n">
        <f aca="false">SUM(AF152:AF155)+AF187</f>
        <v>727.56761552947</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59.1443938619143</v>
      </c>
      <c r="D157" s="116" t="n">
        <f aca="false">D69+D80+D121</f>
        <v>97.2387701116566</v>
      </c>
      <c r="E157" s="116" t="n">
        <f aca="false">E69+E80+E121</f>
        <v>131.110835807634</v>
      </c>
      <c r="F157" s="116" t="n">
        <f aca="false">F69+F80+F121</f>
        <v>272.854842892533</v>
      </c>
      <c r="G157" s="116" t="n">
        <f aca="false">G69+G80+G121</f>
        <v>285.5563421679</v>
      </c>
      <c r="H157" s="116" t="n">
        <f aca="false">H69+H80+H121</f>
        <v>298.301481098916</v>
      </c>
      <c r="I157" s="116" t="n">
        <f aca="false">I69+I80+I121</f>
        <v>311.09010233844</v>
      </c>
      <c r="J157" s="116" t="n">
        <f aca="false">J69+J80+J121</f>
        <v>323.922086776223</v>
      </c>
      <c r="K157" s="116" t="n">
        <f aca="false">K69+K80+K121</f>
        <v>336.883465390406</v>
      </c>
      <c r="L157" s="116" t="n">
        <f aca="false">L69+L80+L121</f>
        <v>351.267659582722</v>
      </c>
      <c r="M157" s="116" t="n">
        <f aca="false">M69+M80+M121</f>
        <v>365.055722230363</v>
      </c>
      <c r="N157" s="116" t="n">
        <f aca="false">N69+N80+N121</f>
        <v>377.921223914049</v>
      </c>
      <c r="O157" s="116" t="n">
        <f aca="false">O69+O80+O121</f>
        <v>390.045003434039</v>
      </c>
      <c r="P157" s="116" t="n">
        <f aca="false">P69+P80+P121</f>
        <v>399.461171393912</v>
      </c>
      <c r="Q157" s="116" t="n">
        <f aca="false">Q69+Q80+Q121</f>
        <v>408.945325062579</v>
      </c>
      <c r="R157" s="116" t="n">
        <f aca="false">R69+R80+R121</f>
        <v>418.415771501234</v>
      </c>
      <c r="S157" s="116" t="n">
        <f aca="false">S69+S80+S121</f>
        <v>427.874049060325</v>
      </c>
      <c r="T157" s="116" t="n">
        <f aca="false">T69+T80+T121</f>
        <v>437.334716746152</v>
      </c>
      <c r="U157" s="116" t="n">
        <f aca="false">U69+U80+U121</f>
        <v>446.812253326631</v>
      </c>
      <c r="V157" s="116" t="n">
        <f aca="false">V69+V80+V121</f>
        <v>456.321078848703</v>
      </c>
      <c r="W157" s="116" t="n">
        <f aca="false">W69+W80+W121</f>
        <v>465.73690210413</v>
      </c>
      <c r="X157" s="116" t="n">
        <f aca="false">X69+X80+X121</f>
        <v>475.074971908971</v>
      </c>
      <c r="Y157" s="116" t="n">
        <f aca="false">Y69+Y80+Y121</f>
        <v>484.350613482012</v>
      </c>
      <c r="Z157" s="116" t="n">
        <f aca="false">Z69+Z80+Z121</f>
        <v>493.579251973024</v>
      </c>
      <c r="AA157" s="116" t="n">
        <f aca="false">AA69+AA80+AA121</f>
        <v>502.776431712659</v>
      </c>
      <c r="AB157" s="116" t="n">
        <f aca="false">AB69+AB80+AB121</f>
        <v>511.960876977591</v>
      </c>
      <c r="AC157" s="116" t="n">
        <f aca="false">AC69+AC80+AC121</f>
        <v>521.151431114885</v>
      </c>
      <c r="AD157" s="116" t="n">
        <f aca="false">AD69+AD80+AD121</f>
        <v>530.367082307612</v>
      </c>
      <c r="AE157" s="116" t="n">
        <f aca="false">AE69+AE80+AE121</f>
        <v>539.626988687401</v>
      </c>
      <c r="AF157" s="116" t="n">
        <f aca="false">AF69+AF80+AF121</f>
        <v>548.950502936712</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20.1906899625578</v>
      </c>
      <c r="D159" s="116" t="n">
        <f aca="false">D72</f>
        <v>40.997071116064</v>
      </c>
      <c r="E159" s="116" t="n">
        <f aca="false">E72</f>
        <v>62.7022025701422</v>
      </c>
      <c r="F159" s="116" t="n">
        <f aca="false">F72</f>
        <v>86.7011992410515</v>
      </c>
      <c r="G159" s="116" t="n">
        <f aca="false">G72</f>
        <v>108.927009705299</v>
      </c>
      <c r="H159" s="116" t="n">
        <f aca="false">H72</f>
        <v>123.578649010258</v>
      </c>
      <c r="I159" s="116" t="n">
        <f aca="false">I72</f>
        <v>139.05602848246</v>
      </c>
      <c r="J159" s="116" t="n">
        <f aca="false">J72</f>
        <v>154.888437368127</v>
      </c>
      <c r="K159" s="116" t="n">
        <f aca="false">K72</f>
        <v>171.084037878002</v>
      </c>
      <c r="L159" s="116" t="n">
        <f aca="false">L72</f>
        <v>187.652378758606</v>
      </c>
      <c r="M159" s="116" t="n">
        <f aca="false">M72</f>
        <v>201.492891786311</v>
      </c>
      <c r="N159" s="116" t="n">
        <f aca="false">N72</f>
        <v>206.829349576801</v>
      </c>
      <c r="O159" s="116" t="n">
        <f aca="false">O72</f>
        <v>212.558326925522</v>
      </c>
      <c r="P159" s="116" t="n">
        <f aca="false">P72</f>
        <v>217.63065329352</v>
      </c>
      <c r="Q159" s="116" t="n">
        <f aca="false">Q72</f>
        <v>222.629875658643</v>
      </c>
      <c r="R159" s="116" t="n">
        <f aca="false">R72</f>
        <v>227.748997179024</v>
      </c>
      <c r="S159" s="116" t="n">
        <f aca="false">S72</f>
        <v>232.985127753442</v>
      </c>
      <c r="T159" s="116" t="n">
        <f aca="false">T72</f>
        <v>238.341180128304</v>
      </c>
      <c r="U159" s="116" t="n">
        <f aca="false">U72</f>
        <v>243.820012160246</v>
      </c>
      <c r="V159" s="116" t="n">
        <f aca="false">V72</f>
        <v>249.424509149281</v>
      </c>
      <c r="W159" s="116" t="n">
        <f aca="false">W72</f>
        <v>255.156382877453</v>
      </c>
      <c r="X159" s="116" t="n">
        <f aca="false">X72</f>
        <v>261.019189187475</v>
      </c>
      <c r="Y159" s="116" t="n">
        <f aca="false">Y72</f>
        <v>267.016308949955</v>
      </c>
      <c r="Z159" s="116" t="n">
        <f aca="false">Z72</f>
        <v>273.150869229211</v>
      </c>
      <c r="AA159" s="116" t="n">
        <f aca="false">AA72</f>
        <v>279.426068487804</v>
      </c>
      <c r="AB159" s="116" t="n">
        <f aca="false">AB72</f>
        <v>285.845204766632</v>
      </c>
      <c r="AC159" s="116" t="n">
        <f aca="false">AC72</f>
        <v>292.411638285315</v>
      </c>
      <c r="AD159" s="116" t="n">
        <f aca="false">AD72</f>
        <v>299.128798703559</v>
      </c>
      <c r="AE159" s="116" t="n">
        <f aca="false">AE72</f>
        <v>306.000194089256</v>
      </c>
      <c r="AF159" s="116" t="n">
        <f aca="false">AF72</f>
        <v>313.029412764432</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79.3350838244722</v>
      </c>
      <c r="D160" s="136" t="n">
        <f aca="false">SUM(D157:D159)</f>
        <v>138.235841227721</v>
      </c>
      <c r="E160" s="136" t="n">
        <f aca="false">SUM(E157:E159)</f>
        <v>193.813038377776</v>
      </c>
      <c r="F160" s="136" t="n">
        <f aca="false">SUM(F157:F159)</f>
        <v>359.556042133584</v>
      </c>
      <c r="G160" s="136" t="n">
        <f aca="false">SUM(G157:G159)</f>
        <v>394.483351873199</v>
      </c>
      <c r="H160" s="136" t="n">
        <f aca="false">SUM(H157:H159)</f>
        <v>421.880130109174</v>
      </c>
      <c r="I160" s="136" t="n">
        <f aca="false">SUM(I157:I159)</f>
        <v>450.1461308209</v>
      </c>
      <c r="J160" s="136" t="n">
        <f aca="false">SUM(J157:J159)</f>
        <v>478.81052414435</v>
      </c>
      <c r="K160" s="136" t="n">
        <f aca="false">SUM(K157:K159)</f>
        <v>507.967503268409</v>
      </c>
      <c r="L160" s="136" t="n">
        <f aca="false">SUM(L157:L159)</f>
        <v>538.920038341328</v>
      </c>
      <c r="M160" s="136" t="n">
        <f aca="false">SUM(M157:M159)</f>
        <v>566.548614016674</v>
      </c>
      <c r="N160" s="136" t="n">
        <f aca="false">SUM(N157:N159)</f>
        <v>584.750573490851</v>
      </c>
      <c r="O160" s="136" t="n">
        <f aca="false">SUM(O157:O159)</f>
        <v>602.603330359561</v>
      </c>
      <c r="P160" s="136" t="n">
        <f aca="false">SUM(P157:P159)</f>
        <v>617.091824687432</v>
      </c>
      <c r="Q160" s="136" t="n">
        <f aca="false">SUM(Q157:Q159)</f>
        <v>631.575200721223</v>
      </c>
      <c r="R160" s="136" t="n">
        <f aca="false">SUM(R157:R159)</f>
        <v>646.164768680258</v>
      </c>
      <c r="S160" s="136" t="n">
        <f aca="false">SUM(S157:S159)</f>
        <v>660.859176813767</v>
      </c>
      <c r="T160" s="136" t="n">
        <f aca="false">SUM(T157:T159)</f>
        <v>675.675896874456</v>
      </c>
      <c r="U160" s="136" t="n">
        <f aca="false">SUM(U157:U159)</f>
        <v>690.632265486877</v>
      </c>
      <c r="V160" s="136" t="n">
        <f aca="false">SUM(V157:V159)</f>
        <v>705.745587997983</v>
      </c>
      <c r="W160" s="136" t="n">
        <f aca="false">SUM(W157:W159)</f>
        <v>720.893284981583</v>
      </c>
      <c r="X160" s="136" t="n">
        <f aca="false">SUM(X157:X159)</f>
        <v>736.094161096445</v>
      </c>
      <c r="Y160" s="136" t="n">
        <f aca="false">SUM(Y157:Y159)</f>
        <v>751.366922431967</v>
      </c>
      <c r="Z160" s="136" t="n">
        <f aca="false">SUM(Z157:Z159)</f>
        <v>766.730121202236</v>
      </c>
      <c r="AA160" s="136" t="n">
        <f aca="false">SUM(AA157:AA159)</f>
        <v>782.202500200463</v>
      </c>
      <c r="AB160" s="136" t="n">
        <f aca="false">SUM(AB157:AB159)</f>
        <v>797.806081744223</v>
      </c>
      <c r="AC160" s="136" t="n">
        <f aca="false">SUM(AC157:AC159)</f>
        <v>813.5630694002</v>
      </c>
      <c r="AD160" s="136" t="n">
        <f aca="false">SUM(AD157:AD159)</f>
        <v>829.495881011171</v>
      </c>
      <c r="AE160" s="136" t="n">
        <f aca="false">SUM(AE157:AE159)</f>
        <v>845.627182776657</v>
      </c>
      <c r="AF160" s="136" t="n">
        <f aca="false">SUM(AF157:AF159)</f>
        <v>861.979915701144</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-39.5360351207548</v>
      </c>
      <c r="D161" s="138" t="n">
        <f aca="false">D156-D160</f>
        <v>-58.2779755721606</v>
      </c>
      <c r="E161" s="138" t="n">
        <f aca="false">E156-E160</f>
        <v>-72.8145849714785</v>
      </c>
      <c r="F161" s="138" t="n">
        <f aca="false">F156-F160</f>
        <v>-150.523489326504</v>
      </c>
      <c r="G161" s="138" t="n">
        <f aca="false">G156-G160</f>
        <v>-143.42725062885</v>
      </c>
      <c r="H161" s="138" t="n">
        <f aca="false">H156-H160</f>
        <v>-135.105017541343</v>
      </c>
      <c r="I161" s="138" t="n">
        <f aca="false">I156-I160</f>
        <v>-125.505499048839</v>
      </c>
      <c r="J161" s="138" t="n">
        <f aca="false">J156-J160</f>
        <v>-114.572239620286</v>
      </c>
      <c r="K161" s="138" t="n">
        <f aca="false">K156-K160</f>
        <v>-102.348074718123</v>
      </c>
      <c r="L161" s="138" t="n">
        <f aca="false">L156-L160</f>
        <v>-90.081248744285</v>
      </c>
      <c r="M161" s="138" t="n">
        <f aca="false">M156-M160</f>
        <v>-96.5666424954936</v>
      </c>
      <c r="N161" s="138" t="n">
        <f aca="false">N156-N160</f>
        <v>-101.957959393381</v>
      </c>
      <c r="O161" s="138" t="n">
        <f aca="false">O156-O160</f>
        <v>-106.430691680978</v>
      </c>
      <c r="P161" s="138" t="n">
        <f aca="false">P156-P160</f>
        <v>-108.203844115329</v>
      </c>
      <c r="Q161" s="138" t="n">
        <f aca="false">Q156-Q160</f>
        <v>-110.061552408951</v>
      </c>
      <c r="R161" s="138" t="n">
        <f aca="false">R156-R160</f>
        <v>-112.309389098708</v>
      </c>
      <c r="S161" s="138" t="n">
        <f aca="false">S156-S160</f>
        <v>-114.553856694563</v>
      </c>
      <c r="T161" s="138" t="n">
        <f aca="false">T156-T160</f>
        <v>-116.791298492958</v>
      </c>
      <c r="U161" s="138" t="n">
        <f aca="false">U156-U160</f>
        <v>-119.018118385684</v>
      </c>
      <c r="V161" s="138" t="n">
        <f aca="false">V156-V160</f>
        <v>-121.230780653756</v>
      </c>
      <c r="W161" s="138" t="n">
        <f aca="false">W156-W160</f>
        <v>-123.286952845723</v>
      </c>
      <c r="X161" s="138" t="n">
        <f aca="false">X156-X160</f>
        <v>-125.183808881139</v>
      </c>
      <c r="Y161" s="138" t="n">
        <f aca="false">Y156-Y160</f>
        <v>-126.918594317221</v>
      </c>
      <c r="Z161" s="138" t="n">
        <f aca="false">Z156-Z160</f>
        <v>-128.488626585728</v>
      </c>
      <c r="AA161" s="138" t="n">
        <f aca="false">AA156-AA160</f>
        <v>-129.891295274258</v>
      </c>
      <c r="AB161" s="138" t="n">
        <f aca="false">AB156-AB160</f>
        <v>-131.127097681456</v>
      </c>
      <c r="AC161" s="138" t="n">
        <f aca="false">AC156-AC160</f>
        <v>-132.196551842341</v>
      </c>
      <c r="AD161" s="138" t="n">
        <f aca="false">AD156-AD160</f>
        <v>-133.100195758666</v>
      </c>
      <c r="AE161" s="138" t="n">
        <f aca="false">AE156-AE160</f>
        <v>-133.838586642617</v>
      </c>
      <c r="AF161" s="138" t="n">
        <f aca="false">AF156-AF160</f>
        <v>-134.412300171674</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59.1443938619143</v>
      </c>
      <c r="D162" s="116" t="n">
        <f aca="false">D48+D50+(D80-C80)-D63</f>
        <v>38.0943762497423</v>
      </c>
      <c r="E162" s="116" t="n">
        <f aca="false">E48+E50+(E80-D80)-E63</f>
        <v>33.8720656959775</v>
      </c>
      <c r="F162" s="116" t="n">
        <f aca="false">F48+F50+(F80-E80)-F63</f>
        <v>93.2565991948838</v>
      </c>
      <c r="G162" s="116" t="n">
        <f aca="false">G48+G50+(G80-F80)-G63</f>
        <v>9.81179438700251</v>
      </c>
      <c r="H162" s="116" t="n">
        <f aca="false">H48+H50+(H80-G80)-H63</f>
        <v>9.81208846932533</v>
      </c>
      <c r="I162" s="116" t="n">
        <f aca="false">I48+I50+(I80-H80)-I63</f>
        <v>9.81157502090799</v>
      </c>
      <c r="J162" s="116" t="n">
        <f aca="false">J48+J50+(J80-I80)-J63</f>
        <v>9.81028252588814</v>
      </c>
      <c r="K162" s="116" t="n">
        <f aca="false">K48+K50+(K80-J80)-K63</f>
        <v>9.80823786581055</v>
      </c>
      <c r="L162" s="116" t="n">
        <f aca="false">L48+L50+(L80-K80)-L63</f>
        <v>9.80546639708099</v>
      </c>
      <c r="M162" s="116" t="n">
        <f aca="false">M48+M50+(M80-L80)-M63</f>
        <v>7.99869290233379</v>
      </c>
      <c r="N162" s="116" t="n">
        <f aca="false">N48+N50+(N80-M80)-N63</f>
        <v>6.94677151365612</v>
      </c>
      <c r="O162" s="116" t="n">
        <f aca="false">O48+O50+(O80-N80)-O63</f>
        <v>6.07152345571698</v>
      </c>
      <c r="P162" s="116" t="n">
        <f aca="false">P48+P50+(P80-O80)-P63</f>
        <v>3.41649456763534</v>
      </c>
      <c r="Q162" s="116" t="n">
        <f aca="false">Q48+Q50+(Q80-P80)-Q63</f>
        <v>3.54685007831428</v>
      </c>
      <c r="R162" s="116" t="n">
        <f aca="false">R48+R50+(R80-Q80)-R63</f>
        <v>3.58365867336195</v>
      </c>
      <c r="S162" s="116" t="n">
        <f aca="false">S48+S50+(S80-R80)-S63</f>
        <v>3.61778035971837</v>
      </c>
      <c r="T162" s="116" t="n">
        <f aca="false">T48+T50+(T80-S80)-T63</f>
        <v>3.64930538193952</v>
      </c>
      <c r="U162" s="116" t="n">
        <f aca="false">U48+U50+(U80-T80)-U63</f>
        <v>3.67832457620869</v>
      </c>
      <c r="V162" s="116" t="n">
        <f aca="false">V48+V50+(V80-U80)-V63</f>
        <v>3.70492944442777</v>
      </c>
      <c r="W162" s="116" t="n">
        <f aca="false">W48+W50+(W80-V80)-W63</f>
        <v>3.59035526410455</v>
      </c>
      <c r="X162" s="116" t="n">
        <f aca="false">X48+X50+(X80-W80)-X63</f>
        <v>3.47414133970526</v>
      </c>
      <c r="Y162" s="116" t="n">
        <f aca="false">Y48+Y50+(Y80-X80)-Y63</f>
        <v>3.35639319282181</v>
      </c>
      <c r="Z162" s="116" t="n">
        <f aca="false">Z48+Z50+(Z80-Y80)-Z63</f>
        <v>3.23721756015326</v>
      </c>
      <c r="AA162" s="116" t="n">
        <f aca="false">AA48+AA50+(AA80-Z80)-AA63</f>
        <v>3.11672246652419</v>
      </c>
      <c r="AB162" s="116" t="n">
        <f aca="false">AB48+AB50+(AB80-AA80)-AB63</f>
        <v>2.99805252823228</v>
      </c>
      <c r="AC162" s="116" t="n">
        <f aca="false">AC48+AC50+(AC80-AB80)-AC63</f>
        <v>2.88126645348761</v>
      </c>
      <c r="AD162" s="116" t="n">
        <f aca="false">AD48+AD50+(AD80-AC80)-AD63</f>
        <v>2.76642327865359</v>
      </c>
      <c r="AE162" s="116" t="n">
        <f aca="false">AE48+AE50+(AE80-AD80)-AE63</f>
        <v>2.65358241372933</v>
      </c>
      <c r="AF162" s="116" t="n">
        <f aca="false">AF48+AF50+(AF80-AE80)-AF63</f>
        <v>2.54280368659949</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-39.5360351207548</v>
      </c>
      <c r="D163" s="116" t="n">
        <f aca="false">C163+D53+D56+D58+D118+D119+D60+D113+D101-D115-D162</f>
        <v>-58.2779755721606</v>
      </c>
      <c r="E163" s="116" t="n">
        <f aca="false">D163+E53+E56+E58+E118+E119+E60+E113+E101-E115-E162</f>
        <v>-72.8145849714785</v>
      </c>
      <c r="F163" s="116" t="n">
        <f aca="false">E163+F53+F56+F58+F118+F119+F60+F113+F101-F115-F162</f>
        <v>-150.523489326504</v>
      </c>
      <c r="G163" s="116" t="n">
        <f aca="false">F163+G53+G56+G58+G118+G119+G60+G113+G101-G115-G162</f>
        <v>-143.42725062885</v>
      </c>
      <c r="H163" s="116" t="n">
        <f aca="false">G163+H53+H56+H58+H118+H119+H60+H113+H101-H115-H162</f>
        <v>-135.105017541343</v>
      </c>
      <c r="I163" s="116" t="n">
        <f aca="false">H163+I53+I56+I58+I118+I119+I60+I113+I101-I115-I162</f>
        <v>-125.505499048839</v>
      </c>
      <c r="J163" s="116" t="n">
        <f aca="false">I163+J53+J56+J58+J118+J119+J60+J113+J101-J115-J162</f>
        <v>-114.572239620286</v>
      </c>
      <c r="K163" s="116" t="n">
        <f aca="false">J163+K53+K56+K58+K118+K119+K60+K113+K101-K115-K162</f>
        <v>-102.348074718123</v>
      </c>
      <c r="L163" s="116" t="n">
        <f aca="false">K163+L53+L56+L58+L118+L119+L60+L113+L101-L115-L162</f>
        <v>-90.0812487442851</v>
      </c>
      <c r="M163" s="116" t="n">
        <f aca="false">L163+M53+M56+M58+M118+M119+M60+M113+M101-M115-M162</f>
        <v>-96.5666424954936</v>
      </c>
      <c r="N163" s="116" t="n">
        <f aca="false">M163+N53+N56+N58+N118+N119+N60+N113+N101-N115-N162</f>
        <v>-101.957959393381</v>
      </c>
      <c r="O163" s="116" t="n">
        <f aca="false">N163+O53+O56+O58+O118+O119+O60+O113+O101-O115-O162</f>
        <v>-106.430691680978</v>
      </c>
      <c r="P163" s="116" t="n">
        <f aca="false">O163+P53+P56+P58+P118+P119+P60+P113+P101-P115-P162</f>
        <v>-108.20384411533</v>
      </c>
      <c r="Q163" s="116" t="n">
        <f aca="false">P163+Q53+Q56+Q58+Q118+Q119+Q60+Q113+Q101-Q115-Q162</f>
        <v>-110.061552408951</v>
      </c>
      <c r="R163" s="116" t="n">
        <f aca="false">Q163+R53+R56+R58+R118+R119+R60+R113+R101-R115-R162</f>
        <v>-112.309389098708</v>
      </c>
      <c r="S163" s="116" t="n">
        <f aca="false">R163+S53+S56+S58+S118+S119+S60+S113+S101-S115-S162</f>
        <v>-114.553856694563</v>
      </c>
      <c r="T163" s="116" t="n">
        <f aca="false">S163+T53+T56+T58+T118+T119+T60+T113+T101-T115-T162</f>
        <v>-116.791298492958</v>
      </c>
      <c r="U163" s="116" t="n">
        <f aca="false">T163+U53+U56+U58+U118+U119+U60+U113+U101-U115-U162</f>
        <v>-119.018118385684</v>
      </c>
      <c r="V163" s="116" t="n">
        <f aca="false">U163+V53+V56+V58+V118+V119+V60+V113+V101-V115-V162</f>
        <v>-121.230780653756</v>
      </c>
      <c r="W163" s="116" t="n">
        <f aca="false">V163+W53+W56+W58+W118+W119+W60+W113+W101-W115-W162</f>
        <v>-123.286952845724</v>
      </c>
      <c r="X163" s="116" t="n">
        <f aca="false">W163+X53+X56+X58+X118+X119+X60+X113+X101-X115-X162</f>
        <v>-125.183808881139</v>
      </c>
      <c r="Y163" s="116" t="n">
        <f aca="false">X163+Y53+Y56+Y58+Y118+Y119+Y60+Y113+Y101-Y115-Y162</f>
        <v>-126.918594317221</v>
      </c>
      <c r="Z163" s="116" t="n">
        <f aca="false">Y163+Z53+Z56+Z58+Z118+Z119+Z60+Z113+Z101-Z115-Z162</f>
        <v>-128.488626585728</v>
      </c>
      <c r="AA163" s="116" t="n">
        <f aca="false">Z163+AA53+AA56+AA58+AA118+AA119+AA60+AA113+AA101-AA115-AA162</f>
        <v>-129.891295274258</v>
      </c>
      <c r="AB163" s="116" t="n">
        <f aca="false">AA163+AB53+AB56+AB58+AB118+AB119+AB60+AB113+AB101-AB115-AB162</f>
        <v>-131.127097681456</v>
      </c>
      <c r="AC163" s="116" t="n">
        <f aca="false">AB163+AC53+AC56+AC58+AC118+AC119+AC60+AC113+AC101-AC115-AC162</f>
        <v>-132.196551842341</v>
      </c>
      <c r="AD163" s="116" t="n">
        <f aca="false">AC163+AD53+AD56+AD58+AD118+AD119+AD60+AD113+AD101-AD115-AD162</f>
        <v>-133.100195758666</v>
      </c>
      <c r="AE163" s="116" t="n">
        <f aca="false">AD163+AE53+AE56+AE58+AE118+AE119+AE60+AE113+AE101-AE115-AE162</f>
        <v>-133.838586642617</v>
      </c>
      <c r="AF163" s="116" t="n">
        <f aca="false">AE163+AF53+AF56+AF58+AF118+AF119+AF60+AF113+AF101-AF115-AF162</f>
        <v>-134.412300171674</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1175</v>
      </c>
    </row>
    <row r="168" customFormat="false" ht="15" hidden="false" customHeight="true" outlineLevel="0" collapsed="false">
      <c r="B168" s="103" t="s">
        <v>1176</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1181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1184</v>
      </c>
      <c r="C172" s="141" t="n">
        <f aca="false">01_Supuestos!$C$158</f>
        <v>0.2</v>
      </c>
      <c r="D172" s="83" t="s">
        <v>1185</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1188</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7.8</v>
      </c>
      <c r="D180" s="142" t="n">
        <f aca="false">IF($C$167="Sí",MAX(0,MIN(D84,($C$168+$C$170)*D41*MIN(1,D$39/MAX(1,01_Supuestos!$C$170)))),0)</f>
        <v>15.9588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1198</v>
      </c>
      <c r="C181" s="142" t="n">
        <f aca="false">C180</f>
        <v>7.8</v>
      </c>
      <c r="D181" s="142" t="n">
        <f aca="false">D180</f>
        <v>15.9588</v>
      </c>
      <c r="E181" s="142" t="n">
        <f aca="false">E180</f>
        <v>24.4887786</v>
      </c>
      <c r="F181" s="142" t="n">
        <f aca="false">F180</f>
        <v>33.4026940104</v>
      </c>
      <c r="G181" s="142" t="n">
        <f aca="false">G180</f>
        <v>42.713694965799</v>
      </c>
      <c r="H181" s="142" t="n">
        <f aca="false">H180</f>
        <v>43.6961099500124</v>
      </c>
      <c r="I181" s="142" t="n">
        <f aca="false">I180</f>
        <v>44.7011204788626</v>
      </c>
      <c r="J181" s="142" t="n">
        <f aca="false">J180</f>
        <v>45.7292462498765</v>
      </c>
      <c r="K181" s="142" t="n">
        <f aca="false">K180</f>
        <v>46.7810189136236</v>
      </c>
      <c r="L181" s="142" t="n">
        <f aca="false">L180</f>
        <v>47.856982348637</v>
      </c>
      <c r="M181" s="142" t="n">
        <f aca="false">M180</f>
        <v>48.9576929426556</v>
      </c>
      <c r="N181" s="142" t="n">
        <f aca="false">N180</f>
        <v>50.0837198803367</v>
      </c>
      <c r="O181" s="142" t="n">
        <f aca="false">O180</f>
        <v>51.2356454375844</v>
      </c>
      <c r="P181" s="142" t="n">
        <f aca="false">P180</f>
        <v>52.4140652826489</v>
      </c>
      <c r="Q181" s="142" t="n">
        <f aca="false">Q180</f>
        <v>53.6195887841498</v>
      </c>
      <c r="R181" s="142" t="n">
        <f aca="false">R180</f>
        <v>54.8528393261852</v>
      </c>
      <c r="S181" s="142" t="n">
        <f aca="false">S180</f>
        <v>56.1144546306875</v>
      </c>
      <c r="T181" s="142" t="n">
        <f aca="false">T180</f>
        <v>57.4050870871933</v>
      </c>
      <c r="U181" s="142" t="n">
        <f aca="false">U180</f>
        <v>58.7254040901987</v>
      </c>
      <c r="V181" s="142" t="n">
        <f aca="false">V180</f>
        <v>60.0760883842733</v>
      </c>
      <c r="W181" s="142" t="n">
        <f aca="false">W180</f>
        <v>61.4578384171116</v>
      </c>
      <c r="X181" s="142" t="n">
        <f aca="false">X180</f>
        <v>62.8713687007051</v>
      </c>
      <c r="Y181" s="142" t="n">
        <f aca="false">Y180</f>
        <v>64.3174101808214</v>
      </c>
      <c r="Z181" s="142" t="n">
        <f aca="false">Z180</f>
        <v>65.7967106149802</v>
      </c>
      <c r="AA181" s="142" t="n">
        <f aca="false">AA180</f>
        <v>67.3100349591248</v>
      </c>
      <c r="AB181" s="142" t="n">
        <f aca="false">AB180</f>
        <v>68.8581657631846</v>
      </c>
      <c r="AC181" s="142" t="n">
        <f aca="false">AC180</f>
        <v>70.4419035757379</v>
      </c>
      <c r="AD181" s="142" t="n">
        <f aca="false">AD180</f>
        <v>72.0620673579798</v>
      </c>
      <c r="AE181" s="142" t="n">
        <f aca="false">AE180</f>
        <v>73.7194949072134</v>
      </c>
      <c r="AF181" s="142" t="n">
        <f aca="false">AF180</f>
        <v>75.4150432900793</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7.8</v>
      </c>
      <c r="D182" s="142" t="n">
        <f aca="false">MIN(D181,$C$168*D41)</f>
        <v>15.9588</v>
      </c>
      <c r="E182" s="142" t="n">
        <f aca="false">MIN(E181,$C$168*E41)</f>
        <v>24.4887786</v>
      </c>
      <c r="F182" s="142" t="n">
        <f aca="false">MIN(F181,$C$168*F41)</f>
        <v>33.4026940104</v>
      </c>
      <c r="G182" s="142" t="n">
        <f aca="false">MIN(G181,$C$168*G41)</f>
        <v>42.713694965799</v>
      </c>
      <c r="H182" s="142" t="n">
        <f aca="false">MIN(H181,$C$168*H41)</f>
        <v>43.6961099500124</v>
      </c>
      <c r="I182" s="142" t="n">
        <f aca="false">MIN(I181,$C$168*I41)</f>
        <v>44.7011204788626</v>
      </c>
      <c r="J182" s="142" t="n">
        <f aca="false">MIN(J181,$C$168*J41)</f>
        <v>45.7292462498765</v>
      </c>
      <c r="K182" s="142" t="n">
        <f aca="false">MIN(K181,$C$168*K41)</f>
        <v>46.7810189136236</v>
      </c>
      <c r="L182" s="142" t="n">
        <f aca="false">MIN(L181,$C$168*L41)</f>
        <v>47.856982348637</v>
      </c>
      <c r="M182" s="142" t="n">
        <f aca="false">MIN(M181,$C$168*M41)</f>
        <v>48.9576929426556</v>
      </c>
      <c r="N182" s="142" t="n">
        <f aca="false">MIN(N181,$C$168*N41)</f>
        <v>50.0837198803367</v>
      </c>
      <c r="O182" s="142" t="n">
        <f aca="false">MIN(O181,$C$168*O41)</f>
        <v>51.2356454375844</v>
      </c>
      <c r="P182" s="142" t="n">
        <f aca="false">MIN(P181,$C$168*P41)</f>
        <v>52.4140652826489</v>
      </c>
      <c r="Q182" s="142" t="n">
        <f aca="false">MIN(Q181,$C$168*Q41)</f>
        <v>53.6195887841498</v>
      </c>
      <c r="R182" s="142" t="n">
        <f aca="false">MIN(R181,$C$168*R41)</f>
        <v>54.8528393261852</v>
      </c>
      <c r="S182" s="142" t="n">
        <f aca="false">MIN(S181,$C$168*S41)</f>
        <v>56.1144546306875</v>
      </c>
      <c r="T182" s="142" t="n">
        <f aca="false">MIN(T181,$C$168*T41)</f>
        <v>57.4050870871933</v>
      </c>
      <c r="U182" s="142" t="n">
        <f aca="false">MIN(U181,$C$168*U41)</f>
        <v>58.7254040901987</v>
      </c>
      <c r="V182" s="142" t="n">
        <f aca="false">MIN(V181,$C$168*V41)</f>
        <v>60.0760883842733</v>
      </c>
      <c r="W182" s="142" t="n">
        <f aca="false">MIN(W181,$C$168*W41)</f>
        <v>61.4578384171116</v>
      </c>
      <c r="X182" s="142" t="n">
        <f aca="false">MIN(X181,$C$168*X41)</f>
        <v>62.8713687007051</v>
      </c>
      <c r="Y182" s="142" t="n">
        <f aca="false">MIN(Y181,$C$168*Y41)</f>
        <v>64.3174101808214</v>
      </c>
      <c r="Z182" s="142" t="n">
        <f aca="false">MIN(Z181,$C$168*Z41)</f>
        <v>65.7967106149802</v>
      </c>
      <c r="AA182" s="142" t="n">
        <f aca="false">MIN(AA181,$C$168*AA41)</f>
        <v>67.3100349591248</v>
      </c>
      <c r="AB182" s="142" t="n">
        <f aca="false">MIN(AB181,$C$168*AB41)</f>
        <v>68.8581657631846</v>
      </c>
      <c r="AC182" s="142" t="n">
        <f aca="false">MIN(AC181,$C$168*AC41)</f>
        <v>70.4419035757379</v>
      </c>
      <c r="AD182" s="142" t="n">
        <f aca="false">MIN(AD181,$C$168*AD41)</f>
        <v>72.0620673579798</v>
      </c>
      <c r="AE182" s="142" t="n">
        <f aca="false">MIN(AE181,$C$168*AE41)</f>
        <v>73.7194949072134</v>
      </c>
      <c r="AF182" s="142" t="n">
        <f aca="false">MIN(AF181,$C$168*AF41)</f>
        <v>75.4150432900793</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0.195</v>
      </c>
      <c r="D184" s="142" t="n">
        <f aca="false">D182*$C$169+D183*$C$171</f>
        <v>0.39897</v>
      </c>
      <c r="E184" s="142" t="n">
        <f aca="false">E182*$C$169+E183*$C$171</f>
        <v>0.612219465</v>
      </c>
      <c r="F184" s="142" t="n">
        <f aca="false">F182*$C$169+F183*$C$171</f>
        <v>0.83506735026</v>
      </c>
      <c r="G184" s="142" t="n">
        <f aca="false">G182*$C$169+G183*$C$171</f>
        <v>1.06784237414497</v>
      </c>
      <c r="H184" s="142" t="n">
        <f aca="false">H182*$C$169+H183*$C$171</f>
        <v>1.09240274875031</v>
      </c>
      <c r="I184" s="142" t="n">
        <f aca="false">I182*$C$169+I183*$C$171</f>
        <v>1.11752801197157</v>
      </c>
      <c r="J184" s="142" t="n">
        <f aca="false">J182*$C$169+J183*$C$171</f>
        <v>1.14323115624691</v>
      </c>
      <c r="K184" s="142" t="n">
        <f aca="false">K182*$C$169+K183*$C$171</f>
        <v>1.16952547284059</v>
      </c>
      <c r="L184" s="142" t="n">
        <f aca="false">L182*$C$169+L183*$C$171</f>
        <v>1.19642455871592</v>
      </c>
      <c r="M184" s="142" t="n">
        <f aca="false">M182*$C$169+M183*$C$171</f>
        <v>1.22394232356639</v>
      </c>
      <c r="N184" s="142" t="n">
        <f aca="false">N182*$C$169+N183*$C$171</f>
        <v>1.25209299700842</v>
      </c>
      <c r="O184" s="142" t="n">
        <f aca="false">O182*$C$169+O183*$C$171</f>
        <v>1.28089113593961</v>
      </c>
      <c r="P184" s="142" t="n">
        <f aca="false">P182*$C$169+P183*$C$171</f>
        <v>1.31035163206622</v>
      </c>
      <c r="Q184" s="142" t="n">
        <f aca="false">Q182*$C$169+Q183*$C$171</f>
        <v>1.34048971960374</v>
      </c>
      <c r="R184" s="142" t="n">
        <f aca="false">R182*$C$169+R183*$C$171</f>
        <v>1.37132098315463</v>
      </c>
      <c r="S184" s="142" t="n">
        <f aca="false">S182*$C$169+S183*$C$171</f>
        <v>1.40286136576719</v>
      </c>
      <c r="T184" s="142" t="n">
        <f aca="false">T182*$C$169+T183*$C$171</f>
        <v>1.43512717717983</v>
      </c>
      <c r="U184" s="142" t="n">
        <f aca="false">U182*$C$169+U183*$C$171</f>
        <v>1.46813510225497</v>
      </c>
      <c r="V184" s="142" t="n">
        <f aca="false">V182*$C$169+V183*$C$171</f>
        <v>1.50190220960683</v>
      </c>
      <c r="W184" s="142" t="n">
        <f aca="false">W182*$C$169+W183*$C$171</f>
        <v>1.53644596042779</v>
      </c>
      <c r="X184" s="142" t="n">
        <f aca="false">X182*$C$169+X183*$C$171</f>
        <v>1.57178421751763</v>
      </c>
      <c r="Y184" s="142" t="n">
        <f aca="false">Y182*$C$169+Y183*$C$171</f>
        <v>1.60793525452053</v>
      </c>
      <c r="Z184" s="142" t="n">
        <f aca="false">Z182*$C$169+Z183*$C$171</f>
        <v>1.64491776537451</v>
      </c>
      <c r="AA184" s="142" t="n">
        <f aca="false">AA182*$C$169+AA183*$C$171</f>
        <v>1.68275087397812</v>
      </c>
      <c r="AB184" s="142" t="n">
        <f aca="false">AB182*$C$169+AB183*$C$171</f>
        <v>1.72145414407962</v>
      </c>
      <c r="AC184" s="142" t="n">
        <f aca="false">AC182*$C$169+AC183*$C$171</f>
        <v>1.76104758939345</v>
      </c>
      <c r="AD184" s="142" t="n">
        <f aca="false">AD182*$C$169+AD183*$C$171</f>
        <v>1.8015516839495</v>
      </c>
      <c r="AE184" s="142" t="n">
        <f aca="false">AE182*$C$169+AE183*$C$171</f>
        <v>1.84298737268033</v>
      </c>
      <c r="AF184" s="142" t="n">
        <f aca="false">AF182*$C$169+AF183*$C$171</f>
        <v>1.88537608225198</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7.8</v>
      </c>
      <c r="D185" s="142" t="n">
        <f aca="false">D181-C181</f>
        <v>8.1588</v>
      </c>
      <c r="E185" s="142" t="n">
        <f aca="false">E181-D181</f>
        <v>8.5299786</v>
      </c>
      <c r="F185" s="142" t="n">
        <f aca="false">F181-E181</f>
        <v>8.9139154104</v>
      </c>
      <c r="G185" s="142" t="n">
        <f aca="false">G181-F181</f>
        <v>9.31100095539899</v>
      </c>
      <c r="H185" s="142" t="n">
        <f aca="false">H181-G181</f>
        <v>0.982414984213371</v>
      </c>
      <c r="I185" s="142" t="n">
        <f aca="false">I181-H181</f>
        <v>1.00501052885029</v>
      </c>
      <c r="J185" s="142" t="n">
        <f aca="false">J181-I181</f>
        <v>1.02812577101383</v>
      </c>
      <c r="K185" s="142" t="n">
        <f aca="false">K181-J181</f>
        <v>1.05177266374715</v>
      </c>
      <c r="L185" s="142" t="n">
        <f aca="false">L181-K181</f>
        <v>1.07596343501334</v>
      </c>
      <c r="M185" s="142" t="n">
        <f aca="false">M181-L181</f>
        <v>1.10071059401865</v>
      </c>
      <c r="N185" s="142" t="n">
        <f aca="false">N181-M181</f>
        <v>1.12602693768107</v>
      </c>
      <c r="O185" s="142" t="n">
        <f aca="false">O181-N181</f>
        <v>1.15192555724774</v>
      </c>
      <c r="P185" s="142" t="n">
        <f aca="false">P181-O181</f>
        <v>1.17841984506445</v>
      </c>
      <c r="Q185" s="142" t="n">
        <f aca="false">Q181-P181</f>
        <v>1.20552350150091</v>
      </c>
      <c r="R185" s="142" t="n">
        <f aca="false">R181-Q181</f>
        <v>1.23325054203544</v>
      </c>
      <c r="S185" s="142" t="n">
        <f aca="false">S181-R181</f>
        <v>1.26161530450226</v>
      </c>
      <c r="T185" s="142" t="n">
        <f aca="false">T181-S181</f>
        <v>1.2906324565058</v>
      </c>
      <c r="U185" s="142" t="n">
        <f aca="false">U181-T181</f>
        <v>1.32031700300545</v>
      </c>
      <c r="V185" s="142" t="n">
        <f aca="false">V181-U181</f>
        <v>1.35068429407457</v>
      </c>
      <c r="W185" s="142" t="n">
        <f aca="false">W181-V181</f>
        <v>1.38175003283828</v>
      </c>
      <c r="X185" s="142" t="n">
        <f aca="false">X181-W181</f>
        <v>1.41353028359356</v>
      </c>
      <c r="Y185" s="142" t="n">
        <f aca="false">Y181-X181</f>
        <v>1.44604148011622</v>
      </c>
      <c r="Z185" s="142" t="n">
        <f aca="false">Z181-Y181</f>
        <v>1.47930043415889</v>
      </c>
      <c r="AA185" s="142" t="n">
        <f aca="false">AA181-Z181</f>
        <v>1.51332434414454</v>
      </c>
      <c r="AB185" s="142" t="n">
        <f aca="false">AB181-AA181</f>
        <v>1.54813080405985</v>
      </c>
      <c r="AC185" s="142" t="n">
        <f aca="false">AC181-AB181</f>
        <v>1.58373781255324</v>
      </c>
      <c r="AD185" s="142" t="n">
        <f aca="false">AD181-AC181</f>
        <v>1.62016378224196</v>
      </c>
      <c r="AE185" s="142" t="n">
        <f aca="false">AE181-AD181</f>
        <v>1.65742754923353</v>
      </c>
      <c r="AF185" s="142" t="n">
        <f aca="false">AF181-AE181</f>
        <v>1.69554838286591</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38.2643938619143</v>
      </c>
      <c r="D186" s="142" t="n">
        <f aca="false">D84-D181</f>
        <v>54.8181461116566</v>
      </c>
      <c r="E186" s="142" t="n">
        <f aca="false">E84-E181</f>
        <v>66.4696085204342</v>
      </c>
      <c r="F186" s="142" t="n">
        <f aca="false">F84-F181</f>
        <v>132.520523846733</v>
      </c>
      <c r="G186" s="142" t="n">
        <f aca="false">G84-G181</f>
        <v>114.510231326305</v>
      </c>
      <c r="H186" s="142" t="n">
        <f aca="false">H84-H181</f>
        <v>104.513544530659</v>
      </c>
      <c r="I186" s="142" t="n">
        <f aca="false">I84-I181</f>
        <v>94.1711255250088</v>
      </c>
      <c r="J186" s="142" t="n">
        <f aca="false">J84-J181</f>
        <v>83.4741561888948</v>
      </c>
      <c r="K186" s="142" t="n">
        <f aca="false">K84-K181</f>
        <v>72.4136588990674</v>
      </c>
      <c r="L186" s="142" t="n">
        <f aca="false">L84-L181</f>
        <v>60.9804906952249</v>
      </c>
      <c r="M186" s="142" t="n">
        <f aca="false">M84-M181</f>
        <v>53.6396817721684</v>
      </c>
      <c r="N186" s="142" t="n">
        <f aca="false">N84-N181</f>
        <v>55.6991356880409</v>
      </c>
      <c r="O186" s="142" t="n">
        <f aca="false">O84-O181</f>
        <v>56.769492043883</v>
      </c>
      <c r="P186" s="142" t="n">
        <f aca="false">P84-P181</f>
        <v>55.0683005967379</v>
      </c>
      <c r="Q186" s="142" t="n">
        <f aca="false">Q84-Q181</f>
        <v>53.3782131401956</v>
      </c>
      <c r="R186" s="142" t="n">
        <f aca="false">R84-R181</f>
        <v>51.6028854442799</v>
      </c>
      <c r="S186" s="142" t="n">
        <f aca="false">S84-S181</f>
        <v>49.7367670228371</v>
      </c>
      <c r="T186" s="142" t="n">
        <f aca="false">T84-T181</f>
        <v>47.7743297791525</v>
      </c>
      <c r="U186" s="142" t="n">
        <f aca="false">U84-U181</f>
        <v>45.7100669665623</v>
      </c>
      <c r="V186" s="142" t="n">
        <f aca="false">V84-V181</f>
        <v>43.5384921831611</v>
      </c>
      <c r="W186" s="142" t="n">
        <f aca="false">W84-W181</f>
        <v>41.1152814353922</v>
      </c>
      <c r="X186" s="142" t="n">
        <f aca="false">X84-X181</f>
        <v>38.4355754109521</v>
      </c>
      <c r="Y186" s="142" t="n">
        <f aca="false">Y84-Y181</f>
        <v>35.4945438987644</v>
      </c>
      <c r="Z186" s="142" t="n">
        <f aca="false">Z84-Z181</f>
        <v>32.2873851627465</v>
      </c>
      <c r="AA186" s="142" t="n">
        <f aca="false">AA84-AA181</f>
        <v>28.8093253432912</v>
      </c>
      <c r="AB186" s="142" t="n">
        <f aca="false">AB84-AB181</f>
        <v>25.0586531156446</v>
      </c>
      <c r="AC186" s="142" t="n">
        <f aca="false">AC84-AC181</f>
        <v>21.033631801097</v>
      </c>
      <c r="AD186" s="142" t="n">
        <f aca="false">AD84-AD181</f>
        <v>16.7324976655793</v>
      </c>
      <c r="AE186" s="142" t="n">
        <f aca="false">AE84-AE181</f>
        <v>12.1534582136707</v>
      </c>
      <c r="AF186" s="142" t="n">
        <f aca="false">AF84-AF181</f>
        <v>7.29469047550951</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7.8</v>
      </c>
      <c r="D187" s="142" t="n">
        <f aca="false">D181</f>
        <v>15.9588</v>
      </c>
      <c r="E187" s="142" t="n">
        <f aca="false">E181</f>
        <v>24.4887786</v>
      </c>
      <c r="F187" s="142" t="n">
        <f aca="false">F181</f>
        <v>33.4026940104</v>
      </c>
      <c r="G187" s="142" t="n">
        <f aca="false">G181</f>
        <v>42.713694965799</v>
      </c>
      <c r="H187" s="142" t="n">
        <f aca="false">H181</f>
        <v>43.6961099500124</v>
      </c>
      <c r="I187" s="142" t="n">
        <f aca="false">I181</f>
        <v>44.7011204788626</v>
      </c>
      <c r="J187" s="142" t="n">
        <f aca="false">J181</f>
        <v>45.7292462498765</v>
      </c>
      <c r="K187" s="142" t="n">
        <f aca="false">K181</f>
        <v>46.7810189136236</v>
      </c>
      <c r="L187" s="142" t="n">
        <f aca="false">L181</f>
        <v>47.856982348637</v>
      </c>
      <c r="M187" s="142" t="n">
        <f aca="false">M181</f>
        <v>48.9576929426556</v>
      </c>
      <c r="N187" s="142" t="n">
        <f aca="false">N181</f>
        <v>50.0837198803367</v>
      </c>
      <c r="O187" s="142" t="n">
        <f aca="false">O181</f>
        <v>51.2356454375844</v>
      </c>
      <c r="P187" s="142" t="n">
        <f aca="false">P181</f>
        <v>52.4140652826489</v>
      </c>
      <c r="Q187" s="142" t="n">
        <f aca="false">Q181</f>
        <v>53.6195887841498</v>
      </c>
      <c r="R187" s="142" t="n">
        <f aca="false">R181</f>
        <v>54.8528393261852</v>
      </c>
      <c r="S187" s="142" t="n">
        <f aca="false">S181</f>
        <v>56.1144546306875</v>
      </c>
      <c r="T187" s="142" t="n">
        <f aca="false">T181</f>
        <v>57.4050870871933</v>
      </c>
      <c r="U187" s="142" t="n">
        <f aca="false">U181</f>
        <v>58.7254040901987</v>
      </c>
      <c r="V187" s="142" t="n">
        <f aca="false">V181</f>
        <v>60.0760883842733</v>
      </c>
      <c r="W187" s="142" t="n">
        <f aca="false">W181</f>
        <v>61.4578384171116</v>
      </c>
      <c r="X187" s="142" t="n">
        <f aca="false">X181</f>
        <v>62.8713687007051</v>
      </c>
      <c r="Y187" s="142" t="n">
        <f aca="false">Y181</f>
        <v>64.3174101808214</v>
      </c>
      <c r="Z187" s="142" t="n">
        <f aca="false">Z181</f>
        <v>65.7967106149802</v>
      </c>
      <c r="AA187" s="142" t="n">
        <f aca="false">AA181</f>
        <v>67.3100349591248</v>
      </c>
      <c r="AB187" s="142" t="n">
        <f aca="false">AB181</f>
        <v>68.8581657631846</v>
      </c>
      <c r="AC187" s="142" t="n">
        <f aca="false">AC181</f>
        <v>70.4419035757379</v>
      </c>
      <c r="AD187" s="142" t="n">
        <f aca="false">AD181</f>
        <v>72.0620673579798</v>
      </c>
      <c r="AE187" s="142" t="n">
        <f aca="false">AE181</f>
        <v>73.7194949072134</v>
      </c>
      <c r="AF187" s="142" t="n">
        <f aca="false">AF181</f>
        <v>75.4150432900793</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19.4215608443432</v>
      </c>
      <c r="D189" s="142" t="n">
        <f aca="false">D68-C68</f>
        <v>11.86034303308</v>
      </c>
      <c r="E189" s="142" t="n">
        <f aca="false">E68-D68</f>
        <v>10.081009082352</v>
      </c>
      <c r="F189" s="142" t="n">
        <f aca="false">F68-E68</f>
        <v>27.8662976092699</v>
      </c>
      <c r="G189" s="142" t="n">
        <f aca="false">G68-F68</f>
        <v>0</v>
      </c>
      <c r="H189" s="142" t="n">
        <f aca="false">H68-G68</f>
        <v>0</v>
      </c>
      <c r="I189" s="142" t="n">
        <f aca="false">I68-H68</f>
        <v>0</v>
      </c>
      <c r="J189" s="142" t="n">
        <f aca="false">J68-I68</f>
        <v>0</v>
      </c>
      <c r="K189" s="142" t="n">
        <f aca="false">K68-J68</f>
        <v>0</v>
      </c>
      <c r="L189" s="142" t="n">
        <f aca="false">L68-K68</f>
        <v>0</v>
      </c>
      <c r="M189" s="142" t="n">
        <f aca="false">M68-L68</f>
        <v>1.38856962260887</v>
      </c>
      <c r="N189" s="142" t="n">
        <f aca="false">N68-M68</f>
        <v>1.3826766801534</v>
      </c>
      <c r="O189" s="142" t="n">
        <f aca="false">O68-N68</f>
        <v>1.37666776943308</v>
      </c>
      <c r="P189" s="142" t="n">
        <f aca="false">P68-O68</f>
        <v>1.37054017755725</v>
      </c>
      <c r="Q189" s="142" t="n">
        <f aca="false">Q68-P68</f>
        <v>1.36429111658197</v>
      </c>
      <c r="R189" s="142" t="n">
        <f aca="false">R68-Q68</f>
        <v>1.32756540619802</v>
      </c>
      <c r="S189" s="142" t="n">
        <f aca="false">S68-R68</f>
        <v>1.29123348971962</v>
      </c>
      <c r="T189" s="142" t="n">
        <f aca="false">T68-S68</f>
        <v>1.25530406385016</v>
      </c>
      <c r="U189" s="142" t="n">
        <f aca="false">U68-T68</f>
        <v>1.21978597488997</v>
      </c>
      <c r="V189" s="142" t="n">
        <f aca="false">V68-U68</f>
        <v>1.18468822046604</v>
      </c>
      <c r="W189" s="142" t="n">
        <f aca="false">W68-V68</f>
        <v>1.15001995125182</v>
      </c>
      <c r="X189" s="142" t="n">
        <f aca="false">X68-W68</f>
        <v>1.11579047267522</v>
      </c>
      <c r="Y189" s="142" t="n">
        <f aca="false">Y68-X68</f>
        <v>1.08200924661315</v>
      </c>
      <c r="Z189" s="142" t="n">
        <f aca="false">Z68-Y68</f>
        <v>1.04868589307065</v>
      </c>
      <c r="AA189" s="142" t="n">
        <f aca="false">AA68-Z68</f>
        <v>1.01583019184268</v>
      </c>
      <c r="AB189" s="142" t="n">
        <f aca="false">AB68-AA68</f>
        <v>0.983452084156568</v>
      </c>
      <c r="AC189" s="142" t="n">
        <f aca="false">AC68-AB68</f>
        <v>0.951561674292975</v>
      </c>
      <c r="AD189" s="142" t="n">
        <f aca="false">AD68-AC68</f>
        <v>0.920169231183024</v>
      </c>
      <c r="AE189" s="142" t="n">
        <f aca="false">AE68-AD68</f>
        <v>0.889285189979361</v>
      </c>
      <c r="AF189" s="142" t="n">
        <f aca="false">AF68-AE68</f>
        <v>0.858920153598717</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-18.7405090044246</v>
      </c>
      <c r="D192" s="142" t="n">
        <f aca="false">D149-SUM($C$191:D191)</f>
        <v>-37.8667132713588</v>
      </c>
      <c r="E192" s="142" t="n">
        <f aca="false">E149-SUM($C$191:E191)</f>
        <v>-57.3827250682576</v>
      </c>
      <c r="F192" s="142" t="n">
        <f aca="false">F149-SUM($C$191:F191)</f>
        <v>-76.7371833479764</v>
      </c>
      <c r="G192" s="142" t="n">
        <f aca="false">G149-SUM($C$191:G191)</f>
        <v>-96.500468003139</v>
      </c>
      <c r="H192" s="142" t="n">
        <f aca="false">H149-SUM($C$191:H191)</f>
        <v>-116.662147756544</v>
      </c>
      <c r="I192" s="142" t="n">
        <f aca="false">I149-SUM($C$191:I191)</f>
        <v>-137.211645503956</v>
      </c>
      <c r="J192" s="142" t="n">
        <f aca="false">J149-SUM($C$191:J191)</f>
        <v>-158.138219562275</v>
      </c>
      <c r="K192" s="142" t="n">
        <f aca="false">K149-SUM($C$191:K191)</f>
        <v>-179.430945250079</v>
      </c>
      <c r="L192" s="142" t="n">
        <f aca="false">L149-SUM($C$191:L191)</f>
        <v>-201.078831089864</v>
      </c>
      <c r="M192" s="142" t="n">
        <f aca="false">M149-SUM($C$191:M191)</f>
        <v>-202.337369132758</v>
      </c>
      <c r="N192" s="142" t="n">
        <f aca="false">N149-SUM($C$191:N191)</f>
        <v>-203.299563588317</v>
      </c>
      <c r="O192" s="142" t="n">
        <f aca="false">O149-SUM($C$191:O191)</f>
        <v>-204.032857407664</v>
      </c>
      <c r="P192" s="142" t="n">
        <f aca="false">P149-SUM($C$191:P191)</f>
        <v>-204.503977197165</v>
      </c>
      <c r="Q192" s="142" t="n">
        <f aca="false">Q149-SUM($C$191:Q191)</f>
        <v>-204.703752438562</v>
      </c>
      <c r="R192" s="142" t="n">
        <f aca="false">R149-SUM($C$191:R191)</f>
        <v>-204.222510353939</v>
      </c>
      <c r="S192" s="142" t="n">
        <f aca="false">S149-SUM($C$191:S191)</f>
        <v>-203.440021900979</v>
      </c>
      <c r="T192" s="142" t="n">
        <f aca="false">T149-SUM($C$191:T191)</f>
        <v>-202.345805137291</v>
      </c>
      <c r="U192" s="142" t="n">
        <f aca="false">U149-SUM($C$191:U191)</f>
        <v>-200.928909302822</v>
      </c>
      <c r="V192" s="142" t="n">
        <f aca="false">V149-SUM($C$191:V191)</f>
        <v>-199.177905539466</v>
      </c>
      <c r="W192" s="142" t="n">
        <f aca="false">W149-SUM($C$191:W191)</f>
        <v>-197.0807415991</v>
      </c>
      <c r="X192" s="142" t="n">
        <f aca="false">X149-SUM($C$191:X191)</f>
        <v>-194.624867454862</v>
      </c>
      <c r="Y192" s="142" t="n">
        <f aca="false">Y149-SUM($C$191:Y191)</f>
        <v>-191.797224275258</v>
      </c>
      <c r="Z192" s="142" t="n">
        <f aca="false">Z149-SUM($C$191:Z191)</f>
        <v>-188.584232735162</v>
      </c>
      <c r="AA192" s="142" t="n">
        <f aca="false">AA149-SUM($C$191:AA191)</f>
        <v>-184.971780716007</v>
      </c>
      <c r="AB192" s="142" t="n">
        <f aca="false">AB149-SUM($C$191:AB191)</f>
        <v>-180.945213350499</v>
      </c>
      <c r="AC192" s="142" t="n">
        <f aca="false">AC149-SUM($C$191:AC191)</f>
        <v>-176.489319447437</v>
      </c>
      <c r="AD192" s="142" t="n">
        <f aca="false">AD149-SUM($C$191:AD191)</f>
        <v>-171.588317304456</v>
      </c>
      <c r="AE192" s="142" t="n">
        <f aca="false">AE149-SUM($C$191:AE191)</f>
        <v>-166.22583990587</v>
      </c>
      <c r="AF192" s="142" t="n">
        <f aca="false">AF149-SUM($C$191:AF191)</f>
        <v>-160.384919500741</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196" customFormat="false" ht="14.25" hidden="false" customHeight="true" outlineLevel="0" collapsed="false">
      <c r="B196" s="7" t="s">
        <v>1394</v>
      </c>
    </row>
    <row r="197" customFormat="false" ht="14.25" hidden="false" customHeight="true" outlineLevel="0" collapsed="false">
      <c r="B197" s="103" t="s">
        <v>1395</v>
      </c>
      <c r="C197" s="150" t="n">
        <v>0.25</v>
      </c>
    </row>
    <row r="198" customFormat="false" ht="14.25" hidden="false" customHeight="true" outlineLevel="0" collapsed="false">
      <c r="B198" s="103" t="s">
        <v>1396</v>
      </c>
      <c r="C198" s="153" t="n">
        <v>16</v>
      </c>
    </row>
    <row r="199" customFormat="false" ht="14.25" hidden="false" customHeight="true" outlineLevel="0" collapsed="false">
      <c r="B199" s="83" t="s">
        <v>1397</v>
      </c>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57.20223777748</v>
      </c>
      <c r="D216" s="88" t="n">
        <f aca="false">SUM($C$48:D48)+SUM($C$49:D49)</f>
        <v>92.16842363948</v>
      </c>
      <c r="E216" s="88" t="n">
        <f aca="false">SUM($C$48:E48)+SUM($C$49:E49)</f>
        <v>121.90419803948</v>
      </c>
      <c r="F216" s="88" t="n">
        <f aca="false">SUM($C$48:F48)+SUM($C$49:F49)</f>
        <v>249.593079470832</v>
      </c>
      <c r="G216" s="88" t="n">
        <f aca="false">SUM($C$48:G48)+SUM($C$49:G49)</f>
        <v>249.593079470832</v>
      </c>
      <c r="H216" s="88" t="n">
        <f aca="false">SUM($C$48:H48)+SUM($C$49:H49)</f>
        <v>249.593079470832</v>
      </c>
      <c r="I216" s="88" t="n">
        <f aca="false">SUM($C$48:I48)+SUM($C$49:I49)</f>
        <v>249.593079470832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0.0509688668974895</v>
      </c>
      <c r="E217" s="87" t="n">
        <f aca="false">IF(E216*01_Supuestos!$I$107&gt;0,E218/(E216*01_Supuestos!$I$107),0)</f>
        <v>0.0682973576887884</v>
      </c>
      <c r="F217" s="87" t="n">
        <f aca="false">IF(F216*01_Supuestos!$I$107&gt;0,F218/(F216*01_Supuestos!$I$107),0)</f>
        <v>0.0634524323699542</v>
      </c>
      <c r="G217" s="87" t="n">
        <f aca="false">IF(G216*01_Supuestos!$I$107&gt;0,G218/(G216*01_Supuestos!$I$107),0)</f>
        <v>0.0916067011835296</v>
      </c>
      <c r="H217" s="87" t="n">
        <f aca="false">IF(H216*01_Supuestos!$I$107&gt;0,H218/(H216*01_Supuestos!$I$107),0)</f>
        <v>0.117945216317087</v>
      </c>
      <c r="I217" s="87" t="n">
        <f aca="false">IF(I216*01_Supuestos!$I$107&gt;0,I218/(I216*01_Supuestos!$I$107),0)</f>
        <v>0.142585081199891</v>
      </c>
      <c r="J217" s="87" t="n">
        <f aca="false">IF(J216*01_Supuestos!$I$107&gt;0,J218/(J216*01_Supuestos!$I$107),0)</f>
        <v>0.16563584690799</v>
      </c>
      <c r="K217" s="87" t="n">
        <f aca="false">IF(K216*01_Supuestos!$I$107&gt;0,K218/(K216*01_Supuestos!$I$107),0)</f>
        <v>0.187199999238243</v>
      </c>
      <c r="L217" s="87" t="n">
        <f aca="false">IF(L216*01_Supuestos!$I$107&gt;0,L218/(L216*01_Supuestos!$I$107),0)</f>
        <v>0.207373414369481</v>
      </c>
      <c r="M217" s="87" t="n">
        <f aca="false">IF(M216*01_Supuestos!$I$107&gt;0,M218/(M216*01_Supuestos!$I$107),0)</f>
        <v>0.218855466492788</v>
      </c>
      <c r="N217" s="87" t="n">
        <f aca="false">IF(N216*01_Supuestos!$I$107&gt;0,N218/(N216*01_Supuestos!$I$107),0)</f>
        <v>0.225079503902148</v>
      </c>
      <c r="O217" s="87" t="n">
        <f aca="false">IF(O216*01_Supuestos!$I$107&gt;0,O218/(O216*01_Supuestos!$I$107),0)</f>
        <v>0.227060381734684</v>
      </c>
      <c r="P217" s="87" t="n">
        <f aca="false">IF(P216*01_Supuestos!$I$107&gt;0,P218/(P216*01_Supuestos!$I$107),0)</f>
        <v>0.212416573136742</v>
      </c>
      <c r="Q217" s="87" t="n">
        <f aca="false">IF(Q216*01_Supuestos!$I$107&gt;0,Q218/(Q216*01_Supuestos!$I$107),0)</f>
        <v>0.198717187905902</v>
      </c>
      <c r="R217" s="87" t="n">
        <f aca="false">IF(R216*01_Supuestos!$I$107&gt;0,R218/(R216*01_Supuestos!$I$107),0)</f>
        <v>0.185901317331812</v>
      </c>
      <c r="S217" s="87" t="n">
        <f aca="false">IF(S216*01_Supuestos!$I$107&gt;0,S218/(S216*01_Supuestos!$I$107),0)</f>
        <v>0.173911980890489</v>
      </c>
      <c r="T217" s="87" t="n">
        <f aca="false">IF(T216*01_Supuestos!$I$107&gt;0,T218/(T216*01_Supuestos!$I$107),0)</f>
        <v>0.162695872903738</v>
      </c>
      <c r="U217" s="87" t="n">
        <f aca="false">IF(U216*01_Supuestos!$I$107&gt;0,U218/(U216*01_Supuestos!$I$107),0)</f>
        <v>0.152203125537263</v>
      </c>
      <c r="V217" s="87" t="n">
        <f aca="false">IF(V216*01_Supuestos!$I$107&gt;0,V218/(V216*01_Supuestos!$I$107),0)</f>
        <v>0.142387087083754</v>
      </c>
      <c r="W217" s="87" t="n">
        <f aca="false">IF(W216*01_Supuestos!$I$107&gt;0,W218/(W216*01_Supuestos!$I$107),0)</f>
        <v>0.133204114545157</v>
      </c>
      <c r="X217" s="87" t="n">
        <f aca="false">IF(X216*01_Supuestos!$I$107&gt;0,X218/(X216*01_Supuestos!$I$107),0)</f>
        <v>0.124613379591946</v>
      </c>
      <c r="Y217" s="87" t="n">
        <f aca="false">IF(Y216*01_Supuestos!$I$107&gt;0,Y218/(Y216*01_Supuestos!$I$107),0)</f>
        <v>0.116576687036662</v>
      </c>
      <c r="Z217" s="87" t="n">
        <f aca="false">IF(Z216*01_Supuestos!$I$107&gt;0,Z218/(Z216*01_Supuestos!$I$107),0)</f>
        <v>0.109058305014642</v>
      </c>
      <c r="AA217" s="87" t="n">
        <f aca="false">IF(AA216*01_Supuestos!$I$107&gt;0,AA218/(AA216*01_Supuestos!$I$107),0)</f>
        <v>0.102024806116906</v>
      </c>
      <c r="AB217" s="87" t="n">
        <f aca="false">IF(AB216*01_Supuestos!$I$107&gt;0,AB218/(AB216*01_Supuestos!$I$107),0)</f>
        <v>0.0954449187688624</v>
      </c>
      <c r="AC217" s="87" t="n">
        <f aca="false">IF(AC216*01_Supuestos!$I$107&gt;0,AC218/(AC216*01_Supuestos!$I$107),0)</f>
        <v>0.0892893881940461</v>
      </c>
      <c r="AD217" s="87" t="n">
        <f aca="false">IF(AD216*01_Supuestos!$I$107&gt;0,AD218/(AD216*01_Supuestos!$I$107),0)</f>
        <v>0.0835308463447298</v>
      </c>
      <c r="AE217" s="87" t="n">
        <f aca="false">IF(AE216*01_Supuestos!$I$107&gt;0,AE218/(AE216*01_Supuestos!$I$107),0)</f>
        <v>0.0781436902210975</v>
      </c>
      <c r="AF217" s="87" t="n">
        <f aca="false">IF(AF216*01_Supuestos!$I$107&gt;0,AF218/(AF216*01_Supuestos!$I$107),0)</f>
        <v>0.0731039680379836</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0.0922286194301994</v>
      </c>
      <c r="D218" s="88" t="n">
        <f aca="false">(1-01_Supuestos!$C$157)*SUMPRODUCT(($C$48:D48+$C$49:D49)*(EXP(-(((D$39-$C$39:D$39+1)-01_Supuestos!$C$156)+ABS((D$39-$C$39:D$39+1)-01_Supuestos!$C$156))/2/01_Supuestos!$C$155)-EXP(-(D$39-$C$39:D$39+1)/01_Supuestos!$C$155)))*01_Supuestos!$I$107</f>
        <v>0.234886005831604</v>
      </c>
      <c r="E218" s="88" t="n">
        <f aca="false">(1-01_Supuestos!$C$157)*SUMPRODUCT(($C$48:E48+$C$49:E49)*(EXP(-(((E$39-$C$39:E$39+1)-01_Supuestos!$C$156)+ABS((E$39-$C$39:E$39+1)-01_Supuestos!$C$156))/2/01_Supuestos!$C$155)-EXP(-(E$39-$C$39:E$39+1)/01_Supuestos!$C$155)))*01_Supuestos!$I$107</f>
        <v>0.416286730863363</v>
      </c>
      <c r="F218" s="88" t="n">
        <f aca="false">(1-01_Supuestos!$C$157)*SUMPRODUCT(($C$48:F48+$C$49:F49)*(EXP(-(((F$39-$C$39:F$39+1)-01_Supuestos!$C$156)+ABS((F$39-$C$39:F$39+1)-01_Supuestos!$C$156))/2/01_Supuestos!$C$155)-EXP(-(F$39-$C$39:F$39+1)/01_Supuestos!$C$155)))*01_Supuestos!$I$107</f>
        <v>0.791864399756578</v>
      </c>
      <c r="G218" s="88" t="n">
        <f aca="false">(1-01_Supuestos!$C$157)*SUMPRODUCT(($C$48:G48+$C$49:G49)*(EXP(-(((G$39-$C$39:G$39+1)-01_Supuestos!$C$156)+ABS((G$39-$C$39:G$39+1)-01_Supuestos!$C$156))/2/01_Supuestos!$C$155)-EXP(-(G$39-$C$39:G$39+1)/01_Supuestos!$C$155)))*01_Supuestos!$I$107</f>
        <v>1.14321993242807</v>
      </c>
      <c r="H218" s="88" t="n">
        <f aca="false">(1-01_Supuestos!$C$157)*SUMPRODUCT(($C$48:H48+$C$49:H49)*(EXP(-(((H$39-$C$39:H$39+1)-01_Supuestos!$C$156)+ABS((H$39-$C$39:H$39+1)-01_Supuestos!$C$156))/2/01_Supuestos!$C$155)-EXP(-(H$39-$C$39:H$39+1)/01_Supuestos!$C$155)))*01_Supuestos!$I$107</f>
        <v>1.47191548747176</v>
      </c>
      <c r="I218" s="88" t="n">
        <f aca="false">(1-01_Supuestos!$C$157)*SUMPRODUCT(($C$48:I48+$C$49:I49)*(EXP(-(((I$39-$C$39:I$39+1)-01_Supuestos!$C$156)+ABS((I$39-$C$39:I$39+1)-01_Supuestos!$C$156))/2/01_Supuestos!$C$155)-EXP(-(I$39-$C$39:I$39+1)/01_Supuestos!$C$155)))*01_Supuestos!$I$107</f>
        <v>1.77941247516398</v>
      </c>
      <c r="J218" s="88" t="n">
        <f aca="false">(1-01_Supuestos!$C$157)*SUMPRODUCT(($C$48:J48+$C$49:J49)*(EXP(-(((J$39-$C$39:J$39+1)-01_Supuestos!$C$156)+ABS((J$39-$C$39:J$39+1)-01_Supuestos!$C$156))/2/01_Supuestos!$C$155)-EXP(-(J$39-$C$39:J$39+1)/01_Supuestos!$C$155)))*01_Supuestos!$I$107</f>
        <v>2.06707805502622</v>
      </c>
      <c r="K218" s="88" t="n">
        <f aca="false">(1-01_Supuestos!$C$157)*SUMPRODUCT(($C$48:K48+$C$49:K49)*(EXP(-(((K$39-$C$39:K$39+1)-01_Supuestos!$C$156)+ABS((K$39-$C$39:K$39+1)-01_Supuestos!$C$156))/2/01_Supuestos!$C$155)-EXP(-(K$39-$C$39:K$39+1)/01_Supuestos!$C$155)))*01_Supuestos!$I$107</f>
        <v>2.33619121434053</v>
      </c>
      <c r="L218" s="88" t="n">
        <f aca="false">(1-01_Supuestos!$C$157)*SUMPRODUCT(($C$48:L48+$C$49:L49)*(EXP(-(((L$39-$C$39:L$39+1)-01_Supuestos!$C$156)+ABS((L$39-$C$39:L$39+1)-01_Supuestos!$C$156))/2/01_Supuestos!$C$155)-EXP(-(L$39-$C$39:L$39+1)/01_Supuestos!$C$155)))*01_Supuestos!$I$107</f>
        <v>2.58794845464299</v>
      </c>
      <c r="M218" s="88" t="n">
        <f aca="false">(1-01_Supuestos!$C$157)*SUMPRODUCT(($C$48:M48+$C$49:M49)*(EXP(-(((M$39-$C$39:M$39+1)-01_Supuestos!$C$156)+ABS((M$39-$C$39:M$39+1)-01_Supuestos!$C$156))/2/01_Supuestos!$C$155)-EXP(-(M$39-$C$39:M$39+1)/01_Supuestos!$C$155)))*01_Supuestos!$I$107</f>
        <v>2.73124049204802</v>
      </c>
      <c r="N218" s="88" t="n">
        <f aca="false">(1-01_Supuestos!$C$157)*SUMPRODUCT(($C$48:N48+$C$49:N49)*(EXP(-(((N$39-$C$39:N$39+1)-01_Supuestos!$C$156)+ABS((N$39-$C$39:N$39+1)-01_Supuestos!$C$156))/2/01_Supuestos!$C$155)-EXP(-(N$39-$C$39:N$39+1)/01_Supuestos!$C$155)))*01_Supuestos!$I$107</f>
        <v>2.80891432523521</v>
      </c>
      <c r="O218" s="88" t="n">
        <f aca="false">(1-01_Supuestos!$C$157)*SUMPRODUCT(($C$48:O48+$C$49:O49)*(EXP(-(((O$39-$C$39:O$39+1)-01_Supuestos!$C$156)+ABS((O$39-$C$39:O$39+1)-01_Supuestos!$C$156))/2/01_Supuestos!$C$155)-EXP(-(O$39-$C$39:O$39+1)/01_Supuestos!$C$155)))*01_Supuestos!$I$107</f>
        <v>2.83363499514912</v>
      </c>
      <c r="P218" s="88" t="n">
        <f aca="false">(1-01_Supuestos!$C$157)*SUMPRODUCT(($C$48:P48+$C$49:P49)*(EXP(-(((P$39-$C$39:P$39+1)-01_Supuestos!$C$156)+ABS((P$39-$C$39:P$39+1)-01_Supuestos!$C$156))/2/01_Supuestos!$C$155)-EXP(-(P$39-$C$39:P$39+1)/01_Supuestos!$C$155)))*01_Supuestos!$I$107</f>
        <v>2.65088533099203</v>
      </c>
      <c r="Q218" s="88" t="n">
        <f aca="false">(1-01_Supuestos!$C$157)*SUMPRODUCT(($C$48:Q48+$C$49:Q49)*(EXP(-(((Q$39-$C$39:Q$39+1)-01_Supuestos!$C$156)+ABS((Q$39-$C$39:Q$39+1)-01_Supuestos!$C$156))/2/01_Supuestos!$C$155)-EXP(-(Q$39-$C$39:Q$39+1)/01_Supuestos!$C$155)))*01_Supuestos!$I$107</f>
        <v>2.4799217436609</v>
      </c>
      <c r="R218" s="88" t="n">
        <f aca="false">(1-01_Supuestos!$C$157)*SUMPRODUCT(($C$48:R48+$C$49:R49)*(EXP(-(((R$39-$C$39:R$39+1)-01_Supuestos!$C$156)+ABS((R$39-$C$39:R$39+1)-01_Supuestos!$C$156))/2/01_Supuestos!$C$155)-EXP(-(R$39-$C$39:R$39+1)/01_Supuestos!$C$155)))*01_Supuestos!$I$107</f>
        <v>2.31998411352656</v>
      </c>
      <c r="S218" s="88" t="n">
        <f aca="false">(1-01_Supuestos!$C$157)*SUMPRODUCT(($C$48:S48+$C$49:S49)*(EXP(-(((S$39-$C$39:S$39+1)-01_Supuestos!$C$156)+ABS((S$39-$C$39:S$39+1)-01_Supuestos!$C$156))/2/01_Supuestos!$C$155)-EXP(-(S$39-$C$39:S$39+1)/01_Supuestos!$C$155)))*01_Supuestos!$I$107</f>
        <v>2.17036134336648</v>
      </c>
      <c r="T218" s="88" t="n">
        <f aca="false">(1-01_Supuestos!$C$157)*SUMPRODUCT(($C$48:T48+$C$49:T49)*(EXP(-(((T$39-$C$39:T$39+1)-01_Supuestos!$C$156)+ABS((T$39-$C$39:T$39+1)-01_Supuestos!$C$156))/2/01_Supuestos!$C$155)-EXP(-(T$39-$C$39:T$39+1)/01_Supuestos!$C$155)))*01_Supuestos!$I$107</f>
        <v>2.03038819676195</v>
      </c>
      <c r="U218" s="88" t="n">
        <f aca="false">(1-01_Supuestos!$C$157)*SUMPRODUCT(($C$48:U48+$C$49:U49)*(EXP(-(((U$39-$C$39:U$39+1)-01_Supuestos!$C$156)+ABS((U$39-$C$39:U$39+1)-01_Supuestos!$C$156))/2/01_Supuestos!$C$155)-EXP(-(U$39-$C$39:U$39+1)/01_Supuestos!$C$155)))*01_Supuestos!$I$107</f>
        <v>1.89944234039655</v>
      </c>
      <c r="V218" s="88" t="n">
        <f aca="false">(1-01_Supuestos!$C$157)*SUMPRODUCT(($C$48:V48+$C$49:V49)*(EXP(-(((V$39-$C$39:V$39+1)-01_Supuestos!$C$156)+ABS((V$39-$C$39:V$39+1)-01_Supuestos!$C$156))/2/01_Supuestos!$C$155)-EXP(-(V$39-$C$39:V$39+1)/01_Supuestos!$C$155)))*01_Supuestos!$I$107</f>
        <v>1.77694157710578</v>
      </c>
      <c r="W218" s="88" t="n">
        <f aca="false">(1-01_Supuestos!$C$157)*SUMPRODUCT(($C$48:W48+$C$49:W49)*(EXP(-(((W$39-$C$39:W$39+1)-01_Supuestos!$C$156)+ABS((W$39-$C$39:W$39+1)-01_Supuestos!$C$156))/2/01_Supuestos!$C$155)-EXP(-(W$39-$C$39:W$39+1)/01_Supuestos!$C$155)))*01_Supuestos!$I$107</f>
        <v>1.66234125737556</v>
      </c>
      <c r="X218" s="88" t="n">
        <f aca="false">(1-01_Supuestos!$C$157)*SUMPRODUCT(($C$48:X48+$C$49:X49)*(EXP(-(((X$39-$C$39:X$39+1)-01_Supuestos!$C$156)+ABS((X$39-$C$39:X$39+1)-01_Supuestos!$C$156))/2/01_Supuestos!$C$155)-EXP(-(X$39-$C$39:X$39+1)/01_Supuestos!$C$155)))*01_Supuestos!$I$107</f>
        <v>1.55513185778108</v>
      </c>
      <c r="Y218" s="88" t="n">
        <f aca="false">(1-01_Supuestos!$C$157)*SUMPRODUCT(($C$48:Y48+$C$49:Y49)*(EXP(-(((Y$39-$C$39:Y$39+1)-01_Supuestos!$C$156)+ABS((Y$39-$C$39:Y$39+1)-01_Supuestos!$C$156))/2/01_Supuestos!$C$155)-EXP(-(Y$39-$C$39:Y$39+1)/01_Supuestos!$C$155)))*01_Supuestos!$I$107</f>
        <v>1.45483671559939</v>
      </c>
      <c r="Z218" s="88" t="n">
        <f aca="false">(1-01_Supuestos!$C$157)*SUMPRODUCT(($C$48:Z48+$C$49:Z49)*(EXP(-(((Z$39-$C$39:Z$39+1)-01_Supuestos!$C$156)+ABS((Z$39-$C$39:Z$39+1)-01_Supuestos!$C$156))/2/01_Supuestos!$C$155)-EXP(-(Z$39-$C$39:Z$39+1)/01_Supuestos!$C$155)))*01_Supuestos!$I$107</f>
        <v>1.36100990952369</v>
      </c>
      <c r="AA218" s="88" t="n">
        <f aca="false">(1-01_Supuestos!$C$157)*SUMPRODUCT(($C$48:AA48+$C$49:AA49)*(EXP(-(((AA$39-$C$39:AA$39+1)-01_Supuestos!$C$156)+ABS((AA$39-$C$39:AA$39+1)-01_Supuestos!$C$156))/2/01_Supuestos!$C$155)-EXP(-(AA$39-$C$39:AA$39+1)/01_Supuestos!$C$155)))*01_Supuestos!$I$107</f>
        <v>1.27323427705666</v>
      </c>
      <c r="AB218" s="88" t="n">
        <f aca="false">(1-01_Supuestos!$C$157)*SUMPRODUCT(($C$48:AB48+$C$49:AB49)*(EXP(-(((AB$39-$C$39:AB$39+1)-01_Supuestos!$C$156)+ABS((AB$39-$C$39:AB$39+1)-01_Supuestos!$C$156))/2/01_Supuestos!$C$155)-EXP(-(AB$39-$C$39:AB$39+1)/01_Supuestos!$C$155)))*01_Supuestos!$I$107</f>
        <v>1.19111955976819</v>
      </c>
      <c r="AC218" s="88" t="n">
        <f aca="false">(1-01_Supuestos!$C$157)*SUMPRODUCT(($C$48:AC48+$C$49:AC49)*(EXP(-(((AC$39-$C$39:AC$39+1)-01_Supuestos!$C$156)+ABS((AC$39-$C$39:AC$39+1)-01_Supuestos!$C$156))/2/01_Supuestos!$C$155)-EXP(-(AC$39-$C$39:AC$39+1)/01_Supuestos!$C$155)))*01_Supuestos!$I$107</f>
        <v>1.11430066817093</v>
      </c>
      <c r="AD218" s="88" t="n">
        <f aca="false">(1-01_Supuestos!$C$157)*SUMPRODUCT(($C$48:AD48+$C$49:AD49)*(EXP(-(((AD$39-$C$39:AD$39+1)-01_Supuestos!$C$156)+ABS((AD$39-$C$39:AD$39+1)-01_Supuestos!$C$156))/2/01_Supuestos!$C$155)-EXP(-(AD$39-$C$39:AD$39+1)/01_Supuestos!$C$155)))*01_Supuestos!$I$107</f>
        <v>1.0424360584993</v>
      </c>
      <c r="AE218" s="88" t="n">
        <f aca="false">(1-01_Supuestos!$C$157)*SUMPRODUCT(($C$48:AE48+$C$49:AE49)*(EXP(-(((AE$39-$C$39:AE$39+1)-01_Supuestos!$C$156)+ABS((AE$39-$C$39:AE$39+1)-01_Supuestos!$C$156))/2/01_Supuestos!$C$155)-EXP(-(AE$39-$C$39:AE$39+1)/01_Supuestos!$C$155)))*01_Supuestos!$I$107</f>
        <v>0.975206214174923</v>
      </c>
      <c r="AF218" s="88" t="n">
        <f aca="false">(1-01_Supuestos!$C$157)*SUMPRODUCT(($C$48:AF48+$C$49:AF49)*(EXP(-(((AF$39-$C$39:AF$39+1)-01_Supuestos!$C$156)+ABS((AF$39-$C$39:AF$39+1)-01_Supuestos!$C$156))/2/01_Supuestos!$C$155)-EXP(-(AF$39-$C$39:AF$39+1)/01_Supuestos!$C$155)))*01_Supuestos!$I$107</f>
        <v>0.91231222520688</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0.0922286194301994</v>
      </c>
      <c r="D220" s="88" t="n">
        <f aca="false">D218</f>
        <v>0.234886005831604</v>
      </c>
      <c r="E220" s="88" t="n">
        <f aca="false">E218</f>
        <v>0.416286730863363</v>
      </c>
      <c r="F220" s="88" t="n">
        <f aca="false">F218</f>
        <v>0.791864399756578</v>
      </c>
      <c r="G220" s="88" t="n">
        <f aca="false">G218</f>
        <v>1.14321993242807</v>
      </c>
      <c r="H220" s="88" t="n">
        <f aca="false">H218</f>
        <v>1.47191548747176</v>
      </c>
      <c r="I220" s="88" t="n">
        <f aca="false">I218</f>
        <v>1.77941247516398</v>
      </c>
      <c r="J220" s="88" t="n">
        <f aca="false">J218</f>
        <v>2.06707805502622</v>
      </c>
      <c r="K220" s="88" t="n">
        <f aca="false">K218</f>
        <v>2.33619121434053</v>
      </c>
      <c r="L220" s="88" t="n">
        <f aca="false">L218</f>
        <v>2.58794845464299</v>
      </c>
      <c r="M220" s="88" t="n">
        <f aca="false">M218</f>
        <v>2.73124049204802</v>
      </c>
      <c r="N220" s="88" t="n">
        <f aca="false">N218</f>
        <v>2.80891432523521</v>
      </c>
      <c r="O220" s="88" t="n">
        <f aca="false">O218</f>
        <v>2.83363499514912</v>
      </c>
      <c r="P220" s="88" t="n">
        <f aca="false">P218</f>
        <v>2.65088533099203</v>
      </c>
      <c r="Q220" s="88" t="n">
        <f aca="false">Q218</f>
        <v>2.4799217436609</v>
      </c>
      <c r="R220" s="88" t="n">
        <f aca="false">R218</f>
        <v>2.31998411352656</v>
      </c>
      <c r="S220" s="88" t="n">
        <f aca="false">S218</f>
        <v>2.17036134336648</v>
      </c>
      <c r="T220" s="88" t="n">
        <f aca="false">T218</f>
        <v>2.03038819676195</v>
      </c>
      <c r="U220" s="88" t="n">
        <f aca="false">U218</f>
        <v>1.89944234039655</v>
      </c>
      <c r="V220" s="88" t="n">
        <f aca="false">V218</f>
        <v>1.77694157710578</v>
      </c>
      <c r="W220" s="88" t="n">
        <f aca="false">W218</f>
        <v>1.66234125737556</v>
      </c>
      <c r="X220" s="88" t="n">
        <f aca="false">X218</f>
        <v>1.55513185778108</v>
      </c>
      <c r="Y220" s="88" t="n">
        <f aca="false">Y218</f>
        <v>1.45483671559939</v>
      </c>
      <c r="Z220" s="88" t="n">
        <f aca="false">Z218</f>
        <v>1.36100990952369</v>
      </c>
      <c r="AA220" s="88" t="n">
        <f aca="false">AA218</f>
        <v>1.27323427705666</v>
      </c>
      <c r="AB220" s="88" t="n">
        <f aca="false">AB218</f>
        <v>1.19111955976819</v>
      </c>
      <c r="AC220" s="88" t="n">
        <f aca="false">AC218</f>
        <v>1.11430066817093</v>
      </c>
      <c r="AD220" s="88" t="n">
        <f aca="false">AD218</f>
        <v>1.0424360584993</v>
      </c>
      <c r="AE220" s="88" t="n">
        <f aca="false">AE218</f>
        <v>0.975206214174923</v>
      </c>
      <c r="AF220" s="88" t="n">
        <f aca="false">AF218</f>
        <v>0.91231222520688</v>
      </c>
    </row>
    <row r="221" customFormat="false" ht="14.25" hidden="false" customHeight="true" outlineLevel="0" collapsed="false">
      <c r="B221" s="1" t="s">
        <v>1217</v>
      </c>
      <c r="C221" s="116" t="n">
        <f aca="false">C112</f>
        <v>0.0591443938619143</v>
      </c>
      <c r="D221" s="116" t="n">
        <f aca="false">D112</f>
        <v>0.0972387701116566</v>
      </c>
      <c r="E221" s="116" t="n">
        <f aca="false">E112</f>
        <v>0.131110835807634</v>
      </c>
      <c r="F221" s="116" t="n">
        <f aca="false">F112</f>
        <v>0.272854842892533</v>
      </c>
      <c r="G221" s="116" t="n">
        <f aca="false">G112</f>
        <v>0.2855563421679</v>
      </c>
      <c r="H221" s="116" t="n">
        <f aca="false">H112</f>
        <v>0.298301481098916</v>
      </c>
      <c r="I221" s="116" t="n">
        <f aca="false">I112</f>
        <v>0.31109010233844</v>
      </c>
      <c r="J221" s="116" t="n">
        <f aca="false">J112</f>
        <v>0.323922086776223</v>
      </c>
      <c r="K221" s="116" t="n">
        <f aca="false">K112</f>
        <v>0.336797352082607</v>
      </c>
      <c r="L221" s="116" t="n">
        <f aca="false">L112</f>
        <v>0.349801964639669</v>
      </c>
      <c r="M221" s="116" t="n">
        <f aca="false">M112</f>
        <v>0.362426080830021</v>
      </c>
      <c r="N221" s="116" t="n">
        <f aca="false">N112</f>
        <v>0.375209618014158</v>
      </c>
      <c r="O221" s="116" t="n">
        <f aca="false">O112</f>
        <v>0.387247978503958</v>
      </c>
      <c r="P221" s="116" t="n">
        <f aca="false">P112</f>
        <v>0.396765557602879</v>
      </c>
      <c r="Q221" s="116" t="n">
        <f aca="false">Q112</f>
        <v>0.406361641967449</v>
      </c>
      <c r="R221" s="116" t="n">
        <f aca="false">R112</f>
        <v>0.415932908538592</v>
      </c>
      <c r="S221" s="116" t="n">
        <f aca="false">S112</f>
        <v>0.425488535535643</v>
      </c>
      <c r="T221" s="116" t="n">
        <f aca="false">T112</f>
        <v>0.435030162872076</v>
      </c>
      <c r="U221" s="116" t="n">
        <f aca="false">U112</f>
        <v>0.444572451878619</v>
      </c>
      <c r="V221" s="116" t="n">
        <f aca="false">V112</f>
        <v>0.45412998448566</v>
      </c>
      <c r="W221" s="116" t="n">
        <f aca="false">W112</f>
        <v>0.463578427853128</v>
      </c>
      <c r="X221" s="116" t="n">
        <f aca="false">X112</f>
        <v>0.472933042090261</v>
      </c>
      <c r="Y221" s="116" t="n">
        <f aca="false">Y112</f>
        <v>0.482209193727914</v>
      </c>
      <c r="Z221" s="116" t="n">
        <f aca="false">Z112</f>
        <v>0.491422327097679</v>
      </c>
      <c r="AA221" s="116" t="n">
        <f aca="false">AA112</f>
        <v>0.500587987935895</v>
      </c>
      <c r="AB221" s="116" t="n">
        <f aca="false">AB112</f>
        <v>0.509724877939683</v>
      </c>
      <c r="AC221" s="116" t="n">
        <f aca="false">AC112</f>
        <v>0.518851793035352</v>
      </c>
      <c r="AD221" s="116" t="n">
        <f aca="false">AD112</f>
        <v>0.527987648741876</v>
      </c>
      <c r="AE221" s="116" t="n">
        <f aca="false">AE112</f>
        <v>0.537151505984904</v>
      </c>
      <c r="AF221" s="116" t="n">
        <f aca="false">AF112</f>
        <v>0.546362596256517</v>
      </c>
    </row>
    <row r="222" customFormat="false" ht="14.25" hidden="false" customHeight="true" outlineLevel="0" collapsed="false">
      <c r="B222" s="1" t="s">
        <v>1218</v>
      </c>
      <c r="C222" s="87" t="n">
        <f aca="false">IF(C221&gt;0,C220/C221,0)</f>
        <v>1.55938058382215</v>
      </c>
      <c r="D222" s="87" t="n">
        <f aca="false">IF(D221&gt;0,D220/D221,0)</f>
        <v>2.41555920094311</v>
      </c>
      <c r="E222" s="87" t="n">
        <f aca="false">IF(E221&gt;0,E220/E221,0)</f>
        <v>3.17507495318037</v>
      </c>
      <c r="F222" s="87" t="n">
        <f aca="false">IF(F221&gt;0,F220/F221,0)</f>
        <v>2.90214529953739</v>
      </c>
      <c r="G222" s="87" t="n">
        <f aca="false">IF(G221&gt;0,G220/G221,0)</f>
        <v>4.00348289850235</v>
      </c>
      <c r="H222" s="87" t="n">
        <f aca="false">IF(H221&gt;0,H220/H221,0)</f>
        <v>4.93432175411719</v>
      </c>
      <c r="I222" s="87" t="n">
        <f aca="false">IF(I221&gt;0,I220/I221,0)</f>
        <v>5.71992635506007</v>
      </c>
      <c r="J222" s="87" t="n">
        <f aca="false">IF(J221&gt;0,J220/J221,0)</f>
        <v>6.381405095276</v>
      </c>
      <c r="K222" s="87" t="n">
        <f aca="false">IF(K221&gt;0,K220/K221,0)</f>
        <v>6.93648925650557</v>
      </c>
      <c r="L222" s="87" t="n">
        <f aca="false">IF(L221&gt;0,L220/L221,0)</f>
        <v>7.39832452716162</v>
      </c>
      <c r="M222" s="87" t="n">
        <f aca="false">IF(M221&gt;0,M220/M221,0)</f>
        <v>7.53599323148319</v>
      </c>
      <c r="N222" s="87" t="n">
        <f aca="false">IF(N221&gt;0,N220/N221,0)</f>
        <v>7.48625352436786</v>
      </c>
      <c r="O222" s="87" t="n">
        <f aca="false">IF(O221&gt;0,O220/O221,0)</f>
        <v>7.31736549302647</v>
      </c>
      <c r="P222" s="87" t="n">
        <f aca="false">IF(P221&gt;0,P220/P221,0)</f>
        <v>6.6812385304001</v>
      </c>
      <c r="Q222" s="87" t="n">
        <f aca="false">IF(Q221&gt;0,Q220/Q221,0)</f>
        <v>6.102745652011</v>
      </c>
      <c r="R222" s="87" t="n">
        <f aca="false">IF(R221&gt;0,R220/R221,0)</f>
        <v>5.57778445970524</v>
      </c>
      <c r="S222" s="87" t="n">
        <f aca="false">IF(S221&gt;0,S220/S221,0)</f>
        <v>5.1008691471187</v>
      </c>
      <c r="T222" s="87" t="n">
        <f aca="false">IF(T221&gt;0,T220/T221,0)</f>
        <v>4.66723544720968</v>
      </c>
      <c r="U222" s="87" t="n">
        <f aca="false">IF(U221&gt;0,U220/U221,0)</f>
        <v>4.27251471018982</v>
      </c>
      <c r="V222" s="87" t="n">
        <f aca="false">IF(V221&gt;0,V220/V221,0)</f>
        <v>3.9128479462071</v>
      </c>
      <c r="W222" s="87" t="n">
        <f aca="false">IF(W221&gt;0,W220/W221,0)</f>
        <v>3.58589001881301</v>
      </c>
      <c r="X222" s="87" t="n">
        <f aca="false">IF(X221&gt;0,X220/X221,0)</f>
        <v>3.28827068395926</v>
      </c>
      <c r="Y222" s="87" t="n">
        <f aca="false">IF(Y221&gt;0,Y220/Y221,0)</f>
        <v>3.01702401057969</v>
      </c>
      <c r="Z222" s="87" t="n">
        <f aca="false">IF(Z221&gt;0,Z220/Z221,0)</f>
        <v>2.76953209993889</v>
      </c>
      <c r="AA222" s="87" t="n">
        <f aca="false">IF(AA221&gt;0,AA220/AA221,0)</f>
        <v>2.54347748595939</v>
      </c>
      <c r="AB222" s="87" t="n">
        <f aca="false">IF(AB221&gt;0,AB220/AB221,0)</f>
        <v>2.33678914119851</v>
      </c>
      <c r="AC222" s="87" t="n">
        <f aca="false">IF(AC221&gt;0,AC220/AC221,0)</f>
        <v>2.14762805704519</v>
      </c>
      <c r="AD222" s="87" t="n">
        <f aca="false">IF(AD221&gt;0,AD220/AD221,0)</f>
        <v>1.97435690206634</v>
      </c>
      <c r="AE222" s="87" t="n">
        <f aca="false">IF(AE221&gt;0,AE220/AE221,0)</f>
        <v>1.81551425121078</v>
      </c>
      <c r="AF222" s="87" t="n">
        <f aca="false">IF(AF221&gt;0,AF220/AF221,0)</f>
        <v>1.66979260926301</v>
      </c>
    </row>
    <row r="223" customFormat="false" ht="14.25" hidden="false" customHeight="true" outlineLevel="0" collapsed="false">
      <c r="B223" s="1" t="s">
        <v>1219</v>
      </c>
      <c r="C223" s="88" t="n">
        <f aca="false">C220-C221</f>
        <v>0.0330842255682851</v>
      </c>
      <c r="D223" s="88" t="n">
        <f aca="false">D220-D221</f>
        <v>0.137647235719947</v>
      </c>
      <c r="E223" s="88" t="n">
        <f aca="false">E220-E221</f>
        <v>0.285175895055729</v>
      </c>
      <c r="F223" s="88" t="n">
        <f aca="false">F220-F221</f>
        <v>0.519009556864045</v>
      </c>
      <c r="G223" s="88" t="n">
        <f aca="false">G220-G221</f>
        <v>0.857663590260173</v>
      </c>
      <c r="H223" s="88" t="n">
        <f aca="false">H220-H221</f>
        <v>1.17361400637285</v>
      </c>
      <c r="I223" s="88" t="n">
        <f aca="false">I220-I221</f>
        <v>1.46832237282554</v>
      </c>
      <c r="J223" s="88" t="n">
        <f aca="false">J220-J221</f>
        <v>1.74315596825</v>
      </c>
      <c r="K223" s="88" t="n">
        <f aca="false">K220-K221</f>
        <v>1.99939386225792</v>
      </c>
      <c r="L223" s="88" t="n">
        <f aca="false">L220-L221</f>
        <v>2.23814649000332</v>
      </c>
      <c r="M223" s="88" t="n">
        <f aca="false">M220-M221</f>
        <v>2.368814411218</v>
      </c>
      <c r="N223" s="88" t="n">
        <f aca="false">N220-N221</f>
        <v>2.43370470722105</v>
      </c>
      <c r="O223" s="88" t="n">
        <f aca="false">O220-O221</f>
        <v>2.44638701664516</v>
      </c>
      <c r="P223" s="88" t="n">
        <f aca="false">P220-P221</f>
        <v>2.25411977338916</v>
      </c>
      <c r="Q223" s="88" t="n">
        <f aca="false">Q220-Q221</f>
        <v>2.07356010169345</v>
      </c>
      <c r="R223" s="88" t="n">
        <f aca="false">R220-R221</f>
        <v>1.90405120498797</v>
      </c>
      <c r="S223" s="88" t="n">
        <f aca="false">S220-S221</f>
        <v>1.74487280783084</v>
      </c>
      <c r="T223" s="88" t="n">
        <f aca="false">T220-T221</f>
        <v>1.59535803388987</v>
      </c>
      <c r="U223" s="88" t="n">
        <f aca="false">U220-U221</f>
        <v>1.45486988851794</v>
      </c>
      <c r="V223" s="88" t="n">
        <f aca="false">V220-V221</f>
        <v>1.32281159262012</v>
      </c>
      <c r="W223" s="88" t="n">
        <f aca="false">W220-W221</f>
        <v>1.19876282952243</v>
      </c>
      <c r="X223" s="88" t="n">
        <f aca="false">X220-X221</f>
        <v>1.08219881569081</v>
      </c>
      <c r="Y223" s="88" t="n">
        <f aca="false">Y220-Y221</f>
        <v>0.972627521871478</v>
      </c>
      <c r="Z223" s="88" t="n">
        <f aca="false">Z220-Z221</f>
        <v>0.86958758242601</v>
      </c>
      <c r="AA223" s="88" t="n">
        <f aca="false">AA220-AA221</f>
        <v>0.772646289120766</v>
      </c>
      <c r="AB223" s="88" t="n">
        <f aca="false">AB220-AB221</f>
        <v>0.681394681828506</v>
      </c>
      <c r="AC223" s="88" t="n">
        <f aca="false">AC220-AC221</f>
        <v>0.595448875135573</v>
      </c>
      <c r="AD223" s="88" t="n">
        <f aca="false">AD220-AD221</f>
        <v>0.514448409757424</v>
      </c>
      <c r="AE223" s="88" t="n">
        <f aca="false">AE220-AE221</f>
        <v>0.438054708190019</v>
      </c>
      <c r="AF223" s="88" t="n">
        <f aca="false">AF220-AF221</f>
        <v>0.365949628950364</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1.84457238860399</v>
      </c>
      <c r="D232" s="1" t="n">
        <f aca="false">D216*D217</f>
        <v>4.69772011663208</v>
      </c>
      <c r="E232" s="1" t="n">
        <f aca="false">E216*E217</f>
        <v>8.32573461726726</v>
      </c>
      <c r="F232" s="1" t="n">
        <f aca="false">F216*F217</f>
        <v>15.8372879951316</v>
      </c>
      <c r="G232" s="1" t="n">
        <f aca="false">G216*G217</f>
        <v>22.8643986485615</v>
      </c>
      <c r="H232" s="1" t="n">
        <f aca="false">H216*H217</f>
        <v>29.4383097494352</v>
      </c>
      <c r="I232" s="1" t="n">
        <f aca="false">I216*I217</f>
        <v>35.5882495032795</v>
      </c>
      <c r="J232" s="1" t="n">
        <f aca="false">J216*J217</f>
        <v>41.3415611005245</v>
      </c>
      <c r="K232" s="1" t="n">
        <f aca="false">K216*K217</f>
        <v>46.7238242868106</v>
      </c>
      <c r="L232" s="1" t="n">
        <f aca="false">L216*L217</f>
        <v>51.7589690928597</v>
      </c>
      <c r="M232" s="1" t="n">
        <f aca="false">M216*M217</f>
        <v>54.6248098409604</v>
      </c>
      <c r="N232" s="1" t="n">
        <f aca="false">N216*N217</f>
        <v>56.1782865047042</v>
      </c>
      <c r="O232" s="1" t="n">
        <f aca="false">O216*O217</f>
        <v>56.6726999029823</v>
      </c>
      <c r="P232" s="1" t="n">
        <f aca="false">P216*P217</f>
        <v>53.0177066198407</v>
      </c>
      <c r="Q232" s="1" t="n">
        <f aca="false">Q216*Q217</f>
        <v>49.598434873218</v>
      </c>
      <c r="R232" s="1" t="n">
        <f aca="false">R216*R217</f>
        <v>46.3996822705312</v>
      </c>
      <c r="S232" s="1" t="n">
        <f aca="false">S216*S217</f>
        <v>43.4072268673297</v>
      </c>
      <c r="T232" s="1" t="n">
        <f aca="false">T216*T217</f>
        <v>40.607763935239</v>
      </c>
      <c r="U232" s="1" t="n">
        <f aca="false">U216*U217</f>
        <v>37.9888468079311</v>
      </c>
      <c r="V232" s="1" t="n">
        <f aca="false">V216*V217</f>
        <v>35.5388315421156</v>
      </c>
      <c r="W232" s="1" t="n">
        <f aca="false">W216*W217</f>
        <v>33.2468251475111</v>
      </c>
      <c r="X232" s="1" t="n">
        <f aca="false">X216*X217</f>
        <v>31.1026371556215</v>
      </c>
      <c r="Y232" s="1" t="n">
        <f aca="false">Y216*Y217</f>
        <v>29.0967343119878</v>
      </c>
      <c r="Z232" s="1" t="n">
        <f aca="false">Z216*Z217</f>
        <v>27.2201981904738</v>
      </c>
      <c r="AA232" s="1" t="n">
        <f aca="false">AA216*AA217</f>
        <v>25.4646855411332</v>
      </c>
      <c r="AB232" s="1" t="n">
        <f aca="false">AB216*AB217</f>
        <v>23.8223911953638</v>
      </c>
      <c r="AC232" s="1" t="n">
        <f aca="false">AC216*AC217</f>
        <v>22.2860133634185</v>
      </c>
      <c r="AD232" s="1" t="n">
        <f aca="false">AD216*AD217</f>
        <v>20.848721169986</v>
      </c>
      <c r="AE232" s="1" t="n">
        <f aca="false">AE216*AE217</f>
        <v>19.5041242834985</v>
      </c>
      <c r="AF232" s="1" t="n">
        <f aca="false">AF216*AF217</f>
        <v>18.2462445041376</v>
      </c>
    </row>
    <row r="233" customFormat="false" ht="14.25" hidden="false" customHeight="true" outlineLevel="0" collapsed="false">
      <c r="B233" s="1" t="s">
        <v>1229</v>
      </c>
      <c r="C233" s="1" t="n">
        <f aca="false">IF(C81&gt;0,(C107+C109+C110+C184-C108-C229)/C81,0)</f>
        <v>0.012005859998004</v>
      </c>
      <c r="D233" s="1" t="n">
        <f aca="false">IF(C81&gt;0,(D107+D109+D110+D184-D108-D229)/C81,0)</f>
        <v>0.035694295916622</v>
      </c>
      <c r="E233" s="1" t="n">
        <f aca="false">IF(D81&gt;0,(E107+E109+E110+E184-E108-E229)/D81,0)</f>
        <v>0.0353763959009156</v>
      </c>
      <c r="F233" s="1" t="n">
        <f aca="false">IF(E81&gt;0,(F107+F109+F110+F184-F108-F229)/E81,0)</f>
        <v>0.0462426200348871</v>
      </c>
      <c r="G233" s="1" t="n">
        <f aca="false">IF(F81&gt;0,(G107+G109+G110+G184-G108-G229)/F81,0)</f>
        <v>0.0269499761828544</v>
      </c>
      <c r="H233" s="1" t="n">
        <f aca="false">IF(G81&gt;0,(H107+H109+H110+H184-H108-H229)/G81,0)</f>
        <v>0.0298603240777257</v>
      </c>
      <c r="I233" s="1" t="n">
        <f aca="false">IF(H81&gt;0,(I107+I109+I110+I184-I108-I229)/H81,0)</f>
        <v>0.0327638075303723</v>
      </c>
      <c r="J233" s="1" t="n">
        <f aca="false">IF(I81&gt;0,(J107+J109+J110+J184-J108-J229)/I81,0)</f>
        <v>0.0356714979165366</v>
      </c>
      <c r="K233" s="1" t="n">
        <f aca="false">IF(J81&gt;0,(K107+K109+K110+K184-K108-K229)/J81,0)</f>
        <v>0.0385371032878171</v>
      </c>
      <c r="L233" s="1" t="n">
        <f aca="false">IF(K81&gt;0,(L107+L109+L110+L184-L108-L229)/K81,0)</f>
        <v>0.0413668124121217</v>
      </c>
      <c r="M233" s="1" t="n">
        <f aca="false">IF(L81&gt;0,(M107+M109+M110+M184-M108-M229)/L81,0)</f>
        <v>0.0436666980237373</v>
      </c>
      <c r="N233" s="1" t="n">
        <f aca="false">IF(M81&gt;0,(N107+N109+N110+N184-N108-N229)/M81,0)</f>
        <v>0.0430401056730529</v>
      </c>
      <c r="O233" s="1" t="n">
        <f aca="false">IF(N81&gt;0,(O107+O109+O110+O184-O108-O229)/N81,0)</f>
        <v>0.04259230978975</v>
      </c>
      <c r="P233" s="1" t="n">
        <f aca="false">IF(O81&gt;0,(P107+P109+P110+P184-P108-P229)/O81,0)</f>
        <v>0.0423066713309728</v>
      </c>
      <c r="Q233" s="1" t="n">
        <f aca="false">IF(P81&gt;0,(Q107+Q109+Q110+Q184-Q108-Q229)/P81,0)</f>
        <v>0.0422545479495192</v>
      </c>
      <c r="R233" s="1" t="n">
        <f aca="false">IF(Q81&gt;0,(R107+R109+R110+R184-R108-R229)/Q81,0)</f>
        <v>0.0421913964183813</v>
      </c>
      <c r="S233" s="1" t="n">
        <f aca="false">IF(R81&gt;0,(S107+S109+S110+S184-S108-S229)/R81,0)</f>
        <v>0.0421120367070096</v>
      </c>
      <c r="T233" s="1" t="n">
        <f aca="false">IF(S81&gt;0,(T107+T109+T110+T184-T108-T229)/S81,0)</f>
        <v>0.0420487837085015</v>
      </c>
      <c r="U233" s="1" t="n">
        <f aca="false">IF(T81&gt;0,(U107+U109+U110+U184-U108-U229)/T81,0)</f>
        <v>0.042001668439904</v>
      </c>
      <c r="V233" s="1" t="n">
        <f aca="false">IF(U81&gt;0,(V107+V109+V110+V184-V108-V229)/U81,0)</f>
        <v>0.0419694574989018</v>
      </c>
      <c r="W233" s="1" t="n">
        <f aca="false">IF(V81&gt;0,(W107+W109+W110+W184-W108-W229)/V81,0)</f>
        <v>0.0419510985562582</v>
      </c>
      <c r="X233" s="1" t="n">
        <f aca="false">IF(W81&gt;0,(X107+X109+X110+X184-X108-X229)/W81,0)</f>
        <v>0.0419583080870713</v>
      </c>
      <c r="Y233" s="1" t="n">
        <f aca="false">IF(X81&gt;0,(Y107+Y109+Y110+Y184-Y108-Y229)/X81,0)</f>
        <v>0.041989379755336</v>
      </c>
      <c r="Z233" s="1" t="n">
        <f aca="false">IF(Y81&gt;0,(Z107+Z109+Z110+Z184-Z108-Z229)/Y81,0)</f>
        <v>0.0420427449810175</v>
      </c>
      <c r="AA233" s="1" t="n">
        <f aca="false">IF(Z81&gt;0,(AA107+AA109+AA110+AA184-AA108-AA229)/Z81,0)</f>
        <v>0.0421169478357233</v>
      </c>
      <c r="AB233" s="1" t="n">
        <f aca="false">IF(AA81&gt;0,(AB107+AB109+AB110+AB184-AB108-AB229)/AA81,0)</f>
        <v>0.0422106461130152</v>
      </c>
      <c r="AC233" s="1" t="n">
        <f aca="false">IF(AB81&gt;0,(AC107+AC109+AC110+AC184-AC108-AC229)/AB81,0)</f>
        <v>0.0423223389561343</v>
      </c>
      <c r="AD233" s="1" t="n">
        <f aca="false">IF(AC81&gt;0,(AD107+AD109+AD110+AD184-AD108-AD229)/AC81,0)</f>
        <v>0.0424506245820221</v>
      </c>
      <c r="AE233" s="1" t="n">
        <f aca="false">IF(AD81&gt;0,(AE107+AE109+AE110+AE184-AE108-AE229)/AD81,0)</f>
        <v>0.0425941845210635</v>
      </c>
      <c r="AF233" s="1" t="n">
        <f aca="false">IF(AE81&gt;0,(AF107+AF109+AF110+AF184-AF108-AF229)/AE81,0)</f>
        <v>0.0427517704040815</v>
      </c>
    </row>
    <row r="234" customFormat="false" ht="14.25" hidden="false" customHeight="true" outlineLevel="0" collapsed="false">
      <c r="B234" s="1" t="s">
        <v>1230</v>
      </c>
      <c r="C234" s="1" t="n">
        <f aca="false">(C232+0)/2*C233</f>
        <v>0.0110728389268816</v>
      </c>
      <c r="D234" s="1" t="n">
        <f aca="false">(D232+C232)/2*D233</f>
        <v>0.116761262327497</v>
      </c>
      <c r="E234" s="1" t="n">
        <f aca="false">(E232+D232)/2*E233</f>
        <v>0.230361445332038</v>
      </c>
      <c r="F234" s="1" t="n">
        <f aca="false">(F232+E232)/2*F233</f>
        <v>0.558680736779772</v>
      </c>
      <c r="G234" s="1" t="n">
        <f aca="false">(G232+F232)/2*G233</f>
        <v>0.52150476664191</v>
      </c>
      <c r="H234" s="1" t="n">
        <f aca="false">(H232+G232)/2*H233</f>
        <v>0.780887911453483</v>
      </c>
      <c r="I234" s="1" t="n">
        <f aca="false">(I232+H232)/2*I233</f>
        <v>1.06525883585915</v>
      </c>
      <c r="J234" s="1" t="n">
        <f aca="false">(J232+I232)/2*J233</f>
        <v>1.37210078933657</v>
      </c>
      <c r="K234" s="1" t="n">
        <f aca="false">(K232+J232)/2*K233</f>
        <v>1.69689242637657</v>
      </c>
      <c r="L234" s="1" t="n">
        <f aca="false">(L232+K232)/2*L233</f>
        <v>2.03695961977928</v>
      </c>
      <c r="M234" s="1" t="n">
        <f aca="false">(M232+L232)/2*M233</f>
        <v>2.32271417466357</v>
      </c>
      <c r="N234" s="1" t="n">
        <f aca="false">(N232+M232)/2*N233</f>
        <v>2.38448848780943</v>
      </c>
      <c r="O234" s="1" t="n">
        <f aca="false">(O232+N232)/2*O233</f>
        <v>2.40329208657752</v>
      </c>
      <c r="P234" s="1" t="n">
        <f aca="false">(P232+O232)/2*P233</f>
        <v>2.32031798846094</v>
      </c>
      <c r="Q234" s="1" t="n">
        <f aca="false">(Q232+P232)/2*Q233</f>
        <v>2.16799933555655</v>
      </c>
      <c r="R234" s="1" t="n">
        <f aca="false">(R232+Q232)/2*R233</f>
        <v>2.02514730791506</v>
      </c>
      <c r="S234" s="1" t="n">
        <f aca="false">(S232+R232)/2*S233</f>
        <v>1.89097592707834</v>
      </c>
      <c r="T234" s="1" t="n">
        <f aca="false">(T232+S232)/2*T233</f>
        <v>1.76636408826448</v>
      </c>
      <c r="U234" s="1" t="n">
        <f aca="false">(U232+T232)/2*U233</f>
        <v>1.65059439246741</v>
      </c>
      <c r="V234" s="1" t="n">
        <f aca="false">(V232+U232)/2*V233</f>
        <v>1.5429583857526</v>
      </c>
      <c r="W234" s="1" t="n">
        <f aca="false">(W232+V232)/2*W233</f>
        <v>1.44281693152174</v>
      </c>
      <c r="X234" s="1" t="n">
        <f aca="false">(X232+W232)/2*X233</f>
        <v>1.34999728227611</v>
      </c>
      <c r="Y234" s="1" t="n">
        <f aca="false">(Y232+X232)/2*Y233</f>
        <v>1.26386713479299</v>
      </c>
      <c r="Z234" s="1" t="n">
        <f aca="false">(Z232+Y232)/2*Z233</f>
        <v>1.18385921565709</v>
      </c>
      <c r="AA234" s="1" t="n">
        <f aca="false">(AA232+Z232)/2*AA233</f>
        <v>1.10946324992762</v>
      </c>
      <c r="AB234" s="1" t="n">
        <f aca="false">(AB232+AA232)/2*AB233</f>
        <v>1.04021967703465</v>
      </c>
      <c r="AC234" s="1" t="n">
        <f aca="false">(AC232+AB232)/2*AC233</f>
        <v>0.975707763231677</v>
      </c>
      <c r="AD234" s="1" t="n">
        <f aca="false">(AD232+AC232)/2*AD233</f>
        <v>0.915548211061369</v>
      </c>
      <c r="AE234" s="1" t="n">
        <f aca="false">(AE232+AD232)/2*AE233</f>
        <v>0.859398272597838</v>
      </c>
      <c r="AF234" s="1" t="n">
        <f aca="false">(AF232+AE232)/2*AF233</f>
        <v>0.806947549539211</v>
      </c>
    </row>
    <row r="235" customFormat="false" ht="14.25" hidden="false" customHeight="true" outlineLevel="0" collapsed="false">
      <c r="B235" s="1" t="s">
        <v>1231</v>
      </c>
      <c r="C235" s="1" t="n">
        <f aca="false">MAX(0,MIN(C234,$C$231*C232))</f>
        <v>0.00922286194301994</v>
      </c>
      <c r="D235" s="1" t="n">
        <f aca="false">MAX(0,MIN(D234,$C$231*D232))</f>
        <v>0.0234886005831604</v>
      </c>
      <c r="E235" s="1" t="n">
        <f aca="false">MAX(0,MIN(E234,$C$231*E232))</f>
        <v>0.0416286730863363</v>
      </c>
      <c r="F235" s="1" t="n">
        <f aca="false">MAX(0,MIN(F234,$C$231*F232))</f>
        <v>0.0791864399756578</v>
      </c>
      <c r="G235" s="1" t="n">
        <f aca="false">MAX(0,MIN(G234,$C$231*G232))</f>
        <v>0.114321993242807</v>
      </c>
      <c r="H235" s="1" t="n">
        <f aca="false">MAX(0,MIN(H234,$C$231*H232))</f>
        <v>0.147191548747176</v>
      </c>
      <c r="I235" s="1" t="n">
        <f aca="false">MAX(0,MIN(I234,$C$231*I232))</f>
        <v>0.177941247516398</v>
      </c>
      <c r="J235" s="1" t="n">
        <f aca="false">MAX(0,MIN(J234,$C$231*J232))</f>
        <v>0.206707805502622</v>
      </c>
      <c r="K235" s="1" t="n">
        <f aca="false">MAX(0,MIN(K234,$C$231*K232))</f>
        <v>0.233619121434053</v>
      </c>
      <c r="L235" s="1" t="n">
        <f aca="false">MAX(0,MIN(L234,$C$231*L232))</f>
        <v>0.258794845464299</v>
      </c>
      <c r="M235" s="1" t="n">
        <f aca="false">MAX(0,MIN(M234,$C$231*M232))</f>
        <v>0.273124049204802</v>
      </c>
      <c r="N235" s="1" t="n">
        <f aca="false">MAX(0,MIN(N234,$C$231*N232))</f>
        <v>0.280891432523521</v>
      </c>
      <c r="O235" s="1" t="n">
        <f aca="false">MAX(0,MIN(O234,$C$231*O232))</f>
        <v>0.283363499514912</v>
      </c>
      <c r="P235" s="1" t="n">
        <f aca="false">MAX(0,MIN(P234,$C$231*P232))</f>
        <v>0.265088533099203</v>
      </c>
      <c r="Q235" s="1" t="n">
        <f aca="false">MAX(0,MIN(Q234,$C$231*Q232))</f>
        <v>0.24799217436609</v>
      </c>
      <c r="R235" s="1" t="n">
        <f aca="false">MAX(0,MIN(R234,$C$231*R232))</f>
        <v>0.231998411352656</v>
      </c>
      <c r="S235" s="1" t="n">
        <f aca="false">MAX(0,MIN(S234,$C$231*S232))</f>
        <v>0.217036134336648</v>
      </c>
      <c r="T235" s="1" t="n">
        <f aca="false">MAX(0,MIN(T234,$C$231*T232))</f>
        <v>0.203038819676195</v>
      </c>
      <c r="U235" s="1" t="n">
        <f aca="false">MAX(0,MIN(U234,$C$231*U232))</f>
        <v>0.189944234039655</v>
      </c>
      <c r="V235" s="1" t="n">
        <f aca="false">MAX(0,MIN(V234,$C$231*V232))</f>
        <v>0.177694157710578</v>
      </c>
      <c r="W235" s="1" t="n">
        <f aca="false">MAX(0,MIN(W234,$C$231*W232))</f>
        <v>0.166234125737556</v>
      </c>
      <c r="X235" s="1" t="n">
        <f aca="false">MAX(0,MIN(X234,$C$231*X232))</f>
        <v>0.155513185778108</v>
      </c>
      <c r="Y235" s="1" t="n">
        <f aca="false">MAX(0,MIN(Y234,$C$231*Y232))</f>
        <v>0.145483671559939</v>
      </c>
      <c r="Z235" s="1" t="n">
        <f aca="false">MAX(0,MIN(Z234,$C$231*Z232))</f>
        <v>0.136100990952369</v>
      </c>
      <c r="AA235" s="1" t="n">
        <f aca="false">MAX(0,MIN(AA234,$C$231*AA232))</f>
        <v>0.127323427705666</v>
      </c>
      <c r="AB235" s="1" t="n">
        <f aca="false">MAX(0,MIN(AB234,$C$231*AB232))</f>
        <v>0.119111955976819</v>
      </c>
      <c r="AC235" s="1" t="n">
        <f aca="false">MAX(0,MIN(AC234,$C$231*AC232))</f>
        <v>0.111430066817093</v>
      </c>
      <c r="AD235" s="1" t="n">
        <f aca="false">MAX(0,MIN(AD234,$C$231*AD232))</f>
        <v>0.10424360584993</v>
      </c>
      <c r="AE235" s="1" t="n">
        <f aca="false">MAX(0,MIN(AE234,$C$231*AE232))</f>
        <v>0.0975206214174923</v>
      </c>
      <c r="AF235" s="1" t="n">
        <f aca="false">MAX(0,MIN(AF234,$C$231*AF232))</f>
        <v>0.091231222520688</v>
      </c>
    </row>
    <row r="236" customFormat="false" ht="14.25" hidden="false" customHeight="true" outlineLevel="0" collapsed="false">
      <c r="B236" s="1" t="s">
        <v>1232</v>
      </c>
      <c r="C236" s="1" t="n">
        <f aca="false">MAX(0,C234-C235)</f>
        <v>0.00184997698386167</v>
      </c>
      <c r="D236" s="1" t="n">
        <f aca="false">MAX(0,D234-D235)</f>
        <v>0.093272661744337</v>
      </c>
      <c r="E236" s="1" t="n">
        <f aca="false">MAX(0,E234-E235)</f>
        <v>0.188732772245702</v>
      </c>
      <c r="F236" s="1" t="n">
        <f aca="false">MAX(0,F234-F235)</f>
        <v>0.479494296804114</v>
      </c>
      <c r="G236" s="1" t="n">
        <f aca="false">MAX(0,G234-G235)</f>
        <v>0.407182773399103</v>
      </c>
      <c r="H236" s="1" t="n">
        <f aca="false">MAX(0,H234-H235)</f>
        <v>0.633696362706307</v>
      </c>
      <c r="I236" s="1" t="n">
        <f aca="false">MAX(0,I234-I235)</f>
        <v>0.88731758834275</v>
      </c>
      <c r="J236" s="1" t="n">
        <f aca="false">MAX(0,J234-J235)</f>
        <v>1.16539298383395</v>
      </c>
      <c r="K236" s="1" t="n">
        <f aca="false">MAX(0,K234-K235)</f>
        <v>1.46327330494252</v>
      </c>
      <c r="L236" s="1" t="n">
        <f aca="false">MAX(0,L234-L235)</f>
        <v>1.77816477431498</v>
      </c>
      <c r="M236" s="1" t="n">
        <f aca="false">MAX(0,M234-M235)</f>
        <v>2.04959012545877</v>
      </c>
      <c r="N236" s="1" t="n">
        <f aca="false">MAX(0,N234-N235)</f>
        <v>2.10359705528591</v>
      </c>
      <c r="O236" s="1" t="n">
        <f aca="false">MAX(0,O234-O235)</f>
        <v>2.11992858706261</v>
      </c>
      <c r="P236" s="1" t="n">
        <f aca="false">MAX(0,P234-P235)</f>
        <v>2.05522945536173</v>
      </c>
      <c r="Q236" s="1" t="n">
        <f aca="false">MAX(0,Q234-Q235)</f>
        <v>1.92000716119046</v>
      </c>
      <c r="R236" s="1" t="n">
        <f aca="false">MAX(0,R234-R235)</f>
        <v>1.79314889656241</v>
      </c>
      <c r="S236" s="1" t="n">
        <f aca="false">MAX(0,S234-S235)</f>
        <v>1.67393979274169</v>
      </c>
      <c r="T236" s="1" t="n">
        <f aca="false">MAX(0,T234-T235)</f>
        <v>1.56332526858828</v>
      </c>
      <c r="U236" s="1" t="n">
        <f aca="false">MAX(0,U234-U235)</f>
        <v>1.46065015842776</v>
      </c>
      <c r="V236" s="1" t="n">
        <f aca="false">MAX(0,V234-V235)</f>
        <v>1.36526422804203</v>
      </c>
      <c r="W236" s="1" t="n">
        <f aca="false">MAX(0,W234-W235)</f>
        <v>1.27658280578418</v>
      </c>
      <c r="X236" s="1" t="n">
        <f aca="false">MAX(0,X234-X235)</f>
        <v>1.194484096498</v>
      </c>
      <c r="Y236" s="1" t="n">
        <f aca="false">MAX(0,Y234-Y235)</f>
        <v>1.11838346323305</v>
      </c>
      <c r="Z236" s="1" t="n">
        <f aca="false">MAX(0,Z234-Z235)</f>
        <v>1.04775822470472</v>
      </c>
      <c r="AA236" s="1" t="n">
        <f aca="false">MAX(0,AA234-AA235)</f>
        <v>0.982139822221954</v>
      </c>
      <c r="AB236" s="1" t="n">
        <f aca="false">MAX(0,AB234-AB235)</f>
        <v>0.921107721057831</v>
      </c>
      <c r="AC236" s="1" t="n">
        <f aca="false">MAX(0,AC234-AC235)</f>
        <v>0.864277696414584</v>
      </c>
      <c r="AD236" s="1" t="n">
        <f aca="false">MAX(0,AD234-AD235)</f>
        <v>0.811304605211439</v>
      </c>
      <c r="AE236" s="1" t="n">
        <f aca="false">MAX(0,AE234-AE235)</f>
        <v>0.761877651180345</v>
      </c>
      <c r="AF236" s="1" t="n">
        <f aca="false">MAX(0,AF234-AF235)</f>
        <v>0.715716327018523</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0.155938058382215</v>
      </c>
      <c r="D238" s="1" t="n">
        <f aca="false">IF(D112&gt;0,D235/D112,0)</f>
        <v>0.241555920094311</v>
      </c>
      <c r="E238" s="1" t="n">
        <f aca="false">IF(E112&gt;0,E235/E112,0)</f>
        <v>0.317507495318037</v>
      </c>
      <c r="F238" s="1" t="n">
        <f aca="false">IF(F112&gt;0,F235/F112,0)</f>
        <v>0.290214529953739</v>
      </c>
      <c r="G238" s="1" t="n">
        <f aca="false">IF(G112&gt;0,G235/G112,0)</f>
        <v>0.400348289850234</v>
      </c>
      <c r="H238" s="1" t="n">
        <f aca="false">IF(H112&gt;0,H235/H112,0)</f>
        <v>0.493432175411719</v>
      </c>
      <c r="I238" s="1" t="n">
        <f aca="false">IF(I112&gt;0,I235/I112,0)</f>
        <v>0.571992635506007</v>
      </c>
      <c r="J238" s="1" t="n">
        <f aca="false">IF(J112&gt;0,J235/J112,0)</f>
        <v>0.6381405095276</v>
      </c>
      <c r="K238" s="1" t="n">
        <f aca="false">IF(K112&gt;0,K235/K112,0)</f>
        <v>0.693648925650557</v>
      </c>
      <c r="L238" s="1" t="n">
        <f aca="false">IF(L112&gt;0,L235/L112,0)</f>
        <v>0.739832452716162</v>
      </c>
      <c r="M238" s="1" t="n">
        <f aca="false">IF(M112&gt;0,M235/M112,0)</f>
        <v>0.753599323148319</v>
      </c>
      <c r="N238" s="1" t="n">
        <f aca="false">IF(N112&gt;0,N235/N112,0)</f>
        <v>0.748625352436786</v>
      </c>
      <c r="O238" s="1" t="n">
        <f aca="false">IF(O112&gt;0,O235/O112,0)</f>
        <v>0.731736549302647</v>
      </c>
      <c r="P238" s="1" t="n">
        <f aca="false">IF(P112&gt;0,P235/P112,0)</f>
        <v>0.66812385304001</v>
      </c>
      <c r="Q238" s="1" t="n">
        <f aca="false">IF(Q112&gt;0,Q235/Q112,0)</f>
        <v>0.6102745652011</v>
      </c>
      <c r="R238" s="1" t="n">
        <f aca="false">IF(R112&gt;0,R235/R112,0)</f>
        <v>0.557778445970524</v>
      </c>
      <c r="S238" s="1" t="n">
        <f aca="false">IF(S112&gt;0,S235/S112,0)</f>
        <v>0.51008691471187</v>
      </c>
      <c r="T238" s="1" t="n">
        <f aca="false">IF(T112&gt;0,T235/T112,0)</f>
        <v>0.466723544720968</v>
      </c>
      <c r="U238" s="1" t="n">
        <f aca="false">IF(U112&gt;0,U235/U112,0)</f>
        <v>0.427251471018982</v>
      </c>
      <c r="V238" s="1" t="n">
        <f aca="false">IF(V112&gt;0,V235/V112,0)</f>
        <v>0.39128479462071</v>
      </c>
      <c r="W238" s="1" t="n">
        <f aca="false">IF(W112&gt;0,W235/W112,0)</f>
        <v>0.358589001881301</v>
      </c>
      <c r="X238" s="1" t="n">
        <f aca="false">IF(X112&gt;0,X235/X112,0)</f>
        <v>0.328827068395926</v>
      </c>
      <c r="Y238" s="1" t="n">
        <f aca="false">IF(Y112&gt;0,Y235/Y112,0)</f>
        <v>0.301702401057969</v>
      </c>
      <c r="Z238" s="1" t="n">
        <f aca="false">IF(Z112&gt;0,Z235/Z112,0)</f>
        <v>0.276953209993889</v>
      </c>
      <c r="AA238" s="1" t="n">
        <f aca="false">IF(AA112&gt;0,AA235/AA112,0)</f>
        <v>0.254347748595939</v>
      </c>
      <c r="AB238" s="1" t="n">
        <f aca="false">IF(AB112&gt;0,AB235/AB112,0)</f>
        <v>0.233678914119851</v>
      </c>
      <c r="AC238" s="1" t="n">
        <f aca="false">IF(AC112&gt;0,AC235/AC112,0)</f>
        <v>0.214762805704519</v>
      </c>
      <c r="AD238" s="1" t="n">
        <f aca="false">IF(AD112&gt;0,AD235/AD112,0)</f>
        <v>0.197435690206634</v>
      </c>
      <c r="AE238" s="1" t="n">
        <f aca="false">IF(AE112&gt;0,AE235/AE112,0)</f>
        <v>0.181551425121078</v>
      </c>
      <c r="AF238" s="1" t="n">
        <f aca="false">IF(AF112&gt;0,AF235/AF112,0)</f>
        <v>0.166979260926301</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0.00184997698386167</v>
      </c>
      <c r="D243" s="1" t="n">
        <f aca="false">D236</f>
        <v>0.093272661744337</v>
      </c>
      <c r="E243" s="1" t="n">
        <f aca="false">E236</f>
        <v>0.188732772245702</v>
      </c>
      <c r="F243" s="1" t="n">
        <f aca="false">F236</f>
        <v>0.479494296804114</v>
      </c>
      <c r="G243" s="1" t="n">
        <f aca="false">G236</f>
        <v>0.407182773399103</v>
      </c>
      <c r="H243" s="1" t="n">
        <f aca="false">H236</f>
        <v>0.633696362706307</v>
      </c>
      <c r="I243" s="1" t="n">
        <f aca="false">I236</f>
        <v>0.88731758834275</v>
      </c>
      <c r="J243" s="1" t="n">
        <f aca="false">J236</f>
        <v>1.16539298383395</v>
      </c>
      <c r="K243" s="1" t="n">
        <f aca="false">K236</f>
        <v>1.46327330494252</v>
      </c>
      <c r="L243" s="1" t="n">
        <f aca="false">L236</f>
        <v>1.77816477431498</v>
      </c>
      <c r="M243" s="1" t="n">
        <f aca="false">M236</f>
        <v>2.04959012545877</v>
      </c>
      <c r="N243" s="1" t="n">
        <f aca="false">N236</f>
        <v>2.10359705528591</v>
      </c>
      <c r="O243" s="1" t="n">
        <f aca="false">O236</f>
        <v>2.11992858706261</v>
      </c>
      <c r="P243" s="1" t="n">
        <f aca="false">P236</f>
        <v>2.05522945536173</v>
      </c>
      <c r="Q243" s="1" t="n">
        <f aca="false">Q236</f>
        <v>1.92000716119046</v>
      </c>
      <c r="R243" s="1" t="n">
        <f aca="false">R236</f>
        <v>1.79314889656241</v>
      </c>
      <c r="S243" s="1" t="n">
        <f aca="false">S236</f>
        <v>1.67393979274169</v>
      </c>
      <c r="T243" s="1" t="n">
        <f aca="false">T236</f>
        <v>1.56332526858828</v>
      </c>
      <c r="U243" s="1" t="n">
        <f aca="false">U236</f>
        <v>1.46065015842776</v>
      </c>
      <c r="V243" s="1" t="n">
        <f aca="false">V236</f>
        <v>1.36526422804203</v>
      </c>
      <c r="W243" s="1" t="n">
        <f aca="false">W236</f>
        <v>1.27658280578418</v>
      </c>
      <c r="X243" s="1" t="n">
        <f aca="false">X236</f>
        <v>1.194484096498</v>
      </c>
      <c r="Y243" s="1" t="n">
        <f aca="false">Y236</f>
        <v>1.11838346323305</v>
      </c>
      <c r="Z243" s="1" t="n">
        <f aca="false">Z236</f>
        <v>1.04775822470472</v>
      </c>
      <c r="AA243" s="1" t="n">
        <f aca="false">AA236</f>
        <v>0.982139822221954</v>
      </c>
      <c r="AB243" s="1" t="n">
        <f aca="false">AB236</f>
        <v>0.921107721057831</v>
      </c>
      <c r="AC243" s="1" t="n">
        <f aca="false">AC236</f>
        <v>0.864277696414584</v>
      </c>
      <c r="AD243" s="1" t="n">
        <f aca="false">AD236</f>
        <v>0.811304605211439</v>
      </c>
      <c r="AE243" s="1" t="n">
        <f aca="false">AE236</f>
        <v>0.761877651180345</v>
      </c>
      <c r="AF243" s="1" t="n">
        <f aca="false">AF236</f>
        <v>0.715716327018523</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0.00184997698386167</v>
      </c>
      <c r="D247" s="1" t="n">
        <f aca="false">MAX(0,C248+D243-D244-D245-D246)</f>
        <v>0.0951226387281986</v>
      </c>
      <c r="E247" s="1" t="n">
        <f aca="false">MAX(0,D248+E243-E244-E245-E246)</f>
        <v>0.2838554109739</v>
      </c>
      <c r="F247" s="1" t="n">
        <f aca="false">MAX(0,E248+F243-F244-F245-F246)</f>
        <v>0.763349707778015</v>
      </c>
      <c r="G247" s="1" t="n">
        <f aca="false">MAX(0,F248+G243-G244-G245-G246)</f>
        <v>1.17053248117712</v>
      </c>
      <c r="H247" s="1" t="n">
        <f aca="false">MAX(0,G248+H243-H244-H245-H246)</f>
        <v>1.80422884388342</v>
      </c>
      <c r="I247" s="1" t="n">
        <f aca="false">MAX(0,H248+I243-I244-I245-I246)</f>
        <v>2.69154643222617</v>
      </c>
      <c r="J247" s="1" t="n">
        <f aca="false">MAX(0,I248+J243-J244-J245-J246)</f>
        <v>3.85693941606012</v>
      </c>
      <c r="K247" s="1" t="n">
        <f aca="false">MAX(0,J248+K243-K244-K245-K246)</f>
        <v>5.32021272100265</v>
      </c>
      <c r="L247" s="1" t="n">
        <f aca="false">MAX(0,K248+L243-L244-L245-L246)</f>
        <v>7.09837749531763</v>
      </c>
      <c r="M247" s="1" t="n">
        <f aca="false">MAX(0,L248+M243-M244-M245-M246)</f>
        <v>9.1479676207764</v>
      </c>
      <c r="N247" s="1" t="n">
        <f aca="false">MAX(0,M248+N243-N244-N245-N246)</f>
        <v>11.2515646760623</v>
      </c>
      <c r="O247" s="1" t="n">
        <f aca="false">MAX(0,N248+O243-O244-O245-O246)</f>
        <v>13.3714932631249</v>
      </c>
      <c r="P247" s="1" t="n">
        <f aca="false">MAX(0,O248+P243-P244-P245-P246)</f>
        <v>15.4267227184867</v>
      </c>
      <c r="Q247" s="1" t="n">
        <f aca="false">MAX(0,P248+Q243-Q244-Q245-Q246)</f>
        <v>17.3467298796771</v>
      </c>
      <c r="R247" s="1" t="n">
        <f aca="false">MAX(0,Q248+R243-R244-R245-R246)</f>
        <v>19.1398787762395</v>
      </c>
      <c r="S247" s="1" t="n">
        <f aca="false">MAX(0,R248+S243-S244-S245-S246)</f>
        <v>20.8138185689812</v>
      </c>
      <c r="T247" s="1" t="n">
        <f aca="false">MAX(0,S248+T243-T244-T245-T246)</f>
        <v>22.3771438375695</v>
      </c>
      <c r="U247" s="1" t="n">
        <f aca="false">MAX(0,T248+U243-U244-U245-U246)</f>
        <v>23.8377939959972</v>
      </c>
      <c r="V247" s="1" t="n">
        <f aca="false">MAX(0,U248+V243-V244-V245-V246)</f>
        <v>25.2030582240393</v>
      </c>
      <c r="W247" s="1" t="n">
        <f aca="false">MAX(0,V248+W243-W244-W245-W246)</f>
        <v>26.4796410298235</v>
      </c>
      <c r="X247" s="1" t="n">
        <f aca="false">MAX(0,W248+X243-X244-X245-X246)</f>
        <v>27.6741251263215</v>
      </c>
      <c r="Y247" s="1" t="n">
        <f aca="false">MAX(0,X248+Y243-Y244-Y245-Y246)</f>
        <v>28.7925085895545</v>
      </c>
      <c r="Z247" s="1" t="n">
        <f aca="false">MAX(0,Y248+Z243-Z244-Z245-Z246)</f>
        <v>29.8402668142592</v>
      </c>
      <c r="AA247" s="1" t="n">
        <f aca="false">MAX(0,Z248+AA243-AA244-AA245-AA246)</f>
        <v>30.8224066364812</v>
      </c>
      <c r="AB247" s="1" t="n">
        <f aca="false">MAX(0,AA248+AB243-AB244-AB245-AB246)</f>
        <v>31.743514357539</v>
      </c>
      <c r="AC247" s="1" t="n">
        <f aca="false">MAX(0,AB248+AC243-AC244-AC245-AC246)</f>
        <v>32.6077920539536</v>
      </c>
      <c r="AD247" s="1" t="n">
        <f aca="false">MAX(0,AC248+AD243-AD244-AD245-AD246)</f>
        <v>33.419096659165</v>
      </c>
      <c r="AE247" s="1" t="n">
        <f aca="false">MAX(0,AD248+AE243-AE244-AE245-AE246)</f>
        <v>34.1809743103454</v>
      </c>
      <c r="AF247" s="1" t="n">
        <f aca="false">MAX(0,AE248+AF243-AF244-AF245-AF246)</f>
        <v>34.8966906373639</v>
      </c>
    </row>
    <row r="248" customFormat="false" ht="14.25" hidden="false" customHeight="true" outlineLevel="0" collapsed="false">
      <c r="B248" s="1" t="s">
        <v>1244</v>
      </c>
      <c r="C248" s="1" t="n">
        <f aca="false">MIN(C247,MAX(0,C276))</f>
        <v>0.00184997698386167</v>
      </c>
      <c r="D248" s="1" t="n">
        <f aca="false">MIN(D247,MAX(0,D276))</f>
        <v>0.0951226387281986</v>
      </c>
      <c r="E248" s="1" t="n">
        <f aca="false">MIN(E247,MAX(0,E276))</f>
        <v>0.2838554109739</v>
      </c>
      <c r="F248" s="1" t="n">
        <f aca="false">MIN(F247,MAX(0,F276))</f>
        <v>0.763349707778015</v>
      </c>
      <c r="G248" s="1" t="n">
        <f aca="false">MIN(G247,MAX(0,G276))</f>
        <v>1.17053248117712</v>
      </c>
      <c r="H248" s="1" t="n">
        <f aca="false">MIN(H247,MAX(0,H276))</f>
        <v>1.80422884388342</v>
      </c>
      <c r="I248" s="1" t="n">
        <f aca="false">MIN(I247,MAX(0,I276))</f>
        <v>2.69154643222617</v>
      </c>
      <c r="J248" s="1" t="n">
        <f aca="false">MIN(J247,MAX(0,J276))</f>
        <v>3.85693941606012</v>
      </c>
      <c r="K248" s="1" t="n">
        <f aca="false">MIN(K247,MAX(0,K276))</f>
        <v>5.32021272100265</v>
      </c>
      <c r="L248" s="1" t="n">
        <f aca="false">MIN(L247,MAX(0,L276))</f>
        <v>7.09837749531763</v>
      </c>
      <c r="M248" s="1" t="n">
        <f aca="false">MIN(M247,MAX(0,M276))</f>
        <v>9.1479676207764</v>
      </c>
      <c r="N248" s="1" t="n">
        <f aca="false">MIN(N247,MAX(0,N276))</f>
        <v>11.2515646760623</v>
      </c>
      <c r="O248" s="1" t="n">
        <f aca="false">MIN(O247,MAX(0,O276))</f>
        <v>13.3714932631249</v>
      </c>
      <c r="P248" s="1" t="n">
        <f aca="false">MIN(P247,MAX(0,P276))</f>
        <v>15.4267227184867</v>
      </c>
      <c r="Q248" s="1" t="n">
        <f aca="false">MIN(Q247,MAX(0,Q276))</f>
        <v>17.3467298796771</v>
      </c>
      <c r="R248" s="1" t="n">
        <f aca="false">MIN(R247,MAX(0,R276))</f>
        <v>19.1398787762395</v>
      </c>
      <c r="S248" s="1" t="n">
        <f aca="false">MIN(S247,MAX(0,S276))</f>
        <v>20.8138185689812</v>
      </c>
      <c r="T248" s="1" t="n">
        <f aca="false">MIN(T247,MAX(0,T276))</f>
        <v>22.3771438375695</v>
      </c>
      <c r="U248" s="1" t="n">
        <f aca="false">MIN(U247,MAX(0,U276))</f>
        <v>23.8377939959972</v>
      </c>
      <c r="V248" s="1" t="n">
        <f aca="false">MIN(V247,MAX(0,V276))</f>
        <v>25.2030582240393</v>
      </c>
      <c r="W248" s="1" t="n">
        <f aca="false">MIN(W247,MAX(0,W276))</f>
        <v>26.4796410298235</v>
      </c>
      <c r="X248" s="1" t="n">
        <f aca="false">MIN(X247,MAX(0,X276))</f>
        <v>27.6741251263215</v>
      </c>
      <c r="Y248" s="1" t="n">
        <f aca="false">MIN(Y247,MAX(0,Y276))</f>
        <v>28.7925085895545</v>
      </c>
      <c r="Z248" s="1" t="n">
        <f aca="false">MIN(Z247,MAX(0,Z276))</f>
        <v>29.8402668142592</v>
      </c>
      <c r="AA248" s="1" t="n">
        <f aca="false">MIN(AA247,MAX(0,AA276))</f>
        <v>30.8224066364812</v>
      </c>
      <c r="AB248" s="1" t="n">
        <f aca="false">MIN(AB247,MAX(0,AB276))</f>
        <v>31.743514357539</v>
      </c>
      <c r="AC248" s="1" t="n">
        <f aca="false">MIN(AC247,MAX(0,AC276))</f>
        <v>32.6077920539536</v>
      </c>
      <c r="AD248" s="1" t="n">
        <f aca="false">MIN(AD247,MAX(0,AD276))</f>
        <v>33.419096659165</v>
      </c>
      <c r="AE248" s="1" t="n">
        <f aca="false">MIN(AE247,MAX(0,AE276))</f>
        <v>34.1809743103454</v>
      </c>
      <c r="AF248" s="1" t="n">
        <f aca="false">MIN(AF247,MAX(0,AF276))</f>
        <v>34.8966906373639</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18.9171987267335</v>
      </c>
      <c r="D250" s="1" t="n">
        <f aca="false">D120-D248</f>
        <v>35.0111497640404</v>
      </c>
      <c r="E250" s="1" t="n">
        <f aca="false">E120-E248</f>
        <v>52.7955998129331</v>
      </c>
      <c r="F250" s="1" t="n">
        <f aca="false">F120-F248</f>
        <v>61.1135129811888</v>
      </c>
      <c r="G250" s="1" t="n">
        <f aca="false">G120-G248</f>
        <v>71.7005493673793</v>
      </c>
      <c r="H250" s="1" t="n">
        <f aca="false">H120-H248</f>
        <v>83.7254101282166</v>
      </c>
      <c r="I250" s="1" t="n">
        <f aca="false">I120-I248</f>
        <v>97.2528559679424</v>
      </c>
      <c r="J250" s="1" t="n">
        <f aca="false">J120-J248</f>
        <v>111.83536235127</v>
      </c>
      <c r="K250" s="1" t="n">
        <f aca="false">K120-K248</f>
        <v>127.409475535879</v>
      </c>
      <c r="L250" s="1" t="n">
        <f aca="false">L120-L248</f>
        <v>142.708194098236</v>
      </c>
      <c r="M250" s="1" t="n">
        <f aca="false">M120-M248</f>
        <v>140.357311421459</v>
      </c>
      <c r="N250" s="1" t="n">
        <f aca="false">N120-N248</f>
        <v>139.938720745045</v>
      </c>
      <c r="O250" s="1" t="n">
        <f aca="false">O120-O248</f>
        <v>139.844434562703</v>
      </c>
      <c r="P250" s="1" t="n">
        <f aca="false">P120-P248</f>
        <v>139.149248116369</v>
      </c>
      <c r="Q250" s="1" t="n">
        <f aca="false">Q120-Q248</f>
        <v>138.440765461025</v>
      </c>
      <c r="R250" s="1" t="n">
        <f aca="false">R120-R248</f>
        <v>137.504292034891</v>
      </c>
      <c r="S250" s="1" t="n">
        <f aca="false">S120-S248</f>
        <v>136.717006124343</v>
      </c>
      <c r="T250" s="1" t="n">
        <f aca="false">T120-T248</f>
        <v>136.071313505128</v>
      </c>
      <c r="U250" s="1" t="n">
        <f aca="false">U120-U248</f>
        <v>135.559855448162</v>
      </c>
      <c r="V250" s="1" t="n">
        <f aca="false">V120-V248</f>
        <v>135.175912842505</v>
      </c>
      <c r="W250" s="1" t="n">
        <f aca="false">W120-W248</f>
        <v>134.91560974097</v>
      </c>
      <c r="X250" s="1" t="n">
        <f aca="false">X120-X248</f>
        <v>134.77350453871</v>
      </c>
      <c r="Y250" s="1" t="n">
        <f aca="false">Y120-Y248</f>
        <v>134.744520098746</v>
      </c>
      <c r="Z250" s="1" t="n">
        <f aca="false">Z120-Z248</f>
        <v>134.823802814529</v>
      </c>
      <c r="AA250" s="1" t="n">
        <f aca="false">AA120-AA248</f>
        <v>135.006992221959</v>
      </c>
      <c r="AB250" s="1" t="n">
        <f aca="false">AB120-AB248</f>
        <v>135.290123894789</v>
      </c>
      <c r="AC250" s="1" t="n">
        <f aca="false">AC120-AC248</f>
        <v>135.669631364233</v>
      </c>
      <c r="AD250" s="1" t="n">
        <f aca="false">AD120-AD248</f>
        <v>136.142312732761</v>
      </c>
      <c r="AE250" s="1" t="n">
        <f aca="false">AE120-AE248</f>
        <v>136.705303700342</v>
      </c>
      <c r="AF250" s="1" t="n">
        <f aca="false">AF120-AF248</f>
        <v>137.35604752449</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9.77838269161056E-005</v>
      </c>
      <c r="D252" s="1" t="n">
        <f aca="false">IF(D120&gt;0,D248/D120,0)</f>
        <v>0.00270956248606722</v>
      </c>
      <c r="E252" s="1" t="n">
        <f aca="false">IF(E120&gt;0,E248/E120,0)</f>
        <v>0.00534774537109514</v>
      </c>
      <c r="F252" s="1" t="n">
        <f aca="false">IF(F120&gt;0,F248/F120,0)</f>
        <v>0.0123365935925857</v>
      </c>
      <c r="G252" s="1" t="n">
        <f aca="false">IF(G120&gt;0,G248/G120,0)</f>
        <v>0.0160630589183479</v>
      </c>
      <c r="H252" s="1" t="n">
        <f aca="false">IF(H120&gt;0,H248/H120,0)</f>
        <v>0.0210947791381648</v>
      </c>
      <c r="I252" s="1" t="n">
        <f aca="false">IF(I120&gt;0,I248/I120,0)</f>
        <v>0.0269304369988572</v>
      </c>
      <c r="J252" s="1" t="n">
        <f aca="false">IF(J120&gt;0,J248/J120,0)</f>
        <v>0.0333379088940321</v>
      </c>
      <c r="K252" s="1" t="n">
        <f aca="false">IF(K120&gt;0,K248/K120,0)</f>
        <v>0.0400830649937642</v>
      </c>
      <c r="L252" s="1" t="n">
        <f aca="false">IF(L120&gt;0,L248/L120,0)</f>
        <v>0.0473836188880721</v>
      </c>
      <c r="M252" s="1" t="n">
        <f aca="false">IF(M120&gt;0,M248/M120,0)</f>
        <v>0.0611882582299459</v>
      </c>
      <c r="N252" s="1" t="n">
        <f aca="false">IF(N120&gt;0,N248/N120,0)</f>
        <v>0.074419891759074</v>
      </c>
      <c r="O252" s="1" t="n">
        <f aca="false">IF(O120&gt;0,O248/O120,0)</f>
        <v>0.0872722141416346</v>
      </c>
      <c r="P252" s="1" t="n">
        <f aca="false">IF(P120&gt;0,P248/P120,0)</f>
        <v>0.0998002641365783</v>
      </c>
      <c r="Q252" s="1" t="n">
        <f aca="false">IF(Q120&gt;0,Q248/Q120,0)</f>
        <v>0.111348666603442</v>
      </c>
      <c r="R252" s="1" t="n">
        <f aca="false">IF(R120&gt;0,R248/R120,0)</f>
        <v>0.122186983895602</v>
      </c>
      <c r="S252" s="1" t="n">
        <f aca="false">IF(S120&gt;0,S248/S120,0)</f>
        <v>0.132125370444171</v>
      </c>
      <c r="T252" s="1" t="n">
        <f aca="false">IF(T120&gt;0,T248/T120,0)</f>
        <v>0.141226643748077</v>
      </c>
      <c r="U252" s="1" t="n">
        <f aca="false">IF(U120&gt;0,U248/U120,0)</f>
        <v>0.149549219070185</v>
      </c>
      <c r="V252" s="1" t="n">
        <f aca="false">IF(V120&gt;0,V248/V120,0)</f>
        <v>0.157146900596974</v>
      </c>
      <c r="W252" s="1" t="n">
        <f aca="false">IF(W120&gt;0,W248/W120,0)</f>
        <v>0.164067039788108</v>
      </c>
      <c r="X252" s="1" t="n">
        <f aca="false">IF(X120&gt;0,X248/X120,0)</f>
        <v>0.170357211018627</v>
      </c>
      <c r="Y252" s="1" t="n">
        <f aca="false">IF(Y120&gt;0,Y248/Y120,0)</f>
        <v>0.176061096502081</v>
      </c>
      <c r="Z252" s="1" t="n">
        <f aca="false">IF(Z120&gt;0,Z248/Z120,0)</f>
        <v>0.181219053321892</v>
      </c>
      <c r="AA252" s="1" t="n">
        <f aca="false">IF(AA120&gt;0,AA248/AA120,0)</f>
        <v>0.185868168422854</v>
      </c>
      <c r="AB252" s="1" t="n">
        <f aca="false">IF(AB120&gt;0,AB248/AB120,0)</f>
        <v>0.19004264464135</v>
      </c>
      <c r="AC252" s="1" t="n">
        <f aca="false">IF(AC120&gt;0,AC248/AC120,0)</f>
        <v>0.193774015501294</v>
      </c>
      <c r="AD252" s="1" t="n">
        <f aca="false">IF(AD120&gt;0,AD248/AD120,0)</f>
        <v>0.197091406464544</v>
      </c>
      <c r="AE252" s="1" t="n">
        <f aca="false">IF(AE120&gt;0,AE248/AE120,0)</f>
        <v>0.200021761303782</v>
      </c>
      <c r="AF252" s="1" t="n">
        <f aca="false">IF(AF120&gt;0,AF248/AF120,0)</f>
        <v>0.202590048841916</v>
      </c>
    </row>
    <row r="253" customFormat="false" ht="14.25" hidden="false" customHeight="true" outlineLevel="0" collapsed="false">
      <c r="B253" s="1" t="s">
        <v>1249</v>
      </c>
    </row>
    <row r="254" customFormat="false" ht="14.25" hidden="false" customHeight="true" outlineLevel="0" collapsed="false">
      <c r="B254" s="1" t="s">
        <v>1250</v>
      </c>
      <c r="C254" s="116" t="n">
        <f aca="false">C112</f>
        <v>0.0591443938619143</v>
      </c>
      <c r="D254" s="116" t="n">
        <f aca="false">D112</f>
        <v>0.0972387701116566</v>
      </c>
      <c r="E254" s="116" t="n">
        <f aca="false">E112</f>
        <v>0.131110835807634</v>
      </c>
      <c r="F254" s="116" t="n">
        <f aca="false">F112</f>
        <v>0.272854842892533</v>
      </c>
      <c r="G254" s="116" t="n">
        <f aca="false">G112</f>
        <v>0.2855563421679</v>
      </c>
      <c r="H254" s="116" t="n">
        <f aca="false">H112</f>
        <v>0.298301481098916</v>
      </c>
      <c r="I254" s="116" t="n">
        <f aca="false">I112</f>
        <v>0.31109010233844</v>
      </c>
      <c r="J254" s="116" t="n">
        <f aca="false">J112</f>
        <v>0.323922086776223</v>
      </c>
      <c r="K254" s="116" t="n">
        <f aca="false">K112</f>
        <v>0.336797352082607</v>
      </c>
      <c r="L254" s="116" t="n">
        <f aca="false">L112</f>
        <v>0.349801964639669</v>
      </c>
      <c r="M254" s="116" t="n">
        <f aca="false">M112</f>
        <v>0.362426080830021</v>
      </c>
      <c r="N254" s="116" t="n">
        <f aca="false">N112</f>
        <v>0.375209618014158</v>
      </c>
      <c r="O254" s="116" t="n">
        <f aca="false">O112</f>
        <v>0.387247978503958</v>
      </c>
      <c r="P254" s="116" t="n">
        <f aca="false">P112</f>
        <v>0.396765557602879</v>
      </c>
      <c r="Q254" s="116" t="n">
        <f aca="false">Q112</f>
        <v>0.406361641967449</v>
      </c>
      <c r="R254" s="116" t="n">
        <f aca="false">R112</f>
        <v>0.415932908538592</v>
      </c>
      <c r="S254" s="116" t="n">
        <f aca="false">S112</f>
        <v>0.425488535535643</v>
      </c>
      <c r="T254" s="116" t="n">
        <f aca="false">T112</f>
        <v>0.435030162872076</v>
      </c>
      <c r="U254" s="116" t="n">
        <f aca="false">U112</f>
        <v>0.444572451878619</v>
      </c>
      <c r="V254" s="116" t="n">
        <f aca="false">V112</f>
        <v>0.45412998448566</v>
      </c>
      <c r="W254" s="116" t="n">
        <f aca="false">W112</f>
        <v>0.463578427853128</v>
      </c>
      <c r="X254" s="116" t="n">
        <f aca="false">X112</f>
        <v>0.472933042090261</v>
      </c>
      <c r="Y254" s="116" t="n">
        <f aca="false">Y112</f>
        <v>0.482209193727914</v>
      </c>
      <c r="Z254" s="116" t="n">
        <f aca="false">Z112</f>
        <v>0.491422327097679</v>
      </c>
      <c r="AA254" s="116" t="n">
        <f aca="false">AA112</f>
        <v>0.500587987935895</v>
      </c>
      <c r="AB254" s="116" t="n">
        <f aca="false">AB112</f>
        <v>0.509724877939683</v>
      </c>
      <c r="AC254" s="116" t="n">
        <f aca="false">AC112</f>
        <v>0.518851793035352</v>
      </c>
      <c r="AD254" s="116" t="n">
        <f aca="false">AD112</f>
        <v>0.527987648741876</v>
      </c>
      <c r="AE254" s="116" t="n">
        <f aca="false">AE112</f>
        <v>0.537151505984904</v>
      </c>
      <c r="AF254" s="116" t="n">
        <f aca="false">AF112</f>
        <v>0.546362596256517</v>
      </c>
    </row>
    <row r="255" customFormat="false" ht="14.25" hidden="false" customHeight="true" outlineLevel="0" collapsed="false">
      <c r="B255" s="1" t="s">
        <v>1251</v>
      </c>
      <c r="C255" s="1" t="n">
        <f aca="false">MIN(C235,C254)</f>
        <v>0.00922286194301994</v>
      </c>
      <c r="D255" s="1" t="n">
        <f aca="false">MIN(D235,D254)</f>
        <v>0.0234886005831604</v>
      </c>
      <c r="E255" s="1" t="n">
        <f aca="false">MIN(E235,E254)</f>
        <v>0.0416286730863363</v>
      </c>
      <c r="F255" s="1" t="n">
        <f aca="false">MIN(F235,F254)</f>
        <v>0.0791864399756578</v>
      </c>
      <c r="G255" s="1" t="n">
        <f aca="false">MIN(G235,G254)</f>
        <v>0.114321993242807</v>
      </c>
      <c r="H255" s="1" t="n">
        <f aca="false">MIN(H235,H254)</f>
        <v>0.147191548747176</v>
      </c>
      <c r="I255" s="1" t="n">
        <f aca="false">MIN(I235,I254)</f>
        <v>0.177941247516398</v>
      </c>
      <c r="J255" s="1" t="n">
        <f aca="false">MIN(J235,J254)</f>
        <v>0.206707805502622</v>
      </c>
      <c r="K255" s="1" t="n">
        <f aca="false">MIN(K235,K254)</f>
        <v>0.233619121434053</v>
      </c>
      <c r="L255" s="1" t="n">
        <f aca="false">MIN(L235,L254)</f>
        <v>0.258794845464299</v>
      </c>
      <c r="M255" s="1" t="n">
        <f aca="false">MIN(M235,M254)</f>
        <v>0.273124049204802</v>
      </c>
      <c r="N255" s="1" t="n">
        <f aca="false">MIN(N235,N254)</f>
        <v>0.280891432523521</v>
      </c>
      <c r="O255" s="1" t="n">
        <f aca="false">MIN(O235,O254)</f>
        <v>0.283363499514912</v>
      </c>
      <c r="P255" s="1" t="n">
        <f aca="false">MIN(P235,P254)</f>
        <v>0.265088533099203</v>
      </c>
      <c r="Q255" s="1" t="n">
        <f aca="false">MIN(Q235,Q254)</f>
        <v>0.24799217436609</v>
      </c>
      <c r="R255" s="1" t="n">
        <f aca="false">MIN(R235,R254)</f>
        <v>0.231998411352656</v>
      </c>
      <c r="S255" s="1" t="n">
        <f aca="false">MIN(S235,S254)</f>
        <v>0.217036134336648</v>
      </c>
      <c r="T255" s="1" t="n">
        <f aca="false">MIN(T235,T254)</f>
        <v>0.203038819676195</v>
      </c>
      <c r="U255" s="1" t="n">
        <f aca="false">MIN(U235,U254)</f>
        <v>0.189944234039655</v>
      </c>
      <c r="V255" s="1" t="n">
        <f aca="false">MIN(V235,V254)</f>
        <v>0.177694157710578</v>
      </c>
      <c r="W255" s="1" t="n">
        <f aca="false">MIN(W235,W254)</f>
        <v>0.166234125737556</v>
      </c>
      <c r="X255" s="1" t="n">
        <f aca="false">MIN(X235,X254)</f>
        <v>0.155513185778108</v>
      </c>
      <c r="Y255" s="1" t="n">
        <f aca="false">MIN(Y235,Y254)</f>
        <v>0.145483671559939</v>
      </c>
      <c r="Z255" s="1" t="n">
        <f aca="false">MIN(Z235,Z254)</f>
        <v>0.136100990952369</v>
      </c>
      <c r="AA255" s="1" t="n">
        <f aca="false">MIN(AA235,AA254)</f>
        <v>0.127323427705666</v>
      </c>
      <c r="AB255" s="1" t="n">
        <f aca="false">MIN(AB235,AB254)</f>
        <v>0.119111955976819</v>
      </c>
      <c r="AC255" s="1" t="n">
        <f aca="false">MIN(AC235,AC254)</f>
        <v>0.111430066817093</v>
      </c>
      <c r="AD255" s="1" t="n">
        <f aca="false">MIN(AD235,AD254)</f>
        <v>0.10424360584993</v>
      </c>
      <c r="AE255" s="1" t="n">
        <f aca="false">MIN(AE235,AE254)</f>
        <v>0.0975206214174923</v>
      </c>
      <c r="AF255" s="1" t="n">
        <f aca="false">MIN(AF235,AF254)</f>
        <v>0.091231222520688</v>
      </c>
    </row>
    <row r="256" customFormat="false" ht="14.25" hidden="false" customHeight="true" outlineLevel="0" collapsed="false">
      <c r="B256" s="1" t="s">
        <v>1252</v>
      </c>
      <c r="C256" s="1" t="n">
        <f aca="false">MIN(C254-C255,MAX(0,C107-C108+C109+C110+C184-C229-C235))</f>
        <v>0.0499215319188944</v>
      </c>
      <c r="D256" s="1" t="n">
        <f aca="false">MIN(D254-D255,MAX(0,D107-D108+D109+D110+D184-D229-D235))</f>
        <v>0.0737501695284963</v>
      </c>
      <c r="E256" s="1" t="n">
        <f aca="false">MIN(E254-E255,MAX(0,E107-E108+E109+E110+E184-E229-E235))</f>
        <v>0.0894821627212978</v>
      </c>
      <c r="F256" s="1" t="n">
        <f aca="false">MIN(F254-F255,MAX(0,F107-F108+F109+F110+F184-F229-F235))</f>
        <v>0.193668402916875</v>
      </c>
      <c r="G256" s="1" t="n">
        <f aca="false">MIN(G254-G255,MAX(0,G107-G108+G109+G110+G184-G229-G235))</f>
        <v>0.171234348925093</v>
      </c>
      <c r="H256" s="1" t="n">
        <f aca="false">MIN(H254-H255,MAX(0,H107-H108+H109+H110+H184-H229-H235))</f>
        <v>0.15110993235174</v>
      </c>
      <c r="I256" s="1" t="n">
        <f aca="false">MIN(I254-I255,MAX(0,I107-I108+I109+I110+I184-I229-I235))</f>
        <v>0.133148854822042</v>
      </c>
      <c r="J256" s="1" t="n">
        <f aca="false">MIN(J254-J255,MAX(0,J107-J108+J109+J110+J184-J229-J235))</f>
        <v>0.117214281273601</v>
      </c>
      <c r="K256" s="1" t="n">
        <f aca="false">MIN(K254-K255,MAX(0,K107-K108+K109+K110+K184-K229-K235))</f>
        <v>0.103178230648555</v>
      </c>
      <c r="L256" s="1" t="n">
        <f aca="false">MIN(L254-L255,MAX(0,L107-L108+L109+L110+L184-L229-L235))</f>
        <v>0.0910071191753705</v>
      </c>
      <c r="M256" s="1" t="n">
        <f aca="false">MIN(M254-M255,MAX(0,M107-M108+M109+M110+M184-M229-M235))</f>
        <v>0.0893020316252191</v>
      </c>
      <c r="N256" s="1" t="n">
        <f aca="false">MIN(N254-N255,MAX(0,N107-N108+N109+N110+N184-N229-N235))</f>
        <v>0.0943181854906372</v>
      </c>
      <c r="O256" s="1" t="n">
        <f aca="false">MIN(O254-O255,MAX(0,O107-O108+O109+O110+O184-O229-O235))</f>
        <v>0.103884478989046</v>
      </c>
      <c r="P256" s="1" t="n">
        <f aca="false">MIN(P254-P255,MAX(0,P107-P108+P109+P110+P184-P229-P235))</f>
        <v>0.131677024503675</v>
      </c>
      <c r="Q256" s="1" t="n">
        <f aca="false">MIN(Q254-Q255,MAX(0,Q107-Q108+Q109+Q110+Q184-Q229-Q235))</f>
        <v>0.158369467601359</v>
      </c>
      <c r="R256" s="1" t="n">
        <f aca="false">MIN(R254-R255,MAX(0,R107-R108+R109+R110+R184-R229-R235))</f>
        <v>0.183934497185936</v>
      </c>
      <c r="S256" s="1" t="n">
        <f aca="false">MIN(S254-S255,MAX(0,S107-S108+S109+S110+S184-S229-S235))</f>
        <v>0.208452401198995</v>
      </c>
      <c r="T256" s="1" t="n">
        <f aca="false">MIN(T254-T255,MAX(0,T107-T108+T109+T110+T184-T229-T235))</f>
        <v>0.231991343195881</v>
      </c>
      <c r="U256" s="1" t="n">
        <f aca="false">MIN(U254-U255,MAX(0,U107-U108+U109+U110+U184-U229-U235))</f>
        <v>0.254628217838963</v>
      </c>
      <c r="V256" s="1" t="n">
        <f aca="false">MIN(V254-V255,MAX(0,V107-V108+V109+V110+V184-V229-V235))</f>
        <v>0.276435826775082</v>
      </c>
      <c r="W256" s="1" t="n">
        <f aca="false">MIN(W254-W255,MAX(0,W107-W108+W109+W110+W184-W229-W235))</f>
        <v>0.297344302115572</v>
      </c>
      <c r="X256" s="1" t="n">
        <f aca="false">MIN(X254-X255,MAX(0,X107-X108+X109+X110+X184-X229-X235))</f>
        <v>0.317419856312153</v>
      </c>
      <c r="Y256" s="1" t="n">
        <f aca="false">MIN(Y254-Y255,MAX(0,Y107-Y108+Y109+Y110+Y184-Y229-Y235))</f>
        <v>0.336725522167975</v>
      </c>
      <c r="Z256" s="1" t="n">
        <f aca="false">MIN(Z254-Z255,MAX(0,Z107-Z108+Z109+Z110+Z184-Z229-Z235))</f>
        <v>0.35532133614531</v>
      </c>
      <c r="AA256" s="1" t="n">
        <f aca="false">MIN(AA254-AA255,MAX(0,AA107-AA108+AA109+AA110+AA184-AA229-AA235))</f>
        <v>0.373264560230229</v>
      </c>
      <c r="AB256" s="1" t="n">
        <f aca="false">MIN(AB254-AB255,MAX(0,AB107-AB108+AB109+AB110+AB184-AB229-AB235))</f>
        <v>0.390612921962864</v>
      </c>
      <c r="AC256" s="1" t="n">
        <f aca="false">MIN(AC254-AC255,MAX(0,AC107-AC108+AC109+AC110+AC184-AC229-AC235))</f>
        <v>0.40742172621826</v>
      </c>
      <c r="AD256" s="1" t="n">
        <f aca="false">MIN(AD254-AD255,MAX(0,AD107-AD108+AD109+AD110+AD184-AD229-AD235))</f>
        <v>0.423744042891946</v>
      </c>
      <c r="AE256" s="1" t="n">
        <f aca="false">MIN(AE254-AE255,MAX(0,AE107-AE108+AE109+AE110+AE184-AE229-AE235))</f>
        <v>0.439630884567412</v>
      </c>
      <c r="AF256" s="1" t="n">
        <f aca="false">MIN(AF254-AF255,MAX(0,AF107-AF108+AF109+AF110+AF184-AF229-AF235))</f>
        <v>0.455131373735829</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20.1906899625578</v>
      </c>
      <c r="D261" s="1" t="n">
        <f aca="false">(D83-D326)+D181</f>
        <v>40.997071116064</v>
      </c>
      <c r="E261" s="1" t="n">
        <f aca="false">(E83-E326)+E181</f>
        <v>62.7022025701422</v>
      </c>
      <c r="F261" s="1" t="n">
        <f aca="false">(F83-F326)+F181</f>
        <v>86.7011992410515</v>
      </c>
      <c r="G261" s="1" t="n">
        <f aca="false">(G83-G326)+G181</f>
        <v>108.927009705299</v>
      </c>
      <c r="H261" s="1" t="n">
        <f aca="false">(H83-H326)+H181</f>
        <v>123.578649010258</v>
      </c>
      <c r="I261" s="1" t="n">
        <f aca="false">(I83-I326)+I181</f>
        <v>139.05602848246</v>
      </c>
      <c r="J261" s="1" t="n">
        <f aca="false">(J83-J326)+J181</f>
        <v>154.888437368127</v>
      </c>
      <c r="K261" s="1" t="n">
        <f aca="false">(K83-K326)+K181</f>
        <v>171.084037878002</v>
      </c>
      <c r="L261" s="1" t="n">
        <f aca="false">(L83-L326)+L181</f>
        <v>187.652378758606</v>
      </c>
      <c r="M261" s="1" t="n">
        <f aca="false">(M83-M326)+M181</f>
        <v>201.492891786311</v>
      </c>
      <c r="N261" s="1" t="n">
        <f aca="false">(N83-N326)+N181</f>
        <v>206.829349576801</v>
      </c>
      <c r="O261" s="1" t="n">
        <f aca="false">(O83-O326)+O181</f>
        <v>212.558326925522</v>
      </c>
      <c r="P261" s="1" t="n">
        <f aca="false">(P83-P326)+P181</f>
        <v>217.63065329352</v>
      </c>
      <c r="Q261" s="1" t="n">
        <f aca="false">(Q83-Q326)+Q181</f>
        <v>222.629875658643</v>
      </c>
      <c r="R261" s="1" t="n">
        <f aca="false">(R83-R326)+R181</f>
        <v>227.748997179024</v>
      </c>
      <c r="S261" s="1" t="n">
        <f aca="false">(S83-S326)+S181</f>
        <v>232.985127753442</v>
      </c>
      <c r="T261" s="1" t="n">
        <f aca="false">(T83-T326)+T181</f>
        <v>238.341180128304</v>
      </c>
      <c r="U261" s="1" t="n">
        <f aca="false">(U83-U326)+U181</f>
        <v>243.820012160246</v>
      </c>
      <c r="V261" s="1" t="n">
        <f aca="false">(V83-V326)+V181</f>
        <v>249.424509149281</v>
      </c>
      <c r="W261" s="1" t="n">
        <f aca="false">(W83-W326)+W181</f>
        <v>255.156382877453</v>
      </c>
      <c r="X261" s="1" t="n">
        <f aca="false">(X83-X326)+X181</f>
        <v>261.019189187475</v>
      </c>
      <c r="Y261" s="1" t="n">
        <f aca="false">(Y83-Y326)+Y181</f>
        <v>267.016308949955</v>
      </c>
      <c r="Z261" s="1" t="n">
        <f aca="false">(Z83-Z326)+Z181</f>
        <v>273.150869229211</v>
      </c>
      <c r="AA261" s="1" t="n">
        <f aca="false">(AA83-AA326)+AA181</f>
        <v>279.426068487804</v>
      </c>
      <c r="AB261" s="1" t="n">
        <f aca="false">(AB83-AB326)+AB181</f>
        <v>285.845204766632</v>
      </c>
      <c r="AC261" s="1" t="n">
        <f aca="false">(AC83-AC326)+AC181</f>
        <v>292.411638285315</v>
      </c>
      <c r="AD261" s="1" t="n">
        <f aca="false">(AD83-AD326)+AD181</f>
        <v>299.128798703559</v>
      </c>
      <c r="AE261" s="1" t="n">
        <f aca="false">(AE83-AE326)+AE181</f>
        <v>306.000194089256</v>
      </c>
      <c r="AF261" s="1" t="n">
        <f aca="false">(AF83-AF326)+AF181</f>
        <v>313.029412764432</v>
      </c>
    </row>
    <row r="262" customFormat="false" ht="14.25" hidden="false" customHeight="true" outlineLevel="0" collapsed="false">
      <c r="B262" s="1" t="s">
        <v>1257</v>
      </c>
      <c r="C262" s="1" t="n">
        <f aca="false">$C$260*C261</f>
        <v>1.00953449812789</v>
      </c>
      <c r="D262" s="1" t="n">
        <f aca="false">$C$260*D261</f>
        <v>2.0498535558032</v>
      </c>
      <c r="E262" s="1" t="n">
        <f aca="false">$C$260*E261</f>
        <v>3.13511012850711</v>
      </c>
      <c r="F262" s="1" t="n">
        <f aca="false">$C$260*F261</f>
        <v>4.33505996205258</v>
      </c>
      <c r="G262" s="1" t="n">
        <f aca="false">$C$260*G261</f>
        <v>5.44635048526493</v>
      </c>
      <c r="H262" s="1" t="n">
        <f aca="false">$C$260*H261</f>
        <v>6.17893245051288</v>
      </c>
      <c r="I262" s="1" t="n">
        <f aca="false">$C$260*I261</f>
        <v>6.95280142412298</v>
      </c>
      <c r="J262" s="1" t="n">
        <f aca="false">$C$260*J261</f>
        <v>7.74442186840635</v>
      </c>
      <c r="K262" s="1" t="n">
        <f aca="false">$C$260*K261</f>
        <v>8.55420189390012</v>
      </c>
      <c r="L262" s="1" t="n">
        <f aca="false">$C$260*L261</f>
        <v>9.38261893793028</v>
      </c>
      <c r="M262" s="1" t="n">
        <f aca="false">$C$260*M261</f>
        <v>10.0746445893155</v>
      </c>
      <c r="N262" s="1" t="n">
        <f aca="false">$C$260*N261</f>
        <v>10.3414674788401</v>
      </c>
      <c r="O262" s="1" t="n">
        <f aca="false">$C$260*O261</f>
        <v>10.6279163462761</v>
      </c>
      <c r="P262" s="1" t="n">
        <f aca="false">$C$260*P261</f>
        <v>10.881532664676</v>
      </c>
      <c r="Q262" s="1" t="n">
        <f aca="false">$C$260*Q261</f>
        <v>11.1314937829322</v>
      </c>
      <c r="R262" s="1" t="n">
        <f aca="false">$C$260*R261</f>
        <v>11.3874498589512</v>
      </c>
      <c r="S262" s="1" t="n">
        <f aca="false">$C$260*S261</f>
        <v>11.6492563876721</v>
      </c>
      <c r="T262" s="1" t="n">
        <f aca="false">$C$260*T261</f>
        <v>11.9170590064152</v>
      </c>
      <c r="U262" s="1" t="n">
        <f aca="false">$C$260*U261</f>
        <v>12.1910006080123</v>
      </c>
      <c r="V262" s="1" t="n">
        <f aca="false">$C$260*V261</f>
        <v>12.471225457464</v>
      </c>
      <c r="W262" s="1" t="n">
        <f aca="false">$C$260*W261</f>
        <v>12.7578191438726</v>
      </c>
      <c r="X262" s="1" t="n">
        <f aca="false">$C$260*X261</f>
        <v>13.0509594593737</v>
      </c>
      <c r="Y262" s="1" t="n">
        <f aca="false">$C$260*Y261</f>
        <v>13.3508154474977</v>
      </c>
      <c r="Z262" s="1" t="n">
        <f aca="false">$C$260*Z261</f>
        <v>13.6575434614606</v>
      </c>
      <c r="AA262" s="1" t="n">
        <f aca="false">$C$260*AA261</f>
        <v>13.9713034243902</v>
      </c>
      <c r="AB262" s="1" t="n">
        <f aca="false">$C$260*AB261</f>
        <v>14.2922602383316</v>
      </c>
      <c r="AC262" s="1" t="n">
        <f aca="false">$C$260*AC261</f>
        <v>14.6205819142658</v>
      </c>
      <c r="AD262" s="1" t="n">
        <f aca="false">$C$260*AD261</f>
        <v>14.956439935178</v>
      </c>
      <c r="AE262" s="1" t="n">
        <f aca="false">$C$260*AE261</f>
        <v>15.3000097044628</v>
      </c>
      <c r="AF262" s="1" t="n">
        <f aca="false">$C$260*AF261</f>
        <v>15.6514706382216</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24.1408903929092</v>
      </c>
      <c r="G263" s="1" t="n">
        <f aca="false">MAX(0,(G70+F121-F227)*0.25/0.55)</f>
        <v>27.3967506285742</v>
      </c>
      <c r="H263" s="1" t="n">
        <f aca="false">MAX(0,(H70+G121-G227)*0.25/0.55)</f>
        <v>30.666769155443</v>
      </c>
      <c r="I263" s="1" t="n">
        <f aca="false">MAX(0,(I70+H121-H227)*0.25/0.55)</f>
        <v>33.9511583478836</v>
      </c>
      <c r="J263" s="1" t="n">
        <f aca="false">MAX(0,(J70+I121-I227)*0.25/0.55)</f>
        <v>37.2501337658796</v>
      </c>
      <c r="K263" s="1" t="n">
        <f aca="false">MAX(0,(K70+J121-J227)*0.25/0.55)</f>
        <v>40.5639142028144</v>
      </c>
      <c r="L263" s="1" t="n">
        <f aca="false">MAX(0,(L70+K121-K227)*0.25/0.55)</f>
        <v>43.9318641466078</v>
      </c>
      <c r="M263" s="1" t="n">
        <f aca="false">MAX(0,(M70+L121-L227)*0.25/0.55)</f>
        <v>46.0857726517026</v>
      </c>
      <c r="N263" s="1" t="n">
        <f aca="false">MAX(0,(N70+M121-M227)*0.25/0.55)</f>
        <v>48.7921072817527</v>
      </c>
      <c r="O263" s="1" t="n">
        <f aca="false">MAX(0,(O70+N121-N227)*0.25/0.55)</f>
        <v>51.5594453130769</v>
      </c>
      <c r="P263" s="1" t="n">
        <f aca="false">MAX(0,(P70+O121-O227)*0.25/0.55)</f>
        <v>54.3897513541342</v>
      </c>
      <c r="Q263" s="1" t="n">
        <f aca="false">MAX(0,(Q70+P121-P227)*0.25/0.55)</f>
        <v>57.1985042307207</v>
      </c>
      <c r="R263" s="1" t="n">
        <f aca="false">MAX(0,(R70+Q121-Q227)*0.25/0.55)</f>
        <v>59.9813313753147</v>
      </c>
      <c r="S263" s="1" t="n">
        <f aca="false">MAX(0,(S70+R121-R227)*0.25/0.55)</f>
        <v>62.7436996730037</v>
      </c>
      <c r="T263" s="1" t="n">
        <f aca="false">MAX(0,(T70+S121-S227)*0.25/0.55)</f>
        <v>65.4876110856293</v>
      </c>
      <c r="U263" s="1" t="n">
        <f aca="false">MAX(0,(U70+T121-T227)*0.25/0.55)</f>
        <v>68.2209478033244</v>
      </c>
      <c r="V263" s="1" t="n">
        <f aca="false">MAX(0,(V70+U121-U227)*0.25/0.55)</f>
        <v>70.9515171198305</v>
      </c>
      <c r="W263" s="1" t="n">
        <f aca="false">MAX(0,(W70+V121-V227)*0.25/0.55)</f>
        <v>73.6870610100771</v>
      </c>
      <c r="X263" s="1" t="n">
        <f aca="false">MAX(0,(X70+W121-W227)*0.25/0.55)</f>
        <v>76.4353488196567</v>
      </c>
      <c r="Y263" s="1" t="n">
        <f aca="false">MAX(0,(Y70+X121-X227)*0.25/0.55)</f>
        <v>79.2041533953348</v>
      </c>
      <c r="Z263" s="1" t="n">
        <f aca="false">MAX(0,(Z70+Y121-Y227)*0.25/0.55)</f>
        <v>82.0012376323875</v>
      </c>
      <c r="AA263" s="1" t="n">
        <f aca="false">MAX(0,(AA70+Z121-Z227)*0.25/0.55)</f>
        <v>84.8343647311906</v>
      </c>
      <c r="AB263" s="1" t="n">
        <f aca="false">MAX(0,(AB70+AA121-AA227)*0.25/0.55)</f>
        <v>87.7113064799191</v>
      </c>
      <c r="AC263" s="1" t="n">
        <f aca="false">MAX(0,(AC70+AB121-AB227)*0.25/0.55)</f>
        <v>90.6398543649865</v>
      </c>
      <c r="AD263" s="1" t="n">
        <f aca="false">MAX(0,(AD70+AC121-AC227)*0.25/0.55)</f>
        <v>93.6278310761328</v>
      </c>
      <c r="AE263" s="1" t="n">
        <f aca="false">MAX(0,(AE70+AD121-AD227)*0.25/0.55)</f>
        <v>96.6831022000573</v>
      </c>
      <c r="AF263" s="1" t="n">
        <f aca="false">MAX(0,(AF70+AE121-AE227)*0.25/0.55)</f>
        <v>99.8135876011293</v>
      </c>
    </row>
    <row r="264" customFormat="false" ht="14.25" hidden="false" customHeight="true" outlineLevel="0" collapsed="false">
      <c r="B264" s="1" t="s">
        <v>1259</v>
      </c>
      <c r="C264" s="1" t="n">
        <f aca="false">MAX(0,C262-C263)</f>
        <v>0.973170861764256</v>
      </c>
      <c r="D264" s="1" t="n">
        <f aca="false">MAX(0,D262-D263)</f>
        <v>1.97584264671229</v>
      </c>
      <c r="E264" s="1" t="n">
        <f aca="false">MAX(0,E262-E263)</f>
        <v>3.02212299796165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0.0243292715441064</v>
      </c>
      <c r="D265" s="1" t="n">
        <f aca="false">D264*MAX(0,$C$10-01_Supuestos!$I$134)</f>
        <v>0.0493960661678073</v>
      </c>
      <c r="E265" s="1" t="n">
        <f aca="false">E264*MAX(0,$C$10-01_Supuestos!$I$134)</f>
        <v>0.0755530749490413</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27.762198698517</v>
      </c>
      <c r="D266" s="1" t="n">
        <f aca="false">IF(D263&gt;0,D262/D263,0)</f>
        <v>27.6966406842176</v>
      </c>
      <c r="E266" s="1" t="n">
        <f aca="false">IF(E263&gt;0,E262/E263,0)</f>
        <v>27.7474975545632</v>
      </c>
      <c r="F266" s="1" t="n">
        <f aca="false">IF(F263&gt;0,F262/F263,0)</f>
        <v>0.17957332523766</v>
      </c>
      <c r="G266" s="1" t="n">
        <f aca="false">IF(G263&gt;0,G262/G263,0)</f>
        <v>0.198795490717228</v>
      </c>
      <c r="H266" s="1" t="n">
        <f aca="false">IF(H263&gt;0,H262/H263,0)</f>
        <v>0.201486254361953</v>
      </c>
      <c r="I266" s="1" t="n">
        <f aca="false">IF(I263&gt;0,I262/I263,0)</f>
        <v>0.204788341914007</v>
      </c>
      <c r="J266" s="1" t="n">
        <f aca="false">IF(J263&gt;0,J262/J263,0)</f>
        <v>0.207903196189327</v>
      </c>
      <c r="K266" s="1" t="n">
        <f aca="false">IF(K263&gt;0,K262/K263,0)</f>
        <v>0.210882062592141</v>
      </c>
      <c r="L266" s="1" t="n">
        <f aca="false">IF(L263&gt;0,L262/L263,0)</f>
        <v>0.213572064837016</v>
      </c>
      <c r="M266" s="1" t="n">
        <f aca="false">IF(M263&gt;0,M262/M263,0)</f>
        <v>0.218606394330319</v>
      </c>
      <c r="N266" s="1" t="n">
        <f aca="false">IF(N263&gt;0,N262/N263,0)</f>
        <v>0.211949597075664</v>
      </c>
      <c r="O266" s="1" t="n">
        <f aca="false">IF(O263&gt;0,O262/O263,0)</f>
        <v>0.206129377105238</v>
      </c>
      <c r="P266" s="1" t="n">
        <f aca="false">IF(P263&gt;0,P262/P263,0)</f>
        <v>0.20006586523674</v>
      </c>
      <c r="Q266" s="1" t="n">
        <f aca="false">IF(Q263&gt;0,Q262/Q263,0)</f>
        <v>0.194611623724131</v>
      </c>
      <c r="R266" s="1" t="n">
        <f aca="false">IF(R263&gt;0,R262/R263,0)</f>
        <v>0.189849901591842</v>
      </c>
      <c r="S266" s="1" t="n">
        <f aca="false">IF(S263&gt;0,S262/S263,0)</f>
        <v>0.185664161475712</v>
      </c>
      <c r="T266" s="1" t="n">
        <f aca="false">IF(T263&gt;0,T262/T263,0)</f>
        <v>0.181974251447848</v>
      </c>
      <c r="U266" s="1" t="n">
        <f aca="false">IF(U263&gt;0,U262/U263,0)</f>
        <v>0.178698786817768</v>
      </c>
      <c r="V266" s="1" t="n">
        <f aca="false">IF(V263&gt;0,V262/V263,0)</f>
        <v>0.175771089382082</v>
      </c>
      <c r="W266" s="1" t="n">
        <f aca="false">IF(W263&gt;0,W262/W263,0)</f>
        <v>0.173135133481955</v>
      </c>
      <c r="X266" s="1" t="n">
        <f aca="false">IF(X263&gt;0,X262/X263,0)</f>
        <v>0.170745076210308</v>
      </c>
      <c r="Y266" s="1" t="n">
        <f aca="false">IF(Y263&gt;0,Y262/Y263,0)</f>
        <v>0.168562062406744</v>
      </c>
      <c r="Z266" s="1" t="n">
        <f aca="false">IF(Z263&gt;0,Z262/Z263,0)</f>
        <v>0.166552894270785</v>
      </c>
      <c r="AA266" s="1" t="n">
        <f aca="false">IF(AA263&gt;0,AA262/AA263,0)</f>
        <v>0.164689197221671</v>
      </c>
      <c r="AB266" s="1" t="n">
        <f aca="false">IF(AB263&gt;0,AB262/AB263,0)</f>
        <v>0.162946612152034</v>
      </c>
      <c r="AC266" s="1" t="n">
        <f aca="false">IF(AC263&gt;0,AC262/AC263,0)</f>
        <v>0.161304119657915</v>
      </c>
      <c r="AD266" s="1" t="n">
        <f aca="false">IF(AD263&gt;0,AD262/AD263,0)</f>
        <v>0.159743526719275</v>
      </c>
      <c r="AE266" s="1" t="n">
        <f aca="false">IF(AE263&gt;0,AE262/AE263,0)</f>
        <v>0.158249056518728</v>
      </c>
      <c r="AF266" s="1" t="n">
        <f aca="false">IF(AF263&gt;0,AF262/AF263,0)</f>
        <v>0.156807014098795</v>
      </c>
    </row>
    <row r="267" customFormat="false" ht="14.25" hidden="false" customHeight="true" outlineLevel="0" collapsed="false">
      <c r="B267" s="1" t="s">
        <v>1262</v>
      </c>
      <c r="C267" s="1" t="n">
        <f aca="false">C120-C264</f>
        <v>17.9458778419531</v>
      </c>
      <c r="D267" s="1" t="n">
        <f aca="false">D120-D264</f>
        <v>33.1304297560563</v>
      </c>
      <c r="E267" s="1" t="n">
        <f aca="false">E120-E264</f>
        <v>50.0573322259453</v>
      </c>
      <c r="F267" s="1" t="n">
        <f aca="false">F120-F264</f>
        <v>61.8768626889668</v>
      </c>
      <c r="G267" s="1" t="n">
        <f aca="false">G120-G264</f>
        <v>72.8710818485565</v>
      </c>
      <c r="H267" s="1" t="n">
        <f aca="false">H120-H264</f>
        <v>85.5296389721001</v>
      </c>
      <c r="I267" s="1" t="n">
        <f aca="false">I120-I264</f>
        <v>99.9444024001686</v>
      </c>
      <c r="J267" s="1" t="n">
        <f aca="false">J120-J264</f>
        <v>115.69230176733</v>
      </c>
      <c r="K267" s="1" t="n">
        <f aca="false">K120-K264</f>
        <v>132.729688256882</v>
      </c>
      <c r="L267" s="1" t="n">
        <f aca="false">L120-L264</f>
        <v>149.806571593554</v>
      </c>
      <c r="M267" s="1" t="n">
        <f aca="false">M120-M264</f>
        <v>149.505279042235</v>
      </c>
      <c r="N267" s="1" t="n">
        <f aca="false">N120-N264</f>
        <v>151.190285421107</v>
      </c>
      <c r="O267" s="1" t="n">
        <f aca="false">O120-O264</f>
        <v>153.215927825828</v>
      </c>
      <c r="P267" s="1" t="n">
        <f aca="false">P120-P264</f>
        <v>154.575970834856</v>
      </c>
      <c r="Q267" s="1" t="n">
        <f aca="false">Q120-Q264</f>
        <v>155.787495340702</v>
      </c>
      <c r="R267" s="1" t="n">
        <f aca="false">R120-R264</f>
        <v>156.644170811131</v>
      </c>
      <c r="S267" s="1" t="n">
        <f aca="false">S120-S264</f>
        <v>157.530824693325</v>
      </c>
      <c r="T267" s="1" t="n">
        <f aca="false">T120-T264</f>
        <v>158.448457342697</v>
      </c>
      <c r="U267" s="1" t="n">
        <f aca="false">U120-U264</f>
        <v>159.39764944416</v>
      </c>
      <c r="V267" s="1" t="n">
        <f aca="false">V120-V264</f>
        <v>160.378971066545</v>
      </c>
      <c r="W267" s="1" t="n">
        <f aca="false">W120-W264</f>
        <v>161.395250770793</v>
      </c>
      <c r="X267" s="1" t="n">
        <f aca="false">X120-X264</f>
        <v>162.447629665031</v>
      </c>
      <c r="Y267" s="1" t="n">
        <f aca="false">Y120-Y264</f>
        <v>163.537028688301</v>
      </c>
      <c r="Z267" s="1" t="n">
        <f aca="false">Z120-Z264</f>
        <v>164.664069628788</v>
      </c>
      <c r="AA267" s="1" t="n">
        <f aca="false">AA120-AA264</f>
        <v>165.82939885844</v>
      </c>
      <c r="AB267" s="1" t="n">
        <f aca="false">AB120-AB264</f>
        <v>167.033638252328</v>
      </c>
      <c r="AC267" s="1" t="n">
        <f aca="false">AC120-AC264</f>
        <v>168.277423418187</v>
      </c>
      <c r="AD267" s="1" t="n">
        <f aca="false">AD120-AD264</f>
        <v>169.561409391926</v>
      </c>
      <c r="AE267" s="1" t="n">
        <f aca="false">AE120-AE264</f>
        <v>170.886278010687</v>
      </c>
      <c r="AF267" s="1" t="n">
        <f aca="false">AF120-AF264</f>
        <v>172.252738161854</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1.00953449812789</v>
      </c>
      <c r="D270" s="1" t="n">
        <f aca="false">01_Supuestos!$C$173*D261</f>
        <v>2.0498535558032</v>
      </c>
      <c r="E270" s="1" t="n">
        <f aca="false">01_Supuestos!$C$173*E261</f>
        <v>3.13511012850711</v>
      </c>
      <c r="F270" s="1" t="n">
        <f aca="false">01_Supuestos!$C$173*F261</f>
        <v>4.33505996205258</v>
      </c>
      <c r="G270" s="1" t="n">
        <f aca="false">01_Supuestos!$C$173*G261</f>
        <v>5.44635048526493</v>
      </c>
      <c r="H270" s="1" t="n">
        <f aca="false">01_Supuestos!$C$173*H261</f>
        <v>6.17893245051288</v>
      </c>
      <c r="I270" s="1" t="n">
        <f aca="false">01_Supuestos!$C$173*I261</f>
        <v>6.95280142412298</v>
      </c>
      <c r="J270" s="1" t="n">
        <f aca="false">01_Supuestos!$C$173*J261</f>
        <v>7.74442186840635</v>
      </c>
      <c r="K270" s="1" t="n">
        <f aca="false">01_Supuestos!$C$173*K261</f>
        <v>8.55420189390012</v>
      </c>
      <c r="L270" s="1" t="n">
        <f aca="false">01_Supuestos!$C$173*L261</f>
        <v>9.38261893793028</v>
      </c>
      <c r="M270" s="1" t="n">
        <f aca="false">01_Supuestos!$C$173*M261</f>
        <v>10.0746445893155</v>
      </c>
      <c r="N270" s="1" t="n">
        <f aca="false">01_Supuestos!$C$173*N261</f>
        <v>10.3414674788401</v>
      </c>
      <c r="O270" s="1" t="n">
        <f aca="false">01_Supuestos!$C$173*O261</f>
        <v>10.6279163462761</v>
      </c>
      <c r="P270" s="1" t="n">
        <f aca="false">01_Supuestos!$C$173*P261</f>
        <v>10.881532664676</v>
      </c>
      <c r="Q270" s="1" t="n">
        <f aca="false">01_Supuestos!$C$173*Q261</f>
        <v>11.1314937829322</v>
      </c>
      <c r="R270" s="1" t="n">
        <f aca="false">01_Supuestos!$C$173*R261</f>
        <v>11.3874498589512</v>
      </c>
      <c r="S270" s="1" t="n">
        <f aca="false">01_Supuestos!$C$173*S261</f>
        <v>11.6492563876721</v>
      </c>
      <c r="T270" s="1" t="n">
        <f aca="false">01_Supuestos!$C$173*T261</f>
        <v>11.9170590064152</v>
      </c>
      <c r="U270" s="1" t="n">
        <f aca="false">01_Supuestos!$C$173*U261</f>
        <v>12.1910006080123</v>
      </c>
      <c r="V270" s="1" t="n">
        <f aca="false">01_Supuestos!$C$173*V261</f>
        <v>12.471225457464</v>
      </c>
      <c r="W270" s="1" t="n">
        <f aca="false">01_Supuestos!$C$173*W261</f>
        <v>12.7578191438726</v>
      </c>
      <c r="X270" s="1" t="n">
        <f aca="false">01_Supuestos!$C$173*X261</f>
        <v>13.0509594593737</v>
      </c>
      <c r="Y270" s="1" t="n">
        <f aca="false">01_Supuestos!$C$173*Y261</f>
        <v>13.3508154474977</v>
      </c>
      <c r="Z270" s="1" t="n">
        <f aca="false">01_Supuestos!$C$173*Z261</f>
        <v>13.6575434614606</v>
      </c>
      <c r="AA270" s="1" t="n">
        <f aca="false">01_Supuestos!$C$173*AA261</f>
        <v>13.9713034243902</v>
      </c>
      <c r="AB270" s="1" t="n">
        <f aca="false">01_Supuestos!$C$173*AB261</f>
        <v>14.2922602383316</v>
      </c>
      <c r="AC270" s="1" t="n">
        <f aca="false">01_Supuestos!$C$173*AC261</f>
        <v>14.6205819142658</v>
      </c>
      <c r="AD270" s="1" t="n">
        <f aca="false">01_Supuestos!$C$173*AD261</f>
        <v>14.956439935178</v>
      </c>
      <c r="AE270" s="1" t="n">
        <f aca="false">01_Supuestos!$C$173*AE261</f>
        <v>15.3000097044628</v>
      </c>
      <c r="AF270" s="1" t="n">
        <f aca="false">01_Supuestos!$C$173*AF261</f>
        <v>15.6514706382216</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4.33505996205258</v>
      </c>
      <c r="G271" s="1" t="n">
        <f aca="false">MIN(G270,G263)</f>
        <v>5.44635048526493</v>
      </c>
      <c r="H271" s="1" t="n">
        <f aca="false">MIN(H270,H263)</f>
        <v>6.17893245051288</v>
      </c>
      <c r="I271" s="1" t="n">
        <f aca="false">MIN(I270,I263)</f>
        <v>6.95280142412298</v>
      </c>
      <c r="J271" s="1" t="n">
        <f aca="false">MIN(J270,J263)</f>
        <v>7.74442186840635</v>
      </c>
      <c r="K271" s="1" t="n">
        <f aca="false">MIN(K270,K263)</f>
        <v>8.55420189390012</v>
      </c>
      <c r="L271" s="1" t="n">
        <f aca="false">MIN(L270,L263)</f>
        <v>9.38261893793028</v>
      </c>
      <c r="M271" s="1" t="n">
        <f aca="false">MIN(M270,M263)</f>
        <v>10.0746445893155</v>
      </c>
      <c r="N271" s="1" t="n">
        <f aca="false">MIN(N270,N263)</f>
        <v>10.3414674788401</v>
      </c>
      <c r="O271" s="1" t="n">
        <f aca="false">MIN(O270,O263)</f>
        <v>10.6279163462761</v>
      </c>
      <c r="P271" s="1" t="n">
        <f aca="false">MIN(P270,P263)</f>
        <v>10.881532664676</v>
      </c>
      <c r="Q271" s="1" t="n">
        <f aca="false">MIN(Q270,Q263)</f>
        <v>11.1314937829322</v>
      </c>
      <c r="R271" s="1" t="n">
        <f aca="false">MIN(R270,R263)</f>
        <v>11.3874498589512</v>
      </c>
      <c r="S271" s="1" t="n">
        <f aca="false">MIN(S270,S263)</f>
        <v>11.6492563876721</v>
      </c>
      <c r="T271" s="1" t="n">
        <f aca="false">MIN(T270,T263)</f>
        <v>11.9170590064152</v>
      </c>
      <c r="U271" s="1" t="n">
        <f aca="false">MIN(U270,U263)</f>
        <v>12.1910006080123</v>
      </c>
      <c r="V271" s="1" t="n">
        <f aca="false">MIN(V270,V263)</f>
        <v>12.471225457464</v>
      </c>
      <c r="W271" s="1" t="n">
        <f aca="false">MIN(W270,W263)</f>
        <v>12.7578191438726</v>
      </c>
      <c r="X271" s="1" t="n">
        <f aca="false">MIN(X270,X263)</f>
        <v>13.0509594593737</v>
      </c>
      <c r="Y271" s="1" t="n">
        <f aca="false">MIN(Y270,Y263)</f>
        <v>13.3508154474977</v>
      </c>
      <c r="Z271" s="1" t="n">
        <f aca="false">MIN(Z270,Z263)</f>
        <v>13.6575434614606</v>
      </c>
      <c r="AA271" s="1" t="n">
        <f aca="false">MIN(AA270,AA263)</f>
        <v>13.9713034243902</v>
      </c>
      <c r="AB271" s="1" t="n">
        <f aca="false">MIN(AB270,AB263)</f>
        <v>14.2922602383316</v>
      </c>
      <c r="AC271" s="1" t="n">
        <f aca="false">MIN(AC270,AC263)</f>
        <v>14.6205819142658</v>
      </c>
      <c r="AD271" s="1" t="n">
        <f aca="false">MIN(AD270,AD263)</f>
        <v>14.956439935178</v>
      </c>
      <c r="AE271" s="1" t="n">
        <f aca="false">MIN(AE270,AE263)</f>
        <v>15.3000097044628</v>
      </c>
      <c r="AF271" s="1" t="n">
        <f aca="false">MIN(AF270,AF263)</f>
        <v>15.6514706382216</v>
      </c>
    </row>
    <row r="272" customFormat="false" ht="14.25" hidden="false" customHeight="true" outlineLevel="0" collapsed="false">
      <c r="B272" s="1" t="s">
        <v>1267</v>
      </c>
      <c r="C272" s="1" t="n">
        <f aca="false">MIN(C270-C271,MAX(0,C120))</f>
        <v>0.973170861764256</v>
      </c>
      <c r="D272" s="1" t="n">
        <f aca="false">MIN(D270-D271,MAX(0,D120))</f>
        <v>1.97584264671229</v>
      </c>
      <c r="E272" s="1" t="n">
        <f aca="false">MIN(E270-E271,MAX(0,E120))</f>
        <v>3.02212299796165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0.020498535558032</v>
      </c>
      <c r="E274" s="1" t="n">
        <f aca="false">IF(01_Supuestos!$C$174="Sí",01_Supuestos!$C$172*E271,01_Supuestos!$I$134*(E271+MIN(MIN(E270-E271,MAX(0,D120)),E264))+$C$10*MAX(0,MIN(E270-E271,MAX(0,D120))-E264))</f>
        <v>0.0313511012850711</v>
      </c>
      <c r="F274" s="1" t="n">
        <f aca="false">IF(01_Supuestos!$C$174="Sí",01_Supuestos!$C$172*F271,01_Supuestos!$I$134*(F271+MIN(MIN(F270-F271,MAX(0,E120)),F264))+$C$10*MAX(0,MIN(F270-F271,MAX(0,E120))-F264))</f>
        <v>0.0433505996205258</v>
      </c>
      <c r="G274" s="1" t="n">
        <f aca="false">IF(01_Supuestos!$C$174="Sí",01_Supuestos!$C$172*G271,01_Supuestos!$I$134*(G271+MIN(MIN(G270-G271,MAX(0,F120)),G264))+$C$10*MAX(0,MIN(G270-G271,MAX(0,F120))-G264))</f>
        <v>0.0544635048526493</v>
      </c>
      <c r="H274" s="1" t="n">
        <f aca="false">IF(01_Supuestos!$C$174="Sí",01_Supuestos!$C$172*H271,01_Supuestos!$I$134*(H271+MIN(MIN(H270-H271,MAX(0,G120)),H264))+$C$10*MAX(0,MIN(H270-H271,MAX(0,G120))-H264))</f>
        <v>0.0617893245051288</v>
      </c>
      <c r="I274" s="1" t="n">
        <f aca="false">IF(01_Supuestos!$C$174="Sí",01_Supuestos!$C$172*I271,01_Supuestos!$I$134*(I271+MIN(MIN(I270-I271,MAX(0,H120)),I264))+$C$10*MAX(0,MIN(I270-I271,MAX(0,H120))-I264))</f>
        <v>0.0695280142412298</v>
      </c>
      <c r="J274" s="1" t="n">
        <f aca="false">IF(01_Supuestos!$C$174="Sí",01_Supuestos!$C$172*J271,01_Supuestos!$I$134*(J271+MIN(MIN(J270-J271,MAX(0,I120)),J264))+$C$10*MAX(0,MIN(J270-J271,MAX(0,I120))-J264))</f>
        <v>0.0774442186840635</v>
      </c>
      <c r="K274" s="1" t="n">
        <f aca="false">IF(01_Supuestos!$C$174="Sí",01_Supuestos!$C$172*K271,01_Supuestos!$I$134*(K271+MIN(MIN(K270-K271,MAX(0,J120)),K264))+$C$10*MAX(0,MIN(K270-K271,MAX(0,J120))-K264))</f>
        <v>0.0855420189390012</v>
      </c>
      <c r="L274" s="1" t="n">
        <f aca="false">IF(01_Supuestos!$C$174="Sí",01_Supuestos!$C$172*L271,01_Supuestos!$I$134*(L271+MIN(MIN(L270-L271,MAX(0,K120)),L264))+$C$10*MAX(0,MIN(L270-L271,MAX(0,K120))-L264))</f>
        <v>0.0938261893793028</v>
      </c>
      <c r="M274" s="1" t="n">
        <f aca="false">IF(01_Supuestos!$C$174="Sí",01_Supuestos!$C$172*M271,01_Supuestos!$I$134*(M271+MIN(MIN(M270-M271,MAX(0,L120)),M264))+$C$10*MAX(0,MIN(M270-M271,MAX(0,L120))-M264))</f>
        <v>0.100746445893155</v>
      </c>
      <c r="N274" s="1" t="n">
        <f aca="false">IF(01_Supuestos!$C$174="Sí",01_Supuestos!$C$172*N271,01_Supuestos!$I$134*(N271+MIN(MIN(N270-N271,MAX(0,M120)),N264))+$C$10*MAX(0,MIN(N270-N271,MAX(0,M120))-N264))</f>
        <v>0.103414674788401</v>
      </c>
      <c r="O274" s="1" t="n">
        <f aca="false">IF(01_Supuestos!$C$174="Sí",01_Supuestos!$C$172*O271,01_Supuestos!$I$134*(O271+MIN(MIN(O270-O271,MAX(0,N120)),O264))+$C$10*MAX(0,MIN(O270-O271,MAX(0,N120))-O264))</f>
        <v>0.106279163462761</v>
      </c>
      <c r="P274" s="1" t="n">
        <f aca="false">IF(01_Supuestos!$C$174="Sí",01_Supuestos!$C$172*P271,01_Supuestos!$I$134*(P271+MIN(MIN(P270-P271,MAX(0,O120)),P264))+$C$10*MAX(0,MIN(P270-P271,MAX(0,O120))-P264))</f>
        <v>0.10881532664676</v>
      </c>
      <c r="Q274" s="1" t="n">
        <f aca="false">IF(01_Supuestos!$C$174="Sí",01_Supuestos!$C$172*Q271,01_Supuestos!$I$134*(Q271+MIN(MIN(Q270-Q271,MAX(0,P120)),Q264))+$C$10*MAX(0,MIN(Q270-Q271,MAX(0,P120))-Q264))</f>
        <v>0.111314937829322</v>
      </c>
      <c r="R274" s="1" t="n">
        <f aca="false">IF(01_Supuestos!$C$174="Sí",01_Supuestos!$C$172*R271,01_Supuestos!$I$134*(R271+MIN(MIN(R270-R271,MAX(0,Q120)),R264))+$C$10*MAX(0,MIN(R270-R271,MAX(0,Q120))-R264))</f>
        <v>0.113874498589512</v>
      </c>
      <c r="S274" s="1" t="n">
        <f aca="false">IF(01_Supuestos!$C$174="Sí",01_Supuestos!$C$172*S271,01_Supuestos!$I$134*(S271+MIN(MIN(S270-S271,MAX(0,R120)),S264))+$C$10*MAX(0,MIN(S270-S271,MAX(0,R120))-S264))</f>
        <v>0.116492563876721</v>
      </c>
      <c r="T274" s="1" t="n">
        <f aca="false">IF(01_Supuestos!$C$174="Sí",01_Supuestos!$C$172*T271,01_Supuestos!$I$134*(T271+MIN(MIN(T270-T271,MAX(0,S120)),T264))+$C$10*MAX(0,MIN(T270-T271,MAX(0,S120))-T264))</f>
        <v>0.119170590064152</v>
      </c>
      <c r="U274" s="1" t="n">
        <f aca="false">IF(01_Supuestos!$C$174="Sí",01_Supuestos!$C$172*U271,01_Supuestos!$I$134*(U271+MIN(MIN(U270-U271,MAX(0,T120)),U264))+$C$10*MAX(0,MIN(U270-U271,MAX(0,T120))-U264))</f>
        <v>0.121910006080123</v>
      </c>
      <c r="V274" s="1" t="n">
        <f aca="false">IF(01_Supuestos!$C$174="Sí",01_Supuestos!$C$172*V271,01_Supuestos!$I$134*(V271+MIN(MIN(V270-V271,MAX(0,U120)),V264))+$C$10*MAX(0,MIN(V270-V271,MAX(0,U120))-V264))</f>
        <v>0.12471225457464</v>
      </c>
      <c r="W274" s="1" t="n">
        <f aca="false">IF(01_Supuestos!$C$174="Sí",01_Supuestos!$C$172*W271,01_Supuestos!$I$134*(W271+MIN(MIN(W270-W271,MAX(0,V120)),W264))+$C$10*MAX(0,MIN(W270-W271,MAX(0,V120))-W264))</f>
        <v>0.127578191438726</v>
      </c>
      <c r="X274" s="1" t="n">
        <f aca="false">IF(01_Supuestos!$C$174="Sí",01_Supuestos!$C$172*X271,01_Supuestos!$I$134*(X271+MIN(MIN(X270-X271,MAX(0,W120)),X264))+$C$10*MAX(0,MIN(X270-X271,MAX(0,W120))-X264))</f>
        <v>0.130509594593737</v>
      </c>
      <c r="Y274" s="1" t="n">
        <f aca="false">IF(01_Supuestos!$C$174="Sí",01_Supuestos!$C$172*Y271,01_Supuestos!$I$134*(Y271+MIN(MIN(Y270-Y271,MAX(0,X120)),Y264))+$C$10*MAX(0,MIN(Y270-Y271,MAX(0,X120))-Y264))</f>
        <v>0.133508154474977</v>
      </c>
      <c r="Z274" s="1" t="n">
        <f aca="false">IF(01_Supuestos!$C$174="Sí",01_Supuestos!$C$172*Z271,01_Supuestos!$I$134*(Z271+MIN(MIN(Z270-Z271,MAX(0,Y120)),Z264))+$C$10*MAX(0,MIN(Z270-Z271,MAX(0,Y120))-Z264))</f>
        <v>0.136575434614606</v>
      </c>
      <c r="AA274" s="1" t="n">
        <f aca="false">IF(01_Supuestos!$C$174="Sí",01_Supuestos!$C$172*AA271,01_Supuestos!$I$134*(AA271+MIN(MIN(AA270-AA271,MAX(0,Z120)),AA264))+$C$10*MAX(0,MIN(AA270-AA271,MAX(0,Z120))-AA264))</f>
        <v>0.139713034243902</v>
      </c>
      <c r="AB274" s="1" t="n">
        <f aca="false">IF(01_Supuestos!$C$174="Sí",01_Supuestos!$C$172*AB271,01_Supuestos!$I$134*(AB271+MIN(MIN(AB270-AB271,MAX(0,AA120)),AB264))+$C$10*MAX(0,MIN(AB270-AB271,MAX(0,AA120))-AB264))</f>
        <v>0.142922602383316</v>
      </c>
      <c r="AC274" s="1" t="n">
        <f aca="false">IF(01_Supuestos!$C$174="Sí",01_Supuestos!$C$172*AC271,01_Supuestos!$I$134*(AC271+MIN(MIN(AC270-AC271,MAX(0,AB120)),AC264))+$C$10*MAX(0,MIN(AC270-AC271,MAX(0,AB120))-AC264))</f>
        <v>0.146205819142658</v>
      </c>
      <c r="AD274" s="1" t="n">
        <f aca="false">IF(01_Supuestos!$C$174="Sí",01_Supuestos!$C$172*AD271,01_Supuestos!$I$134*(AD271+MIN(MIN(AD270-AD271,MAX(0,AC120)),AD264))+$C$10*MAX(0,MIN(AD270-AD271,MAX(0,AC120))-AD264))</f>
        <v>0.14956439935178</v>
      </c>
      <c r="AE274" s="1" t="n">
        <f aca="false">IF(01_Supuestos!$C$174="Sí",01_Supuestos!$C$172*AE271,01_Supuestos!$I$134*(AE271+MIN(MIN(AE270-AE271,MAX(0,AD120)),AE264))+$C$10*MAX(0,MIN(AE270-AE271,MAX(0,AD120))-AE264))</f>
        <v>0.153000097044628</v>
      </c>
      <c r="AF274" s="1" t="n">
        <f aca="false">IF(01_Supuestos!$C$174="Sí",01_Supuestos!$C$172*AF271,01_Supuestos!$I$134*(AF271+MIN(MIN(AF270-AF271,MAX(0,AE120)),AF264))+$C$10*MAX(0,MIN(AF270-AF271,MAX(0,AE120))-AF264))</f>
        <v>0.156514706382216</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17.9458778419531</v>
      </c>
      <c r="D276" s="1" t="n">
        <f aca="false">D120-MAX(D264,D272)</f>
        <v>33.1304297560563</v>
      </c>
      <c r="E276" s="1" t="n">
        <f aca="false">E120-MAX(E264,E272)</f>
        <v>50.0573322259453</v>
      </c>
      <c r="F276" s="1" t="n">
        <f aca="false">F120-MAX(F264,F272)</f>
        <v>61.8768626889668</v>
      </c>
      <c r="G276" s="1" t="n">
        <f aca="false">G120-MAX(G264,G272)</f>
        <v>72.8710818485565</v>
      </c>
      <c r="H276" s="1" t="n">
        <f aca="false">H120-MAX(H264,H272)</f>
        <v>85.5296389721001</v>
      </c>
      <c r="I276" s="1" t="n">
        <f aca="false">I120-MAX(I264,I272)</f>
        <v>99.9444024001686</v>
      </c>
      <c r="J276" s="1" t="n">
        <f aca="false">J120-MAX(J264,J272)</f>
        <v>115.69230176733</v>
      </c>
      <c r="K276" s="1" t="n">
        <f aca="false">K120-MAX(K264,K272)</f>
        <v>132.729688256882</v>
      </c>
      <c r="L276" s="1" t="n">
        <f aca="false">L120-MAX(L264,L272)</f>
        <v>149.806571593554</v>
      </c>
      <c r="M276" s="1" t="n">
        <f aca="false">M120-MAX(M264,M272)</f>
        <v>149.505279042235</v>
      </c>
      <c r="N276" s="1" t="n">
        <f aca="false">N120-MAX(N264,N272)</f>
        <v>151.190285421107</v>
      </c>
      <c r="O276" s="1" t="n">
        <f aca="false">O120-MAX(O264,O272)</f>
        <v>153.215927825828</v>
      </c>
      <c r="P276" s="1" t="n">
        <f aca="false">P120-MAX(P264,P272)</f>
        <v>154.575970834856</v>
      </c>
      <c r="Q276" s="1" t="n">
        <f aca="false">Q120-MAX(Q264,Q272)</f>
        <v>155.787495340702</v>
      </c>
      <c r="R276" s="1" t="n">
        <f aca="false">R120-MAX(R264,R272)</f>
        <v>156.644170811131</v>
      </c>
      <c r="S276" s="1" t="n">
        <f aca="false">S120-MAX(S264,S272)</f>
        <v>157.530824693325</v>
      </c>
      <c r="T276" s="1" t="n">
        <f aca="false">T120-MAX(T264,T272)</f>
        <v>158.448457342697</v>
      </c>
      <c r="U276" s="1" t="n">
        <f aca="false">U120-MAX(U264,U272)</f>
        <v>159.39764944416</v>
      </c>
      <c r="V276" s="1" t="n">
        <f aca="false">V120-MAX(V264,V272)</f>
        <v>160.378971066545</v>
      </c>
      <c r="W276" s="1" t="n">
        <f aca="false">W120-MAX(W264,W272)</f>
        <v>161.395250770793</v>
      </c>
      <c r="X276" s="1" t="n">
        <f aca="false">X120-MAX(X264,X272)</f>
        <v>162.447629665031</v>
      </c>
      <c r="Y276" s="1" t="n">
        <f aca="false">Y120-MAX(Y264,Y272)</f>
        <v>163.537028688301</v>
      </c>
      <c r="Z276" s="1" t="n">
        <f aca="false">Z120-MAX(Z264,Z272)</f>
        <v>164.664069628788</v>
      </c>
      <c r="AA276" s="1" t="n">
        <f aca="false">AA120-MAX(AA264,AA272)</f>
        <v>165.82939885844</v>
      </c>
      <c r="AB276" s="1" t="n">
        <f aca="false">AB120-MAX(AB264,AB272)</f>
        <v>167.033638252328</v>
      </c>
      <c r="AC276" s="1" t="n">
        <f aca="false">AC120-MAX(AC264,AC272)</f>
        <v>168.277423418187</v>
      </c>
      <c r="AD276" s="1" t="n">
        <f aca="false">AD120-MAX(AD264,AD272)</f>
        <v>169.561409391926</v>
      </c>
      <c r="AE276" s="1" t="n">
        <f aca="false">AE120-MAX(AE264,AE272)</f>
        <v>170.886278010687</v>
      </c>
      <c r="AF276" s="1" t="n">
        <f aca="false">AF120-MAX(AF264,AF272)</f>
        <v>172.252738161854</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2.20612254935952</v>
      </c>
      <c r="D284" s="1" t="n">
        <f aca="false">$C$279*D87</f>
        <v>5.59246698637251</v>
      </c>
      <c r="E284" s="1" t="n">
        <f aca="false">$C$279*E87</f>
        <v>9.31366079829524</v>
      </c>
      <c r="F284" s="1" t="n">
        <f aca="false">$C$279*F87</f>
        <v>7.72296072044535</v>
      </c>
      <c r="G284" s="1" t="n">
        <f aca="false">$C$279*G87</f>
        <v>12.7637265874181</v>
      </c>
      <c r="H284" s="1" t="n">
        <f aca="false">$C$279*H87</f>
        <v>17.9329542086465</v>
      </c>
      <c r="I284" s="1" t="n">
        <f aca="false">$C$279*I87</f>
        <v>23.2336567218633</v>
      </c>
      <c r="J284" s="1" t="n">
        <f aca="false">$C$279*J87</f>
        <v>28.6689144574326</v>
      </c>
      <c r="K284" s="1" t="n">
        <f aca="false">$C$279*K87</f>
        <v>34.2418766015027</v>
      </c>
      <c r="L284" s="1" t="n">
        <f aca="false">$C$279*L87</f>
        <v>39.9514227809955</v>
      </c>
      <c r="M284" s="1" t="n">
        <f aca="false">$C$279*M87</f>
        <v>49.1135472920277</v>
      </c>
      <c r="N284" s="1" t="n">
        <f aca="false">$C$279*N87</f>
        <v>52.852463476498</v>
      </c>
      <c r="O284" s="1" t="n">
        <f aca="false">$C$279*O87</f>
        <v>53.96070114928</v>
      </c>
      <c r="P284" s="1" t="n">
        <f aca="false">$C$279*P87</f>
        <v>55.1825546945236</v>
      </c>
      <c r="Q284" s="1" t="n">
        <f aca="false">$C$279*Q87</f>
        <v>56.4369334414969</v>
      </c>
      <c r="R284" s="1" t="n">
        <f aca="false">$C$279*R87</f>
        <v>57.7278970232658</v>
      </c>
      <c r="S284" s="1" t="n">
        <f aca="false">$C$279*S87</f>
        <v>59.05597979663</v>
      </c>
      <c r="T284" s="1" t="n">
        <f aca="false">$C$279*T87</f>
        <v>60.4219725148504</v>
      </c>
      <c r="U284" s="1" t="n">
        <f aca="false">$C$279*U87</f>
        <v>61.8262751319867</v>
      </c>
      <c r="V284" s="1" t="n">
        <f aca="false">$C$279*V87</f>
        <v>63.2693099242866</v>
      </c>
      <c r="W284" s="1" t="n">
        <f aca="false">$C$279*W87</f>
        <v>64.7558952602298</v>
      </c>
      <c r="X284" s="1" t="n">
        <f aca="false">$C$279*X87</f>
        <v>66.286473073725</v>
      </c>
      <c r="Y284" s="1" t="n">
        <f aca="false">$C$279*Y87</f>
        <v>67.861503166829</v>
      </c>
      <c r="Z284" s="1" t="n">
        <f aca="false">$C$279*Z87</f>
        <v>69.4814645993743</v>
      </c>
      <c r="AA284" s="1" t="n">
        <f aca="false">$C$279*AA87</f>
        <v>71.1468554447384</v>
      </c>
      <c r="AB284" s="1" t="n">
        <f aca="false">$C$279*AB87</f>
        <v>72.8580970821076</v>
      </c>
      <c r="AC284" s="1" t="n">
        <f aca="false">$C$279*AC87</f>
        <v>74.6156311635498</v>
      </c>
      <c r="AD284" s="1" t="n">
        <f aca="false">$C$279*AD87</f>
        <v>76.41991934961</v>
      </c>
      <c r="AE284" s="1" t="n">
        <f aca="false">$C$279*AE87</f>
        <v>78.2714430430092</v>
      </c>
      <c r="AF284" s="1" t="n">
        <f aca="false">$C$279*AF87</f>
        <v>80.1707031555286</v>
      </c>
    </row>
    <row r="285" customFormat="false" ht="14.25" hidden="false" customHeight="true" outlineLevel="0" collapsed="false">
      <c r="B285" s="84" t="s">
        <v>1280</v>
      </c>
      <c r="C285" s="1" t="n">
        <f aca="false">MAX(0/$C$280,0-C284)</f>
        <v>0</v>
      </c>
      <c r="D285" s="1" t="n">
        <f aca="false">MAX(C284*(1-$C$340)/$C$280,C284-D341-D284)</f>
        <v>0.110195821340508</v>
      </c>
      <c r="E285" s="1" t="n">
        <f aca="false">MAX(D284*(1-$C$340)/$C$280,D284-E341-E284)</f>
        <v>0.279343725969307</v>
      </c>
      <c r="F285" s="1" t="n">
        <f aca="false">MAX(E284*(1-$C$340)/$C$280,E284-F341-F284)</f>
        <v>1.5813864170516</v>
      </c>
      <c r="G285" s="1" t="n">
        <f aca="false">MAX(F284*(1-$C$340)/$C$280,F284-G341-G284)</f>
        <v>0.385761887986245</v>
      </c>
      <c r="H285" s="1" t="n">
        <f aca="false">MAX(G284*(1-$C$340)/$C$280,G284-H341-H284)</f>
        <v>0.637548143041533</v>
      </c>
      <c r="I285" s="1" t="n">
        <f aca="false">MAX(H284*(1-$C$340)/$C$280,H284-I341-I284)</f>
        <v>0.895751062721894</v>
      </c>
      <c r="J285" s="1" t="n">
        <f aca="false">MAX(I284*(1-$C$340)/$C$280,I284-J341-J284)</f>
        <v>1.16052115325707</v>
      </c>
      <c r="K285" s="1" t="n">
        <f aca="false">MAX(J284*(1-$C$340)/$C$280,J284-K341-K284)</f>
        <v>1.43201227714876</v>
      </c>
      <c r="L285" s="1" t="n">
        <f aca="false">MAX(K284*(1-$C$340)/$C$280,K284-L341-L284)</f>
        <v>1.71038173624506</v>
      </c>
      <c r="M285" s="1" t="n">
        <f aca="false">MAX(L284*(1-$C$340)/$C$280,L284-M341-M284)</f>
        <v>1.99557356791073</v>
      </c>
      <c r="N285" s="1" t="n">
        <f aca="false">MAX(M284*(1-$C$340)/$C$280,M284-N341-N284)</f>
        <v>2.45322168723678</v>
      </c>
      <c r="O285" s="1" t="n">
        <f aca="false">MAX(N284*(1-$C$340)/$C$280,N284-O341-O284)</f>
        <v>2.63998055065108</v>
      </c>
      <c r="P285" s="1" t="n">
        <f aca="false">MAX(O284*(1-$C$340)/$C$280,O284-P341-P284)</f>
        <v>2.69533702240654</v>
      </c>
      <c r="Q285" s="1" t="n">
        <f aca="false">MAX(P284*(1-$C$340)/$C$280,P284-Q341-Q284)</f>
        <v>2.75636860699145</v>
      </c>
      <c r="R285" s="1" t="n">
        <f aca="false">MAX(Q284*(1-$C$340)/$C$280,Q284-R341-R284)</f>
        <v>2.81902482540277</v>
      </c>
      <c r="S285" s="1" t="n">
        <f aca="false">MAX(R284*(1-$C$340)/$C$280,R284-S341-S284)</f>
        <v>2.88350845631212</v>
      </c>
      <c r="T285" s="1" t="n">
        <f aca="false">MAX(S284*(1-$C$340)/$C$280,S284-T341-T284)</f>
        <v>2.94984619084167</v>
      </c>
      <c r="U285" s="1" t="n">
        <f aca="false">MAX(T284*(1-$C$340)/$C$280,T284-U341-U284)</f>
        <v>3.01807752711678</v>
      </c>
      <c r="V285" s="1" t="n">
        <f aca="false">MAX(U284*(1-$C$340)/$C$280,U284-V341-V284)</f>
        <v>3.08822244284273</v>
      </c>
      <c r="W285" s="1" t="n">
        <f aca="false">MAX(V284*(1-$C$340)/$C$280,V284-W341-W284)</f>
        <v>3.16030203071812</v>
      </c>
      <c r="X285" s="1" t="n">
        <f aca="false">MAX(W284*(1-$C$340)/$C$280,W284-X341-X284)</f>
        <v>3.23455696824848</v>
      </c>
      <c r="Y285" s="1" t="n">
        <f aca="false">MAX(X284*(1-$C$340)/$C$280,X284-Y341-Y284)</f>
        <v>3.31100933003256</v>
      </c>
      <c r="Z285" s="1" t="n">
        <f aca="false">MAX(Y284*(1-$C$340)/$C$280,Y284-Z341-Z284)</f>
        <v>3.38968208318311</v>
      </c>
      <c r="AA285" s="1" t="n">
        <f aca="false">MAX(Z284*(1-$C$340)/$C$280,Z284-AA341-AA284)</f>
        <v>3.47059915673875</v>
      </c>
      <c r="AB285" s="1" t="n">
        <f aca="false">MAX(AA284*(1-$C$340)/$C$280,AA284-AB341-AB284)</f>
        <v>3.55378542946468</v>
      </c>
      <c r="AC285" s="1" t="n">
        <f aca="false">MAX(AB284*(1-$C$340)/$C$280,AB284-AC341-AC284)</f>
        <v>3.63926194925127</v>
      </c>
      <c r="AD285" s="1" t="n">
        <f aca="false">MAX(AC284*(1-$C$340)/$C$280,AC284-AD341-AD284)</f>
        <v>3.72705077661931</v>
      </c>
      <c r="AE285" s="1" t="n">
        <f aca="false">MAX(AD284*(1-$C$340)/$C$280,AD284-AE341-AE284)</f>
        <v>3.81717497151302</v>
      </c>
      <c r="AF285" s="1" t="n">
        <f aca="false">MAX(AE284*(1-$C$340)/$C$280,AE284-AF341-AF284)</f>
        <v>3.90965857999831</v>
      </c>
    </row>
    <row r="286" customFormat="false" ht="14.25" hidden="false" customHeight="true" outlineLevel="0" collapsed="false">
      <c r="B286" s="84" t="s">
        <v>1281</v>
      </c>
      <c r="C286" s="1" t="n">
        <f aca="false">C284-0+C285</f>
        <v>2.20612254935952</v>
      </c>
      <c r="D286" s="1" t="n">
        <f aca="false">D284-C284+D285+D341</f>
        <v>3.49874638090286</v>
      </c>
      <c r="E286" s="1" t="n">
        <f aca="false">E284-D284+E285+E341</f>
        <v>4.00613000487841</v>
      </c>
      <c r="F286" s="1" t="n">
        <f aca="false">F284-E284+F285+F341</f>
        <v>3.60822483003176E-016</v>
      </c>
      <c r="G286" s="1" t="n">
        <f aca="false">G284-F284+G285+G341</f>
        <v>5.43425071567943</v>
      </c>
      <c r="H286" s="1" t="n">
        <f aca="false">H284-G284+H285+H341</f>
        <v>5.81953949085739</v>
      </c>
      <c r="I286" s="1" t="n">
        <f aca="false">I284-H284+I285+I341</f>
        <v>6.21438653014727</v>
      </c>
      <c r="J286" s="1" t="n">
        <f aca="false">J284-I284+J285+J341</f>
        <v>6.61901254554823</v>
      </c>
      <c r="K286" s="1" t="n">
        <f aca="false">K284-J284+K285+K341</f>
        <v>7.03364333567637</v>
      </c>
      <c r="L286" s="1" t="n">
        <f aca="false">L284-K284+L285+L341</f>
        <v>7.45416979233936</v>
      </c>
      <c r="M286" s="1" t="n">
        <f aca="false">M284-L284+M285+M341</f>
        <v>11.1976495017238</v>
      </c>
      <c r="N286" s="1" t="n">
        <f aca="false">N284-M284+N285+N341</f>
        <v>6.24125141899916</v>
      </c>
      <c r="O286" s="1" t="n">
        <f aca="false">O284-N284+O285+O341</f>
        <v>3.8010706869096</v>
      </c>
      <c r="P286" s="1" t="n">
        <f aca="false">P284-O284+P285+P341</f>
        <v>3.97115126879937</v>
      </c>
      <c r="Q286" s="1" t="n">
        <f aca="false">Q284-P284+Q285+Q341</f>
        <v>4.06592990865933</v>
      </c>
      <c r="R286" s="1" t="n">
        <f aca="false">R284-Q284+R285+R341</f>
        <v>4.16642534061309</v>
      </c>
      <c r="S286" s="1" t="n">
        <f aca="false">S284-R284+S285+S341</f>
        <v>4.26931912669959</v>
      </c>
      <c r="T286" s="1" t="n">
        <f aca="false">T284-S284+T285+T341</f>
        <v>4.37489488885874</v>
      </c>
      <c r="U286" s="1" t="n">
        <f aca="false">U284-T284+U285+U341</f>
        <v>4.48280211676789</v>
      </c>
      <c r="V286" s="1" t="n">
        <f aca="false">V284-U284+V285+V341</f>
        <v>4.59308351027466</v>
      </c>
      <c r="W286" s="1" t="n">
        <f aca="false">W284-V284+W285+W341</f>
        <v>4.71015667658561</v>
      </c>
      <c r="X286" s="1" t="n">
        <f aca="false">X284-W284+X285+X341</f>
        <v>4.82989067700389</v>
      </c>
      <c r="Y286" s="1" t="n">
        <f aca="false">Y284-X284+Y285+Y341</f>
        <v>4.95232589621028</v>
      </c>
      <c r="Z286" s="1" t="n">
        <f aca="false">Z284-Y284+Z285+Z341</f>
        <v>5.07750501889528</v>
      </c>
      <c r="AA286" s="1" t="n">
        <f aca="false">AA284-Z284+AA285+AA341</f>
        <v>5.20547146670218</v>
      </c>
      <c r="AB286" s="1" t="n">
        <f aca="false">AB284-AA284+AB285+AB341</f>
        <v>5.33617392227863</v>
      </c>
      <c r="AC286" s="1" t="n">
        <f aca="false">AC284-AB284+AC285+AC341</f>
        <v>5.46965412777556</v>
      </c>
      <c r="AD286" s="1" t="n">
        <f aca="false">AD284-AC284+AD285+AD341</f>
        <v>5.60595459384312</v>
      </c>
      <c r="AE286" s="1" t="n">
        <f aca="false">AE284-AD284+AE285+AE341</f>
        <v>5.74511858426178</v>
      </c>
      <c r="AF286" s="1" t="n">
        <f aca="false">AF284-AE284+AF285+AF341</f>
        <v>5.88719013556079</v>
      </c>
    </row>
    <row r="287" customFormat="false" ht="14.25" hidden="false" customHeight="true" outlineLevel="0" collapsed="false">
      <c r="B287" s="84" t="s">
        <v>1282</v>
      </c>
      <c r="C287" s="1" t="n">
        <f aca="false">C284*(1-$C$340)*$C$175</f>
        <v>0.0947684063528368</v>
      </c>
      <c r="D287" s="1" t="n">
        <f aca="false">D284*(1-$C$340)*$C$175</f>
        <v>0.240235604333604</v>
      </c>
      <c r="E287" s="1" t="n">
        <f aca="false">E284*(1-$C$340)*$C$175</f>
        <v>0.400086926912368</v>
      </c>
      <c r="F287" s="1" t="n">
        <f aca="false">F284*(1-$C$340)*$C$175</f>
        <v>0.331755223668171</v>
      </c>
      <c r="G287" s="1" t="n">
        <f aca="false">G284*(1-$C$340)*$C$175</f>
        <v>0.548291403015719</v>
      </c>
      <c r="H287" s="1" t="n">
        <f aca="false">H284*(1-$C$340)*$C$175</f>
        <v>0.770345913940829</v>
      </c>
      <c r="I287" s="1" t="n">
        <f aca="false">I284*(1-$C$340)*$C$175</f>
        <v>0.99804819180108</v>
      </c>
      <c r="J287" s="1" t="n">
        <f aca="false">J284*(1-$C$340)*$C$175</f>
        <v>1.23153055834793</v>
      </c>
      <c r="K287" s="1" t="n">
        <f aca="false">K284*(1-$C$340)*$C$175</f>
        <v>1.47092829317075</v>
      </c>
      <c r="L287" s="1" t="n">
        <f aca="false">L284*(1-$C$340)*$C$175</f>
        <v>1.71619326840322</v>
      </c>
      <c r="M287" s="1" t="n">
        <f aca="false">M284*(1-$C$340)*$C$175</f>
        <v>2.10977065102363</v>
      </c>
      <c r="N287" s="1" t="n">
        <f aca="false">N284*(1-$C$340)*$C$175</f>
        <v>2.27038327355992</v>
      </c>
      <c r="O287" s="1" t="n">
        <f aca="false">O284*(1-$C$340)*$C$175</f>
        <v>2.31798983926962</v>
      </c>
      <c r="P287" s="1" t="n">
        <f aca="false">P284*(1-$C$340)*$C$175</f>
        <v>2.37047700201265</v>
      </c>
      <c r="Q287" s="1" t="n">
        <f aca="false">Q284*(1-$C$340)*$C$175</f>
        <v>2.42436134984638</v>
      </c>
      <c r="R287" s="1" t="n">
        <f aca="false">R284*(1-$C$340)*$C$175</f>
        <v>2.47981727242843</v>
      </c>
      <c r="S287" s="1" t="n">
        <f aca="false">S284*(1-$C$340)*$C$175</f>
        <v>2.53686772412383</v>
      </c>
      <c r="T287" s="1" t="n">
        <f aca="false">T284*(1-$C$340)*$C$175</f>
        <v>2.59554667332043</v>
      </c>
      <c r="U287" s="1" t="n">
        <f aca="false">U284*(1-$C$340)*$C$175</f>
        <v>2.65587130084475</v>
      </c>
      <c r="V287" s="1" t="n">
        <f aca="false">V284*(1-$C$340)*$C$175</f>
        <v>2.71785974641758</v>
      </c>
      <c r="W287" s="1" t="n">
        <f aca="false">W284*(1-$C$340)*$C$175</f>
        <v>2.78171899269369</v>
      </c>
      <c r="X287" s="1" t="n">
        <f aca="false">X284*(1-$C$340)*$C$175</f>
        <v>2.847468023828</v>
      </c>
      <c r="Y287" s="1" t="n">
        <f aca="false">Y284*(1-$C$340)*$C$175</f>
        <v>2.91512659153747</v>
      </c>
      <c r="Z287" s="1" t="n">
        <f aca="false">Z284*(1-$C$340)*$C$175</f>
        <v>2.98471527479532</v>
      </c>
      <c r="AA287" s="1" t="n">
        <f aca="false">AA284*(1-$C$340)*$C$175</f>
        <v>3.05625546933963</v>
      </c>
      <c r="AB287" s="1" t="n">
        <f aca="false">AB284*(1-$C$340)*$C$175</f>
        <v>3.1297652763561</v>
      </c>
      <c r="AC287" s="1" t="n">
        <f aca="false">AC284*(1-$C$340)*$C$175</f>
        <v>3.20526366789261</v>
      </c>
      <c r="AD287" s="1" t="n">
        <f aca="false">AD284*(1-$C$340)*$C$175</f>
        <v>3.2827704755012</v>
      </c>
      <c r="AE287" s="1" t="n">
        <f aca="false">AE284*(1-$C$340)*$C$175</f>
        <v>3.36230637879854</v>
      </c>
      <c r="AF287" s="1" t="n">
        <f aca="false">AF284*(1-$C$340)*$C$175</f>
        <v>3.44389289545204</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3.04655018721076</v>
      </c>
      <c r="D289" s="1" t="n">
        <f aca="false">(1-$C$279)*D87</f>
        <v>7.7229306002287</v>
      </c>
      <c r="E289" s="1" t="n">
        <f aca="false">(1-$C$279)*E87</f>
        <v>12.8617220547887</v>
      </c>
      <c r="F289" s="1" t="n">
        <f aca="false">(1-$C$279)*F87</f>
        <v>10.6650409949007</v>
      </c>
      <c r="G289" s="1" t="n">
        <f aca="false">(1-$C$279)*G87</f>
        <v>17.6260986207202</v>
      </c>
      <c r="H289" s="1" t="n">
        <f aca="false">(1-$C$279)*H87</f>
        <v>24.7645558119404</v>
      </c>
      <c r="I289" s="1" t="n">
        <f aca="false">(1-$C$279)*I87</f>
        <v>32.0845735682874</v>
      </c>
      <c r="J289" s="1" t="n">
        <f aca="false">(1-$C$279)*J87</f>
        <v>39.5904056793116</v>
      </c>
      <c r="K289" s="1" t="n">
        <f aca="false">(1-$C$279)*K87</f>
        <v>47.2864010211228</v>
      </c>
      <c r="L289" s="1" t="n">
        <f aca="false">(1-$C$279)*L87</f>
        <v>55.171012411851</v>
      </c>
      <c r="M289" s="1" t="n">
        <f aca="false">(1-$C$279)*M87</f>
        <v>67.823470069943</v>
      </c>
      <c r="N289" s="1" t="n">
        <f aca="false">(1-$C$279)*N87</f>
        <v>72.9867352770687</v>
      </c>
      <c r="O289" s="1" t="n">
        <f aca="false">(1-$C$279)*O87</f>
        <v>74.5171587299581</v>
      </c>
      <c r="P289" s="1" t="n">
        <f aca="false">(1-$C$279)*P87</f>
        <v>76.2044802924373</v>
      </c>
      <c r="Q289" s="1" t="n">
        <f aca="false">(1-$C$279)*Q87</f>
        <v>77.9367176096863</v>
      </c>
      <c r="R289" s="1" t="n">
        <f aca="false">(1-$C$279)*R87</f>
        <v>79.7194768416527</v>
      </c>
      <c r="S289" s="1" t="n">
        <f aca="false">(1-$C$279)*S87</f>
        <v>81.5534959096319</v>
      </c>
      <c r="T289" s="1" t="n">
        <f aca="false">(1-$C$279)*T87</f>
        <v>83.439866806222</v>
      </c>
      <c r="U289" s="1" t="n">
        <f aca="false">(1-$C$279)*U87</f>
        <v>85.379141848934</v>
      </c>
      <c r="V289" s="1" t="n">
        <f aca="false">(1-$C$279)*V87</f>
        <v>87.3719041811577</v>
      </c>
      <c r="W289" s="1" t="n">
        <f aca="false">(1-$C$279)*W87</f>
        <v>89.4248077403174</v>
      </c>
      <c r="X289" s="1" t="n">
        <f aca="false">(1-$C$279)*X87</f>
        <v>91.5384628160964</v>
      </c>
      <c r="Y289" s="1" t="n">
        <f aca="false">(1-$C$279)*Y87</f>
        <v>93.71350437324</v>
      </c>
      <c r="Z289" s="1" t="n">
        <f aca="false">(1-$C$279)*Z87</f>
        <v>95.9505939705646</v>
      </c>
      <c r="AA289" s="1" t="n">
        <f aca="false">(1-$C$279)*AA87</f>
        <v>98.2504194236864</v>
      </c>
      <c r="AB289" s="1" t="n">
        <f aca="false">(1-$C$279)*AB87</f>
        <v>100.613562637196</v>
      </c>
      <c r="AC289" s="1" t="n">
        <f aca="false">(1-$C$279)*AC87</f>
        <v>103.040633511569</v>
      </c>
      <c r="AD289" s="1" t="n">
        <f aca="false">(1-$C$279)*AD87</f>
        <v>105.532269578033</v>
      </c>
      <c r="AE289" s="1" t="n">
        <f aca="false">(1-$C$279)*AE87</f>
        <v>108.089135630822</v>
      </c>
      <c r="AF289" s="1" t="n">
        <f aca="false">(1-$C$279)*AF87</f>
        <v>110.711923405254</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0.608700727404711</v>
      </c>
      <c r="E290" s="1" t="n">
        <f aca="false">MAX(D289*(1-$C$340)/$C$281+IF(AND(01_Supuestos!$C$189&gt;0,E$39=01_Supuestos!$C$189),01_Supuestos!$C$190*D289*(1-$C$340)*(1-1/$C$281),0),D289-E342-E289)</f>
        <v>1.54304153392569</v>
      </c>
      <c r="F290" s="1" t="n">
        <f aca="false">MAX(E289*(1-$C$340)/$C$281+IF(AND(01_Supuestos!$C$189&gt;0,F$39=01_Supuestos!$C$189),01_Supuestos!$C$190*E289*(1-$C$340)*(1-1/$C$281),0),E289-F342-F289)</f>
        <v>2.56977206654677</v>
      </c>
      <c r="G290" s="1" t="n">
        <f aca="false">MAX(F289*(1-$C$340)/$C$281+IF(AND(01_Supuestos!$C$189&gt;0,G$39=01_Supuestos!$C$189),01_Supuestos!$C$190*F289*(1-$C$340)*(1-1/$C$281),0),F289-G342-G289)</f>
        <v>2.13087519078116</v>
      </c>
      <c r="H290" s="1" t="n">
        <f aca="false">MAX(G289*(1-$C$340)/$C$281+IF(AND(01_Supuestos!$C$189&gt;0,H$39=01_Supuestos!$C$189),01_Supuestos!$C$190*G289*(1-$C$340)*(1-1/$C$281),0),G289-H342-H289)</f>
        <v>3.5216945044199</v>
      </c>
      <c r="I290" s="1" t="n">
        <f aca="false">MAX(H289*(1-$C$340)/$C$281+IF(AND(01_Supuestos!$C$189&gt;0,I$39=01_Supuestos!$C$189),01_Supuestos!$C$190*H289*(1-$C$340)*(1-1/$C$281),0),H289-I342-I289)</f>
        <v>4.9479582512257</v>
      </c>
      <c r="J290" s="1" t="n">
        <f aca="false">MAX(I289*(1-$C$340)/$C$281+IF(AND(01_Supuestos!$C$189&gt;0,J$39=01_Supuestos!$C$189),01_Supuestos!$C$190*I289*(1-$C$340)*(1-1/$C$281),0),I289-J342-J289)</f>
        <v>6.41049779894381</v>
      </c>
      <c r="K290" s="1" t="n">
        <f aca="false">MAX(J289*(1-$C$340)/$C$281+IF(AND(01_Supuestos!$C$189&gt;0,K$39=01_Supuestos!$C$189),01_Supuestos!$C$190*J289*(1-$C$340)*(1-1/$C$281),0),J289-K342-K289)</f>
        <v>7.91016305472646</v>
      </c>
      <c r="L290" s="1" t="n">
        <f aca="false">MAX(K289*(1-$C$340)/$C$281+IF(AND(01_Supuestos!$C$189&gt;0,L$39=01_Supuestos!$C$189),01_Supuestos!$C$190*K289*(1-$C$340)*(1-1/$C$281),0),K289-L342-L289)</f>
        <v>9.44782292402034</v>
      </c>
      <c r="M290" s="1" t="n">
        <f aca="false">MAX(L289*(1-$C$340)/$C$281+IF(AND(01_Supuestos!$C$189&gt;0,M$39=01_Supuestos!$C$189),01_Supuestos!$C$190*L289*(1-$C$340)*(1-1/$C$281),0),L289-M342-M289)</f>
        <v>11.0231682798878</v>
      </c>
      <c r="N290" s="1" t="n">
        <f aca="false">MAX(M289*(1-$C$340)/$C$281+IF(AND(01_Supuestos!$C$189&gt;0,N$39=01_Supuestos!$C$189),01_Supuestos!$C$190*M289*(1-$C$340)*(1-1/$C$281),0),M289-N342-N289)</f>
        <v>13.5511293199746</v>
      </c>
      <c r="O290" s="1" t="n">
        <f aca="false">MAX(N289*(1-$C$340)/$C$281+IF(AND(01_Supuestos!$C$189&gt;0,O$39=01_Supuestos!$C$189),01_Supuestos!$C$190*N289*(1-$C$340)*(1-1/$C$281),0),N289-O342-O289)</f>
        <v>14.5827497083583</v>
      </c>
      <c r="P290" s="1" t="n">
        <f aca="false">MAX(O289*(1-$C$340)/$C$281+IF(AND(01_Supuestos!$C$189&gt;0,P$39=01_Supuestos!$C$189),01_Supuestos!$C$190*O289*(1-$C$340)*(1-1/$C$281),0),O289-P342-P289)</f>
        <v>14.8885283142456</v>
      </c>
      <c r="Q290" s="1" t="n">
        <f aca="false">MAX(P289*(1-$C$340)/$C$281+IF(AND(01_Supuestos!$C$189&gt;0,Q$39=01_Supuestos!$C$189),01_Supuestos!$C$190*P289*(1-$C$340)*(1-1/$C$281),0),P289-Q342-Q289)</f>
        <v>15.225655162429</v>
      </c>
      <c r="R290" s="1" t="n">
        <f aca="false">MAX(Q289*(1-$C$340)/$C$281+IF(AND(01_Supuestos!$C$189&gt;0,R$39=01_Supuestos!$C$189),01_Supuestos!$C$190*Q289*(1-$C$340)*(1-1/$C$281),0),Q289-R342-R289)</f>
        <v>15.5717561784153</v>
      </c>
      <c r="S290" s="1" t="n">
        <f aca="false">MAX(R289*(1-$C$340)/$C$281+IF(AND(01_Supuestos!$C$189&gt;0,S$39=01_Supuestos!$C$189),01_Supuestos!$C$190*R289*(1-$C$340)*(1-1/$C$281),0),R289-S342-S289)</f>
        <v>15.9279514729622</v>
      </c>
      <c r="T290" s="1" t="n">
        <f aca="false">MAX(S289*(1-$C$340)/$C$281+IF(AND(01_Supuestos!$C$189&gt;0,T$39=01_Supuestos!$C$189),01_Supuestos!$C$190*S289*(1-$C$340)*(1-1/$C$281),0),S289-T342-T289)</f>
        <v>16.2943884827444</v>
      </c>
      <c r="U290" s="1" t="n">
        <f aca="false">MAX(T289*(1-$C$340)/$C$281+IF(AND(01_Supuestos!$C$189&gt;0,U$39=01_Supuestos!$C$189),01_Supuestos!$C$190*T289*(1-$C$340)*(1-1/$C$281),0),T289-U342-U289)</f>
        <v>16.6712853878832</v>
      </c>
      <c r="V290" s="1" t="n">
        <f aca="false">MAX(U289*(1-$C$340)/$C$281+IF(AND(01_Supuestos!$C$189&gt;0,V$39=01_Supuestos!$C$189),01_Supuestos!$C$190*U289*(1-$C$340)*(1-1/$C$281),0),U289-V342-V289)</f>
        <v>17.058752541417</v>
      </c>
      <c r="W290" s="1" t="n">
        <f aca="false">MAX(V289*(1-$C$340)/$C$281+IF(AND(01_Supuestos!$C$189&gt;0,W$39=01_Supuestos!$C$189),01_Supuestos!$C$190*V289*(1-$C$340)*(1-1/$C$281),0),V289-W342-W289)</f>
        <v>17.4569064553953</v>
      </c>
      <c r="X290" s="1" t="n">
        <f aca="false">MAX(W289*(1-$C$340)/$C$281+IF(AND(01_Supuestos!$C$189&gt;0,X$39=01_Supuestos!$C$189),01_Supuestos!$C$190*W289*(1-$C$340)*(1-1/$C$281),0),W289-X342-X289)</f>
        <v>17.8670765865154</v>
      </c>
      <c r="Y290" s="1" t="n">
        <f aca="false">MAX(X289*(1-$C$340)/$C$281+IF(AND(01_Supuestos!$C$189&gt;0,Y$39=01_Supuestos!$C$189),01_Supuestos!$C$190*X289*(1-$C$340)*(1-1/$C$281),0),X289-Y342-Y289)</f>
        <v>18.2893848706561</v>
      </c>
      <c r="Z290" s="1" t="n">
        <f aca="false">MAX(Y289*(1-$C$340)/$C$281+IF(AND(01_Supuestos!$C$189&gt;0,Z$39=01_Supuestos!$C$189),01_Supuestos!$C$190*Y289*(1-$C$340)*(1-1/$C$281),0),Y289-Z342-Z289)</f>
        <v>18.7239581737734</v>
      </c>
      <c r="AA290" s="1" t="n">
        <f aca="false">MAX(Z289*(1-$C$340)/$C$281+IF(AND(01_Supuestos!$C$189&gt;0,AA$39=01_Supuestos!$C$189),01_Supuestos!$C$190*Z289*(1-$C$340)*(1-1/$C$281),0),Z289-AA342-AA289)</f>
        <v>19.1709286753188</v>
      </c>
      <c r="AB290" s="1" t="n">
        <f aca="false">MAX(AA289*(1-$C$340)/$C$281+IF(AND(01_Supuestos!$C$189&gt;0,AB$39=01_Supuestos!$C$189),01_Supuestos!$C$190*AA289*(1-$C$340)*(1-1/$C$281),0),AA289-AB342-AB289)</f>
        <v>19.6304338008525</v>
      </c>
      <c r="AC290" s="1" t="n">
        <f aca="false">MAX(AB289*(1-$C$340)/$C$281+IF(AND(01_Supuestos!$C$189&gt;0,AC$39=01_Supuestos!$C$189),01_Supuestos!$C$190*AB289*(1-$C$340)*(1-1/$C$281),0),AB289-AC342-AC289)</f>
        <v>20.1025898149118</v>
      </c>
      <c r="AD290" s="1" t="n">
        <f aca="false">MAX(AC289*(1-$C$340)/$C$281+IF(AND(01_Supuestos!$C$189&gt;0,AD$39=01_Supuestos!$C$189),01_Supuestos!$C$190*AC289*(1-$C$340)*(1-1/$C$281),0),AC289-AD342-AD289)</f>
        <v>20.5875185756114</v>
      </c>
      <c r="AE290" s="1" t="n">
        <f aca="false">MAX(AD289*(1-$C$340)/$C$281+IF(AND(01_Supuestos!$C$189&gt;0,AE$39=01_Supuestos!$C$189),01_Supuestos!$C$190*AD289*(1-$C$340)*(1-1/$C$281),0),AD289-AE342-AE289)</f>
        <v>21.085347461691</v>
      </c>
      <c r="AF290" s="1" t="n">
        <f aca="false">MAX(AE289*(1-$C$340)/$C$281+IF(AND(01_Supuestos!$C$189&gt;0,AF$39=01_Supuestos!$C$189),01_Supuestos!$C$190*AE289*(1-$C$340)*(1-1/$C$281),0),AE289-AF342-AF289)</f>
        <v>21.5962092990383</v>
      </c>
    </row>
    <row r="291" customFormat="false" ht="14.25" hidden="false" customHeight="true" outlineLevel="0" collapsed="false">
      <c r="B291" s="84" t="s">
        <v>1281</v>
      </c>
      <c r="C291" s="1" t="n">
        <f aca="false">C289-0+C290</f>
        <v>3.04655018721076</v>
      </c>
      <c r="D291" s="1" t="n">
        <f aca="false">D289-C289+D290+D342</f>
        <v>5.28812769060986</v>
      </c>
      <c r="E291" s="1" t="n">
        <f aca="false">E289-D289+E290+E342</f>
        <v>6.68955591908589</v>
      </c>
      <c r="F291" s="1" t="n">
        <f aca="false">F289-E289+F290+F342</f>
        <v>0.38595272871362</v>
      </c>
      <c r="G291" s="1" t="n">
        <f aca="false">G289-F289+G290+G342</f>
        <v>9.10259785759556</v>
      </c>
      <c r="H291" s="1" t="n">
        <f aca="false">H289-G289+H290+H342</f>
        <v>10.6777777942608</v>
      </c>
      <c r="I291" s="1" t="n">
        <f aca="false">I289-H289+I290+I342</f>
        <v>12.2927405633846</v>
      </c>
      <c r="J291" s="1" t="n">
        <f aca="false">J289-I289+J290+J342</f>
        <v>13.9484144835364</v>
      </c>
      <c r="K291" s="1" t="n">
        <f aca="false">K289-J289+K290+K342</f>
        <v>15.645748802217</v>
      </c>
      <c r="L291" s="1" t="n">
        <f aca="false">L289-K289+L290+L342</f>
        <v>17.3797207157696</v>
      </c>
      <c r="M291" s="1" t="n">
        <f aca="false">M289-L289+M290+M342</f>
        <v>23.7307969503917</v>
      </c>
      <c r="N291" s="1" t="n">
        <f aca="false">N289-M289+N290+N342</f>
        <v>18.7822179971703</v>
      </c>
      <c r="O291" s="1" t="n">
        <f aca="false">O289-N289+O290+O342</f>
        <v>16.1861598965249</v>
      </c>
      <c r="P291" s="1" t="n">
        <f aca="false">P289-O289+P290+P342</f>
        <v>16.6503670354548</v>
      </c>
      <c r="Q291" s="1" t="n">
        <f aca="false">Q289-P289+Q290+Q342</f>
        <v>17.0340969599703</v>
      </c>
      <c r="R291" s="1" t="n">
        <f aca="false">R289-Q289+R290+R342</f>
        <v>17.4324521279915</v>
      </c>
      <c r="S291" s="1" t="n">
        <f aca="false">S289-R289+S290+S342</f>
        <v>17.841690017783</v>
      </c>
      <c r="T291" s="1" t="n">
        <f aca="false">T289-S289+T290+T342</f>
        <v>18.2623128752442</v>
      </c>
      <c r="U291" s="1" t="n">
        <f aca="false">U289-T289+U290+U342</f>
        <v>18.6940002974014</v>
      </c>
      <c r="V291" s="1" t="n">
        <f aca="false">V289-U289+V290+V342</f>
        <v>19.1368940154897</v>
      </c>
      <c r="W291" s="1" t="n">
        <f aca="false">W289-V289+W290+W342</f>
        <v>19.5971819187361</v>
      </c>
      <c r="X291" s="1" t="n">
        <f aca="false">X289-W289+X290+X342</f>
        <v>20.0701564700348</v>
      </c>
      <c r="Y291" s="1" t="n">
        <f aca="false">Y289-X289+Y290+Y342</f>
        <v>20.5559648906158</v>
      </c>
      <c r="Z291" s="1" t="n">
        <f aca="false">Z289-Y289+Z290+Z342</f>
        <v>21.0547612754711</v>
      </c>
      <c r="AA291" s="1" t="n">
        <f aca="false">AA289-Z289+AA290+AA342</f>
        <v>21.5667047224112</v>
      </c>
      <c r="AB291" s="1" t="n">
        <f aca="false">AB289-AA289+AB290+AB342</f>
        <v>22.0918274337861</v>
      </c>
      <c r="AC291" s="1" t="n">
        <f aca="false">AC289-AB289+AC290+AC342</f>
        <v>22.6302742519215</v>
      </c>
      <c r="AD291" s="1" t="n">
        <f aca="false">AD289-AC289+AD290+AD342</f>
        <v>23.1821952755872</v>
      </c>
      <c r="AE291" s="1" t="n">
        <f aca="false">AE289-AD289+AE290+AE342</f>
        <v>23.7477457840583</v>
      </c>
      <c r="AF291" s="1" t="n">
        <f aca="false">AF289-AE289+AF290+AF342</f>
        <v>24.3270862091008</v>
      </c>
    </row>
    <row r="292" customFormat="false" ht="14.25" hidden="false" customHeight="true" outlineLevel="0" collapsed="false">
      <c r="B292" s="84" t="s">
        <v>1282</v>
      </c>
      <c r="C292" s="1" t="n">
        <f aca="false">C289*(1-$C$340)*$C$175</f>
        <v>0.130870656392013</v>
      </c>
      <c r="D292" s="1" t="n">
        <f aca="false">D289*(1-$C$340)*$C$175</f>
        <v>0.331753929794024</v>
      </c>
      <c r="E292" s="1" t="n">
        <f aca="false">E289*(1-$C$340)*$C$175</f>
        <v>0.552500994307557</v>
      </c>
      <c r="F292" s="1" t="n">
        <f aca="false">F289*(1-$C$340)*$C$175</f>
        <v>0.45813816601795</v>
      </c>
      <c r="G292" s="1" t="n">
        <f aca="false">G289*(1-$C$340)*$C$175</f>
        <v>0.757164318450278</v>
      </c>
      <c r="H292" s="1" t="n">
        <f aca="false">H289*(1-$C$340)*$C$175</f>
        <v>1.06381102401353</v>
      </c>
      <c r="I292" s="1" t="n">
        <f aca="false">I289*(1-$C$340)*$C$175</f>
        <v>1.37825702677292</v>
      </c>
      <c r="J292" s="1" t="n">
        <f aca="false">J289*(1-$C$340)*$C$175</f>
        <v>1.70068505676619</v>
      </c>
      <c r="K292" s="1" t="n">
        <f aca="false">K289*(1-$C$340)*$C$175</f>
        <v>2.03128192866437</v>
      </c>
      <c r="L292" s="1" t="n">
        <f aca="false">L289*(1-$C$340)*$C$175</f>
        <v>2.36998118017588</v>
      </c>
      <c r="M292" s="1" t="n">
        <f aca="false">M289*(1-$C$340)*$C$175</f>
        <v>2.91349280379454</v>
      </c>
      <c r="N292" s="1" t="n">
        <f aca="false">N289*(1-$C$340)*$C$175</f>
        <v>3.13529118729704</v>
      </c>
      <c r="O292" s="1" t="n">
        <f aca="false">O289*(1-$C$340)*$C$175</f>
        <v>3.20103358756281</v>
      </c>
      <c r="P292" s="1" t="n">
        <f aca="false">P289*(1-$C$340)*$C$175</f>
        <v>3.27351585992223</v>
      </c>
      <c r="Q292" s="1" t="n">
        <f aca="false">Q289*(1-$C$340)*$C$175</f>
        <v>3.34792757835929</v>
      </c>
      <c r="R292" s="1" t="n">
        <f aca="false">R289*(1-$C$340)*$C$175</f>
        <v>3.42450956668688</v>
      </c>
      <c r="S292" s="1" t="n">
        <f aca="false">S289*(1-$C$340)*$C$175</f>
        <v>3.50329352379006</v>
      </c>
      <c r="T292" s="1" t="n">
        <f aca="false">T289*(1-$C$340)*$C$175</f>
        <v>3.58432635839488</v>
      </c>
      <c r="U292" s="1" t="n">
        <f aca="false">U289*(1-$C$340)*$C$175</f>
        <v>3.66763179640466</v>
      </c>
      <c r="V292" s="1" t="n">
        <f aca="false">V289*(1-$C$340)*$C$175</f>
        <v>3.75323488790999</v>
      </c>
      <c r="W292" s="1" t="n">
        <f aca="false">W289*(1-$C$340)*$C$175</f>
        <v>3.84142146610081</v>
      </c>
      <c r="X292" s="1" t="n">
        <f aca="false">X289*(1-$C$340)*$C$175</f>
        <v>3.93221774719105</v>
      </c>
      <c r="Y292" s="1" t="n">
        <f aca="false">Y289*(1-$C$340)*$C$175</f>
        <v>4.02565100736127</v>
      </c>
      <c r="Z292" s="1" t="n">
        <f aca="false">Z289*(1-$C$340)*$C$175</f>
        <v>4.12174966519354</v>
      </c>
      <c r="AA292" s="1" t="n">
        <f aca="false">AA289*(1-$C$340)*$C$175</f>
        <v>4.22054326718329</v>
      </c>
      <c r="AB292" s="1" t="n">
        <f aca="false">AB289*(1-$C$340)*$C$175</f>
        <v>4.32205681020604</v>
      </c>
      <c r="AC292" s="1" t="n">
        <f aca="false">AC289*(1-$C$340)*$C$175</f>
        <v>4.42631649375646</v>
      </c>
      <c r="AD292" s="1" t="n">
        <f aca="false">AD289*(1-$C$340)*$C$175</f>
        <v>4.53334970426356</v>
      </c>
      <c r="AE292" s="1" t="n">
        <f aca="false">AE289*(1-$C$340)*$C$175</f>
        <v>4.64318499929323</v>
      </c>
      <c r="AF292" s="1" t="n">
        <f aca="false">AF289*(1-$C$340)*$C$175</f>
        <v>4.75585209371949</v>
      </c>
    </row>
    <row r="293" customFormat="false" ht="14.25" hidden="false" customHeight="true" outlineLevel="0" collapsed="false">
      <c r="B293" s="144" t="s">
        <v>1285</v>
      </c>
    </row>
    <row r="294" customFormat="false" ht="14.25" hidden="false" customHeight="true" outlineLevel="0" collapsed="false">
      <c r="B294" s="84" t="s">
        <v>1286</v>
      </c>
      <c r="C294" s="116" t="n">
        <f aca="false">C85</f>
        <v>7.09732726342972</v>
      </c>
      <c r="D294" s="116" t="n">
        <f aca="false">D85</f>
        <v>11.6686524133988</v>
      </c>
      <c r="E294" s="116" t="n">
        <f aca="false">E85</f>
        <v>15.7333002969161</v>
      </c>
      <c r="F294" s="116" t="n">
        <f aca="false">F85</f>
        <v>32.7425811471039</v>
      </c>
      <c r="G294" s="116" t="n">
        <f aca="false">G85</f>
        <v>34.266761060148</v>
      </c>
      <c r="H294" s="116" t="n">
        <f aca="false">H85</f>
        <v>35.7961777318699</v>
      </c>
      <c r="I294" s="116" t="n">
        <f aca="false">I85</f>
        <v>37.3308122806128</v>
      </c>
      <c r="J294" s="116" t="n">
        <f aca="false">J85</f>
        <v>38.8706504131468</v>
      </c>
      <c r="K294" s="116" t="n">
        <f aca="false">K85</f>
        <v>40.4156822499129</v>
      </c>
      <c r="L294" s="116" t="n">
        <f aca="false">L85</f>
        <v>41.9762357567603</v>
      </c>
      <c r="M294" s="116" t="n">
        <f aca="false">M85</f>
        <v>33.5809886054082</v>
      </c>
      <c r="N294" s="116" t="n">
        <f aca="false">N85</f>
        <v>28.1407213510619</v>
      </c>
      <c r="O294" s="116" t="n">
        <f aca="false">O85</f>
        <v>29.0435983877968</v>
      </c>
      <c r="P294" s="116" t="n">
        <f aca="false">P85</f>
        <v>29.7574168202159</v>
      </c>
      <c r="Q294" s="116" t="n">
        <f aca="false">Q85</f>
        <v>30.4771231475587</v>
      </c>
      <c r="R294" s="116" t="n">
        <f aca="false">R85</f>
        <v>31.1949681403944</v>
      </c>
      <c r="S294" s="116" t="n">
        <f aca="false">S85</f>
        <v>31.9116401651732</v>
      </c>
      <c r="T294" s="116" t="n">
        <f aca="false">T85</f>
        <v>32.6272622154057</v>
      </c>
      <c r="U294" s="116" t="n">
        <f aca="false">U85</f>
        <v>33.3429338908964</v>
      </c>
      <c r="V294" s="116" t="n">
        <f aca="false">V85</f>
        <v>34.0597488364245</v>
      </c>
      <c r="W294" s="116" t="n">
        <f aca="false">W85</f>
        <v>34.7683820889846</v>
      </c>
      <c r="X294" s="116" t="n">
        <f aca="false">X85</f>
        <v>35.4699781567696</v>
      </c>
      <c r="Y294" s="116" t="n">
        <f aca="false">Y85</f>
        <v>36.1656895295936</v>
      </c>
      <c r="Z294" s="116" t="n">
        <f aca="false">Z85</f>
        <v>36.8566745323259</v>
      </c>
      <c r="AA294" s="116" t="n">
        <f aca="false">AA85</f>
        <v>37.5440990951921</v>
      </c>
      <c r="AB294" s="116" t="n">
        <f aca="false">AB85</f>
        <v>38.2293658454762</v>
      </c>
      <c r="AC294" s="116" t="n">
        <f aca="false">AC85</f>
        <v>38.9138844776514</v>
      </c>
      <c r="AD294" s="116" t="n">
        <f aca="false">AD85</f>
        <v>39.5990736556407</v>
      </c>
      <c r="AE294" s="116" t="n">
        <f aca="false">AE85</f>
        <v>40.2863629488678</v>
      </c>
      <c r="AF294" s="116" t="n">
        <f aca="false">AF85</f>
        <v>40.9771947192387</v>
      </c>
    </row>
    <row r="295" customFormat="false" ht="14.25" hidden="false" customHeight="true" outlineLevel="0" collapsed="false">
      <c r="B295" s="84" t="s">
        <v>1287</v>
      </c>
      <c r="C295" s="1" t="n">
        <f aca="false">MAX(0/$C$282,0-C294)</f>
        <v>0</v>
      </c>
      <c r="D295" s="1" t="n">
        <f aca="false">MAX(C294/$C$282,C294-D294)</f>
        <v>0.709732726342972</v>
      </c>
      <c r="E295" s="1" t="n">
        <f aca="false">MAX(D294/$C$282,D294-E294)</f>
        <v>1.16686524133988</v>
      </c>
      <c r="F295" s="1" t="n">
        <f aca="false">MAX(E294/$C$282,E294-F294)</f>
        <v>1.57333002969161</v>
      </c>
      <c r="G295" s="1" t="n">
        <f aca="false">MAX(F294/$C$282,F294-G294)</f>
        <v>3.27425811471039</v>
      </c>
      <c r="H295" s="1" t="n">
        <f aca="false">MAX(G294/$C$282,G294-H294)</f>
        <v>3.4266761060148</v>
      </c>
      <c r="I295" s="1" t="n">
        <f aca="false">MAX(H294/$C$282,H294-I294)</f>
        <v>3.57961777318699</v>
      </c>
      <c r="J295" s="1" t="n">
        <f aca="false">MAX(I294/$C$282,I294-J294)</f>
        <v>3.73308122806128</v>
      </c>
      <c r="K295" s="1" t="n">
        <f aca="false">MAX(J294/$C$282,J294-K294)</f>
        <v>3.88706504131468</v>
      </c>
      <c r="L295" s="1" t="n">
        <f aca="false">MAX(K294/$C$282,K294-L294)</f>
        <v>4.04156822499129</v>
      </c>
      <c r="M295" s="1" t="n">
        <f aca="false">MAX(L294/$C$282,L294-M294)</f>
        <v>8.39524715135206</v>
      </c>
      <c r="N295" s="1" t="n">
        <f aca="false">MAX(M294/$C$282,M294-N294)</f>
        <v>5.44026725434637</v>
      </c>
      <c r="O295" s="1" t="n">
        <f aca="false">MAX(N294/$C$282,N294-O294)</f>
        <v>2.81407213510619</v>
      </c>
      <c r="P295" s="1" t="n">
        <f aca="false">MAX(O294/$C$282,O294-P294)</f>
        <v>2.90435983877968</v>
      </c>
      <c r="Q295" s="1" t="n">
        <f aca="false">MAX(P294/$C$282,P294-Q294)</f>
        <v>2.97574168202159</v>
      </c>
      <c r="R295" s="1" t="n">
        <f aca="false">MAX(Q294/$C$282,Q294-R294)</f>
        <v>3.04771231475587</v>
      </c>
      <c r="S295" s="1" t="n">
        <f aca="false">MAX(R294/$C$282,R294-S294)</f>
        <v>3.11949681403944</v>
      </c>
      <c r="T295" s="1" t="n">
        <f aca="false">MAX(S294/$C$282,S294-T294)</f>
        <v>3.19116401651732</v>
      </c>
      <c r="U295" s="1" t="n">
        <f aca="false">MAX(T294/$C$282,T294-U294)</f>
        <v>3.26272622154057</v>
      </c>
      <c r="V295" s="1" t="n">
        <f aca="false">MAX(U294/$C$282,U294-V294)</f>
        <v>3.33429338908964</v>
      </c>
      <c r="W295" s="1" t="n">
        <f aca="false">MAX(V294/$C$282,V294-W294)</f>
        <v>3.40597488364245</v>
      </c>
      <c r="X295" s="1" t="n">
        <f aca="false">MAX(W294/$C$282,W294-X294)</f>
        <v>3.47683820889846</v>
      </c>
      <c r="Y295" s="1" t="n">
        <f aca="false">MAX(X294/$C$282,X294-Y294)</f>
        <v>3.54699781567696</v>
      </c>
      <c r="Z295" s="1" t="n">
        <f aca="false">MAX(Y294/$C$282,Y294-Z294)</f>
        <v>3.61656895295936</v>
      </c>
      <c r="AA295" s="1" t="n">
        <f aca="false">MAX(Z294/$C$282,Z294-AA294)</f>
        <v>3.68566745323259</v>
      </c>
      <c r="AB295" s="1" t="n">
        <f aca="false">MAX(AA294/$C$282,AA294-AB294)</f>
        <v>3.75440990951921</v>
      </c>
      <c r="AC295" s="1" t="n">
        <f aca="false">MAX(AB294/$C$282,AB294-AC294)</f>
        <v>3.82293658454762</v>
      </c>
      <c r="AD295" s="1" t="n">
        <f aca="false">MAX(AC294/$C$282,AC294-AD294)</f>
        <v>3.89138844776514</v>
      </c>
      <c r="AE295" s="1" t="n">
        <f aca="false">MAX(AD294/$C$282,AD294-AE294)</f>
        <v>3.95990736556407</v>
      </c>
      <c r="AF295" s="1" t="n">
        <f aca="false">MAX(AE294/$C$282,AE294-AF294)</f>
        <v>4.02863629488678</v>
      </c>
    </row>
    <row r="296" customFormat="false" ht="14.25" hidden="false" customHeight="true" outlineLevel="0" collapsed="false">
      <c r="B296" s="84" t="s">
        <v>1288</v>
      </c>
      <c r="C296" s="1" t="n">
        <f aca="false">C294-0+C295</f>
        <v>7.09732726342972</v>
      </c>
      <c r="D296" s="1" t="n">
        <f aca="false">D294-C294+D295</f>
        <v>5.28105787631205</v>
      </c>
      <c r="E296" s="1" t="n">
        <f aca="false">E294-D294+E295</f>
        <v>5.23151312485718</v>
      </c>
      <c r="F296" s="1" t="n">
        <f aca="false">F294-E294+F295</f>
        <v>18.5826108798794</v>
      </c>
      <c r="G296" s="1" t="n">
        <f aca="false">G294-F294+G295</f>
        <v>4.79843802775449</v>
      </c>
      <c r="H296" s="1" t="n">
        <f aca="false">H294-G294+H295</f>
        <v>4.95609277773671</v>
      </c>
      <c r="I296" s="1" t="n">
        <f aca="false">I294-H294+I295</f>
        <v>5.11425232192986</v>
      </c>
      <c r="J296" s="1" t="n">
        <f aca="false">J294-I294+J295</f>
        <v>5.27291936059526</v>
      </c>
      <c r="K296" s="1" t="n">
        <f aca="false">K294-J294+K295</f>
        <v>5.43209687808077</v>
      </c>
      <c r="L296" s="1" t="n">
        <f aca="false">L294-K294+L295</f>
        <v>5.60212173183871</v>
      </c>
      <c r="M296" s="1" t="n">
        <f aca="false">M294-L294+M295</f>
        <v>0</v>
      </c>
      <c r="N296" s="1" t="n">
        <f aca="false">N294-M294+N295</f>
        <v>0</v>
      </c>
      <c r="O296" s="1" t="n">
        <f aca="false">O294-N294+O295</f>
        <v>3.71694917184113</v>
      </c>
      <c r="P296" s="1" t="n">
        <f aca="false">P294-O294+P295</f>
        <v>3.61817827119876</v>
      </c>
      <c r="Q296" s="1" t="n">
        <f aca="false">Q294-P294+Q295</f>
        <v>3.69544800936436</v>
      </c>
      <c r="R296" s="1" t="n">
        <f aca="false">R294-Q294+R295</f>
        <v>3.76555730759161</v>
      </c>
      <c r="S296" s="1" t="n">
        <f aca="false">S294-R294+S295</f>
        <v>3.83616883881828</v>
      </c>
      <c r="T296" s="1" t="n">
        <f aca="false">T294-S294+T295</f>
        <v>3.90678606674976</v>
      </c>
      <c r="U296" s="1" t="n">
        <f aca="false">U294-T294+U295</f>
        <v>3.97839789703131</v>
      </c>
      <c r="V296" s="1" t="n">
        <f aca="false">V294-U294+V295</f>
        <v>4.05110833461776</v>
      </c>
      <c r="W296" s="1" t="n">
        <f aca="false">W294-V294+W295</f>
        <v>4.11460813620252</v>
      </c>
      <c r="X296" s="1" t="n">
        <f aca="false">X294-W294+X295</f>
        <v>4.17843427668344</v>
      </c>
      <c r="Y296" s="1" t="n">
        <f aca="false">Y294-X294+Y295</f>
        <v>4.24270918850097</v>
      </c>
      <c r="Z296" s="1" t="n">
        <f aca="false">Z294-Y294+Z295</f>
        <v>4.30755395569171</v>
      </c>
      <c r="AA296" s="1" t="n">
        <f aca="false">AA294-Z294+AA295</f>
        <v>4.3730920160988</v>
      </c>
      <c r="AB296" s="1" t="n">
        <f aca="false">AB294-AA294+AB295</f>
        <v>4.43967665980329</v>
      </c>
      <c r="AC296" s="1" t="n">
        <f aca="false">AC294-AB294+AC295</f>
        <v>4.50745521672283</v>
      </c>
      <c r="AD296" s="1" t="n">
        <f aca="false">AD294-AC294+AD295</f>
        <v>4.57657762575442</v>
      </c>
      <c r="AE296" s="1" t="n">
        <f aca="false">AE294-AD294+AE295</f>
        <v>4.64719665879115</v>
      </c>
      <c r="AF296" s="1" t="n">
        <f aca="false">AF294-AE294+AF295</f>
        <v>4.71946806525773</v>
      </c>
    </row>
    <row r="297" customFormat="false" ht="14.25" hidden="false" customHeight="true" outlineLevel="0" collapsed="false">
      <c r="B297" s="84" t="s">
        <v>1289</v>
      </c>
      <c r="C297" s="1" t="n">
        <f aca="false">C294*01_Supuestos!$I$126</f>
        <v>0.283893090537189</v>
      </c>
      <c r="D297" s="1" t="n">
        <f aca="false">D294*01_Supuestos!$I$126</f>
        <v>0.466746096535952</v>
      </c>
      <c r="E297" s="1" t="n">
        <f aca="false">E294*01_Supuestos!$I$126</f>
        <v>0.629332011876644</v>
      </c>
      <c r="F297" s="1" t="n">
        <f aca="false">F294*01_Supuestos!$I$126</f>
        <v>1.30970324588416</v>
      </c>
      <c r="G297" s="1" t="n">
        <f aca="false">G294*01_Supuestos!$I$126</f>
        <v>1.37067044240592</v>
      </c>
      <c r="H297" s="1" t="n">
        <f aca="false">H294*01_Supuestos!$I$126</f>
        <v>1.4318471092748</v>
      </c>
      <c r="I297" s="1" t="n">
        <f aca="false">I294*01_Supuestos!$I$126</f>
        <v>1.49323249122451</v>
      </c>
      <c r="J297" s="1" t="n">
        <f aca="false">J294*01_Supuestos!$I$126</f>
        <v>1.55482601652587</v>
      </c>
      <c r="K297" s="1" t="n">
        <f aca="false">K294*01_Supuestos!$I$126</f>
        <v>1.61662728999652</v>
      </c>
      <c r="L297" s="1" t="n">
        <f aca="false">L294*01_Supuestos!$I$126</f>
        <v>1.67904943027041</v>
      </c>
      <c r="M297" s="1" t="n">
        <f aca="false">M294*01_Supuestos!$I$126</f>
        <v>1.34323954421633</v>
      </c>
      <c r="N297" s="1" t="n">
        <f aca="false">N294*01_Supuestos!$I$126</f>
        <v>1.12562885404247</v>
      </c>
      <c r="O297" s="1" t="n">
        <f aca="false">O294*01_Supuestos!$I$126</f>
        <v>1.16174393551187</v>
      </c>
      <c r="P297" s="1" t="n">
        <f aca="false">P294*01_Supuestos!$I$126</f>
        <v>1.19029667280864</v>
      </c>
      <c r="Q297" s="1" t="n">
        <f aca="false">Q294*01_Supuestos!$I$126</f>
        <v>1.21908492590235</v>
      </c>
      <c r="R297" s="1" t="n">
        <f aca="false">R294*01_Supuestos!$I$126</f>
        <v>1.24779872561578</v>
      </c>
      <c r="S297" s="1" t="n">
        <f aca="false">S294*01_Supuestos!$I$126</f>
        <v>1.27646560660693</v>
      </c>
      <c r="T297" s="1" t="n">
        <f aca="false">T294*01_Supuestos!$I$126</f>
        <v>1.30509048861623</v>
      </c>
      <c r="U297" s="1" t="n">
        <f aca="false">U294*01_Supuestos!$I$126</f>
        <v>1.33371735563586</v>
      </c>
      <c r="V297" s="1" t="n">
        <f aca="false">V294*01_Supuestos!$I$126</f>
        <v>1.36238995345698</v>
      </c>
      <c r="W297" s="1" t="n">
        <f aca="false">W294*01_Supuestos!$I$126</f>
        <v>1.39073528355938</v>
      </c>
      <c r="X297" s="1" t="n">
        <f aca="false">X294*01_Supuestos!$I$126</f>
        <v>1.41879912627078</v>
      </c>
      <c r="Y297" s="1" t="n">
        <f aca="false">Y294*01_Supuestos!$I$126</f>
        <v>1.44662758118374</v>
      </c>
      <c r="Z297" s="1" t="n">
        <f aca="false">Z294*01_Supuestos!$I$126</f>
        <v>1.47426698129304</v>
      </c>
      <c r="AA297" s="1" t="n">
        <f aca="false">AA294*01_Supuestos!$I$126</f>
        <v>1.50176396380769</v>
      </c>
      <c r="AB297" s="1" t="n">
        <f aca="false">AB294*01_Supuestos!$I$126</f>
        <v>1.52917463381905</v>
      </c>
      <c r="AC297" s="1" t="n">
        <f aca="false">AC294*01_Supuestos!$I$126</f>
        <v>1.55655537910606</v>
      </c>
      <c r="AD297" s="1" t="n">
        <f aca="false">AD294*01_Supuestos!$I$126</f>
        <v>1.58396294622563</v>
      </c>
      <c r="AE297" s="1" t="n">
        <f aca="false">AE294*01_Supuestos!$I$126</f>
        <v>1.61145451795471</v>
      </c>
      <c r="AF297" s="1" t="n">
        <f aca="false">AF294*01_Supuestos!$I$126</f>
        <v>1.63908778876955</v>
      </c>
    </row>
    <row r="298" customFormat="false" ht="14.25" hidden="false" customHeight="true" outlineLevel="0" collapsed="false">
      <c r="B298" s="84" t="s">
        <v>1290</v>
      </c>
      <c r="C298" s="116" t="n">
        <f aca="false">C86</f>
        <v>0.65</v>
      </c>
      <c r="D298" s="116" t="n">
        <f aca="false">D86</f>
        <v>1.31495</v>
      </c>
      <c r="E298" s="116" t="n">
        <f aca="false">E86</f>
        <v>1.99519385</v>
      </c>
      <c r="F298" s="116" t="n">
        <f aca="false">F86</f>
        <v>2.69108330855</v>
      </c>
      <c r="G298" s="116" t="n">
        <f aca="false">G86</f>
        <v>3.40297822464665</v>
      </c>
      <c r="H298" s="116" t="n">
        <f aca="false">H86</f>
        <v>4.13124672381352</v>
      </c>
      <c r="I298" s="116" t="n">
        <f aca="false">I86</f>
        <v>4.87626539846123</v>
      </c>
      <c r="J298" s="116" t="n">
        <f aca="false">J86</f>
        <v>5.63841950262584</v>
      </c>
      <c r="K298" s="116" t="n">
        <f aca="false">K86</f>
        <v>6.41810315118623</v>
      </c>
      <c r="L298" s="116" t="n">
        <f aca="false">L86</f>
        <v>7.21571952366352</v>
      </c>
      <c r="M298" s="116" t="n">
        <f aca="false">M86</f>
        <v>7.92200031407257</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9.72110331272994</v>
      </c>
      <c r="W298" s="116" t="n">
        <f aca="false">W86</f>
        <v>9.94468868892272</v>
      </c>
      <c r="X298" s="116" t="n">
        <f aca="false">X86</f>
        <v>10.1734165287679</v>
      </c>
      <c r="Y298" s="116" t="n">
        <f aca="false">Y86</f>
        <v>10.4074051089296</v>
      </c>
      <c r="Z298" s="116" t="n">
        <f aca="false">Z86</f>
        <v>10.646775426435</v>
      </c>
      <c r="AA298" s="116" t="n">
        <f aca="false">AA86</f>
        <v>10.891651261243</v>
      </c>
      <c r="AB298" s="116" t="n">
        <f aca="false">AB86</f>
        <v>11.1421592402516</v>
      </c>
      <c r="AC298" s="116" t="n">
        <f aca="false">AC86</f>
        <v>11.3984289027774</v>
      </c>
      <c r="AD298" s="116" t="n">
        <f aca="false">AD86</f>
        <v>11.6605927675412</v>
      </c>
      <c r="AE298" s="116" t="n">
        <f aca="false">AE86</f>
        <v>11.9287864011947</v>
      </c>
      <c r="AF298" s="116" t="n">
        <f aca="false">AF86</f>
        <v>12.2031484884222</v>
      </c>
    </row>
    <row r="299" customFormat="false" ht="14.25" hidden="false" customHeight="true" outlineLevel="0" collapsed="false">
      <c r="B299" s="144" t="s">
        <v>1291</v>
      </c>
      <c r="C299" s="1" t="n">
        <f aca="false">C286+C291+C296</f>
        <v>12.35</v>
      </c>
      <c r="D299" s="1" t="n">
        <f aca="false">D286+D291+D296</f>
        <v>14.0679319478248</v>
      </c>
      <c r="E299" s="1" t="n">
        <f aca="false">E286+E291+E296</f>
        <v>15.9271990488215</v>
      </c>
      <c r="F299" s="1" t="n">
        <f aca="false">F286+F291+F296</f>
        <v>18.9685636085931</v>
      </c>
      <c r="G299" s="1" t="n">
        <f aca="false">G286+G291+G296</f>
        <v>19.3352866010295</v>
      </c>
      <c r="H299" s="1" t="n">
        <f aca="false">H286+H291+H296</f>
        <v>21.453410062855</v>
      </c>
      <c r="I299" s="1" t="n">
        <f aca="false">I286+I291+I296</f>
        <v>23.6213794154617</v>
      </c>
      <c r="J299" s="1" t="n">
        <f aca="false">J286+J291+J296</f>
        <v>25.8403463896799</v>
      </c>
      <c r="K299" s="1" t="n">
        <f aca="false">K286+K291+K296</f>
        <v>28.1114890159741</v>
      </c>
      <c r="L299" s="1" t="n">
        <f aca="false">L286+L291+L296</f>
        <v>30.4360122399477</v>
      </c>
      <c r="M299" s="1" t="n">
        <f aca="false">M286+M291+M296</f>
        <v>34.9284464521155</v>
      </c>
      <c r="N299" s="1" t="n">
        <f aca="false">N286+N291+N296</f>
        <v>25.0234694161694</v>
      </c>
      <c r="O299" s="1" t="n">
        <f aca="false">O286+O291+O296</f>
        <v>23.7041797552756</v>
      </c>
      <c r="P299" s="1" t="n">
        <f aca="false">P286+P291+P296</f>
        <v>24.2396965754529</v>
      </c>
      <c r="Q299" s="1" t="n">
        <f aca="false">Q286+Q291+Q296</f>
        <v>24.795474877994</v>
      </c>
      <c r="R299" s="1" t="n">
        <f aca="false">R286+R291+R296</f>
        <v>25.3644347761962</v>
      </c>
      <c r="S299" s="1" t="n">
        <f aca="false">S286+S291+S296</f>
        <v>25.9471779833009</v>
      </c>
      <c r="T299" s="1" t="n">
        <f aca="false">T286+T291+T296</f>
        <v>26.5439938308527</v>
      </c>
      <c r="U299" s="1" t="n">
        <f aca="false">U286+U291+U296</f>
        <v>27.1552003112006</v>
      </c>
      <c r="V299" s="1" t="n">
        <f aca="false">V286+V291+V296</f>
        <v>27.7810858603821</v>
      </c>
      <c r="W299" s="1" t="n">
        <f aca="false">W286+W291+W296</f>
        <v>28.4219467315243</v>
      </c>
      <c r="X299" s="1" t="n">
        <f aca="false">X286+X291+X296</f>
        <v>29.0784814237221</v>
      </c>
      <c r="Y299" s="1" t="n">
        <f aca="false">Y286+Y291+Y296</f>
        <v>29.750999975327</v>
      </c>
      <c r="Z299" s="1" t="n">
        <f aca="false">Z286+Z291+Z296</f>
        <v>30.4398202500581</v>
      </c>
      <c r="AA299" s="1" t="n">
        <f aca="false">AA286+AA291+AA296</f>
        <v>31.1452682052121</v>
      </c>
      <c r="AB299" s="1" t="n">
        <f aca="false">AB286+AB291+AB296</f>
        <v>31.867678015868</v>
      </c>
      <c r="AC299" s="1" t="n">
        <f aca="false">AC286+AC291+AC296</f>
        <v>32.6073835964199</v>
      </c>
      <c r="AD299" s="1" t="n">
        <f aca="false">AD286+AD291+AD296</f>
        <v>33.3647274951847</v>
      </c>
      <c r="AE299" s="1" t="n">
        <f aca="false">AE286+AE291+AE296</f>
        <v>34.1400610271112</v>
      </c>
      <c r="AF299" s="1" t="n">
        <f aca="false">AF286+AF291+AF296</f>
        <v>34.9337444099193</v>
      </c>
    </row>
    <row r="300" customFormat="false" ht="14.25" hidden="false" customHeight="true" outlineLevel="0" collapsed="false">
      <c r="B300" s="144" t="s">
        <v>1292</v>
      </c>
      <c r="C300" s="1" t="n">
        <f aca="false">C285+C290+C295</f>
        <v>0</v>
      </c>
      <c r="D300" s="1" t="n">
        <f aca="false">D285+D290+D295</f>
        <v>1.42862927508819</v>
      </c>
      <c r="E300" s="1" t="n">
        <f aca="false">E285+E290+E295</f>
        <v>2.98925050123488</v>
      </c>
      <c r="F300" s="1" t="n">
        <f aca="false">F285+F290+F295</f>
        <v>5.72448851328998</v>
      </c>
      <c r="G300" s="1" t="n">
        <f aca="false">G285+G290+G295</f>
        <v>5.7908951934778</v>
      </c>
      <c r="H300" s="1" t="n">
        <f aca="false">H285+H290+H295</f>
        <v>7.58591875347624</v>
      </c>
      <c r="I300" s="1" t="n">
        <f aca="false">I285+I290+I295</f>
        <v>9.42332708713459</v>
      </c>
      <c r="J300" s="1" t="n">
        <f aca="false">J285+J290+J295</f>
        <v>11.3041001802622</v>
      </c>
      <c r="K300" s="1" t="n">
        <f aca="false">K285+K290+K295</f>
        <v>13.2292403731899</v>
      </c>
      <c r="L300" s="1" t="n">
        <f aca="false">L285+L290+L295</f>
        <v>15.1997728852567</v>
      </c>
      <c r="M300" s="1" t="n">
        <f aca="false">M285+M290+M295</f>
        <v>21.4139889991506</v>
      </c>
      <c r="N300" s="1" t="n">
        <f aca="false">N285+N290+N295</f>
        <v>21.4446182615578</v>
      </c>
      <c r="O300" s="1" t="n">
        <f aca="false">O285+O290+O295</f>
        <v>20.0368023941156</v>
      </c>
      <c r="P300" s="1" t="n">
        <f aca="false">P285+P290+P295</f>
        <v>20.4882251754319</v>
      </c>
      <c r="Q300" s="1" t="n">
        <f aca="false">Q285+Q290+Q295</f>
        <v>20.957765451442</v>
      </c>
      <c r="R300" s="1" t="n">
        <f aca="false">R285+R290+R295</f>
        <v>21.438493318574</v>
      </c>
      <c r="S300" s="1" t="n">
        <f aca="false">S285+S290+S295</f>
        <v>21.9309567433138</v>
      </c>
      <c r="T300" s="1" t="n">
        <f aca="false">T285+T290+T295</f>
        <v>22.4353986901034</v>
      </c>
      <c r="U300" s="1" t="n">
        <f aca="false">U285+U290+U295</f>
        <v>22.9520891365405</v>
      </c>
      <c r="V300" s="1" t="n">
        <f aca="false">V285+V290+V295</f>
        <v>23.4812683733494</v>
      </c>
      <c r="W300" s="1" t="n">
        <f aca="false">W285+W290+W295</f>
        <v>24.0231833697559</v>
      </c>
      <c r="X300" s="1" t="n">
        <f aca="false">X285+X290+X295</f>
        <v>24.5784717636624</v>
      </c>
      <c r="Y300" s="1" t="n">
        <f aca="false">Y285+Y290+Y295</f>
        <v>25.1473920163656</v>
      </c>
      <c r="Z300" s="1" t="n">
        <f aca="false">Z285+Z290+Z295</f>
        <v>25.7302092099158</v>
      </c>
      <c r="AA300" s="1" t="n">
        <f aca="false">AA285+AA290+AA295</f>
        <v>26.3271952852901</v>
      </c>
      <c r="AB300" s="1" t="n">
        <f aca="false">AB285+AB290+AB295</f>
        <v>26.9386291398364</v>
      </c>
      <c r="AC300" s="1" t="n">
        <f aca="false">AC285+AC290+AC295</f>
        <v>27.5647883487107</v>
      </c>
      <c r="AD300" s="1" t="n">
        <f aca="false">AD285+AD290+AD295</f>
        <v>28.2059577999959</v>
      </c>
      <c r="AE300" s="1" t="n">
        <f aca="false">AE285+AE290+AE295</f>
        <v>28.8624297987681</v>
      </c>
      <c r="AF300" s="1" t="n">
        <f aca="false">AF285+AF290+AF295</f>
        <v>29.5345041739234</v>
      </c>
    </row>
    <row r="301" customFormat="false" ht="14.25" hidden="false" customHeight="true" outlineLevel="0" collapsed="false">
      <c r="B301" s="144" t="s">
        <v>1293</v>
      </c>
      <c r="C301" s="1" t="n">
        <f aca="false">C284+C289+C294</f>
        <v>12.35</v>
      </c>
      <c r="D301" s="1" t="n">
        <f aca="false">D284+D289+D294</f>
        <v>24.98405</v>
      </c>
      <c r="E301" s="1" t="n">
        <f aca="false">E284+E289+E294</f>
        <v>37.90868315</v>
      </c>
      <c r="F301" s="1" t="n">
        <f aca="false">F284+F289+F294</f>
        <v>51.13058286245</v>
      </c>
      <c r="G301" s="1" t="n">
        <f aca="false">G284+G289+G294</f>
        <v>64.6565862682863</v>
      </c>
      <c r="H301" s="1" t="n">
        <f aca="false">H284+H289+H294</f>
        <v>78.4936877524569</v>
      </c>
      <c r="I301" s="1" t="n">
        <f aca="false">I284+I289+I294</f>
        <v>92.6490425707634</v>
      </c>
      <c r="J301" s="1" t="n">
        <f aca="false">J284+J289+J294</f>
        <v>107.129970549891</v>
      </c>
      <c r="K301" s="1" t="n">
        <f aca="false">K284+K289+K294</f>
        <v>121.943959872538</v>
      </c>
      <c r="L301" s="1" t="n">
        <f aca="false">L284+L289+L294</f>
        <v>137.098670949607</v>
      </c>
      <c r="M301" s="1" t="n">
        <f aca="false">M284+M289+M294</f>
        <v>150.518005967379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184.700962941869</v>
      </c>
      <c r="W301" s="1" t="n">
        <f aca="false">W284+W289+W294</f>
        <v>188.949085089532</v>
      </c>
      <c r="X301" s="1" t="n">
        <f aca="false">X284+X289+X294</f>
        <v>193.294914046591</v>
      </c>
      <c r="Y301" s="1" t="n">
        <f aca="false">Y284+Y289+Y294</f>
        <v>197.740697069663</v>
      </c>
      <c r="Z301" s="1" t="n">
        <f aca="false">Z284+Z289+Z294</f>
        <v>202.288733102265</v>
      </c>
      <c r="AA301" s="1" t="n">
        <f aca="false">AA284+AA289+AA294</f>
        <v>206.941373963617</v>
      </c>
      <c r="AB301" s="1" t="n">
        <f aca="false">AB284+AB289+AB294</f>
        <v>211.70102556478</v>
      </c>
      <c r="AC301" s="1" t="n">
        <f aca="false">AC284+AC289+AC294</f>
        <v>216.57014915277</v>
      </c>
      <c r="AD301" s="1" t="n">
        <f aca="false">AD284+AD289+AD294</f>
        <v>221.551262583284</v>
      </c>
      <c r="AE301" s="1" t="n">
        <f aca="false">AE284+AE289+AE294</f>
        <v>226.646941622699</v>
      </c>
      <c r="AF301" s="1" t="n">
        <f aca="false">AF284+AF289+AF294</f>
        <v>231.859821280021</v>
      </c>
    </row>
    <row r="302" customFormat="false" ht="14.25" hidden="false" customHeight="true" outlineLevel="0" collapsed="false">
      <c r="B302" s="144" t="s">
        <v>1294</v>
      </c>
      <c r="C302" s="1" t="n">
        <f aca="false">C287+C292+C297</f>
        <v>0.509532153282038</v>
      </c>
      <c r="D302" s="1" t="n">
        <f aca="false">D287+D292+D297</f>
        <v>1.03873563066358</v>
      </c>
      <c r="E302" s="1" t="n">
        <f aca="false">E287+E292+E297</f>
        <v>1.58191993309657</v>
      </c>
      <c r="F302" s="1" t="n">
        <f aca="false">F287+F292+F297</f>
        <v>2.09959663557028</v>
      </c>
      <c r="G302" s="1" t="n">
        <f aca="false">G287+G292+G297</f>
        <v>2.67612616387192</v>
      </c>
      <c r="H302" s="1" t="n">
        <f aca="false">H287+H292+H297</f>
        <v>3.26600404722915</v>
      </c>
      <c r="I302" s="1" t="n">
        <f aca="false">I287+I292+I297</f>
        <v>3.86953770979851</v>
      </c>
      <c r="J302" s="1" t="n">
        <f aca="false">J287+J292+J297</f>
        <v>4.48704163163999</v>
      </c>
      <c r="K302" s="1" t="n">
        <f aca="false">K287+K292+K297</f>
        <v>5.11883751183164</v>
      </c>
      <c r="L302" s="1" t="n">
        <f aca="false">L287+L292+L297</f>
        <v>5.76522387884952</v>
      </c>
      <c r="M302" s="1" t="n">
        <f aca="false">M287+M292+M297</f>
        <v>6.3665029990345</v>
      </c>
      <c r="N302" s="1" t="n">
        <f aca="false">N287+N292+N297</f>
        <v>6.53130331489944</v>
      </c>
      <c r="O302" s="1" t="n">
        <f aca="false">O287+O292+O297</f>
        <v>6.68076736234431</v>
      </c>
      <c r="P302" s="1" t="n">
        <f aca="false">P287+P292+P297</f>
        <v>6.83428953474352</v>
      </c>
      <c r="Q302" s="1" t="n">
        <f aca="false">Q287+Q292+Q297</f>
        <v>6.99137385410802</v>
      </c>
      <c r="R302" s="1" t="n">
        <f aca="false">R287+R292+R297</f>
        <v>7.15212556473108</v>
      </c>
      <c r="S302" s="1" t="n">
        <f aca="false">S287+S292+S297</f>
        <v>7.31662685452082</v>
      </c>
      <c r="T302" s="1" t="n">
        <f aca="false">T287+T292+T297</f>
        <v>7.48496352033153</v>
      </c>
      <c r="U302" s="1" t="n">
        <f aca="false">U287+U292+U297</f>
        <v>7.65722045288526</v>
      </c>
      <c r="V302" s="1" t="n">
        <f aca="false">V287+V292+V297</f>
        <v>7.83348458778455</v>
      </c>
      <c r="W302" s="1" t="n">
        <f aca="false">W287+W292+W297</f>
        <v>8.01387574235389</v>
      </c>
      <c r="X302" s="1" t="n">
        <f aca="false">X287+X292+X297</f>
        <v>8.19848489728984</v>
      </c>
      <c r="Y302" s="1" t="n">
        <f aca="false">Y287+Y292+Y297</f>
        <v>8.38740518008249</v>
      </c>
      <c r="Z302" s="1" t="n">
        <f aca="false">Z287+Z292+Z297</f>
        <v>8.5807319212819</v>
      </c>
      <c r="AA302" s="1" t="n">
        <f aca="false">AA287+AA292+AA297</f>
        <v>8.77856270033061</v>
      </c>
      <c r="AB302" s="1" t="n">
        <f aca="false">AB287+AB292+AB297</f>
        <v>8.98099672038118</v>
      </c>
      <c r="AC302" s="1" t="n">
        <f aca="false">AC287+AC292+AC297</f>
        <v>9.18813554075512</v>
      </c>
      <c r="AD302" s="1" t="n">
        <f aca="false">AD287+AD292+AD297</f>
        <v>9.40008312599039</v>
      </c>
      <c r="AE302" s="1" t="n">
        <f aca="false">AE287+AE292+AE297</f>
        <v>9.61694589604648</v>
      </c>
      <c r="AF302" s="1" t="n">
        <f aca="false">AF287+AF292+AF297</f>
        <v>9.83883277794108</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59.1443938619143</v>
      </c>
      <c r="D307" s="116" t="n">
        <f aca="false">D81</f>
        <v>97.2387701116566</v>
      </c>
      <c r="E307" s="116" t="n">
        <f aca="false">E81</f>
        <v>131.110835807634</v>
      </c>
      <c r="F307" s="116" t="n">
        <f aca="false">F81</f>
        <v>272.854842892533</v>
      </c>
      <c r="G307" s="116" t="n">
        <f aca="false">G81</f>
        <v>285.5563421679</v>
      </c>
      <c r="H307" s="116" t="n">
        <f aca="false">H81</f>
        <v>298.301481098916</v>
      </c>
      <c r="I307" s="116" t="n">
        <f aca="false">I81</f>
        <v>311.09010233844</v>
      </c>
      <c r="J307" s="116" t="n">
        <f aca="false">J81</f>
        <v>323.922086776223</v>
      </c>
      <c r="K307" s="116" t="n">
        <f aca="false">K81</f>
        <v>336.797352082607</v>
      </c>
      <c r="L307" s="116" t="n">
        <f aca="false">L81</f>
        <v>349.801964639669</v>
      </c>
      <c r="M307" s="116" t="n">
        <f aca="false">M81</f>
        <v>362.426080830021</v>
      </c>
      <c r="N307" s="116" t="n">
        <f aca="false">N81</f>
        <v>375.209618014158</v>
      </c>
      <c r="O307" s="116" t="n">
        <f aca="false">O81</f>
        <v>387.247978503958</v>
      </c>
      <c r="P307" s="116" t="n">
        <f aca="false">P81</f>
        <v>396.765557602879</v>
      </c>
      <c r="Q307" s="116" t="n">
        <f aca="false">Q81</f>
        <v>406.361641967449</v>
      </c>
      <c r="R307" s="116" t="n">
        <f aca="false">R81</f>
        <v>415.932908538592</v>
      </c>
      <c r="S307" s="116" t="n">
        <f aca="false">S81</f>
        <v>425.488535535643</v>
      </c>
      <c r="T307" s="116" t="n">
        <f aca="false">T81</f>
        <v>435.030162872076</v>
      </c>
      <c r="U307" s="116" t="n">
        <f aca="false">U81</f>
        <v>444.572451878619</v>
      </c>
      <c r="V307" s="116" t="n">
        <f aca="false">V81</f>
        <v>454.12998448566</v>
      </c>
      <c r="W307" s="116" t="n">
        <f aca="false">W81</f>
        <v>463.578427853128</v>
      </c>
      <c r="X307" s="116" t="n">
        <f aca="false">X81</f>
        <v>472.933042090261</v>
      </c>
      <c r="Y307" s="116" t="n">
        <f aca="false">Y81</f>
        <v>482.209193727914</v>
      </c>
      <c r="Z307" s="116" t="n">
        <f aca="false">Z81</f>
        <v>491.422327097679</v>
      </c>
      <c r="AA307" s="116" t="n">
        <f aca="false">AA81</f>
        <v>500.587987935895</v>
      </c>
      <c r="AB307" s="116" t="n">
        <f aca="false">AB81</f>
        <v>509.724877939683</v>
      </c>
      <c r="AC307" s="116" t="n">
        <f aca="false">AC81</f>
        <v>518.851793035352</v>
      </c>
      <c r="AD307" s="116" t="n">
        <f aca="false">AD81</f>
        <v>527.987648741876</v>
      </c>
      <c r="AE307" s="116" t="n">
        <f aca="false">AE81</f>
        <v>537.151505984904</v>
      </c>
      <c r="AF307" s="116" t="n">
        <f aca="false">AF81</f>
        <v>546.362596256517</v>
      </c>
    </row>
    <row r="308" customFormat="false" ht="14.25" hidden="false" customHeight="true" outlineLevel="0" collapsed="false">
      <c r="B308" s="84" t="s">
        <v>1300</v>
      </c>
      <c r="C308" s="1" t="n">
        <f aca="false">C301</f>
        <v>12.35</v>
      </c>
      <c r="D308" s="1" t="n">
        <f aca="false">D301</f>
        <v>24.98405</v>
      </c>
      <c r="E308" s="1" t="n">
        <f aca="false">E301</f>
        <v>37.90868315</v>
      </c>
      <c r="F308" s="1" t="n">
        <f aca="false">F301</f>
        <v>51.13058286245</v>
      </c>
      <c r="G308" s="1" t="n">
        <f aca="false">G301</f>
        <v>64.6565862682863</v>
      </c>
      <c r="H308" s="1" t="n">
        <f aca="false">H301</f>
        <v>78.4936877524569</v>
      </c>
      <c r="I308" s="1" t="n">
        <f aca="false">I301</f>
        <v>92.6490425707634</v>
      </c>
      <c r="J308" s="1" t="n">
        <f aca="false">J301</f>
        <v>107.129970549891</v>
      </c>
      <c r="K308" s="1" t="n">
        <f aca="false">K301</f>
        <v>121.943959872538</v>
      </c>
      <c r="L308" s="1" t="n">
        <f aca="false">L301</f>
        <v>137.098670949607</v>
      </c>
      <c r="M308" s="1" t="n">
        <f aca="false">M301</f>
        <v>150.518005967379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184.700962941869</v>
      </c>
      <c r="W308" s="1" t="n">
        <f aca="false">W301</f>
        <v>188.949085089532</v>
      </c>
      <c r="X308" s="1" t="n">
        <f aca="false">X301</f>
        <v>193.294914046591</v>
      </c>
      <c r="Y308" s="1" t="n">
        <f aca="false">Y301</f>
        <v>197.740697069663</v>
      </c>
      <c r="Z308" s="1" t="n">
        <f aca="false">Z301</f>
        <v>202.288733102265</v>
      </c>
      <c r="AA308" s="1" t="n">
        <f aca="false">AA301</f>
        <v>206.941373963617</v>
      </c>
      <c r="AB308" s="1" t="n">
        <f aca="false">AB301</f>
        <v>211.70102556478</v>
      </c>
      <c r="AC308" s="1" t="n">
        <f aca="false">AC301</f>
        <v>216.57014915277</v>
      </c>
      <c r="AD308" s="1" t="n">
        <f aca="false">AD301</f>
        <v>221.551262583284</v>
      </c>
      <c r="AE308" s="1" t="n">
        <f aca="false">AE301</f>
        <v>226.646941622699</v>
      </c>
      <c r="AF308" s="1" t="n">
        <f aca="false">AF301</f>
        <v>231.859821280021</v>
      </c>
    </row>
    <row r="309" customFormat="false" ht="14.25" hidden="false" customHeight="true" outlineLevel="0" collapsed="false">
      <c r="B309" s="84" t="s">
        <v>1301</v>
      </c>
      <c r="C309" s="1" t="n">
        <f aca="false">C307-C308</f>
        <v>46.7943938619143</v>
      </c>
      <c r="D309" s="1" t="n">
        <f aca="false">D307-D308</f>
        <v>72.2547201116566</v>
      </c>
      <c r="E309" s="1" t="n">
        <f aca="false">E307-E308</f>
        <v>93.2021526576341</v>
      </c>
      <c r="F309" s="1" t="n">
        <f aca="false">F307-F308</f>
        <v>221.724260030083</v>
      </c>
      <c r="G309" s="1" t="n">
        <f aca="false">G307-G308</f>
        <v>220.899755899614</v>
      </c>
      <c r="H309" s="1" t="n">
        <f aca="false">H307-H308</f>
        <v>219.807793346459</v>
      </c>
      <c r="I309" s="1" t="n">
        <f aca="false">I307-I308</f>
        <v>218.441059767677</v>
      </c>
      <c r="J309" s="1" t="n">
        <f aca="false">J307-J308</f>
        <v>216.792116226332</v>
      </c>
      <c r="K309" s="1" t="n">
        <f aca="false">K307-K308</f>
        <v>214.853392210069</v>
      </c>
      <c r="L309" s="1" t="n">
        <f aca="false">L307-L308</f>
        <v>212.703293690062</v>
      </c>
      <c r="M309" s="1" t="n">
        <f aca="false">M307-M308</f>
        <v>211.908074862642</v>
      </c>
      <c r="N309" s="1" t="n">
        <f aca="false">N307-N308</f>
        <v>221.22969790953</v>
      </c>
      <c r="O309" s="1" t="n">
        <f aca="false">O307-O308</f>
        <v>229.726520236923</v>
      </c>
      <c r="P309" s="1" t="n">
        <f aca="false">P307-P308</f>
        <v>235.621105795702</v>
      </c>
      <c r="Q309" s="1" t="n">
        <f aca="false">Q307-Q308</f>
        <v>241.510867768707</v>
      </c>
      <c r="R309" s="1" t="n">
        <f aca="false">R307-R308</f>
        <v>247.290566533279</v>
      </c>
      <c r="S309" s="1" t="n">
        <f aca="false">S307-S308</f>
        <v>252.967419664208</v>
      </c>
      <c r="T309" s="1" t="n">
        <f aca="false">T307-T308</f>
        <v>258.541061335598</v>
      </c>
      <c r="U309" s="1" t="n">
        <f aca="false">U307-U308</f>
        <v>264.024101006802</v>
      </c>
      <c r="V309" s="1" t="n">
        <f aca="false">V307-V308</f>
        <v>269.429021543791</v>
      </c>
      <c r="W309" s="1" t="n">
        <f aca="false">W307-W308</f>
        <v>274.629342763596</v>
      </c>
      <c r="X309" s="1" t="n">
        <f aca="false">X307-X308</f>
        <v>279.63812804367</v>
      </c>
      <c r="Y309" s="1" t="n">
        <f aca="false">Y307-Y308</f>
        <v>284.468496658252</v>
      </c>
      <c r="Z309" s="1" t="n">
        <f aca="false">Z307-Z308</f>
        <v>289.133593995414</v>
      </c>
      <c r="AA309" s="1" t="n">
        <f aca="false">AA307-AA308</f>
        <v>293.646613972278</v>
      </c>
      <c r="AB309" s="1" t="n">
        <f aca="false">AB307-AB308</f>
        <v>298.023852374903</v>
      </c>
      <c r="AC309" s="1" t="n">
        <f aca="false">AC307-AC308</f>
        <v>302.281643882582</v>
      </c>
      <c r="AD309" s="1" t="n">
        <f aca="false">AD307-AD308</f>
        <v>306.436386158592</v>
      </c>
      <c r="AE309" s="1" t="n">
        <f aca="false">AE307-AE308</f>
        <v>310.504564362205</v>
      </c>
      <c r="AF309" s="1" t="n">
        <f aca="false">AF307-AF308</f>
        <v>314.502774976495</v>
      </c>
    </row>
    <row r="310" customFormat="false" ht="14.25" hidden="false" customHeight="true" outlineLevel="0" collapsed="false">
      <c r="B310" s="84" t="s">
        <v>1302</v>
      </c>
      <c r="C310" s="1" t="n">
        <f aca="false">IF(C307&gt;0,100*C308/C307,0)</f>
        <v>20.8810999548559</v>
      </c>
      <c r="D310" s="1" t="n">
        <f aca="false">IF(D307&gt;0,100*D308/D307,0)</f>
        <v>25.6935067888163</v>
      </c>
      <c r="E310" s="1" t="n">
        <f aca="false">IF(E307&gt;0,100*E308/E307,0)</f>
        <v>28.9134631142308</v>
      </c>
      <c r="F310" s="1" t="n">
        <f aca="false">IF(F307&gt;0,100*F308/F307,0)</f>
        <v>18.7391150255627</v>
      </c>
      <c r="G310" s="1" t="n">
        <f aca="false">IF(G307&gt;0,100*G308/G307,0)</f>
        <v>22.642321924081</v>
      </c>
      <c r="H310" s="1" t="n">
        <f aca="false">IF(H307&gt;0,100*H308/H307,0)</f>
        <v>26.3135427498694</v>
      </c>
      <c r="I310" s="1" t="n">
        <f aca="false">IF(I307&gt;0,100*I308/I307,0)</f>
        <v>29.7820605266216</v>
      </c>
      <c r="J310" s="1" t="n">
        <f aca="false">IF(J307&gt;0,100*J308/J307,0)</f>
        <v>33.0727588279277</v>
      </c>
      <c r="K310" s="1" t="n">
        <f aca="false">IF(K307&gt;0,100*K308/K307,0)</f>
        <v>36.2069235754053</v>
      </c>
      <c r="L310" s="1" t="n">
        <f aca="false">IF(L307&gt;0,100*L308/L307,0)</f>
        <v>39.1932249696859</v>
      </c>
      <c r="M310" s="1" t="n">
        <f aca="false">IF(M307&gt;0,100*M308/M307,0)</f>
        <v>41.5306772687731</v>
      </c>
      <c r="N310" s="1" t="n">
        <f aca="false">IF(N307&gt;0,100*N308/N307,0)</f>
        <v>41.0383723422618</v>
      </c>
      <c r="O310" s="1" t="n">
        <f aca="false">IF(O307&gt;0,100*O308/O307,0)</f>
        <v>40.6771544361787</v>
      </c>
      <c r="P310" s="1" t="n">
        <f aca="false">IF(P307&gt;0,100*P308/P307,0)</f>
        <v>40.6145263164364</v>
      </c>
      <c r="Q310" s="1" t="n">
        <f aca="false">IF(Q307&gt;0,100*Q308/Q307,0)</f>
        <v>40.5675037143262</v>
      </c>
      <c r="R310" s="1" t="n">
        <f aca="false">IF(R307&gt;0,100*R308/R307,0)</f>
        <v>40.5455636097295</v>
      </c>
      <c r="S310" s="1" t="n">
        <f aca="false">IF(S307&gt;0,100*S308/S307,0)</f>
        <v>40.5465956102084</v>
      </c>
      <c r="T310" s="1" t="n">
        <f aca="false">IF(T307&gt;0,100*T308/T307,0)</f>
        <v>40.5693941705776</v>
      </c>
      <c r="U310" s="1" t="n">
        <f aca="false">IF(U307&gt;0,100*U308/U307,0)</f>
        <v>40.6116821024061</v>
      </c>
      <c r="V310" s="1" t="n">
        <f aca="false">IF(V307&gt;0,100*V308/V307,0)</f>
        <v>40.6713868829996</v>
      </c>
      <c r="W310" s="1" t="n">
        <f aca="false">IF(W307&gt;0,100*W308/W307,0)</f>
        <v>40.7588174377681</v>
      </c>
      <c r="X310" s="1" t="n">
        <f aca="false">IF(X307&gt;0,100*X308/X307,0)</f>
        <v>40.8715181312495</v>
      </c>
      <c r="Y310" s="1" t="n">
        <f aca="false">IF(Y307&gt;0,100*Y308/Y307,0)</f>
        <v>41.0072432549342</v>
      </c>
      <c r="Z310" s="1" t="n">
        <f aca="false">IF(Z307&gt;0,100*Z308/Z307,0)</f>
        <v>41.163928040668</v>
      </c>
      <c r="AA310" s="1" t="n">
        <f aca="false">IF(AA307&gt;0,100*AA308/AA307,0)</f>
        <v>41.3396603496042</v>
      </c>
      <c r="AB310" s="1" t="n">
        <f aca="false">IF(AB307&gt;0,100*AB308/AB307,0)</f>
        <v>41.5324098797138</v>
      </c>
      <c r="AC310" s="1" t="n">
        <f aca="false">IF(AC307&gt;0,100*AC308/AC307,0)</f>
        <v>41.7402718964901</v>
      </c>
      <c r="AD310" s="1" t="n">
        <f aca="false">IF(AD307&gt;0,100*AD308/AD307,0)</f>
        <v>41.9614479829615</v>
      </c>
      <c r="AE310" s="1" t="n">
        <f aca="false">IF(AE307&gt;0,100*AE308/AE307,0)</f>
        <v>42.1942299514039</v>
      </c>
      <c r="AF310" s="1" t="n">
        <f aca="false">IF(AF307&gt;0,100*AF308/AF307,0)</f>
        <v>42.4369865120056</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2.7678832694438</v>
      </c>
      <c r="D313" s="116" t="n">
        <f aca="false">D111</f>
        <v>4.3735351761424</v>
      </c>
      <c r="E313" s="116" t="n">
        <f aca="false">E111</f>
        <v>5.67892317111064</v>
      </c>
      <c r="F313" s="116" t="n">
        <f aca="false">F111</f>
        <v>12.0443998036171</v>
      </c>
      <c r="G313" s="116" t="n">
        <f aca="false">G111</f>
        <v>11.9819731818688</v>
      </c>
      <c r="H313" s="116" t="n">
        <f aca="false">H111</f>
        <v>11.9443885205307</v>
      </c>
      <c r="I313" s="116" t="n">
        <f aca="false">I111</f>
        <v>11.9301765419694</v>
      </c>
      <c r="J313" s="116" t="n">
        <f aca="false">J111</f>
        <v>11.9379641311511</v>
      </c>
      <c r="K313" s="116" t="n">
        <f aca="false">K111</f>
        <v>11.9664681843108</v>
      </c>
      <c r="L313" s="116" t="n">
        <f aca="false">L111</f>
        <v>12.0144898536262</v>
      </c>
      <c r="M313" s="116" t="n">
        <f aca="false">M111</f>
        <v>12.1731377818496</v>
      </c>
      <c r="N313" s="116" t="n">
        <f aca="false">N111</f>
        <v>12.3995659728803</v>
      </c>
      <c r="O313" s="116" t="n">
        <f aca="false">O111</f>
        <v>12.6811119740544</v>
      </c>
      <c r="P313" s="116" t="n">
        <f aca="false">P111</f>
        <v>13.1722970754047</v>
      </c>
      <c r="Q313" s="116" t="n">
        <f aca="false">Q111</f>
        <v>13.653870464581</v>
      </c>
      <c r="R313" s="116" t="n">
        <f aca="false">R111</f>
        <v>14.1221357146533</v>
      </c>
      <c r="S313" s="116" t="n">
        <f aca="false">S111</f>
        <v>14.5778889652226</v>
      </c>
      <c r="T313" s="116" t="n">
        <f aca="false">T111</f>
        <v>15.0218835607841</v>
      </c>
      <c r="U313" s="116" t="n">
        <f aca="false">U111</f>
        <v>15.4548330022679</v>
      </c>
      <c r="V313" s="116" t="n">
        <f aca="false">V111</f>
        <v>15.8774137109029</v>
      </c>
      <c r="W313" s="116" t="n">
        <f aca="false">W111</f>
        <v>16.2902676166039</v>
      </c>
      <c r="X313" s="116" t="n">
        <f aca="false">X111</f>
        <v>16.6940045822918</v>
      </c>
      <c r="Y313" s="116" t="n">
        <f aca="false">Y111</f>
        <v>17.0892046748216</v>
      </c>
      <c r="Z313" s="116" t="n">
        <f aca="false">Z111</f>
        <v>17.4764202925041</v>
      </c>
      <c r="AA313" s="116" t="n">
        <f aca="false">AA111</f>
        <v>17.8561781585618</v>
      </c>
      <c r="AB313" s="116" t="n">
        <f aca="false">AB111</f>
        <v>18.2289811892588</v>
      </c>
      <c r="AC313" s="116" t="n">
        <f aca="false">AC111</f>
        <v>18.5953102448786</v>
      </c>
      <c r="AD313" s="116" t="n">
        <f aca="false">AD111</f>
        <v>18.9556257711976</v>
      </c>
      <c r="AE313" s="116" t="n">
        <f aca="false">AE111</f>
        <v>19.3103693386089</v>
      </c>
      <c r="AF313" s="116" t="n">
        <f aca="false">AF111</f>
        <v>19.6599650855894</v>
      </c>
    </row>
    <row r="314" customFormat="false" ht="14.25" hidden="false" customHeight="true" outlineLevel="0" collapsed="false">
      <c r="B314" s="84" t="s">
        <v>1306</v>
      </c>
      <c r="C314" s="1" t="n">
        <f aca="false">C302</f>
        <v>0.509532153282038</v>
      </c>
      <c r="D314" s="1" t="n">
        <f aca="false">D302</f>
        <v>1.03873563066358</v>
      </c>
      <c r="E314" s="1" t="n">
        <f aca="false">E302</f>
        <v>1.58191993309657</v>
      </c>
      <c r="F314" s="1" t="n">
        <f aca="false">F302</f>
        <v>2.09959663557028</v>
      </c>
      <c r="G314" s="1" t="n">
        <f aca="false">G302</f>
        <v>2.67612616387192</v>
      </c>
      <c r="H314" s="1" t="n">
        <f aca="false">H302</f>
        <v>3.26600404722915</v>
      </c>
      <c r="I314" s="1" t="n">
        <f aca="false">I302</f>
        <v>3.86953770979851</v>
      </c>
      <c r="J314" s="1" t="n">
        <f aca="false">J302</f>
        <v>4.48704163163999</v>
      </c>
      <c r="K314" s="1" t="n">
        <f aca="false">K302</f>
        <v>5.11883751183164</v>
      </c>
      <c r="L314" s="1" t="n">
        <f aca="false">L302</f>
        <v>5.76522387884952</v>
      </c>
      <c r="M314" s="1" t="n">
        <f aca="false">M302</f>
        <v>6.3665029990345</v>
      </c>
      <c r="N314" s="1" t="n">
        <f aca="false">N302</f>
        <v>6.53130331489944</v>
      </c>
      <c r="O314" s="1" t="n">
        <f aca="false">O302</f>
        <v>6.68076736234431</v>
      </c>
      <c r="P314" s="1" t="n">
        <f aca="false">P302</f>
        <v>6.83428953474352</v>
      </c>
      <c r="Q314" s="1" t="n">
        <f aca="false">Q302</f>
        <v>6.99137385410802</v>
      </c>
      <c r="R314" s="1" t="n">
        <f aca="false">R302</f>
        <v>7.15212556473108</v>
      </c>
      <c r="S314" s="1" t="n">
        <f aca="false">S302</f>
        <v>7.31662685452082</v>
      </c>
      <c r="T314" s="1" t="n">
        <f aca="false">T302</f>
        <v>7.48496352033153</v>
      </c>
      <c r="U314" s="1" t="n">
        <f aca="false">U302</f>
        <v>7.65722045288526</v>
      </c>
      <c r="V314" s="1" t="n">
        <f aca="false">V302</f>
        <v>7.83348458778455</v>
      </c>
      <c r="W314" s="1" t="n">
        <f aca="false">W302</f>
        <v>8.01387574235389</v>
      </c>
      <c r="X314" s="1" t="n">
        <f aca="false">X302</f>
        <v>8.19848489728984</v>
      </c>
      <c r="Y314" s="1" t="n">
        <f aca="false">Y302</f>
        <v>8.38740518008249</v>
      </c>
      <c r="Z314" s="1" t="n">
        <f aca="false">Z302</f>
        <v>8.5807319212819</v>
      </c>
      <c r="AA314" s="1" t="n">
        <f aca="false">AA302</f>
        <v>8.77856270033061</v>
      </c>
      <c r="AB314" s="1" t="n">
        <f aca="false">AB302</f>
        <v>8.98099672038118</v>
      </c>
      <c r="AC314" s="1" t="n">
        <f aca="false">AC302</f>
        <v>9.18813554075512</v>
      </c>
      <c r="AD314" s="1" t="n">
        <f aca="false">AD302</f>
        <v>9.40008312599039</v>
      </c>
      <c r="AE314" s="1" t="n">
        <f aca="false">AE302</f>
        <v>9.61694589604648</v>
      </c>
      <c r="AF314" s="1" t="n">
        <f aca="false">AF302</f>
        <v>9.83883277794108</v>
      </c>
    </row>
    <row r="315" customFormat="false" ht="14.25" hidden="false" customHeight="true" outlineLevel="0" collapsed="false">
      <c r="B315" s="84" t="s">
        <v>1307</v>
      </c>
      <c r="C315" s="116" t="n">
        <f aca="false">C56</f>
        <v>1.07</v>
      </c>
      <c r="D315" s="116" t="n">
        <f aca="false">D56</f>
        <v>1.09916285</v>
      </c>
      <c r="E315" s="116" t="n">
        <f aca="false">E56</f>
        <v>1.12912053347675</v>
      </c>
      <c r="F315" s="116" t="n">
        <f aca="false">F56</f>
        <v>1.15989471361666</v>
      </c>
      <c r="G315" s="116" t="n">
        <f aca="false">G56</f>
        <v>1.19150764403628</v>
      </c>
      <c r="H315" s="116" t="n">
        <f aca="false">H56</f>
        <v>1.22398218487449</v>
      </c>
      <c r="I315" s="116" t="n">
        <f aca="false">I56</f>
        <v>1.25734181932324</v>
      </c>
      <c r="J315" s="116" t="n">
        <f aca="false">J56</f>
        <v>1.2916106706089</v>
      </c>
      <c r="K315" s="116" t="n">
        <f aca="false">K56</f>
        <v>1.32681351943634</v>
      </c>
      <c r="L315" s="116" t="n">
        <f aca="false">L56</f>
        <v>1.36297582190858</v>
      </c>
      <c r="M315" s="116" t="n">
        <f aca="false">M56</f>
        <v>1.4001237279347</v>
      </c>
      <c r="N315" s="116" t="n">
        <f aca="false">N56</f>
        <v>1.43828410013956</v>
      </c>
      <c r="O315" s="116" t="n">
        <f aca="false">O56</f>
        <v>1.47748453328886</v>
      </c>
      <c r="P315" s="116" t="n">
        <f aca="false">P56</f>
        <v>1.51775337424365</v>
      </c>
      <c r="Q315" s="116" t="n">
        <f aca="false">Q56</f>
        <v>1.55911974245866</v>
      </c>
      <c r="R315" s="116" t="n">
        <f aca="false">R56</f>
        <v>1.20121016327953</v>
      </c>
      <c r="S315" s="116" t="n">
        <f aca="false">S56</f>
        <v>1.23394914627971</v>
      </c>
      <c r="T315" s="116" t="n">
        <f aca="false">T56</f>
        <v>1.26758043026157</v>
      </c>
      <c r="U315" s="116" t="n">
        <f aca="false">U56</f>
        <v>1.30212833488834</v>
      </c>
      <c r="V315" s="116" t="n">
        <f aca="false">V56</f>
        <v>1.33761784265573</v>
      </c>
      <c r="W315" s="116" t="n">
        <f aca="false">W56</f>
        <v>1.37407461695731</v>
      </c>
      <c r="X315" s="116" t="n">
        <f aca="false">X56</f>
        <v>1.41152502064248</v>
      </c>
      <c r="Y315" s="116" t="n">
        <f aca="false">Y56</f>
        <v>1.44999613508009</v>
      </c>
      <c r="Z315" s="116" t="n">
        <f aca="false">Z56</f>
        <v>1.4895157797417</v>
      </c>
      <c r="AA315" s="116" t="n">
        <f aca="false">AA56</f>
        <v>1.53011253231856</v>
      </c>
      <c r="AB315" s="116" t="n">
        <f aca="false">AB56</f>
        <v>1.5718157493869</v>
      </c>
      <c r="AC315" s="116" t="n">
        <f aca="false">AC56</f>
        <v>1.61465558763644</v>
      </c>
      <c r="AD315" s="116" t="n">
        <f aca="false">AD56</f>
        <v>1.65866302567747</v>
      </c>
      <c r="AE315" s="116" t="n">
        <f aca="false">AE56</f>
        <v>1.70386988644231</v>
      </c>
      <c r="AF315" s="116" t="n">
        <f aca="false">AF56</f>
        <v>1.75030886019729</v>
      </c>
    </row>
    <row r="316" customFormat="false" ht="14.25" hidden="false" customHeight="true" outlineLevel="0" collapsed="false">
      <c r="B316" s="84" t="s">
        <v>1308</v>
      </c>
      <c r="C316" s="1" t="n">
        <f aca="false">IF(C313&gt;0,100*(C314+C315)/C313,0)</f>
        <v>57.066429452404</v>
      </c>
      <c r="D316" s="1" t="n">
        <f aca="false">IF(D313&gt;0,100*(D314+D315)/D313,0)</f>
        <v>48.8826177122297</v>
      </c>
      <c r="E316" s="1" t="n">
        <f aca="false">IF(E313&gt;0,100*(E314+E315)/E313,0)</f>
        <v>47.7386360915165</v>
      </c>
      <c r="F316" s="1" t="n">
        <f aca="false">IF(F313&gt;0,100*(F314+F315)/F313,0)</f>
        <v>27.0622978507244</v>
      </c>
      <c r="G316" s="1" t="n">
        <f aca="false">IF(G313&gt;0,100*(G314+G315)/G313,0)</f>
        <v>32.2787720286399</v>
      </c>
      <c r="H316" s="1" t="n">
        <f aca="false">IF(H313&gt;0,100*(H314+H315)/H313,0)</f>
        <v>37.5907584083188</v>
      </c>
      <c r="I316" s="1" t="n">
        <f aca="false">IF(I313&gt;0,100*(I314+I315)/I313,0)</f>
        <v>42.9740457828583</v>
      </c>
      <c r="J316" s="1" t="n">
        <f aca="false">IF(J313&gt;0,100*(J314+J315)/J313,0)</f>
        <v>48.4056765354989</v>
      </c>
      <c r="K316" s="1" t="n">
        <f aca="false">IF(K313&gt;0,100*(K314+K315)/K313,0)</f>
        <v>53.8642724987049</v>
      </c>
      <c r="L316" s="1" t="n">
        <f aca="false">IF(L313&gt;0,100*(L314+L315)/L313,0)</f>
        <v>59.3300238928301</v>
      </c>
      <c r="M316" s="1" t="n">
        <f aca="false">IF(M313&gt;0,100*(M314+M315)/M313,0)</f>
        <v>63.8013539824498</v>
      </c>
      <c r="N316" s="1" t="n">
        <f aca="false">IF(N313&gt;0,100*(N314+N315)/N313,0)</f>
        <v>64.2731159499429</v>
      </c>
      <c r="O316" s="1" t="n">
        <f aca="false">IF(O313&gt;0,100*(O314+O315)/O313,0)</f>
        <v>64.3338842234415</v>
      </c>
      <c r="P316" s="1" t="n">
        <f aca="false">IF(P313&gt;0,100*(P314+P315)/P313,0)</f>
        <v>63.4061231778781</v>
      </c>
      <c r="Q316" s="1" t="n">
        <f aca="false">IF(Q313&gt;0,100*(Q314+Q315)/Q313,0)</f>
        <v>62.6232218823752</v>
      </c>
      <c r="R316" s="1" t="n">
        <f aca="false">IF(R313&gt;0,100*(R314+R315)/R313,0)</f>
        <v>59.1506546658028</v>
      </c>
      <c r="S316" s="1" t="n">
        <f aca="false">IF(S313&gt;0,100*(S314+S315)/S313,0)</f>
        <v>58.6544184909009</v>
      </c>
      <c r="T316" s="1" t="n">
        <f aca="false">IF(T313&gt;0,100*(T314+T315)/T313,0)</f>
        <v>58.2652895369415</v>
      </c>
      <c r="U316" s="1" t="n">
        <f aca="false">IF(U313&gt;0,100*(U314+U315)/U313,0)</f>
        <v>57.9711782486351</v>
      </c>
      <c r="V316" s="1" t="n">
        <f aca="false">IF(V313&gt;0,100*(V314+V315)/V313,0)</f>
        <v>57.7619415695049</v>
      </c>
      <c r="W316" s="1" t="n">
        <f aca="false">IF(W313&gt;0,100*(W314+W315)/W313,0)</f>
        <v>57.6291966483259</v>
      </c>
      <c r="X316" s="1" t="n">
        <f aca="false">IF(X313&gt;0,100*(X314+X315)/X313,0)</f>
        <v>57.5656360375399</v>
      </c>
      <c r="Y316" s="1" t="n">
        <f aca="false">IF(Y313&gt;0,100*(Y314+Y315)/Y313,0)</f>
        <v>57.5650037690549</v>
      </c>
      <c r="Z316" s="1" t="n">
        <f aca="false">IF(Z313&gt;0,100*(Z314+Z315)/Z313,0)</f>
        <v>57.6219130261067</v>
      </c>
      <c r="AA316" s="1" t="n">
        <f aca="false">IF(AA313&gt;0,100*(AA314+AA315)/AA313,0)</f>
        <v>57.7317001494314</v>
      </c>
      <c r="AB316" s="1" t="n">
        <f aca="false">IF(AB313&gt;0,100*(AB314+AB315)/AB313,0)</f>
        <v>57.8903031398496</v>
      </c>
      <c r="AC316" s="1" t="n">
        <f aca="false">IF(AC313&gt;0,100*(AC314+AC315)/AC313,0)</f>
        <v>58.0941699069894</v>
      </c>
      <c r="AD316" s="1" t="n">
        <f aca="false">IF(AD313&gt;0,100*(AD314+AD315)/AD313,0)</f>
        <v>58.3401797711751</v>
      </c>
      <c r="AE316" s="1" t="n">
        <f aca="false">IF(AE313&gt;0,100*(AE314+AE315)/AE313,0)</f>
        <v>58.6255787446494</v>
      </c>
      <c r="AF316" s="1" t="n">
        <f aca="false">IF(AF313&gt;0,100*(AF314+AF315)/AF313,0)</f>
        <v>58.947925836517</v>
      </c>
    </row>
    <row r="317" customFormat="false" ht="14.25" hidden="false" customHeight="true" outlineLevel="0" collapsed="false">
      <c r="B317" s="1" t="s">
        <v>1309</v>
      </c>
      <c r="C317" s="1" t="n">
        <f aca="false">$C$329*C291</f>
        <v>2.03103345814051</v>
      </c>
      <c r="D317" s="1" t="n">
        <f aca="false">$C$329*D291</f>
        <v>3.52541846040657</v>
      </c>
      <c r="E317" s="1" t="n">
        <f aca="false">$C$329*E291</f>
        <v>4.45970394605726</v>
      </c>
      <c r="F317" s="1" t="n">
        <f aca="false">$C$329*F291</f>
        <v>0.257301819142413</v>
      </c>
      <c r="G317" s="1" t="n">
        <f aca="false">$C$329*G291</f>
        <v>6.06839857173038</v>
      </c>
      <c r="H317" s="1" t="n">
        <f aca="false">$C$329*H291</f>
        <v>7.11851852950723</v>
      </c>
      <c r="I317" s="1" t="n">
        <f aca="false">$C$329*I291</f>
        <v>8.1951603755897</v>
      </c>
      <c r="J317" s="1" t="n">
        <f aca="false">$C$329*J291</f>
        <v>9.29894298902425</v>
      </c>
      <c r="K317" s="1" t="n">
        <f aca="false">$C$329*K291</f>
        <v>10.430499201478</v>
      </c>
      <c r="L317" s="1" t="n">
        <f aca="false">$C$329*L291</f>
        <v>11.5864804771797</v>
      </c>
      <c r="M317" s="1" t="n">
        <f aca="false">$C$329*M291</f>
        <v>15.8205313002611</v>
      </c>
      <c r="N317" s="1" t="n">
        <f aca="false">$C$329*N291</f>
        <v>12.5214786647802</v>
      </c>
      <c r="O317" s="1" t="n">
        <f aca="false">$C$329*O291</f>
        <v>10.7907732643499</v>
      </c>
      <c r="P317" s="1" t="n">
        <f aca="false">$C$329*P291</f>
        <v>11.1002446903032</v>
      </c>
      <c r="Q317" s="1" t="n">
        <f aca="false">$C$329*Q291</f>
        <v>11.3560646399802</v>
      </c>
      <c r="R317" s="1" t="n">
        <f aca="false">$C$329*R291</f>
        <v>11.6216347519943</v>
      </c>
      <c r="S317" s="1" t="n">
        <f aca="false">$C$329*S291</f>
        <v>11.8944600118553</v>
      </c>
      <c r="T317" s="1" t="n">
        <f aca="false">$C$329*T291</f>
        <v>12.1748752501628</v>
      </c>
      <c r="U317" s="1" t="n">
        <f aca="false">$C$329*U291</f>
        <v>12.4626668649343</v>
      </c>
      <c r="V317" s="1" t="n">
        <f aca="false">$C$329*V291</f>
        <v>12.7579293436598</v>
      </c>
      <c r="W317" s="1" t="n">
        <f aca="false">$C$329*W291</f>
        <v>13.0647879458241</v>
      </c>
      <c r="X317" s="1" t="n">
        <f aca="false">$C$329*X291</f>
        <v>13.3801043133565</v>
      </c>
      <c r="Y317" s="1" t="n">
        <f aca="false">$C$329*Y291</f>
        <v>13.7039765937439</v>
      </c>
      <c r="Z317" s="1" t="n">
        <f aca="false">$C$329*Z291</f>
        <v>14.0365075169807</v>
      </c>
      <c r="AA317" s="1" t="n">
        <f aca="false">$C$329*AA291</f>
        <v>14.3778031482741</v>
      </c>
      <c r="AB317" s="1" t="n">
        <f aca="false">$C$329*AB291</f>
        <v>14.7278849558574</v>
      </c>
      <c r="AC317" s="1" t="n">
        <f aca="false">$C$329*AC291</f>
        <v>15.086849501281</v>
      </c>
      <c r="AD317" s="1" t="n">
        <f aca="false">$C$329*AD291</f>
        <v>15.4547968503914</v>
      </c>
      <c r="AE317" s="1" t="n">
        <f aca="false">$C$329*AE291</f>
        <v>15.8318305227055</v>
      </c>
      <c r="AF317" s="1" t="n">
        <f aca="false">$C$329*AF291</f>
        <v>16.2180574727338</v>
      </c>
    </row>
    <row r="318" customFormat="false" ht="14.25" hidden="false" customHeight="true" outlineLevel="0" collapsed="false">
      <c r="B318" s="146" t="s">
        <v>1310</v>
      </c>
      <c r="C318" s="1" t="n">
        <f aca="false">$C$329*(C290+(1-$C$279)*C332)</f>
        <v>0</v>
      </c>
      <c r="D318" s="1" t="n">
        <f aca="false">$C$329*(D290+(1-$C$279)*D332)</f>
        <v>0.407831518394614</v>
      </c>
      <c r="E318" s="1" t="n">
        <f aca="false">$C$329*(E290+(1-$C$279)*E332)</f>
        <v>1.03384297635062</v>
      </c>
      <c r="F318" s="1" t="n">
        <f aca="false">$C$329*(F290+(1-$C$279)*F332)</f>
        <v>1.72175585906771</v>
      </c>
      <c r="G318" s="1" t="n">
        <f aca="false">$C$329*(G290+(1-$C$279)*G332)</f>
        <v>1.42769348785071</v>
      </c>
      <c r="H318" s="1" t="n">
        <f aca="false">$C$329*(H290+(1-$C$279)*H332)</f>
        <v>2.35954706869375</v>
      </c>
      <c r="I318" s="1" t="n">
        <f aca="false">$C$329*(I290+(1-$C$279)*I332)</f>
        <v>3.31514853802509</v>
      </c>
      <c r="J318" s="1" t="n">
        <f aca="false">$C$329*(J290+(1-$C$279)*J332)</f>
        <v>4.29505491500807</v>
      </c>
      <c r="K318" s="1" t="n">
        <f aca="false">$C$329*(K290+(1-$C$279)*K332)</f>
        <v>5.29983564027052</v>
      </c>
      <c r="L318" s="1" t="n">
        <f aca="false">$C$329*(L290+(1-$C$279)*L332)</f>
        <v>6.33007288336098</v>
      </c>
      <c r="M318" s="1" t="n">
        <f aca="false">$C$329*(M290+(1-$C$279)*M332)</f>
        <v>7.38555952819978</v>
      </c>
      <c r="N318" s="1" t="n">
        <f aca="false">$C$329*(N290+(1-$C$279)*N332)</f>
        <v>9.0793018600297</v>
      </c>
      <c r="O318" s="1" t="n">
        <f aca="false">$C$329*(O290+(1-$C$279)*O332)</f>
        <v>9.77049096242359</v>
      </c>
      <c r="P318" s="1" t="n">
        <f aca="false">$C$329*(P290+(1-$C$279)*P332)</f>
        <v>9.9753636486504</v>
      </c>
      <c r="Q318" s="1" t="n">
        <f aca="false">$C$329*(Q290+(1-$C$279)*Q332)</f>
        <v>10.2012397618143</v>
      </c>
      <c r="R318" s="1" t="n">
        <f aca="false">$C$329*(R290+(1-$C$279)*R332)</f>
        <v>10.43312859735</v>
      </c>
      <c r="S318" s="1" t="n">
        <f aca="false">$C$329*(S290+(1-$C$279)*S332)</f>
        <v>10.6717806332026</v>
      </c>
      <c r="T318" s="1" t="n">
        <f aca="false">$C$329*(T290+(1-$C$279)*T332)</f>
        <v>10.9172946524361</v>
      </c>
      <c r="U318" s="1" t="n">
        <f aca="false">$C$329*(U290+(1-$C$279)*U332)</f>
        <v>11.1698168364596</v>
      </c>
      <c r="V318" s="1" t="n">
        <f aca="false">$C$329*(V290+(1-$C$279)*V332)</f>
        <v>11.4294211221773</v>
      </c>
      <c r="W318" s="1" t="n">
        <f aca="false">$C$329*(W290+(1-$C$279)*W332)</f>
        <v>11.696185573051</v>
      </c>
      <c r="X318" s="1" t="n">
        <f aca="false">$C$329*(X290+(1-$C$279)*X332)</f>
        <v>11.9710009295038</v>
      </c>
      <c r="Y318" s="1" t="n">
        <f aca="false">$C$329*(Y290+(1-$C$279)*Y332)</f>
        <v>12.2539488889814</v>
      </c>
      <c r="Z318" s="1" t="n">
        <f aca="false">$C$329*(Z290+(1-$C$279)*Z332)</f>
        <v>12.5451144520977</v>
      </c>
      <c r="AA318" s="1" t="n">
        <f aca="false">$C$329*(AA290+(1-$C$279)*AA332)</f>
        <v>12.8445861795262</v>
      </c>
      <c r="AB318" s="1" t="n">
        <f aca="false">$C$329*(AB290+(1-$C$279)*AB332)</f>
        <v>13.1524561468508</v>
      </c>
      <c r="AC318" s="1" t="n">
        <f aca="false">$C$329*(AC290+(1-$C$279)*AC332)</f>
        <v>13.4688022516993</v>
      </c>
      <c r="AD318" s="1" t="n">
        <f aca="false">$C$329*(AD290+(1-$C$279)*AD332)</f>
        <v>13.7937061394153</v>
      </c>
      <c r="AE318" s="1" t="n">
        <f aca="false">$C$329*(AE290+(1-$C$279)*AE332)</f>
        <v>14.1272531541793</v>
      </c>
      <c r="AF318" s="1" t="n">
        <f aca="false">$C$329*(AF290+(1-$C$279)*AF332)</f>
        <v>14.4695322897794</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0.609310037442153</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1.26072888393602</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1.69045302985783</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0.52316094034845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1.84624975343335</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2.74239541602521</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3.17039996562763</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3.60919893426624</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4.05904405934582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4.51899406330172</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5.90480743779631</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5.33849672946016</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4.48937984578299</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4.40915073352595</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4.51684386102439</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4.62209688959632</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4.73050147875603</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4.84190857623437</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4.95628758449656</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5.07364548959136</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5.1952293181132</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5.32051008858937</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5.44920340945881</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5.58134991446861</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5.71699169618031</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5.85614580158463</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5.99884334597004</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6.14512400524554</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6.2950288418508</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6.44860029409071</v>
      </c>
    </row>
    <row r="320" customFormat="false" ht="14.25" hidden="false" customHeight="true" outlineLevel="0" collapsed="false">
      <c r="B320" s="147" t="s">
        <v>1312</v>
      </c>
      <c r="C320" s="1" t="n">
        <f aca="false">01_Supuestos!$C$185*C317</f>
        <v>0.609310037442153</v>
      </c>
      <c r="D320" s="1" t="n">
        <f aca="false">01_Supuestos!$C$185*D317</f>
        <v>1.05762553812197</v>
      </c>
      <c r="E320" s="1" t="n">
        <f aca="false">01_Supuestos!$C$185*E317</f>
        <v>1.33791118381718</v>
      </c>
      <c r="F320" s="1" t="n">
        <f aca="false">01_Supuestos!$C$185*F317</f>
        <v>0.077190545742724</v>
      </c>
      <c r="G320" s="1" t="n">
        <f aca="false">01_Supuestos!$C$185*G317</f>
        <v>1.82051957151911</v>
      </c>
      <c r="H320" s="1" t="n">
        <f aca="false">01_Supuestos!$C$185*H317</f>
        <v>2.13555555885217</v>
      </c>
      <c r="I320" s="1" t="n">
        <f aca="false">01_Supuestos!$C$185*I317</f>
        <v>2.45854811267691</v>
      </c>
      <c r="J320" s="1" t="n">
        <f aca="false">01_Supuestos!$C$185*J317</f>
        <v>2.78968289670727</v>
      </c>
      <c r="K320" s="1" t="n">
        <f aca="false">01_Supuestos!$C$185*K317</f>
        <v>3.1291497604434</v>
      </c>
      <c r="L320" s="1" t="n">
        <f aca="false">01_Supuestos!$C$185*L317</f>
        <v>3.47594414315392</v>
      </c>
      <c r="M320" s="1" t="n">
        <f aca="false">01_Supuestos!$C$185*M317</f>
        <v>4.74615939007833</v>
      </c>
      <c r="N320" s="1" t="n">
        <f aca="false">01_Supuestos!$C$185*N317</f>
        <v>3.75644359943405</v>
      </c>
      <c r="O320" s="1" t="n">
        <f aca="false">01_Supuestos!$C$185*O317</f>
        <v>3.23723197930497</v>
      </c>
      <c r="P320" s="1" t="n">
        <f aca="false">01_Supuestos!$C$185*P317</f>
        <v>3.33007340709096</v>
      </c>
      <c r="Q320" s="1" t="n">
        <f aca="false">01_Supuestos!$C$185*Q317</f>
        <v>3.40681939199407</v>
      </c>
      <c r="R320" s="1" t="n">
        <f aca="false">01_Supuestos!$C$185*R317</f>
        <v>3.48649042559829</v>
      </c>
      <c r="S320" s="1" t="n">
        <f aca="false">01_Supuestos!$C$185*S317</f>
        <v>3.5683380035566</v>
      </c>
      <c r="T320" s="1" t="n">
        <f aca="false">01_Supuestos!$C$185*T317</f>
        <v>3.65246257504884</v>
      </c>
      <c r="U320" s="1" t="n">
        <f aca="false">01_Supuestos!$C$185*U317</f>
        <v>3.73880005948028</v>
      </c>
      <c r="V320" s="1" t="n">
        <f aca="false">01_Supuestos!$C$185*V317</f>
        <v>3.82737880309793</v>
      </c>
      <c r="W320" s="1" t="n">
        <f aca="false">01_Supuestos!$C$185*W317</f>
        <v>3.91943638374723</v>
      </c>
      <c r="X320" s="1" t="n">
        <f aca="false">01_Supuestos!$C$185*X317</f>
        <v>4.01403129400696</v>
      </c>
      <c r="Y320" s="1" t="n">
        <f aca="false">01_Supuestos!$C$185*Y317</f>
        <v>4.11119297812316</v>
      </c>
      <c r="Z320" s="1" t="n">
        <f aca="false">01_Supuestos!$C$185*Z317</f>
        <v>4.21095225509422</v>
      </c>
      <c r="AA320" s="1" t="n">
        <f aca="false">01_Supuestos!$C$185*AA317</f>
        <v>4.31334094448223</v>
      </c>
      <c r="AB320" s="1" t="n">
        <f aca="false">01_Supuestos!$C$185*AB317</f>
        <v>4.41836548675722</v>
      </c>
      <c r="AC320" s="1" t="n">
        <f aca="false">01_Supuestos!$C$185*AC317</f>
        <v>4.52605485038431</v>
      </c>
      <c r="AD320" s="1" t="n">
        <f aca="false">01_Supuestos!$C$185*AD317</f>
        <v>4.63643905511743</v>
      </c>
      <c r="AE320" s="1" t="n">
        <f aca="false">01_Supuestos!$C$185*AE317</f>
        <v>4.74954915681166</v>
      </c>
      <c r="AF320" s="1" t="n">
        <f aca="false">01_Supuestos!$C$185*AF317</f>
        <v>4.86541724182015</v>
      </c>
    </row>
    <row r="321" customFormat="false" ht="14.25" hidden="false" customHeight="true" outlineLevel="0" collapsed="false">
      <c r="B321" s="148" t="s">
        <v>1313</v>
      </c>
      <c r="C321" s="1" t="n">
        <f aca="false">C320-C323</f>
        <v>0.609310037442153</v>
      </c>
      <c r="D321" s="1" t="n">
        <f aca="false">C321+D320-D323</f>
        <v>1.26072888393602</v>
      </c>
      <c r="E321" s="1" t="n">
        <f aca="false">D321+E320-E323</f>
        <v>1.69045302985783</v>
      </c>
      <c r="F321" s="1" t="n">
        <f aca="false">E321+F320-F323</f>
        <v>0.52316094034845</v>
      </c>
      <c r="G321" s="1" t="n">
        <f aca="false">F321+G320-G323</f>
        <v>1.84624975343335</v>
      </c>
      <c r="H321" s="1" t="n">
        <f aca="false">G321+H320-H323</f>
        <v>2.74239541602521</v>
      </c>
      <c r="I321" s="1" t="n">
        <f aca="false">H321+I320-I323</f>
        <v>3.17039996562763</v>
      </c>
      <c r="J321" s="1" t="n">
        <f aca="false">I321+J320-J323</f>
        <v>3.60919893426624</v>
      </c>
      <c r="K321" s="1" t="n">
        <f aca="false">J321+K320-K323</f>
        <v>4.05904405934582</v>
      </c>
      <c r="L321" s="1" t="n">
        <f aca="false">K321+L320-L323</f>
        <v>4.51899406330172</v>
      </c>
      <c r="M321" s="1" t="n">
        <f aca="false">L321+M320-M323</f>
        <v>5.90480743779631</v>
      </c>
      <c r="N321" s="1" t="n">
        <f aca="false">M321+N320-N323</f>
        <v>5.33849672946016</v>
      </c>
      <c r="O321" s="1" t="n">
        <f aca="false">N321+O320-O323</f>
        <v>4.48937984578299</v>
      </c>
      <c r="P321" s="1" t="n">
        <f aca="false">O321+P320-P323</f>
        <v>4.40915073352595</v>
      </c>
      <c r="Q321" s="1" t="n">
        <f aca="false">P321+Q320-Q323</f>
        <v>4.51684386102439</v>
      </c>
      <c r="R321" s="1" t="n">
        <f aca="false">Q321+R320-R323</f>
        <v>4.62209688959632</v>
      </c>
      <c r="S321" s="1" t="n">
        <f aca="false">R321+S320-S323</f>
        <v>4.73050147875603</v>
      </c>
      <c r="T321" s="1" t="n">
        <f aca="false">S321+T320-T323</f>
        <v>4.84190857623437</v>
      </c>
      <c r="U321" s="1" t="n">
        <f aca="false">T321+U320-U323</f>
        <v>4.95628758449656</v>
      </c>
      <c r="V321" s="1" t="n">
        <f aca="false">U321+V320-V323</f>
        <v>5.07364548959136</v>
      </c>
      <c r="W321" s="1" t="n">
        <f aca="false">V321+W320-W323</f>
        <v>5.1952293181132</v>
      </c>
      <c r="X321" s="1" t="n">
        <f aca="false">W321+X320-X323</f>
        <v>5.32051008858937</v>
      </c>
      <c r="Y321" s="1" t="n">
        <f aca="false">X321+Y320-Y323</f>
        <v>5.44920340945881</v>
      </c>
      <c r="Z321" s="1" t="n">
        <f aca="false">Y321+Z320-Z323</f>
        <v>5.58134991446861</v>
      </c>
      <c r="AA321" s="1" t="n">
        <f aca="false">Z321+AA320-AA323</f>
        <v>5.71699169618031</v>
      </c>
      <c r="AB321" s="1" t="n">
        <f aca="false">AA321+AB320-AB323</f>
        <v>5.85614580158463</v>
      </c>
      <c r="AC321" s="1" t="n">
        <f aca="false">AB321+AC320-AC323</f>
        <v>5.99884334597004</v>
      </c>
      <c r="AD321" s="1" t="n">
        <f aca="false">AC321+AD320-AD323</f>
        <v>6.14512400524554</v>
      </c>
      <c r="AE321" s="1" t="n">
        <f aca="false">AD321+AE320-AE323</f>
        <v>6.2950288418508</v>
      </c>
      <c r="AF321" s="1" t="n">
        <f aca="false">AE321+AF320-AF323</f>
        <v>6.44860029409071</v>
      </c>
    </row>
    <row r="322" customFormat="false" ht="14.25" hidden="false" customHeight="true" outlineLevel="0" collapsed="false">
      <c r="B322" s="148" t="s">
        <v>1314</v>
      </c>
      <c r="C322" s="1" t="n">
        <f aca="false">$C$172*C83</f>
        <v>2.6</v>
      </c>
      <c r="D322" s="1" t="n">
        <f aca="false">$C$172*D83</f>
        <v>5.2598</v>
      </c>
      <c r="E322" s="1" t="n">
        <f aca="false">$C$172*E83</f>
        <v>7.9807754</v>
      </c>
      <c r="F322" s="1" t="n">
        <f aca="false">$C$172*F83</f>
        <v>10.7643332342</v>
      </c>
      <c r="G322" s="1" t="n">
        <f aca="false">$C$172*G83</f>
        <v>13.6119128985866</v>
      </c>
      <c r="H322" s="1" t="n">
        <f aca="false">$C$172*H83</f>
        <v>16.5249868952541</v>
      </c>
      <c r="I322" s="1" t="n">
        <f aca="false">$C$172*I83</f>
        <v>19.5050615938449</v>
      </c>
      <c r="J322" s="1" t="n">
        <f aca="false">$C$172*J83</f>
        <v>22.5536780105034</v>
      </c>
      <c r="K322" s="1" t="n">
        <f aca="false">$C$172*K83</f>
        <v>25.6724126047449</v>
      </c>
      <c r="L322" s="1" t="n">
        <f aca="false">$C$172*L83</f>
        <v>28.8628780946541</v>
      </c>
      <c r="M322" s="1" t="n">
        <f aca="false">$C$172*M83</f>
        <v>31.6880012562903</v>
      </c>
      <c r="N322" s="1" t="n">
        <f aca="false">$C$172*N83</f>
        <v>32.416825285185</v>
      </c>
      <c r="O322" s="1" t="n">
        <f aca="false">$C$172*O83</f>
        <v>33.1624122667442</v>
      </c>
      <c r="P322" s="1" t="n">
        <f aca="false">$C$172*P83</f>
        <v>33.9251477488793</v>
      </c>
      <c r="Q322" s="1" t="n">
        <f aca="false">$C$172*Q83</f>
        <v>34.7054261471035</v>
      </c>
      <c r="R322" s="1" t="n">
        <f aca="false">$C$172*R83</f>
        <v>35.5036509484869</v>
      </c>
      <c r="S322" s="1" t="n">
        <f aca="false">$C$172*S83</f>
        <v>36.3202349203021</v>
      </c>
      <c r="T322" s="1" t="n">
        <f aca="false">$C$172*T83</f>
        <v>37.1556003234691</v>
      </c>
      <c r="U322" s="1" t="n">
        <f aca="false">$C$172*U83</f>
        <v>38.0101791309088</v>
      </c>
      <c r="V322" s="1" t="n">
        <f aca="false">$C$172*V83</f>
        <v>38.8844132509198</v>
      </c>
      <c r="W322" s="1" t="n">
        <f aca="false">$C$172*W83</f>
        <v>39.7787547556909</v>
      </c>
      <c r="X322" s="1" t="n">
        <f aca="false">$C$172*X83</f>
        <v>40.6936661150718</v>
      </c>
      <c r="Y322" s="1" t="n">
        <f aca="false">$C$172*Y83</f>
        <v>41.6296204357184</v>
      </c>
      <c r="Z322" s="1" t="n">
        <f aca="false">$C$172*Z83</f>
        <v>42.58710170574</v>
      </c>
      <c r="AA322" s="1" t="n">
        <f aca="false">$C$172*AA83</f>
        <v>43.566605044972</v>
      </c>
      <c r="AB322" s="1" t="n">
        <f aca="false">$C$172*AB83</f>
        <v>44.5686369610063</v>
      </c>
      <c r="AC322" s="1" t="n">
        <f aca="false">$C$172*AC83</f>
        <v>45.5937156111095</v>
      </c>
      <c r="AD322" s="1" t="n">
        <f aca="false">$C$172*AD83</f>
        <v>46.642371070165</v>
      </c>
      <c r="AE322" s="1" t="n">
        <f aca="false">$C$172*AE83</f>
        <v>47.7151456047788</v>
      </c>
      <c r="AF322" s="1" t="n">
        <f aca="false">$C$172*AF83</f>
        <v>48.8125939536887</v>
      </c>
    </row>
    <row r="323" customFormat="false" ht="14.25" hidden="false" customHeight="true" outlineLevel="0" collapsed="false">
      <c r="B323" s="148" t="s">
        <v>1315</v>
      </c>
      <c r="C323" s="1" t="n">
        <f aca="false">MAX(0,MIN(C318,C320,C320-C319))</f>
        <v>0</v>
      </c>
      <c r="D323" s="1" t="n">
        <f aca="false">MAX(0,MIN(D318,C321+D320,C321+D320-D319))</f>
        <v>0.406206691628102</v>
      </c>
      <c r="E323" s="1" t="n">
        <f aca="false">MAX(0,MIN(E318,D321+E320,D321+E320-E319))</f>
        <v>0.908187037895366</v>
      </c>
      <c r="F323" s="1" t="n">
        <f aca="false">MAX(0,MIN(F318,E321+F320,E321+F320-F319))</f>
        <v>1.24448263525211</v>
      </c>
      <c r="G323" s="1" t="n">
        <f aca="false">MAX(0,MIN(G318,F321+G320,F321+G320-G319))</f>
        <v>0.497430758434209</v>
      </c>
      <c r="H323" s="1" t="n">
        <f aca="false">MAX(0,MIN(H318,G321+H320,G321+H320-H319))</f>
        <v>1.23940989626032</v>
      </c>
      <c r="I323" s="1" t="n">
        <f aca="false">MAX(0,MIN(I318,H321+I320,H321+I320-I319))</f>
        <v>2.03054356307448</v>
      </c>
      <c r="J323" s="1" t="n">
        <f aca="false">MAX(0,MIN(J318,I321+J320,I321+J320-J319))</f>
        <v>2.35088392806866</v>
      </c>
      <c r="K323" s="1" t="n">
        <f aca="false">MAX(0,MIN(K318,J321+K320,J321+K320-K319))</f>
        <v>2.67930463536382</v>
      </c>
      <c r="L323" s="1" t="n">
        <f aca="false">MAX(0,MIN(L318,K321+L320,K321+L320-L319))</f>
        <v>3.01599413919802</v>
      </c>
      <c r="M323" s="1" t="n">
        <f aca="false">MAX(0,MIN(M318,L321+M320,L321+M320-M319))</f>
        <v>3.36034601558375</v>
      </c>
      <c r="N323" s="1" t="n">
        <f aca="false">MAX(0,MIN(N318,M321+N320,M321+N320-N319))</f>
        <v>4.3227543077702</v>
      </c>
      <c r="O323" s="1" t="n">
        <f aca="false">MAX(0,MIN(O318,N321+O320,N321+O320-O319))</f>
        <v>4.08634886298215</v>
      </c>
      <c r="P323" s="1" t="n">
        <f aca="false">MAX(0,MIN(P318,O321+P320,O321+P320-P319))</f>
        <v>3.410302519348</v>
      </c>
      <c r="Q323" s="1" t="n">
        <f aca="false">MAX(0,MIN(Q318,P321+Q320,P321+Q320-Q319))</f>
        <v>3.29912626449563</v>
      </c>
      <c r="R323" s="1" t="n">
        <f aca="false">MAX(0,MIN(R318,Q321+R320,Q321+R320-R319))</f>
        <v>3.38123739702637</v>
      </c>
      <c r="S323" s="1" t="n">
        <f aca="false">MAX(0,MIN(S318,R321+S320,R321+S320-S319))</f>
        <v>3.45993341439688</v>
      </c>
      <c r="T323" s="1" t="n">
        <f aca="false">MAX(0,MIN(T318,S321+T320,S321+T320-T319))</f>
        <v>3.5410554775705</v>
      </c>
      <c r="U323" s="1" t="n">
        <f aca="false">MAX(0,MIN(U318,T321+U320,T321+U320-U319))</f>
        <v>3.6244210512181</v>
      </c>
      <c r="V323" s="1" t="n">
        <f aca="false">MAX(0,MIN(V318,U321+V320,U321+V320-V319))</f>
        <v>3.71002089800313</v>
      </c>
      <c r="W323" s="1" t="n">
        <f aca="false">MAX(0,MIN(W318,V321+W320,V321+W320-W319))</f>
        <v>3.79785255522538</v>
      </c>
      <c r="X323" s="1" t="n">
        <f aca="false">MAX(0,MIN(X318,W321+X320,W321+X320-X319))</f>
        <v>3.88875052353079</v>
      </c>
      <c r="Y323" s="1" t="n">
        <f aca="false">MAX(0,MIN(Y318,X321+Y320,X321+Y320-Y319))</f>
        <v>3.98249965725371</v>
      </c>
      <c r="Z323" s="1" t="n">
        <f aca="false">MAX(0,MIN(Z318,Y321+Z320,Y321+Z320-Z319))</f>
        <v>4.07880575008442</v>
      </c>
      <c r="AA323" s="1" t="n">
        <f aca="false">MAX(0,MIN(AA318,Z321+AA320,Z321+AA320-AA319))</f>
        <v>4.17769916277053</v>
      </c>
      <c r="AB323" s="1" t="n">
        <f aca="false">MAX(0,MIN(AB318,AA321+AB320,AA321+AB320-AB319))</f>
        <v>4.2792113813529</v>
      </c>
      <c r="AC323" s="1" t="n">
        <f aca="false">MAX(0,MIN(AC318,AB321+AC320,AB321+AC320-AC319))</f>
        <v>4.38335730599889</v>
      </c>
      <c r="AD323" s="1" t="n">
        <f aca="false">MAX(0,MIN(AD318,AC321+AD320,AC321+AD320-AD319))</f>
        <v>4.49015839584194</v>
      </c>
      <c r="AE323" s="1" t="n">
        <f aca="false">MAX(0,MIN(AE318,AD321+AE320,AD321+AE320-AE319))</f>
        <v>4.59964432020639</v>
      </c>
      <c r="AF323" s="1" t="n">
        <f aca="false">MAX(0,MIN(AF318,AE321+AF320,AE321+AF320-AF319))</f>
        <v>4.71184578958025</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0.609310037442153</v>
      </c>
      <c r="D326" s="1" t="n">
        <f aca="false">IF(01_Supuestos!$C$184="Sí",D321,$C$172*D83)</f>
        <v>1.26072888393602</v>
      </c>
      <c r="E326" s="1" t="n">
        <f aca="false">IF(01_Supuestos!$C$184="Sí",E321,$C$172*E83)</f>
        <v>1.69045302985783</v>
      </c>
      <c r="F326" s="1" t="n">
        <f aca="false">IF(01_Supuestos!$C$184="Sí",F321,$C$172*F83)</f>
        <v>0.52316094034845</v>
      </c>
      <c r="G326" s="1" t="n">
        <f aca="false">IF(01_Supuestos!$C$184="Sí",G321,$C$172*G83)</f>
        <v>1.84624975343335</v>
      </c>
      <c r="H326" s="1" t="n">
        <f aca="false">IF(01_Supuestos!$C$184="Sí",H321,$C$172*H83)</f>
        <v>2.74239541602521</v>
      </c>
      <c r="I326" s="1" t="n">
        <f aca="false">IF(01_Supuestos!$C$184="Sí",I321,$C$172*I83)</f>
        <v>3.17039996562763</v>
      </c>
      <c r="J326" s="1" t="n">
        <f aca="false">IF(01_Supuestos!$C$184="Sí",J321,$C$172*J83)</f>
        <v>3.60919893426624</v>
      </c>
      <c r="K326" s="1" t="n">
        <f aca="false">IF(01_Supuestos!$C$184="Sí",K321,$C$172*K83)</f>
        <v>4.05904405934582</v>
      </c>
      <c r="L326" s="1" t="n">
        <f aca="false">IF(01_Supuestos!$C$184="Sí",L321,$C$172*L83)</f>
        <v>4.51899406330172</v>
      </c>
      <c r="M326" s="1" t="n">
        <f aca="false">IF(01_Supuestos!$C$184="Sí",M321,$C$172*M83)</f>
        <v>5.90480743779631</v>
      </c>
      <c r="N326" s="1" t="n">
        <f aca="false">IF(01_Supuestos!$C$184="Sí",N321,$C$172*N83)</f>
        <v>5.33849672946016</v>
      </c>
      <c r="O326" s="1" t="n">
        <f aca="false">IF(01_Supuestos!$C$184="Sí",O321,$C$172*O83)</f>
        <v>4.48937984578299</v>
      </c>
      <c r="P326" s="1" t="n">
        <f aca="false">IF(01_Supuestos!$C$184="Sí",P321,$C$172*P83)</f>
        <v>4.40915073352595</v>
      </c>
      <c r="Q326" s="1" t="n">
        <f aca="false">IF(01_Supuestos!$C$184="Sí",Q321,$C$172*Q83)</f>
        <v>4.51684386102439</v>
      </c>
      <c r="R326" s="1" t="n">
        <f aca="false">IF(01_Supuestos!$C$184="Sí",R321,$C$172*R83)</f>
        <v>4.62209688959632</v>
      </c>
      <c r="S326" s="1" t="n">
        <f aca="false">IF(01_Supuestos!$C$184="Sí",S321,$C$172*S83)</f>
        <v>4.73050147875603</v>
      </c>
      <c r="T326" s="1" t="n">
        <f aca="false">IF(01_Supuestos!$C$184="Sí",T321,$C$172*T83)</f>
        <v>4.84190857623437</v>
      </c>
      <c r="U326" s="1" t="n">
        <f aca="false">IF(01_Supuestos!$C$184="Sí",U321,$C$172*U83)</f>
        <v>4.95628758449656</v>
      </c>
      <c r="V326" s="1" t="n">
        <f aca="false">IF(01_Supuestos!$C$184="Sí",V321,$C$172*V83)</f>
        <v>5.07364548959136</v>
      </c>
      <c r="W326" s="1" t="n">
        <f aca="false">IF(01_Supuestos!$C$184="Sí",W321,$C$172*W83)</f>
        <v>5.1952293181132</v>
      </c>
      <c r="X326" s="1" t="n">
        <f aca="false">IF(01_Supuestos!$C$184="Sí",X321,$C$172*X83)</f>
        <v>5.32051008858937</v>
      </c>
      <c r="Y326" s="1" t="n">
        <f aca="false">IF(01_Supuestos!$C$184="Sí",Y321,$C$172*Y83)</f>
        <v>5.44920340945881</v>
      </c>
      <c r="Z326" s="1" t="n">
        <f aca="false">IF(01_Supuestos!$C$184="Sí",Z321,$C$172*Z83)</f>
        <v>5.58134991446861</v>
      </c>
      <c r="AA326" s="1" t="n">
        <f aca="false">IF(01_Supuestos!$C$184="Sí",AA321,$C$172*AA83)</f>
        <v>5.71699169618031</v>
      </c>
      <c r="AB326" s="1" t="n">
        <f aca="false">IF(01_Supuestos!$C$184="Sí",AB321,$C$172*AB83)</f>
        <v>5.85614580158463</v>
      </c>
      <c r="AC326" s="1" t="n">
        <f aca="false">IF(01_Supuestos!$C$184="Sí",AC321,$C$172*AC83)</f>
        <v>5.99884334597004</v>
      </c>
      <c r="AD326" s="1" t="n">
        <f aca="false">IF(01_Supuestos!$C$184="Sí",AD321,$C$172*AD83)</f>
        <v>6.14512400524554</v>
      </c>
      <c r="AE326" s="1" t="n">
        <f aca="false">IF(01_Supuestos!$C$184="Sí",AE321,$C$172*AE83)</f>
        <v>6.2950288418508</v>
      </c>
      <c r="AF326" s="1" t="n">
        <f aca="false">IF(01_Supuestos!$C$184="Sí",AF321,$C$172*AF83)</f>
        <v>6.44860029409071</v>
      </c>
    </row>
    <row r="327" customFormat="false" ht="14.25" hidden="false" customHeight="true" outlineLevel="0" collapsed="false">
      <c r="B327" s="1" t="s">
        <v>1319</v>
      </c>
      <c r="C327" s="1" t="n">
        <f aca="false">IF(01_Supuestos!$C$184="Sí",MAX(0.001,$C$328*(1-$C$279)),$C$172)</f>
        <v>0.116</v>
      </c>
      <c r="D327" s="1" t="n">
        <f aca="false">IF(01_Supuestos!$C$184="Sí",MAX(0.001,IF(C299&gt;0,C320/C299,$C$328*(1-$C$279))),$C$172)</f>
        <v>0.0493368451370164</v>
      </c>
      <c r="E327" s="1" t="n">
        <f aca="false">IF(01_Supuestos!$C$184="Sí",MAX(0.001,IF(D299&gt;0,D320/D299,$C$328*(1-$C$279))),$C$172)</f>
        <v>0.0751798872815493</v>
      </c>
      <c r="F327" s="1" t="n">
        <f aca="false">IF(01_Supuestos!$C$184="Sí",MAX(0.001,IF(E299&gt;0,E320/E299,$C$328*(1-$C$279))),$C$172)</f>
        <v>0.0840016615423774</v>
      </c>
      <c r="G327" s="1" t="n">
        <f aca="false">IF(01_Supuestos!$C$184="Sí",MAX(0.001,IF(F299&gt;0,F320/F299,$C$328*(1-$C$279))),$C$172)</f>
        <v>0.00406939330439103</v>
      </c>
      <c r="H327" s="1" t="n">
        <f aca="false">IF(01_Supuestos!$C$184="Sí",MAX(0.001,IF(G299&gt;0,G320/G299,$C$328*(1-$C$279))),$C$172)</f>
        <v>0.0941552928117539</v>
      </c>
      <c r="I327" s="1" t="n">
        <f aca="false">IF(01_Supuestos!$C$184="Sí",MAX(0.001,IF(H299&gt;0,H320/H299,$C$328*(1-$C$279))),$C$172)</f>
        <v>0.0995438744980562</v>
      </c>
      <c r="J327" s="1" t="n">
        <f aca="false">IF(01_Supuestos!$C$184="Sí",MAX(0.001,IF(I299&gt;0,I320/I299,$C$328*(1-$C$279))),$C$172)</f>
        <v>0.104081479300385</v>
      </c>
      <c r="K327" s="1" t="n">
        <f aca="false">IF(01_Supuestos!$C$184="Sí",MAX(0.001,IF(J299&gt;0,J320/J299,$C$328*(1-$C$279))),$C$172)</f>
        <v>0.107958417222357</v>
      </c>
      <c r="L327" s="1" t="n">
        <f aca="false">IF(01_Supuestos!$C$184="Sí",MAX(0.001,IF(K299&gt;0,K320/K299,$C$328*(1-$C$279))),$C$172)</f>
        <v>0.111312131444381</v>
      </c>
      <c r="M327" s="1" t="n">
        <f aca="false">IF(01_Supuestos!$C$184="Sí",MAX(0.001,IF(L299&gt;0,L320/L299,$C$328*(1-$C$279))),$C$172)</f>
        <v>0.114204979146108</v>
      </c>
      <c r="N327" s="1" t="n">
        <f aca="false">IF(01_Supuestos!$C$184="Sí",MAX(0.001,IF(M299&gt;0,M320/M299,$C$328*(1-$C$279))),$C$172)</f>
        <v>0.135882350123559</v>
      </c>
      <c r="O327" s="1" t="n">
        <f aca="false">IF(01_Supuestos!$C$184="Sí",MAX(0.001,IF(N299&gt;0,N320/N299,$C$328*(1-$C$279))),$C$172)</f>
        <v>0.150116817814509</v>
      </c>
      <c r="P327" s="1" t="n">
        <f aca="false">IF(01_Supuestos!$C$184="Sí",MAX(0.001,IF(O299&gt;0,O320/O299,$C$328*(1-$C$279))),$C$172)</f>
        <v>0.136567981374023</v>
      </c>
      <c r="Q327" s="1" t="n">
        <f aca="false">IF(01_Supuestos!$C$184="Sí",MAX(0.001,IF(P299&gt;0,P320/P299,$C$328*(1-$C$279))),$C$172)</f>
        <v>0.137380985637554</v>
      </c>
      <c r="R327" s="1" t="n">
        <f aca="false">IF(01_Supuestos!$C$184="Sí",MAX(0.001,IF(Q299&gt;0,Q320/Q299,$C$328*(1-$C$279))),$C$172)</f>
        <v>0.137396819732524</v>
      </c>
      <c r="S327" s="1" t="n">
        <f aca="false">IF(01_Supuestos!$C$184="Sí",MAX(0.001,IF(R299&gt;0,R320/R299,$C$328*(1-$C$279))),$C$172)</f>
        <v>0.137455869068696</v>
      </c>
      <c r="T327" s="1" t="n">
        <f aca="false">IF(01_Supuestos!$C$184="Sí",MAX(0.001,IF(S299&gt;0,S320/S299,$C$328*(1-$C$279))),$C$172)</f>
        <v>0.137523163630863</v>
      </c>
      <c r="U327" s="1" t="n">
        <f aca="false">IF(01_Supuestos!$C$184="Sí",MAX(0.001,IF(T299&gt;0,T320/T299,$C$328*(1-$C$279))),$C$172)</f>
        <v>0.137600339961031</v>
      </c>
      <c r="V327" s="1" t="n">
        <f aca="false">IF(01_Supuestos!$C$184="Sí",MAX(0.001,IF(U299&gt;0,U320/U299,$C$328*(1-$C$279))),$C$172)</f>
        <v>0.13768265439523</v>
      </c>
      <c r="W327" s="1" t="n">
        <f aca="false">IF(01_Supuestos!$C$184="Sí",MAX(0.001,IF(V299&gt;0,V320/V299,$C$328*(1-$C$279))),$C$172)</f>
        <v>0.137769229839791</v>
      </c>
      <c r="X327" s="1" t="n">
        <f aca="false">IF(01_Supuestos!$C$184="Sí",MAX(0.001,IF(W299&gt;0,W320/W299,$C$328*(1-$C$279))),$C$172)</f>
        <v>0.137901756722384</v>
      </c>
      <c r="Y327" s="1" t="n">
        <f aca="false">IF(01_Supuestos!$C$184="Sí",MAX(0.001,IF(X299&gt;0,X320/X299,$C$328*(1-$C$279))),$C$172)</f>
        <v>0.138041297119881</v>
      </c>
      <c r="Z327" s="1" t="n">
        <f aca="false">IF(01_Supuestos!$C$184="Sí",MAX(0.001,IF(Y299&gt;0,Y320/Y299,$C$328*(1-$C$279))),$C$172)</f>
        <v>0.138186715792163</v>
      </c>
      <c r="AA327" s="1" t="n">
        <f aca="false">IF(01_Supuestos!$C$184="Sí",MAX(0.001,IF(Z299&gt;0,Z320/Z299,$C$328*(1-$C$279))),$C$172)</f>
        <v>0.138336961930194</v>
      </c>
      <c r="AB327" s="1" t="n">
        <f aca="false">IF(01_Supuestos!$C$184="Sí",MAX(0.001,IF(AA299&gt;0,AA320/AA299,$C$328*(1-$C$279))),$C$172)</f>
        <v>0.138491051547933</v>
      </c>
      <c r="AC327" s="1" t="n">
        <f aca="false">IF(01_Supuestos!$C$184="Sí",MAX(0.001,IF(AB299&gt;0,AB320/AB299,$C$328*(1-$C$279))),$C$172)</f>
        <v>0.138647236380296</v>
      </c>
      <c r="AD327" s="1" t="n">
        <f aca="false">IF(01_Supuestos!$C$184="Sí",MAX(0.001,IF(AC299&gt;0,AC320/AC299,$C$328*(1-$C$279))),$C$172)</f>
        <v>0.138804600405941</v>
      </c>
      <c r="AE327" s="1" t="n">
        <f aca="false">IF(01_Supuestos!$C$184="Sí",MAX(0.001,IF(AD299&gt;0,AD320/AD299,$C$328*(1-$C$279))),$C$172)</f>
        <v>0.138962293511511</v>
      </c>
      <c r="AF327" s="1" t="n">
        <f aca="false">IF(01_Supuestos!$C$184="Sí",MAX(0.001,IF(AE299&gt;0,AE320/AE299,$C$328*(1-$C$279))),$C$172)</f>
        <v>0.139119527438453</v>
      </c>
    </row>
    <row r="328" customFormat="false" ht="14.25" hidden="false" customHeight="true" outlineLevel="0" collapsed="false">
      <c r="B328" s="1" t="s">
        <v>1320</v>
      </c>
      <c r="C328" s="1" t="n">
        <f aca="false">01_Supuestos!$C$186</f>
        <v>0.2</v>
      </c>
      <c r="D328" s="1" t="s">
        <v>1321</v>
      </c>
    </row>
    <row r="329" customFormat="false" ht="14.25" hidden="false" customHeight="true" outlineLevel="0" collapsed="false">
      <c r="B329" s="1" t="s">
        <v>1322</v>
      </c>
      <c r="C329" s="1" t="n">
        <f aca="false">IF(01_Supuestos!$C$185&gt;0,MIN(1,$C$328/01_Supuestos!$C$185),0)</f>
        <v>0.666666666666667</v>
      </c>
    </row>
    <row r="330" customFormat="false" ht="14.25" hidden="false" customHeight="true" outlineLevel="0" collapsed="false">
      <c r="B330" s="1" t="s">
        <v>1323</v>
      </c>
      <c r="C330" s="1" t="n">
        <f aca="false">C343</f>
        <v>0</v>
      </c>
      <c r="D330" s="1" t="n">
        <f aca="false">D343</f>
        <v>0.00525267273657028</v>
      </c>
      <c r="E330" s="1" t="n">
        <f aca="false">E343</f>
        <v>0.0133153975866012</v>
      </c>
      <c r="F330" s="1" t="n">
        <f aca="false">F343</f>
        <v>0.0221753828530839</v>
      </c>
      <c r="G330" s="1" t="n">
        <f aca="false">G343</f>
        <v>0.0183880017153461</v>
      </c>
      <c r="H330" s="1" t="n">
        <f aca="false">H343</f>
        <v>0.0303898252081383</v>
      </c>
      <c r="I330" s="1" t="n">
        <f aca="false">I343</f>
        <v>0.042697510020587</v>
      </c>
      <c r="J330" s="1" t="n">
        <f aca="false">J343</f>
        <v>0.0553182302901506</v>
      </c>
      <c r="K330" s="1" t="n">
        <f aca="false">K343</f>
        <v>0.0682593201367442</v>
      </c>
      <c r="L330" s="1" t="n">
        <f aca="false">L343</f>
        <v>0.0815282776226256</v>
      </c>
      <c r="M330" s="1" t="n">
        <f aca="false">M343</f>
        <v>0.0951224351928465</v>
      </c>
      <c r="N330" s="1" t="n">
        <f aca="false">N343</f>
        <v>0.116937017361971</v>
      </c>
      <c r="O330" s="1" t="n">
        <f aca="false">O343</f>
        <v>0.125839198753567</v>
      </c>
      <c r="P330" s="1" t="n">
        <f aca="false">P343</f>
        <v>0.128477859879238</v>
      </c>
      <c r="Q330" s="1" t="n">
        <f aca="false">Q343</f>
        <v>0.131387034986961</v>
      </c>
      <c r="R330" s="1" t="n">
        <f aca="false">R343</f>
        <v>0.134373651051183</v>
      </c>
      <c r="S330" s="1" t="n">
        <f aca="false">S343</f>
        <v>0.137447373864918</v>
      </c>
      <c r="T330" s="1" t="n">
        <f aca="false">T343</f>
        <v>0.140609475706262</v>
      </c>
      <c r="U330" s="1" t="n">
        <f aca="false">U343</f>
        <v>0.143861839321072</v>
      </c>
      <c r="V330" s="1" t="n">
        <f aca="false">V343</f>
        <v>0.147205416980921</v>
      </c>
      <c r="W330" s="1" t="n">
        <f aca="false">W343</f>
        <v>0.150641214105444</v>
      </c>
      <c r="X330" s="1" t="n">
        <f aca="false">X343</f>
        <v>0.154180703000547</v>
      </c>
      <c r="Y330" s="1" t="n">
        <f aca="false">Y343</f>
        <v>0.157824935889821</v>
      </c>
      <c r="Z330" s="1" t="n">
        <f aca="false">Z343</f>
        <v>0.161575007540069</v>
      </c>
      <c r="AA330" s="1" t="n">
        <f aca="false">AA343</f>
        <v>0.165432058569939</v>
      </c>
      <c r="AB330" s="1" t="n">
        <f aca="false">AB343</f>
        <v>0.169397274868425</v>
      </c>
      <c r="AC330" s="1" t="n">
        <f aca="false">AC343</f>
        <v>0.173471659719304</v>
      </c>
      <c r="AD330" s="1" t="n">
        <f aca="false">AD343</f>
        <v>0.177656264675119</v>
      </c>
      <c r="AE330" s="1" t="n">
        <f aca="false">AE343</f>
        <v>0.181952188927643</v>
      </c>
      <c r="AF330" s="1" t="n">
        <f aca="false">AF343</f>
        <v>0.186360578673831</v>
      </c>
    </row>
    <row r="331" customFormat="false" ht="14.25" hidden="false" customHeight="true" outlineLevel="0" collapsed="false">
      <c r="B331" s="1" t="s">
        <v>1324</v>
      </c>
      <c r="C331" s="1" t="n">
        <f aca="false">C330*$C$338</f>
        <v>0</v>
      </c>
      <c r="D331" s="1" t="n">
        <f aca="false">D330*$C$338</f>
        <v>0.00525267273657028</v>
      </c>
      <c r="E331" s="1" t="n">
        <f aca="false">E330*$C$338</f>
        <v>0.0133153975866012</v>
      </c>
      <c r="F331" s="1" t="n">
        <f aca="false">F330*$C$338</f>
        <v>0.0221753828530839</v>
      </c>
      <c r="G331" s="1" t="n">
        <f aca="false">G330*$C$338</f>
        <v>0.0183880017153461</v>
      </c>
      <c r="H331" s="1" t="n">
        <f aca="false">H330*$C$338</f>
        <v>0.0303898252081383</v>
      </c>
      <c r="I331" s="1" t="n">
        <f aca="false">I330*$C$338</f>
        <v>0.042697510020587</v>
      </c>
      <c r="J331" s="1" t="n">
        <f aca="false">J330*$C$338</f>
        <v>0.0553182302901506</v>
      </c>
      <c r="K331" s="1" t="n">
        <f aca="false">K330*$C$338</f>
        <v>0.0682593201367442</v>
      </c>
      <c r="L331" s="1" t="n">
        <f aca="false">L330*$C$338</f>
        <v>0.0815282776226256</v>
      </c>
      <c r="M331" s="1" t="n">
        <f aca="false">M330*$C$338</f>
        <v>0.0951224351928465</v>
      </c>
      <c r="N331" s="1" t="n">
        <f aca="false">N330*$C$338</f>
        <v>0.116937017361971</v>
      </c>
      <c r="O331" s="1" t="n">
        <f aca="false">O330*$C$338</f>
        <v>0.125839198753567</v>
      </c>
      <c r="P331" s="1" t="n">
        <f aca="false">P330*$C$338</f>
        <v>0.128477859879238</v>
      </c>
      <c r="Q331" s="1" t="n">
        <f aca="false">Q330*$C$338</f>
        <v>0.131387034986961</v>
      </c>
      <c r="R331" s="1" t="n">
        <f aca="false">R330*$C$338</f>
        <v>0.134373651051183</v>
      </c>
      <c r="S331" s="1" t="n">
        <f aca="false">S330*$C$338</f>
        <v>0.137447373864918</v>
      </c>
      <c r="T331" s="1" t="n">
        <f aca="false">T330*$C$338</f>
        <v>0.140609475706262</v>
      </c>
      <c r="U331" s="1" t="n">
        <f aca="false">U330*$C$338</f>
        <v>0.143861839321072</v>
      </c>
      <c r="V331" s="1" t="n">
        <f aca="false">V330*$C$338</f>
        <v>0.147205416980921</v>
      </c>
      <c r="W331" s="1" t="n">
        <f aca="false">W330*$C$338</f>
        <v>0.150641214105444</v>
      </c>
      <c r="X331" s="1" t="n">
        <f aca="false">X330*$C$338</f>
        <v>0.154180703000547</v>
      </c>
      <c r="Y331" s="1" t="n">
        <f aca="false">Y330*$C$338</f>
        <v>0.157824935889821</v>
      </c>
      <c r="Z331" s="1" t="n">
        <f aca="false">Z330*$C$338</f>
        <v>0.161575007540069</v>
      </c>
      <c r="AA331" s="1" t="n">
        <f aca="false">AA330*$C$338</f>
        <v>0.165432058569939</v>
      </c>
      <c r="AB331" s="1" t="n">
        <f aca="false">AB330*$C$338</f>
        <v>0.169397274868425</v>
      </c>
      <c r="AC331" s="1" t="n">
        <f aca="false">AC330*$C$338</f>
        <v>0.173471659719304</v>
      </c>
      <c r="AD331" s="1" t="n">
        <f aca="false">AD330*$C$338</f>
        <v>0.177656264675119</v>
      </c>
      <c r="AE331" s="1" t="n">
        <f aca="false">AE330*$C$338</f>
        <v>0.181952188927643</v>
      </c>
      <c r="AF331" s="1" t="n">
        <f aca="false">AF330*$C$338</f>
        <v>0.186360578673831</v>
      </c>
    </row>
    <row r="332" customFormat="false" ht="14.25" hidden="false" customHeight="true" outlineLevel="0" collapsed="false">
      <c r="B332" s="1" t="s">
        <v>1325</v>
      </c>
      <c r="C332" s="1" t="n">
        <f aca="false">IF($C$339&lt;=0,C331,IF($C$339=1,0,0))</f>
        <v>0</v>
      </c>
      <c r="D332" s="1" t="n">
        <f aca="false">IF($C$339&lt;=0,D331,IF($C$339=1,C331,0))</f>
        <v>0.00525267273657028</v>
      </c>
      <c r="E332" s="1" t="n">
        <f aca="false">IF($C$339&lt;=0,E331,IF($C$339=1,D331,C331))</f>
        <v>0.0133153975866012</v>
      </c>
      <c r="F332" s="1" t="n">
        <f aca="false">IF($C$339&lt;=0,F331,IF($C$339=1,E331,D331))</f>
        <v>0.0221753828530839</v>
      </c>
      <c r="G332" s="1" t="n">
        <f aca="false">IF($C$339&lt;=0,G331,IF($C$339=1,F331,E331))</f>
        <v>0.0183880017153461</v>
      </c>
      <c r="H332" s="1" t="n">
        <f aca="false">IF($C$339&lt;=0,H331,IF($C$339=1,G331,F331))</f>
        <v>0.0303898252081383</v>
      </c>
      <c r="I332" s="1" t="n">
        <f aca="false">IF($C$339&lt;=0,I331,IF($C$339=1,H331,G331))</f>
        <v>0.042697510020587</v>
      </c>
      <c r="J332" s="1" t="n">
        <f aca="false">IF($C$339&lt;=0,J331,IF($C$339=1,I331,H331))</f>
        <v>0.0553182302901506</v>
      </c>
      <c r="K332" s="1" t="n">
        <f aca="false">IF($C$339&lt;=0,K331,IF($C$339=1,J331,I331))</f>
        <v>0.0682593201367442</v>
      </c>
      <c r="L332" s="1" t="n">
        <f aca="false">IF($C$339&lt;=0,L331,IF($C$339=1,K331,J331))</f>
        <v>0.0815282776226256</v>
      </c>
      <c r="M332" s="1" t="n">
        <f aca="false">IF($C$339&lt;=0,M331,IF($C$339=1,L331,K331))</f>
        <v>0.0951224351928465</v>
      </c>
      <c r="N332" s="1" t="n">
        <f aca="false">IF($C$339&lt;=0,N331,IF($C$339=1,M331,L331))</f>
        <v>0.116937017361971</v>
      </c>
      <c r="O332" s="1" t="n">
        <f aca="false">IF($C$339&lt;=0,O331,IF($C$339=1,N331,M331))</f>
        <v>0.125839198753567</v>
      </c>
      <c r="P332" s="1" t="n">
        <f aca="false">IF($C$339&lt;=0,P331,IF($C$339=1,O331,N331))</f>
        <v>0.128477859879238</v>
      </c>
      <c r="Q332" s="1" t="n">
        <f aca="false">IF($C$339&lt;=0,Q331,IF($C$339=1,P331,O331))</f>
        <v>0.131387034986961</v>
      </c>
      <c r="R332" s="1" t="n">
        <f aca="false">IF($C$339&lt;=0,R331,IF($C$339=1,Q331,P331))</f>
        <v>0.134373651051183</v>
      </c>
      <c r="S332" s="1" t="n">
        <f aca="false">IF($C$339&lt;=0,S331,IF($C$339=1,R331,Q331))</f>
        <v>0.137447373864918</v>
      </c>
      <c r="T332" s="1" t="n">
        <f aca="false">IF($C$339&lt;=0,T331,IF($C$339=1,S331,R331))</f>
        <v>0.140609475706262</v>
      </c>
      <c r="U332" s="1" t="n">
        <f aca="false">IF($C$339&lt;=0,U331,IF($C$339=1,T331,S331))</f>
        <v>0.143861839321072</v>
      </c>
      <c r="V332" s="1" t="n">
        <f aca="false">IF($C$339&lt;=0,V331,IF($C$339=1,U331,T331))</f>
        <v>0.147205416980921</v>
      </c>
      <c r="W332" s="1" t="n">
        <f aca="false">IF($C$339&lt;=0,W331,IF($C$339=1,V331,U331))</f>
        <v>0.150641214105444</v>
      </c>
      <c r="X332" s="1" t="n">
        <f aca="false">IF($C$339&lt;=0,X331,IF($C$339=1,W331,V331))</f>
        <v>0.154180703000547</v>
      </c>
      <c r="Y332" s="1" t="n">
        <f aca="false">IF($C$339&lt;=0,Y331,IF($C$339=1,X331,W331))</f>
        <v>0.157824935889821</v>
      </c>
      <c r="Z332" s="1" t="n">
        <f aca="false">IF($C$339&lt;=0,Z331,IF($C$339=1,Y331,X331))</f>
        <v>0.161575007540069</v>
      </c>
      <c r="AA332" s="1" t="n">
        <f aca="false">IF($C$339&lt;=0,AA331,IF($C$339=1,Z331,Y331))</f>
        <v>0.165432058569939</v>
      </c>
      <c r="AB332" s="1" t="n">
        <f aca="false">IF($C$339&lt;=0,AB331,IF($C$339=1,AA331,Z331))</f>
        <v>0.169397274868425</v>
      </c>
      <c r="AC332" s="1" t="n">
        <f aca="false">IF($C$339&lt;=0,AC331,IF($C$339=1,AB331,AA331))</f>
        <v>0.173471659719304</v>
      </c>
      <c r="AD332" s="1" t="n">
        <f aca="false">IF($C$339&lt;=0,AD331,IF($C$339=1,AC331,AB331))</f>
        <v>0.177656264675119</v>
      </c>
      <c r="AE332" s="1" t="n">
        <f aca="false">IF($C$339&lt;=0,AE331,IF($C$339=1,AD331,AC331))</f>
        <v>0.181952188927643</v>
      </c>
      <c r="AF332" s="1" t="n">
        <f aca="false">IF($C$339&lt;=0,AF331,IF($C$339=1,AE331,AD331))</f>
        <v>0.186360578673831</v>
      </c>
    </row>
    <row r="333" customFormat="false" ht="14.25" hidden="false" customHeight="true" outlineLevel="0" collapsed="false">
      <c r="B333" s="1" t="s">
        <v>1326</v>
      </c>
      <c r="C333" s="1" t="n">
        <f aca="false">C330-C331</f>
        <v>0</v>
      </c>
      <c r="D333" s="1" t="n">
        <f aca="false">D330-D331</f>
        <v>0</v>
      </c>
      <c r="E333" s="1" t="n">
        <f aca="false">E330-E331</f>
        <v>0</v>
      </c>
      <c r="F333" s="1" t="n">
        <f aca="false">F330-F331</f>
        <v>0</v>
      </c>
      <c r="G333" s="1" t="n">
        <f aca="false">G330-G331</f>
        <v>0</v>
      </c>
      <c r="H333" s="1" t="n">
        <f aca="false">H330-H331</f>
        <v>0</v>
      </c>
      <c r="I333" s="1" t="n">
        <f aca="false">I330-I331</f>
        <v>0</v>
      </c>
      <c r="J333" s="1" t="n">
        <f aca="false">J330-J331</f>
        <v>0</v>
      </c>
      <c r="K333" s="1" t="n">
        <f aca="false">K330-K331</f>
        <v>0</v>
      </c>
      <c r="L333" s="1" t="n">
        <f aca="false">L330-L331</f>
        <v>0</v>
      </c>
      <c r="M333" s="1" t="n">
        <f aca="false">M330-M331</f>
        <v>0</v>
      </c>
      <c r="N333" s="1" t="n">
        <f aca="false">N330-N331</f>
        <v>0</v>
      </c>
      <c r="O333" s="1" t="n">
        <f aca="false">O330-O331</f>
        <v>0</v>
      </c>
      <c r="P333" s="1" t="n">
        <f aca="false">P330-P331</f>
        <v>0</v>
      </c>
      <c r="Q333" s="1" t="n">
        <f aca="false">Q330-Q331</f>
        <v>0</v>
      </c>
      <c r="R333" s="1" t="n">
        <f aca="false">R330-R331</f>
        <v>0</v>
      </c>
      <c r="S333" s="1" t="n">
        <f aca="false">S330-S331</f>
        <v>0</v>
      </c>
      <c r="T333" s="1" t="n">
        <f aca="false">T330-T331</f>
        <v>0</v>
      </c>
      <c r="U333" s="1" t="n">
        <f aca="false">U330-U331</f>
        <v>0</v>
      </c>
      <c r="V333" s="1" t="n">
        <f aca="false">V330-V331</f>
        <v>0</v>
      </c>
      <c r="W333" s="1" t="n">
        <f aca="false">W330-W331</f>
        <v>0</v>
      </c>
      <c r="X333" s="1" t="n">
        <f aca="false">X330-X331</f>
        <v>0</v>
      </c>
      <c r="Y333" s="1" t="n">
        <f aca="false">Y330-Y331</f>
        <v>0</v>
      </c>
      <c r="Z333" s="1" t="n">
        <f aca="false">Z330-Z331</f>
        <v>0</v>
      </c>
      <c r="AA333" s="1" t="n">
        <f aca="false">AA330-AA331</f>
        <v>0</v>
      </c>
      <c r="AB333" s="1" t="n">
        <f aca="false">AB330-AB331</f>
        <v>0</v>
      </c>
      <c r="AC333" s="1" t="n">
        <f aca="false">AC330-AC331</f>
        <v>0</v>
      </c>
      <c r="AD333" s="1" t="n">
        <f aca="false">AD330-AD331</f>
        <v>0</v>
      </c>
      <c r="AE333" s="1" t="n">
        <f aca="false">AE330-AE331</f>
        <v>0</v>
      </c>
      <c r="AF333" s="1" t="n">
        <f aca="false">AF330-AF331</f>
        <v>0</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01_Supuestos!$C$193</f>
        <v>1</v>
      </c>
      <c r="D338" s="1" t="s">
        <v>1331</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f aca="false">01_Supuestos!$C$194</f>
        <v>0.001</v>
      </c>
      <c r="D340" s="1" t="s">
        <v>1334</v>
      </c>
    </row>
    <row r="341" customFormat="false" ht="14.25" hidden="false" customHeight="true" outlineLevel="0" collapsed="false">
      <c r="B341" s="1" t="s">
        <v>1335</v>
      </c>
      <c r="C341" s="1" t="n">
        <f aca="false">0*$C$340</f>
        <v>0</v>
      </c>
      <c r="D341" s="1" t="n">
        <f aca="false">C284*$C$340</f>
        <v>0.00220612254935952</v>
      </c>
      <c r="E341" s="1" t="n">
        <f aca="false">D284*$C$340</f>
        <v>0.00559246698637251</v>
      </c>
      <c r="F341" s="1" t="n">
        <f aca="false">E284*$C$340</f>
        <v>0.00931366079829524</v>
      </c>
      <c r="G341" s="1" t="n">
        <f aca="false">F284*$C$340</f>
        <v>0.00772296072044535</v>
      </c>
      <c r="H341" s="1" t="n">
        <f aca="false">G284*$C$340</f>
        <v>0.0127637265874181</v>
      </c>
      <c r="I341" s="1" t="n">
        <f aca="false">H284*$C$340</f>
        <v>0.0179329542086465</v>
      </c>
      <c r="J341" s="1" t="n">
        <f aca="false">I284*$C$340</f>
        <v>0.0232336567218633</v>
      </c>
      <c r="K341" s="1" t="n">
        <f aca="false">J284*$C$340</f>
        <v>0.0286689144574326</v>
      </c>
      <c r="L341" s="1" t="n">
        <f aca="false">K284*$C$340</f>
        <v>0.0342418766015027</v>
      </c>
      <c r="M341" s="1" t="n">
        <f aca="false">L284*$C$340</f>
        <v>0.0399514227809955</v>
      </c>
      <c r="N341" s="1" t="n">
        <f aca="false">M284*$C$340</f>
        <v>0.0491135472920277</v>
      </c>
      <c r="O341" s="1" t="n">
        <f aca="false">N284*$C$340</f>
        <v>0.052852463476498</v>
      </c>
      <c r="P341" s="1" t="n">
        <f aca="false">O284*$C$340</f>
        <v>0.05396070114928</v>
      </c>
      <c r="Q341" s="1" t="n">
        <f aca="false">P284*$C$340</f>
        <v>0.0551825546945236</v>
      </c>
      <c r="R341" s="1" t="n">
        <f aca="false">Q284*$C$340</f>
        <v>0.0564369334414969</v>
      </c>
      <c r="S341" s="1" t="n">
        <f aca="false">R284*$C$340</f>
        <v>0.0577278970232658</v>
      </c>
      <c r="T341" s="1" t="n">
        <f aca="false">S284*$C$340</f>
        <v>0.05905597979663</v>
      </c>
      <c r="U341" s="1" t="n">
        <f aca="false">T284*$C$340</f>
        <v>0.0604219725148504</v>
      </c>
      <c r="V341" s="1" t="n">
        <f aca="false">U284*$C$340</f>
        <v>0.0618262751319867</v>
      </c>
      <c r="W341" s="1" t="n">
        <f aca="false">V284*$C$340</f>
        <v>0.0632693099242866</v>
      </c>
      <c r="X341" s="1" t="n">
        <f aca="false">W284*$C$340</f>
        <v>0.0647558952602298</v>
      </c>
      <c r="Y341" s="1" t="n">
        <f aca="false">X284*$C$340</f>
        <v>0.066286473073725</v>
      </c>
      <c r="Z341" s="1" t="n">
        <f aca="false">Y284*$C$340</f>
        <v>0.067861503166829</v>
      </c>
      <c r="AA341" s="1" t="n">
        <f aca="false">Z284*$C$340</f>
        <v>0.0694814645993743</v>
      </c>
      <c r="AB341" s="1" t="n">
        <f aca="false">AA284*$C$340</f>
        <v>0.0711468554447384</v>
      </c>
      <c r="AC341" s="1" t="n">
        <f aca="false">AB284*$C$340</f>
        <v>0.0728580970821076</v>
      </c>
      <c r="AD341" s="1" t="n">
        <f aca="false">AC284*$C$340</f>
        <v>0.0746156311635498</v>
      </c>
      <c r="AE341" s="1" t="n">
        <f aca="false">AD284*$C$340</f>
        <v>0.07641991934961</v>
      </c>
      <c r="AF341" s="1" t="n">
        <f aca="false">AE284*$C$340</f>
        <v>0.0782714430430092</v>
      </c>
    </row>
    <row r="342" customFormat="false" ht="14.25" hidden="false" customHeight="true" outlineLevel="0" collapsed="false">
      <c r="B342" s="1" t="s">
        <v>1336</v>
      </c>
      <c r="C342" s="1" t="n">
        <f aca="false">0*$C$340</f>
        <v>0</v>
      </c>
      <c r="D342" s="1" t="n">
        <f aca="false">C289*$C$340</f>
        <v>0.00304655018721076</v>
      </c>
      <c r="E342" s="1" t="n">
        <f aca="false">D289*$C$340</f>
        <v>0.0077229306002287</v>
      </c>
      <c r="F342" s="1" t="n">
        <f aca="false">E289*$C$340</f>
        <v>0.0128617220547887</v>
      </c>
      <c r="G342" s="1" t="n">
        <f aca="false">F289*$C$340</f>
        <v>0.0106650409949007</v>
      </c>
      <c r="H342" s="1" t="n">
        <f aca="false">G289*$C$340</f>
        <v>0.0176260986207202</v>
      </c>
      <c r="I342" s="1" t="n">
        <f aca="false">H289*$C$340</f>
        <v>0.0247645558119404</v>
      </c>
      <c r="J342" s="1" t="n">
        <f aca="false">I289*$C$340</f>
        <v>0.0320845735682874</v>
      </c>
      <c r="K342" s="1" t="n">
        <f aca="false">J289*$C$340</f>
        <v>0.0395904056793116</v>
      </c>
      <c r="L342" s="1" t="n">
        <f aca="false">K289*$C$340</f>
        <v>0.0472864010211228</v>
      </c>
      <c r="M342" s="1" t="n">
        <f aca="false">L289*$C$340</f>
        <v>0.055171012411851</v>
      </c>
      <c r="N342" s="1" t="n">
        <f aca="false">M289*$C$340</f>
        <v>0.067823470069943</v>
      </c>
      <c r="O342" s="1" t="n">
        <f aca="false">N289*$C$340</f>
        <v>0.0729867352770687</v>
      </c>
      <c r="P342" s="1" t="n">
        <f aca="false">O289*$C$340</f>
        <v>0.0745171587299581</v>
      </c>
      <c r="Q342" s="1" t="n">
        <f aca="false">P289*$C$340</f>
        <v>0.0762044802924373</v>
      </c>
      <c r="R342" s="1" t="n">
        <f aca="false">Q289*$C$340</f>
        <v>0.0779367176096863</v>
      </c>
      <c r="S342" s="1" t="n">
        <f aca="false">R289*$C$340</f>
        <v>0.0797194768416527</v>
      </c>
      <c r="T342" s="1" t="n">
        <f aca="false">S289*$C$340</f>
        <v>0.0815534959096319</v>
      </c>
      <c r="U342" s="1" t="n">
        <f aca="false">T289*$C$340</f>
        <v>0.083439866806222</v>
      </c>
      <c r="V342" s="1" t="n">
        <f aca="false">U289*$C$340</f>
        <v>0.085379141848934</v>
      </c>
      <c r="W342" s="1" t="n">
        <f aca="false">V289*$C$340</f>
        <v>0.0873719041811577</v>
      </c>
      <c r="X342" s="1" t="n">
        <f aca="false">W289*$C$340</f>
        <v>0.0894248077403174</v>
      </c>
      <c r="Y342" s="1" t="n">
        <f aca="false">X289*$C$340</f>
        <v>0.0915384628160964</v>
      </c>
      <c r="Z342" s="1" t="n">
        <f aca="false">Y289*$C$340</f>
        <v>0.09371350437324</v>
      </c>
      <c r="AA342" s="1" t="n">
        <f aca="false">Z289*$C$340</f>
        <v>0.0959505939705646</v>
      </c>
      <c r="AB342" s="1" t="n">
        <f aca="false">AA289*$C$340</f>
        <v>0.0982504194236864</v>
      </c>
      <c r="AC342" s="1" t="n">
        <f aca="false">AB289*$C$340</f>
        <v>0.100613562637196</v>
      </c>
      <c r="AD342" s="1" t="n">
        <f aca="false">AC289*$C$340</f>
        <v>0.103040633511569</v>
      </c>
      <c r="AE342" s="1" t="n">
        <f aca="false">AD289*$C$340</f>
        <v>0.105532269578033</v>
      </c>
      <c r="AF342" s="1" t="n">
        <f aca="false">AE289*$C$340</f>
        <v>0.108089135630822</v>
      </c>
    </row>
    <row r="343" customFormat="false" ht="14.25" hidden="false" customHeight="true" outlineLevel="0" collapsed="false">
      <c r="B343" s="1" t="s">
        <v>1337</v>
      </c>
      <c r="C343" s="1" t="n">
        <f aca="false">C341+C342</f>
        <v>0</v>
      </c>
      <c r="D343" s="1" t="n">
        <f aca="false">D341+D342</f>
        <v>0.00525267273657028</v>
      </c>
      <c r="E343" s="1" t="n">
        <f aca="false">E341+E342</f>
        <v>0.0133153975866012</v>
      </c>
      <c r="F343" s="1" t="n">
        <f aca="false">F341+F342</f>
        <v>0.0221753828530839</v>
      </c>
      <c r="G343" s="1" t="n">
        <f aca="false">G341+G342</f>
        <v>0.0183880017153461</v>
      </c>
      <c r="H343" s="1" t="n">
        <f aca="false">H341+H342</f>
        <v>0.0303898252081383</v>
      </c>
      <c r="I343" s="1" t="n">
        <f aca="false">I341+I342</f>
        <v>0.042697510020587</v>
      </c>
      <c r="J343" s="1" t="n">
        <f aca="false">J341+J342</f>
        <v>0.0553182302901506</v>
      </c>
      <c r="K343" s="1" t="n">
        <f aca="false">K341+K342</f>
        <v>0.0682593201367442</v>
      </c>
      <c r="L343" s="1" t="n">
        <f aca="false">L341+L342</f>
        <v>0.0815282776226256</v>
      </c>
      <c r="M343" s="1" t="n">
        <f aca="false">M341+M342</f>
        <v>0.0951224351928465</v>
      </c>
      <c r="N343" s="1" t="n">
        <f aca="false">N341+N342</f>
        <v>0.116937017361971</v>
      </c>
      <c r="O343" s="1" t="n">
        <f aca="false">O341+O342</f>
        <v>0.125839198753567</v>
      </c>
      <c r="P343" s="1" t="n">
        <f aca="false">P341+P342</f>
        <v>0.128477859879238</v>
      </c>
      <c r="Q343" s="1" t="n">
        <f aca="false">Q341+Q342</f>
        <v>0.131387034986961</v>
      </c>
      <c r="R343" s="1" t="n">
        <f aca="false">R341+R342</f>
        <v>0.134373651051183</v>
      </c>
      <c r="S343" s="1" t="n">
        <f aca="false">S341+S342</f>
        <v>0.137447373864918</v>
      </c>
      <c r="T343" s="1" t="n">
        <f aca="false">T341+T342</f>
        <v>0.140609475706262</v>
      </c>
      <c r="U343" s="1" t="n">
        <f aca="false">U341+U342</f>
        <v>0.143861839321072</v>
      </c>
      <c r="V343" s="1" t="n">
        <f aca="false">V341+V342</f>
        <v>0.147205416980921</v>
      </c>
      <c r="W343" s="1" t="n">
        <f aca="false">W341+W342</f>
        <v>0.150641214105444</v>
      </c>
      <c r="X343" s="1" t="n">
        <f aca="false">X341+X342</f>
        <v>0.154180703000547</v>
      </c>
      <c r="Y343" s="1" t="n">
        <f aca="false">Y341+Y342</f>
        <v>0.157824935889821</v>
      </c>
      <c r="Z343" s="1" t="n">
        <f aca="false">Z341+Z342</f>
        <v>0.161575007540069</v>
      </c>
      <c r="AA343" s="1" t="n">
        <f aca="false">AA341+AA342</f>
        <v>0.165432058569939</v>
      </c>
      <c r="AB343" s="1" t="n">
        <f aca="false">AB341+AB342</f>
        <v>0.169397274868425</v>
      </c>
      <c r="AC343" s="1" t="n">
        <f aca="false">AC341+AC342</f>
        <v>0.173471659719304</v>
      </c>
      <c r="AD343" s="1" t="n">
        <f aca="false">AD341+AD342</f>
        <v>0.177656264675119</v>
      </c>
      <c r="AE343" s="1" t="n">
        <f aca="false">AE341+AE342</f>
        <v>0.181952188927643</v>
      </c>
      <c r="AF343" s="1" t="n">
        <f aca="false">AF341+AF342</f>
        <v>0.186360578673831</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1.44600000318982</v>
      </c>
      <c r="G348" s="1" t="n">
        <f aca="false">IF(G$39&lt;4,0,01_Supuestos!$C$202*MAX(0,$C$26-01_Supuestos!$I$64)/1000000000000*G42)</f>
        <v>1.46769000323767</v>
      </c>
      <c r="H348" s="1" t="n">
        <f aca="false">IF(H$39&lt;4,0,01_Supuestos!$C$202*MAX(0,$C$26-01_Supuestos!$I$64)/1000000000000*H42)</f>
        <v>1.48970535328623</v>
      </c>
      <c r="I348" s="1" t="n">
        <f aca="false">IF(I$39&lt;4,0,01_Supuestos!$C$202*MAX(0,$C$26-01_Supuestos!$I$64)/1000000000000*I42)</f>
        <v>1.51205093358552</v>
      </c>
      <c r="J348" s="1" t="n">
        <f aca="false">IF(J$39&lt;4,0,01_Supuestos!$C$202*MAX(0,$C$26-01_Supuestos!$I$64)/1000000000000*J42)</f>
        <v>1.53473169758931</v>
      </c>
      <c r="K348" s="1" t="n">
        <f aca="false">IF(K$39&lt;4,0,01_Supuestos!$C$202*MAX(0,$C$26-01_Supuestos!$I$64)/1000000000000*K42)</f>
        <v>1.55775267305315</v>
      </c>
      <c r="L348" s="1" t="n">
        <f aca="false">IF(L$39&lt;4,0,01_Supuestos!$C$202*MAX(0,$C$26-01_Supuestos!$I$64)/1000000000000*L42)</f>
        <v>1.58111896314894</v>
      </c>
      <c r="M348" s="1" t="n">
        <f aca="false">IF(M$39&lt;4,0,01_Supuestos!$C$202*MAX(0,$C$26-01_Supuestos!$I$64)/1000000000000*M42)</f>
        <v>1.60483574759618</v>
      </c>
      <c r="N348" s="1" t="n">
        <f aca="false">IF(N$39&lt;4,0,01_Supuestos!$C$202*MAX(0,$C$26-01_Supuestos!$I$64)/1000000000000*N42)</f>
        <v>1.62890828381012</v>
      </c>
      <c r="O348" s="1" t="n">
        <f aca="false">IF(O$39&lt;4,0,01_Supuestos!$C$202*MAX(0,$C$26-01_Supuestos!$I$64)/1000000000000*O42)</f>
        <v>1.65334190806727</v>
      </c>
      <c r="P348" s="1" t="n">
        <f aca="false">IF(P$39&lt;4,0,01_Supuestos!$C$202*MAX(0,$C$26-01_Supuestos!$I$64)/1000000000000*P42)</f>
        <v>1.67814203668828</v>
      </c>
      <c r="Q348" s="1" t="n">
        <f aca="false">IF(Q$39&lt;4,0,01_Supuestos!$C$202*MAX(0,$C$26-01_Supuestos!$I$64)/1000000000000*Q42)</f>
        <v>1.7033141672386</v>
      </c>
      <c r="R348" s="1" t="n">
        <f aca="false">IF(R$39&lt;4,0,01_Supuestos!$C$202*MAX(0,$C$26-01_Supuestos!$I$64)/1000000000000*R42)</f>
        <v>1.72886387974718</v>
      </c>
      <c r="S348" s="1" t="n">
        <f aca="false">IF(S$39&lt;4,0,01_Supuestos!$C$202*MAX(0,$C$26-01_Supuestos!$I$64)/1000000000000*S42)</f>
        <v>1.75479683794339</v>
      </c>
      <c r="T348" s="1" t="n">
        <f aca="false">IF(T$39&lt;4,0,01_Supuestos!$C$202*MAX(0,$C$26-01_Supuestos!$I$64)/1000000000000*T42)</f>
        <v>1.78111879051254</v>
      </c>
      <c r="U348" s="1" t="n">
        <f aca="false">IF(U$39&lt;4,0,01_Supuestos!$C$202*MAX(0,$C$26-01_Supuestos!$I$64)/1000000000000*U42)</f>
        <v>1.80783557237023</v>
      </c>
      <c r="V348" s="1" t="n">
        <f aca="false">IF(V$39&lt;4,0,01_Supuestos!$C$202*MAX(0,$C$26-01_Supuestos!$I$64)/1000000000000*V42)</f>
        <v>1.83495310595578</v>
      </c>
      <c r="W348" s="1" t="n">
        <f aca="false">IF(W$39&lt;4,0,01_Supuestos!$C$202*MAX(0,$C$26-01_Supuestos!$I$64)/1000000000000*W42)</f>
        <v>1.86247740254512</v>
      </c>
      <c r="X348" s="1" t="n">
        <f aca="false">IF(X$39&lt;4,0,01_Supuestos!$C$202*MAX(0,$C$26-01_Supuestos!$I$64)/1000000000000*X42)</f>
        <v>1.8904145635833</v>
      </c>
      <c r="Y348" s="1" t="n">
        <f aca="false">IF(Y$39&lt;4,0,01_Supuestos!$C$202*MAX(0,$C$26-01_Supuestos!$I$64)/1000000000000*Y42)</f>
        <v>1.91877078203704</v>
      </c>
      <c r="Z348" s="1" t="n">
        <f aca="false">IF(Z$39&lt;4,0,01_Supuestos!$C$202*MAX(0,$C$26-01_Supuestos!$I$64)/1000000000000*Z42)</f>
        <v>1.9475523437676</v>
      </c>
      <c r="AA348" s="1" t="n">
        <f aca="false">IF(AA$39&lt;4,0,01_Supuestos!$C$202*MAX(0,$C$26-01_Supuestos!$I$64)/1000000000000*AA42)</f>
        <v>1.97676562892411</v>
      </c>
      <c r="AB348" s="1" t="n">
        <f aca="false">IF(AB$39&lt;4,0,01_Supuestos!$C$202*MAX(0,$C$26-01_Supuestos!$I$64)/1000000000000*AB42)</f>
        <v>2.00641711335798</v>
      </c>
      <c r="AC348" s="1" t="n">
        <f aca="false">IF(AC$39&lt;4,0,01_Supuestos!$C$202*MAX(0,$C$26-01_Supuestos!$I$64)/1000000000000*AC42)</f>
        <v>2.03651337005835</v>
      </c>
      <c r="AD348" s="1" t="n">
        <f aca="false">IF(AD$39&lt;4,0,01_Supuestos!$C$202*MAX(0,$C$26-01_Supuestos!$I$64)/1000000000000*AD42)</f>
        <v>2.06706107060922</v>
      </c>
      <c r="AE348" s="1" t="n">
        <f aca="false">IF(AE$39&lt;4,0,01_Supuestos!$C$202*MAX(0,$C$26-01_Supuestos!$I$64)/1000000000000*AE42)</f>
        <v>2.09806698666836</v>
      </c>
      <c r="AF348" s="1" t="n">
        <f aca="false">IF(AF$39&lt;4,0,01_Supuestos!$C$202*MAX(0,$C$26-01_Supuestos!$I$64)/1000000000000*AF42)</f>
        <v>2.12953799146838</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453125" defaultRowHeight="14.25" zeroHeight="false" outlineLevelRow="0" outlineLevelCol="0"/>
  <cols>
    <col collapsed="false" customWidth="true" hidden="false" outlineLevel="0" max="1" min="1" style="1" width="3"/>
    <col collapsed="false" customWidth="true" hidden="false" outlineLevel="0" max="2" min="2" style="1" width="35"/>
    <col collapsed="false" customWidth="true" hidden="false" outlineLevel="0" max="3" min="3" style="1" width="22"/>
    <col collapsed="false" customWidth="true" hidden="false" outlineLevel="0" max="4" min="4" style="1" width="38.11"/>
    <col collapsed="false" customWidth="true" hidden="false" outlineLevel="0" max="5" min="5" style="1" width="35"/>
    <col collapsed="false" customWidth="true" hidden="false" outlineLevel="0" max="6" min="6" style="1" width="40"/>
    <col collapsed="false" customWidth="true" hidden="false" outlineLevel="0" max="7" min="7" style="1" width="38.44"/>
  </cols>
  <sheetData>
    <row r="1" customFormat="false" ht="14.25" hidden="false" customHeight="true" outlineLevel="0" collapsed="false">
      <c r="G1" s="154"/>
    </row>
    <row r="2" customFormat="false" ht="17.25" hidden="false" customHeight="true" outlineLevel="0" collapsed="false">
      <c r="B2" s="18" t="s">
        <v>1402</v>
      </c>
      <c r="G2" s="154"/>
    </row>
    <row r="3" customFormat="false" ht="60" hidden="false" customHeight="true" outlineLevel="0" collapsed="false">
      <c r="B3" s="19" t="s">
        <v>1403</v>
      </c>
      <c r="C3" s="19"/>
      <c r="D3" s="19"/>
      <c r="E3" s="19"/>
      <c r="F3" s="19"/>
      <c r="G3" s="19"/>
    </row>
    <row r="4" customFormat="false" ht="15" hidden="false" customHeight="true" outlineLevel="0" collapsed="false">
      <c r="B4" s="155" t="s">
        <v>1404</v>
      </c>
      <c r="C4" s="155"/>
      <c r="D4" s="155"/>
      <c r="E4" s="155"/>
      <c r="F4" s="155"/>
      <c r="G4" s="155"/>
    </row>
    <row r="5" customFormat="false" ht="30" hidden="false" customHeight="true" outlineLevel="0" collapsed="false">
      <c r="B5" s="156" t="s">
        <v>1405</v>
      </c>
      <c r="C5" s="156" t="s">
        <v>1406</v>
      </c>
      <c r="D5" s="156" t="s">
        <v>1407</v>
      </c>
      <c r="E5" s="156" t="s">
        <v>1408</v>
      </c>
      <c r="F5" s="156" t="s">
        <v>1409</v>
      </c>
      <c r="G5" s="156" t="s">
        <v>126</v>
      </c>
    </row>
    <row r="6" customFormat="false" ht="21.75" hidden="false" customHeight="true" outlineLevel="0" collapsed="false">
      <c r="B6" s="157" t="s">
        <v>1410</v>
      </c>
      <c r="C6" s="157"/>
      <c r="D6" s="157"/>
      <c r="E6" s="157"/>
      <c r="F6" s="157"/>
      <c r="G6" s="157"/>
    </row>
    <row r="7" customFormat="false" ht="73.5" hidden="false" customHeight="true" outlineLevel="0" collapsed="false">
      <c r="B7" s="158" t="s">
        <v>1411</v>
      </c>
      <c r="C7" s="159" t="s">
        <v>1412</v>
      </c>
      <c r="D7" s="159" t="s">
        <v>1413</v>
      </c>
      <c r="E7" s="160" t="s">
        <v>1414</v>
      </c>
      <c r="F7" s="161" t="s">
        <v>1415</v>
      </c>
      <c r="G7" s="162" t="s">
        <v>1416</v>
      </c>
    </row>
    <row r="8" customFormat="false" ht="37.5" hidden="false" customHeight="true" outlineLevel="0" collapsed="false">
      <c r="B8" s="158" t="s">
        <v>1417</v>
      </c>
      <c r="C8" s="159" t="s">
        <v>1418</v>
      </c>
      <c r="D8" s="159" t="s">
        <v>1419</v>
      </c>
      <c r="E8" s="160" t="s">
        <v>1420</v>
      </c>
      <c r="F8" s="161" t="s">
        <v>1421</v>
      </c>
      <c r="G8" s="162" t="s">
        <v>1416</v>
      </c>
    </row>
    <row r="9" customFormat="false" ht="37.5" hidden="false" customHeight="true" outlineLevel="0" collapsed="false">
      <c r="B9" s="158" t="s">
        <v>1422</v>
      </c>
      <c r="C9" s="159" t="s">
        <v>1423</v>
      </c>
      <c r="D9" s="159" t="s">
        <v>1424</v>
      </c>
      <c r="E9" s="160" t="s">
        <v>1425</v>
      </c>
      <c r="F9" s="161" t="s">
        <v>1426</v>
      </c>
      <c r="G9" s="162" t="s">
        <v>1416</v>
      </c>
    </row>
    <row r="10" customFormat="false" ht="37.5" hidden="false" customHeight="true" outlineLevel="0" collapsed="false">
      <c r="B10" s="158" t="s">
        <v>139</v>
      </c>
      <c r="C10" s="159" t="s">
        <v>1427</v>
      </c>
      <c r="D10" s="159" t="s">
        <v>1428</v>
      </c>
      <c r="E10" s="160" t="s">
        <v>1429</v>
      </c>
      <c r="F10" s="161" t="s">
        <v>1430</v>
      </c>
      <c r="G10" s="163" t="s">
        <v>1431</v>
      </c>
    </row>
    <row r="11" customFormat="false" ht="14.25" hidden="false" customHeight="true" outlineLevel="0" collapsed="false">
      <c r="G11" s="154"/>
    </row>
    <row r="12" customFormat="false" ht="21.75" hidden="false" customHeight="true" outlineLevel="0" collapsed="false">
      <c r="B12" s="164" t="s">
        <v>1432</v>
      </c>
      <c r="C12" s="164"/>
      <c r="D12" s="164"/>
      <c r="E12" s="164"/>
      <c r="F12" s="164"/>
      <c r="G12" s="164"/>
    </row>
    <row r="13" customFormat="false" ht="37.5" hidden="false" customHeight="true" outlineLevel="0" collapsed="false">
      <c r="B13" s="158" t="s">
        <v>1433</v>
      </c>
      <c r="C13" s="159" t="s">
        <v>1434</v>
      </c>
      <c r="D13" s="159" t="s">
        <v>1435</v>
      </c>
      <c r="E13" s="160" t="s">
        <v>1436</v>
      </c>
      <c r="F13" s="161" t="s">
        <v>1437</v>
      </c>
      <c r="G13" s="162" t="s">
        <v>1416</v>
      </c>
    </row>
    <row r="14" customFormat="false" ht="37.5" hidden="false" customHeight="true" outlineLevel="0" collapsed="false">
      <c r="B14" s="158" t="s">
        <v>1438</v>
      </c>
      <c r="C14" s="159" t="s">
        <v>1439</v>
      </c>
      <c r="D14" s="159" t="s">
        <v>1435</v>
      </c>
      <c r="E14" s="160" t="s">
        <v>1436</v>
      </c>
      <c r="F14" s="161" t="s">
        <v>1440</v>
      </c>
      <c r="G14" s="162" t="s">
        <v>1416</v>
      </c>
    </row>
    <row r="15" customFormat="false" ht="37.5" hidden="false" customHeight="true" outlineLevel="0" collapsed="false">
      <c r="B15" s="158" t="s">
        <v>162</v>
      </c>
      <c r="C15" s="159" t="s">
        <v>1441</v>
      </c>
      <c r="D15" s="159" t="s">
        <v>1442</v>
      </c>
      <c r="E15" s="160" t="s">
        <v>1443</v>
      </c>
      <c r="F15" s="161" t="s">
        <v>1444</v>
      </c>
      <c r="G15" s="162" t="s">
        <v>1416</v>
      </c>
    </row>
    <row r="16" customFormat="false" ht="37.5" hidden="false" customHeight="true" outlineLevel="0" collapsed="false">
      <c r="B16" s="158" t="s">
        <v>1445</v>
      </c>
      <c r="C16" s="159" t="s">
        <v>1446</v>
      </c>
      <c r="D16" s="159" t="s">
        <v>1447</v>
      </c>
      <c r="E16" s="160" t="s">
        <v>1448</v>
      </c>
      <c r="F16" s="161" t="s">
        <v>1449</v>
      </c>
      <c r="G16" s="163" t="s">
        <v>1450</v>
      </c>
    </row>
    <row r="17" customFormat="false" ht="14.25" hidden="false" customHeight="true" outlineLevel="0" collapsed="false">
      <c r="G17" s="154"/>
    </row>
    <row r="18" customFormat="false" ht="21.75" hidden="false" customHeight="true" outlineLevel="0" collapsed="false">
      <c r="B18" s="165" t="s">
        <v>1451</v>
      </c>
      <c r="C18" s="165"/>
      <c r="D18" s="165"/>
      <c r="E18" s="165"/>
      <c r="F18" s="165"/>
      <c r="G18" s="165"/>
    </row>
    <row r="19" customFormat="false" ht="37.5" hidden="false" customHeight="true" outlineLevel="0" collapsed="false">
      <c r="B19" s="158" t="s">
        <v>1452</v>
      </c>
      <c r="C19" s="159" t="s">
        <v>1453</v>
      </c>
      <c r="D19" s="159" t="s">
        <v>1454</v>
      </c>
      <c r="E19" s="160" t="s">
        <v>1455</v>
      </c>
      <c r="F19" s="161" t="s">
        <v>1456</v>
      </c>
      <c r="G19" s="162" t="s">
        <v>1416</v>
      </c>
    </row>
    <row r="20" customFormat="false" ht="37.5" hidden="false" customHeight="true" outlineLevel="0" collapsed="false">
      <c r="B20" s="158" t="s">
        <v>1457</v>
      </c>
      <c r="C20" s="159" t="s">
        <v>1458</v>
      </c>
      <c r="D20" s="159" t="s">
        <v>1459</v>
      </c>
      <c r="E20" s="160" t="s">
        <v>1460</v>
      </c>
      <c r="F20" s="161" t="s">
        <v>1461</v>
      </c>
      <c r="G20" s="162" t="s">
        <v>1416</v>
      </c>
    </row>
    <row r="21" customFormat="false" ht="37.5" hidden="false" customHeight="true" outlineLevel="0" collapsed="false">
      <c r="B21" s="158" t="s">
        <v>1462</v>
      </c>
      <c r="C21" s="159" t="s">
        <v>1463</v>
      </c>
      <c r="D21" s="159" t="s">
        <v>1464</v>
      </c>
      <c r="E21" s="160" t="s">
        <v>1465</v>
      </c>
      <c r="F21" s="161" t="s">
        <v>1466</v>
      </c>
      <c r="G21" s="162" t="s">
        <v>1416</v>
      </c>
    </row>
    <row r="22" customFormat="false" ht="37.5" hidden="false" customHeight="true" outlineLevel="0" collapsed="false">
      <c r="B22" s="158" t="s">
        <v>1467</v>
      </c>
      <c r="C22" s="159" t="s">
        <v>1468</v>
      </c>
      <c r="D22" s="159" t="s">
        <v>1469</v>
      </c>
      <c r="E22" s="160" t="s">
        <v>1470</v>
      </c>
      <c r="F22" s="161" t="s">
        <v>1471</v>
      </c>
      <c r="G22" s="162" t="s">
        <v>1416</v>
      </c>
    </row>
    <row r="23" customFormat="false" ht="15.75" hidden="false" customHeight="true" outlineLevel="0" collapsed="false">
      <c r="G23" s="154"/>
    </row>
    <row r="24" customFormat="false" ht="21.75" hidden="false" customHeight="true" outlineLevel="0" collapsed="false">
      <c r="B24" s="166" t="s">
        <v>1472</v>
      </c>
      <c r="C24" s="166"/>
      <c r="D24" s="166"/>
      <c r="E24" s="166"/>
      <c r="F24" s="166"/>
      <c r="G24" s="166"/>
    </row>
    <row r="25" customFormat="false" ht="37.5" hidden="false" customHeight="true" outlineLevel="0" collapsed="false">
      <c r="B25" s="158" t="s">
        <v>1473</v>
      </c>
      <c r="C25" s="159" t="s">
        <v>1474</v>
      </c>
      <c r="D25" s="159" t="s">
        <v>1475</v>
      </c>
      <c r="E25" s="160" t="s">
        <v>1476</v>
      </c>
      <c r="F25" s="161" t="s">
        <v>1477</v>
      </c>
      <c r="G25" s="163" t="s">
        <v>1478</v>
      </c>
    </row>
    <row r="26" customFormat="false" ht="37.5" hidden="false" customHeight="true" outlineLevel="0" collapsed="false">
      <c r="B26" s="158" t="s">
        <v>1479</v>
      </c>
      <c r="C26" s="159" t="s">
        <v>1480</v>
      </c>
      <c r="D26" s="159" t="s">
        <v>1481</v>
      </c>
      <c r="E26" s="160" t="s">
        <v>1476</v>
      </c>
      <c r="F26" s="161" t="s">
        <v>1482</v>
      </c>
      <c r="G26" s="163" t="s">
        <v>1478</v>
      </c>
    </row>
    <row r="27" customFormat="false" ht="15.75" hidden="false" customHeight="true" outlineLevel="0" collapsed="false">
      <c r="G27" s="154"/>
    </row>
    <row r="28" customFormat="false" ht="21.75" hidden="false" customHeight="true" outlineLevel="0" collapsed="false">
      <c r="B28" s="167" t="s">
        <v>1483</v>
      </c>
      <c r="C28" s="167"/>
      <c r="D28" s="167"/>
      <c r="E28" s="167"/>
      <c r="F28" s="167"/>
      <c r="G28" s="167"/>
    </row>
    <row r="29" customFormat="false" ht="37.5" hidden="false" customHeight="true" outlineLevel="0" collapsed="false">
      <c r="B29" s="158" t="s">
        <v>1484</v>
      </c>
      <c r="C29" s="159" t="s">
        <v>1485</v>
      </c>
      <c r="D29" s="159" t="s">
        <v>1486</v>
      </c>
      <c r="E29" s="160" t="s">
        <v>1487</v>
      </c>
      <c r="F29" s="161" t="s">
        <v>1488</v>
      </c>
      <c r="G29" s="162" t="s">
        <v>1416</v>
      </c>
    </row>
    <row r="30" customFormat="false" ht="37.5" hidden="false" customHeight="true" outlineLevel="0" collapsed="false">
      <c r="B30" s="158" t="s">
        <v>1489</v>
      </c>
      <c r="C30" s="159" t="s">
        <v>1490</v>
      </c>
      <c r="D30" s="159" t="s">
        <v>1491</v>
      </c>
      <c r="E30" s="160" t="s">
        <v>1492</v>
      </c>
      <c r="F30" s="161" t="s">
        <v>1493</v>
      </c>
      <c r="G30" s="163" t="s">
        <v>1494</v>
      </c>
    </row>
    <row r="31" customFormat="false" ht="37.5" hidden="false" customHeight="true" outlineLevel="0" collapsed="false">
      <c r="B31" s="158" t="s">
        <v>1495</v>
      </c>
      <c r="C31" s="159" t="s">
        <v>1496</v>
      </c>
      <c r="D31" s="159" t="s">
        <v>1497</v>
      </c>
      <c r="E31" s="160" t="s">
        <v>1492</v>
      </c>
      <c r="F31" s="161" t="s">
        <v>1498</v>
      </c>
      <c r="G31" s="168" t="s">
        <v>1416</v>
      </c>
    </row>
    <row r="32" customFormat="false" ht="15.75" hidden="false" customHeight="true" outlineLevel="0" collapsed="false">
      <c r="G32" s="154"/>
    </row>
    <row r="33" customFormat="false" ht="21.75" hidden="false" customHeight="true" outlineLevel="0" collapsed="false">
      <c r="B33" s="169" t="s">
        <v>1499</v>
      </c>
      <c r="C33" s="169"/>
      <c r="D33" s="169"/>
      <c r="E33" s="169"/>
      <c r="F33" s="169"/>
      <c r="G33" s="169"/>
    </row>
    <row r="34" customFormat="false" ht="37.5" hidden="false" customHeight="true" outlineLevel="0" collapsed="false">
      <c r="B34" s="158" t="s">
        <v>1500</v>
      </c>
      <c r="C34" s="159" t="s">
        <v>1501</v>
      </c>
      <c r="D34" s="159" t="s">
        <v>1502</v>
      </c>
      <c r="E34" s="160" t="s">
        <v>1503</v>
      </c>
      <c r="F34" s="161" t="s">
        <v>1504</v>
      </c>
      <c r="G34" s="162" t="s">
        <v>1416</v>
      </c>
    </row>
    <row r="35" customFormat="false" ht="37.5" hidden="false" customHeight="true" outlineLevel="0" collapsed="false">
      <c r="B35" s="158" t="s">
        <v>1505</v>
      </c>
      <c r="C35" s="159" t="s">
        <v>1506</v>
      </c>
      <c r="D35" s="159" t="s">
        <v>1502</v>
      </c>
      <c r="E35" s="160" t="s">
        <v>1503</v>
      </c>
      <c r="F35" s="161" t="s">
        <v>1507</v>
      </c>
      <c r="G35" s="162" t="s">
        <v>1416</v>
      </c>
    </row>
    <row r="36" customFormat="false" ht="15.75" hidden="false" customHeight="true" outlineLevel="0" collapsed="false">
      <c r="G36" s="154"/>
    </row>
    <row r="37" customFormat="false" ht="21.75" hidden="false" customHeight="true" outlineLevel="0" collapsed="false">
      <c r="B37" s="170" t="s">
        <v>1508</v>
      </c>
      <c r="C37" s="170"/>
      <c r="D37" s="170"/>
      <c r="E37" s="170"/>
      <c r="F37" s="170"/>
      <c r="G37" s="170"/>
    </row>
    <row r="38" customFormat="false" ht="37.5" hidden="false" customHeight="true" outlineLevel="0" collapsed="false">
      <c r="B38" s="158" t="s">
        <v>1509</v>
      </c>
      <c r="C38" s="159" t="s">
        <v>1510</v>
      </c>
      <c r="D38" s="159" t="s">
        <v>1511</v>
      </c>
      <c r="E38" s="160" t="s">
        <v>1512</v>
      </c>
      <c r="F38" s="161" t="s">
        <v>1513</v>
      </c>
      <c r="G38" s="168" t="s">
        <v>1416</v>
      </c>
    </row>
    <row r="39" customFormat="false" ht="37.5" hidden="false" customHeight="true" outlineLevel="0" collapsed="false">
      <c r="B39" s="158" t="s">
        <v>1514</v>
      </c>
      <c r="C39" s="159" t="s">
        <v>1515</v>
      </c>
      <c r="D39" s="159" t="s">
        <v>1516</v>
      </c>
      <c r="E39" s="160" t="s">
        <v>1455</v>
      </c>
      <c r="F39" s="161" t="s">
        <v>1517</v>
      </c>
      <c r="G39" s="168" t="s">
        <v>1416</v>
      </c>
    </row>
    <row r="40" customFormat="false" ht="37.5" hidden="false" customHeight="true" outlineLevel="0" collapsed="false">
      <c r="B40" s="158" t="s">
        <v>1518</v>
      </c>
      <c r="C40" s="159" t="s">
        <v>1519</v>
      </c>
      <c r="D40" s="159" t="s">
        <v>1520</v>
      </c>
      <c r="E40" s="160" t="s">
        <v>1521</v>
      </c>
      <c r="F40" s="161" t="s">
        <v>1522</v>
      </c>
      <c r="G40" s="168" t="s">
        <v>1416</v>
      </c>
    </row>
    <row r="41" customFormat="false" ht="15.75" hidden="false" customHeight="true" outlineLevel="0" collapsed="false">
      <c r="G41" s="154"/>
    </row>
    <row r="42" customFormat="false" ht="15.75" hidden="false" customHeight="true" outlineLevel="0" collapsed="false">
      <c r="G42" s="154"/>
    </row>
    <row r="43" customFormat="false" ht="15" hidden="false" customHeight="true" outlineLevel="0" collapsed="false">
      <c r="B43" s="31" t="s">
        <v>1523</v>
      </c>
      <c r="G43" s="154"/>
    </row>
    <row r="44" customFormat="false" ht="60" hidden="false" customHeight="true" outlineLevel="0" collapsed="false">
      <c r="B44" s="19" t="s">
        <v>1524</v>
      </c>
      <c r="C44" s="19"/>
      <c r="D44" s="19"/>
      <c r="E44" s="19"/>
      <c r="F44" s="19"/>
      <c r="G44" s="19"/>
    </row>
    <row r="45" customFormat="false" ht="15.75" hidden="false" customHeight="true" outlineLevel="0" collapsed="false">
      <c r="G45" s="154"/>
    </row>
    <row r="46" customFormat="false" ht="15.75" hidden="false" customHeight="true" outlineLevel="0" collapsed="false">
      <c r="G46" s="154"/>
    </row>
    <row r="47" customFormat="false" ht="15.75" hidden="false" customHeight="true" outlineLevel="0" collapsed="false">
      <c r="G47" s="154"/>
    </row>
    <row r="48" customFormat="false" ht="15.75" hidden="false" customHeight="true" outlineLevel="0" collapsed="false">
      <c r="G48" s="154"/>
    </row>
    <row r="49" customFormat="false" ht="15.75" hidden="false" customHeight="true" outlineLevel="0" collapsed="false">
      <c r="G49" s="154"/>
    </row>
    <row r="50" customFormat="false" ht="15.75" hidden="false" customHeight="true" outlineLevel="0" collapsed="false">
      <c r="G50" s="154"/>
    </row>
    <row r="51" customFormat="false" ht="15.75" hidden="false" customHeight="true" outlineLevel="0" collapsed="false">
      <c r="G51" s="154"/>
    </row>
    <row r="52" customFormat="false" ht="15.75" hidden="false" customHeight="true" outlineLevel="0" collapsed="false">
      <c r="G52" s="154"/>
    </row>
    <row r="53" customFormat="false" ht="15.75" hidden="false" customHeight="true" outlineLevel="0" collapsed="false">
      <c r="G53" s="154"/>
    </row>
    <row r="54" customFormat="false" ht="15.75" hidden="false" customHeight="true" outlineLevel="0" collapsed="false">
      <c r="G54" s="154"/>
    </row>
    <row r="55" customFormat="false" ht="15.75" hidden="false" customHeight="true" outlineLevel="0" collapsed="false">
      <c r="G55" s="154"/>
    </row>
    <row r="56" customFormat="false" ht="15.75" hidden="false" customHeight="true" outlineLevel="0" collapsed="false">
      <c r="G56" s="154"/>
    </row>
    <row r="57" customFormat="false" ht="15.75" hidden="false" customHeight="true" outlineLevel="0" collapsed="false">
      <c r="G57" s="154"/>
    </row>
    <row r="58" customFormat="false" ht="15.75" hidden="false" customHeight="true" outlineLevel="0" collapsed="false">
      <c r="G58" s="154"/>
    </row>
    <row r="59" customFormat="false" ht="15.75" hidden="false" customHeight="true" outlineLevel="0" collapsed="false">
      <c r="G59" s="154"/>
    </row>
    <row r="60" customFormat="false" ht="15.75" hidden="false" customHeight="true" outlineLevel="0" collapsed="false">
      <c r="G60" s="154"/>
    </row>
    <row r="61" customFormat="false" ht="15.75" hidden="false" customHeight="true" outlineLevel="0" collapsed="false">
      <c r="G61" s="154"/>
    </row>
    <row r="62" customFormat="false" ht="15.75" hidden="false" customHeight="true" outlineLevel="0" collapsed="false">
      <c r="G62" s="154"/>
    </row>
    <row r="63" customFormat="false" ht="15.75" hidden="false" customHeight="true" outlineLevel="0" collapsed="false">
      <c r="G63" s="154"/>
    </row>
    <row r="64" customFormat="false" ht="15.75" hidden="false" customHeight="true" outlineLevel="0" collapsed="false">
      <c r="G64" s="154"/>
    </row>
    <row r="65" customFormat="false" ht="15.75" hidden="false" customHeight="true" outlineLevel="0" collapsed="false">
      <c r="G65" s="154"/>
    </row>
    <row r="66" customFormat="false" ht="15.75" hidden="false" customHeight="true" outlineLevel="0" collapsed="false">
      <c r="G66" s="154"/>
    </row>
    <row r="67" customFormat="false" ht="15.75" hidden="false" customHeight="true" outlineLevel="0" collapsed="false">
      <c r="G67" s="154"/>
    </row>
    <row r="68" customFormat="false" ht="15.75" hidden="false" customHeight="true" outlineLevel="0" collapsed="false">
      <c r="G68" s="154"/>
    </row>
    <row r="69" customFormat="false" ht="15.75" hidden="false" customHeight="true" outlineLevel="0" collapsed="false">
      <c r="G69" s="154"/>
    </row>
    <row r="70" customFormat="false" ht="15.75" hidden="false" customHeight="true" outlineLevel="0" collapsed="false">
      <c r="G70" s="154"/>
    </row>
    <row r="71" customFormat="false" ht="15.75" hidden="false" customHeight="true" outlineLevel="0" collapsed="false">
      <c r="G71" s="154"/>
    </row>
    <row r="72" customFormat="false" ht="15.75" hidden="false" customHeight="true" outlineLevel="0" collapsed="false">
      <c r="G72" s="154"/>
    </row>
    <row r="73" customFormat="false" ht="15.75" hidden="false" customHeight="true" outlineLevel="0" collapsed="false">
      <c r="G73" s="154"/>
    </row>
    <row r="74" customFormat="false" ht="15.75" hidden="false" customHeight="true" outlineLevel="0" collapsed="false">
      <c r="G74" s="154"/>
    </row>
    <row r="75" customFormat="false" ht="15.75" hidden="false" customHeight="true" outlineLevel="0" collapsed="false">
      <c r="G75" s="154"/>
    </row>
    <row r="76" customFormat="false" ht="15.75" hidden="false" customHeight="true" outlineLevel="0" collapsed="false">
      <c r="G76" s="154"/>
    </row>
    <row r="77" customFormat="false" ht="15.75" hidden="false" customHeight="true" outlineLevel="0" collapsed="false">
      <c r="G77" s="154"/>
    </row>
    <row r="78" customFormat="false" ht="15.75" hidden="false" customHeight="true" outlineLevel="0" collapsed="false">
      <c r="G78" s="154"/>
    </row>
    <row r="79" customFormat="false" ht="15.75" hidden="false" customHeight="true" outlineLevel="0" collapsed="false">
      <c r="G79" s="154"/>
    </row>
    <row r="80" customFormat="false" ht="15.75" hidden="false" customHeight="true" outlineLevel="0" collapsed="false">
      <c r="G80" s="154"/>
    </row>
    <row r="81" customFormat="false" ht="15.75" hidden="false" customHeight="true" outlineLevel="0" collapsed="false">
      <c r="G81" s="154"/>
    </row>
    <row r="82" customFormat="false" ht="15.75" hidden="false" customHeight="true" outlineLevel="0" collapsed="false">
      <c r="G82" s="154"/>
    </row>
    <row r="83" customFormat="false" ht="15.75" hidden="false" customHeight="true" outlineLevel="0" collapsed="false">
      <c r="G83" s="154"/>
    </row>
    <row r="84" customFormat="false" ht="15.75" hidden="false" customHeight="true" outlineLevel="0" collapsed="false">
      <c r="G84" s="154"/>
    </row>
    <row r="85" customFormat="false" ht="15.75" hidden="false" customHeight="true" outlineLevel="0" collapsed="false">
      <c r="G85" s="154"/>
    </row>
    <row r="86" customFormat="false" ht="15.75" hidden="false" customHeight="true" outlineLevel="0" collapsed="false">
      <c r="G86" s="154"/>
    </row>
    <row r="87" customFormat="false" ht="15.75" hidden="false" customHeight="true" outlineLevel="0" collapsed="false">
      <c r="G87" s="154"/>
    </row>
    <row r="88" customFormat="false" ht="15.75" hidden="false" customHeight="true" outlineLevel="0" collapsed="false">
      <c r="G88" s="154"/>
    </row>
    <row r="89" customFormat="false" ht="15.75" hidden="false" customHeight="true" outlineLevel="0" collapsed="false">
      <c r="G89" s="154"/>
    </row>
    <row r="90" customFormat="false" ht="15.75" hidden="false" customHeight="true" outlineLevel="0" collapsed="false">
      <c r="G90" s="154"/>
    </row>
    <row r="91" customFormat="false" ht="15.75" hidden="false" customHeight="true" outlineLevel="0" collapsed="false">
      <c r="G91" s="154"/>
    </row>
    <row r="92" customFormat="false" ht="15.75" hidden="false" customHeight="true" outlineLevel="0" collapsed="false">
      <c r="G92" s="154"/>
    </row>
    <row r="93" customFormat="false" ht="15.75" hidden="false" customHeight="true" outlineLevel="0" collapsed="false">
      <c r="G93" s="154"/>
    </row>
    <row r="94" customFormat="false" ht="15.75" hidden="false" customHeight="true" outlineLevel="0" collapsed="false">
      <c r="G94" s="154"/>
    </row>
    <row r="95" customFormat="false" ht="15.75" hidden="false" customHeight="true" outlineLevel="0" collapsed="false">
      <c r="G95" s="154"/>
    </row>
    <row r="96" customFormat="false" ht="15.75" hidden="false" customHeight="true" outlineLevel="0" collapsed="false">
      <c r="G96" s="154"/>
    </row>
    <row r="97" customFormat="false" ht="15.75" hidden="false" customHeight="true" outlineLevel="0" collapsed="false">
      <c r="G97" s="154"/>
    </row>
    <row r="98" customFormat="false" ht="15.75" hidden="false" customHeight="true" outlineLevel="0" collapsed="false">
      <c r="G98" s="154"/>
    </row>
    <row r="99" customFormat="false" ht="15.75" hidden="false" customHeight="true" outlineLevel="0" collapsed="false">
      <c r="G99" s="154"/>
    </row>
    <row r="100" customFormat="false" ht="15.75" hidden="false" customHeight="true" outlineLevel="0" collapsed="false">
      <c r="G100" s="154"/>
    </row>
    <row r="101" customFormat="false" ht="15.75" hidden="false" customHeight="true" outlineLevel="0" collapsed="false">
      <c r="G101" s="154"/>
    </row>
    <row r="102" customFormat="false" ht="15.75" hidden="false" customHeight="true" outlineLevel="0" collapsed="false">
      <c r="G102" s="154"/>
    </row>
    <row r="103" customFormat="false" ht="15.75" hidden="false" customHeight="true" outlineLevel="0" collapsed="false">
      <c r="G103" s="154"/>
    </row>
    <row r="104" customFormat="false" ht="15.75" hidden="false" customHeight="true" outlineLevel="0" collapsed="false">
      <c r="G104" s="154"/>
    </row>
    <row r="105" customFormat="false" ht="15.75" hidden="false" customHeight="true" outlineLevel="0" collapsed="false">
      <c r="G105" s="154"/>
    </row>
    <row r="106" customFormat="false" ht="15.75" hidden="false" customHeight="true" outlineLevel="0" collapsed="false">
      <c r="G106" s="154"/>
    </row>
    <row r="107" customFormat="false" ht="15.75" hidden="false" customHeight="true" outlineLevel="0" collapsed="false">
      <c r="G107" s="154"/>
    </row>
    <row r="108" customFormat="false" ht="15.75" hidden="false" customHeight="true" outlineLevel="0" collapsed="false">
      <c r="G108" s="154"/>
    </row>
    <row r="109" customFormat="false" ht="15.75" hidden="false" customHeight="true" outlineLevel="0" collapsed="false">
      <c r="G109" s="154"/>
    </row>
    <row r="110" customFormat="false" ht="15.75" hidden="false" customHeight="true" outlineLevel="0" collapsed="false">
      <c r="G110" s="154"/>
    </row>
    <row r="111" customFormat="false" ht="15.75" hidden="false" customHeight="true" outlineLevel="0" collapsed="false">
      <c r="G111" s="154"/>
    </row>
    <row r="112" customFormat="false" ht="15.75" hidden="false" customHeight="true" outlineLevel="0" collapsed="false">
      <c r="G112" s="154"/>
    </row>
    <row r="113" customFormat="false" ht="15.75" hidden="false" customHeight="true" outlineLevel="0" collapsed="false">
      <c r="G113" s="154"/>
    </row>
    <row r="114" customFormat="false" ht="15.75" hidden="false" customHeight="true" outlineLevel="0" collapsed="false">
      <c r="G114" s="154"/>
    </row>
    <row r="115" customFormat="false" ht="15.75" hidden="false" customHeight="true" outlineLevel="0" collapsed="false">
      <c r="G115" s="154"/>
    </row>
    <row r="116" customFormat="false" ht="15.75" hidden="false" customHeight="true" outlineLevel="0" collapsed="false">
      <c r="G116" s="154"/>
    </row>
    <row r="117" customFormat="false" ht="15.75" hidden="false" customHeight="true" outlineLevel="0" collapsed="false">
      <c r="G117" s="154"/>
    </row>
    <row r="118" customFormat="false" ht="15.75" hidden="false" customHeight="true" outlineLevel="0" collapsed="false">
      <c r="G118" s="154"/>
    </row>
    <row r="119" customFormat="false" ht="15.75" hidden="false" customHeight="true" outlineLevel="0" collapsed="false">
      <c r="G119" s="154"/>
    </row>
    <row r="120" customFormat="false" ht="15.75" hidden="false" customHeight="true" outlineLevel="0" collapsed="false">
      <c r="G120" s="154"/>
    </row>
    <row r="121" customFormat="false" ht="15.75" hidden="false" customHeight="true" outlineLevel="0" collapsed="false">
      <c r="G121" s="154"/>
    </row>
    <row r="122" customFormat="false" ht="15.75" hidden="false" customHeight="true" outlineLevel="0" collapsed="false">
      <c r="G122" s="154"/>
    </row>
    <row r="123" customFormat="false" ht="15.75" hidden="false" customHeight="true" outlineLevel="0" collapsed="false">
      <c r="G123" s="154"/>
    </row>
    <row r="124" customFormat="false" ht="15.75" hidden="false" customHeight="true" outlineLevel="0" collapsed="false">
      <c r="G124" s="154"/>
    </row>
    <row r="125" customFormat="false" ht="15.75" hidden="false" customHeight="true" outlineLevel="0" collapsed="false">
      <c r="G125" s="154"/>
    </row>
    <row r="126" customFormat="false" ht="15.75" hidden="false" customHeight="true" outlineLevel="0" collapsed="false">
      <c r="G126" s="154"/>
    </row>
    <row r="127" customFormat="false" ht="15.75" hidden="false" customHeight="true" outlineLevel="0" collapsed="false">
      <c r="G127" s="154"/>
    </row>
    <row r="128" customFormat="false" ht="15.75" hidden="false" customHeight="true" outlineLevel="0" collapsed="false">
      <c r="G128" s="154"/>
    </row>
    <row r="129" customFormat="false" ht="15.75" hidden="false" customHeight="true" outlineLevel="0" collapsed="false">
      <c r="G129" s="154"/>
    </row>
    <row r="130" customFormat="false" ht="15.75" hidden="false" customHeight="true" outlineLevel="0" collapsed="false">
      <c r="G130" s="154"/>
    </row>
    <row r="131" customFormat="false" ht="15.75" hidden="false" customHeight="true" outlineLevel="0" collapsed="false">
      <c r="G131" s="154"/>
    </row>
    <row r="132" customFormat="false" ht="15.75" hidden="false" customHeight="true" outlineLevel="0" collapsed="false">
      <c r="G132" s="154"/>
    </row>
    <row r="133" customFormat="false" ht="15.75" hidden="false" customHeight="true" outlineLevel="0" collapsed="false">
      <c r="G133" s="154"/>
    </row>
    <row r="134" customFormat="false" ht="15.75" hidden="false" customHeight="true" outlineLevel="0" collapsed="false">
      <c r="G134" s="154"/>
    </row>
    <row r="135" customFormat="false" ht="15.75" hidden="false" customHeight="true" outlineLevel="0" collapsed="false">
      <c r="G135" s="154"/>
    </row>
    <row r="136" customFormat="false" ht="15.75" hidden="false" customHeight="true" outlineLevel="0" collapsed="false">
      <c r="G136" s="154"/>
    </row>
    <row r="137" customFormat="false" ht="15.75" hidden="false" customHeight="true" outlineLevel="0" collapsed="false">
      <c r="G137" s="154"/>
    </row>
    <row r="138" customFormat="false" ht="15.75" hidden="false" customHeight="true" outlineLevel="0" collapsed="false">
      <c r="G138" s="154"/>
    </row>
    <row r="139" customFormat="false" ht="15.75" hidden="false" customHeight="true" outlineLevel="0" collapsed="false">
      <c r="G139" s="154"/>
    </row>
    <row r="140" customFormat="false" ht="15.75" hidden="false" customHeight="true" outlineLevel="0" collapsed="false">
      <c r="G140" s="154"/>
    </row>
    <row r="141" customFormat="false" ht="15.75" hidden="false" customHeight="true" outlineLevel="0" collapsed="false">
      <c r="G141" s="154"/>
    </row>
    <row r="142" customFormat="false" ht="15.75" hidden="false" customHeight="true" outlineLevel="0" collapsed="false">
      <c r="G142" s="154"/>
    </row>
    <row r="143" customFormat="false" ht="15.75" hidden="false" customHeight="true" outlineLevel="0" collapsed="false">
      <c r="G143" s="154"/>
    </row>
    <row r="144" customFormat="false" ht="15.75" hidden="false" customHeight="true" outlineLevel="0" collapsed="false">
      <c r="G144" s="154"/>
    </row>
    <row r="145" customFormat="false" ht="15.75" hidden="false" customHeight="true" outlineLevel="0" collapsed="false">
      <c r="G145" s="154"/>
    </row>
    <row r="146" customFormat="false" ht="15.75" hidden="false" customHeight="true" outlineLevel="0" collapsed="false">
      <c r="G146" s="154"/>
    </row>
    <row r="147" customFormat="false" ht="15.75" hidden="false" customHeight="true" outlineLevel="0" collapsed="false">
      <c r="G147" s="154"/>
    </row>
    <row r="148" customFormat="false" ht="15.75" hidden="false" customHeight="true" outlineLevel="0" collapsed="false">
      <c r="G148" s="154"/>
    </row>
    <row r="149" customFormat="false" ht="15.75" hidden="false" customHeight="true" outlineLevel="0" collapsed="false">
      <c r="G149" s="154"/>
    </row>
    <row r="150" customFormat="false" ht="15.75" hidden="false" customHeight="true" outlineLevel="0" collapsed="false">
      <c r="G150" s="154"/>
    </row>
    <row r="151" customFormat="false" ht="15.75" hidden="false" customHeight="true" outlineLevel="0" collapsed="false">
      <c r="G151" s="154"/>
    </row>
    <row r="152" customFormat="false" ht="15.75" hidden="false" customHeight="true" outlineLevel="0" collapsed="false">
      <c r="G152" s="154"/>
    </row>
    <row r="153" customFormat="false" ht="15.75" hidden="false" customHeight="true" outlineLevel="0" collapsed="false">
      <c r="G153" s="154"/>
    </row>
    <row r="154" customFormat="false" ht="15.75" hidden="false" customHeight="true" outlineLevel="0" collapsed="false">
      <c r="G154" s="154"/>
    </row>
    <row r="155" customFormat="false" ht="15.75" hidden="false" customHeight="true" outlineLevel="0" collapsed="false">
      <c r="G155" s="154"/>
    </row>
    <row r="156" customFormat="false" ht="15.75" hidden="false" customHeight="true" outlineLevel="0" collapsed="false">
      <c r="G156" s="154"/>
    </row>
    <row r="157" customFormat="false" ht="15.75" hidden="false" customHeight="true" outlineLevel="0" collapsed="false">
      <c r="G157" s="154"/>
    </row>
    <row r="158" customFormat="false" ht="15.75" hidden="false" customHeight="true" outlineLevel="0" collapsed="false">
      <c r="G158" s="154"/>
    </row>
    <row r="159" customFormat="false" ht="15.75" hidden="false" customHeight="true" outlineLevel="0" collapsed="false">
      <c r="G159" s="154"/>
    </row>
    <row r="160" customFormat="false" ht="15.75" hidden="false" customHeight="true" outlineLevel="0" collapsed="false">
      <c r="G160" s="154"/>
    </row>
    <row r="161" customFormat="false" ht="15.75" hidden="false" customHeight="true" outlineLevel="0" collapsed="false">
      <c r="G161" s="154"/>
    </row>
    <row r="162" customFormat="false" ht="15.75" hidden="false" customHeight="true" outlineLevel="0" collapsed="false">
      <c r="G162" s="154"/>
    </row>
    <row r="163" customFormat="false" ht="15.75" hidden="false" customHeight="true" outlineLevel="0" collapsed="false">
      <c r="G163" s="154"/>
    </row>
    <row r="164" customFormat="false" ht="15.75" hidden="false" customHeight="true" outlineLevel="0" collapsed="false">
      <c r="G164" s="154"/>
    </row>
    <row r="165" customFormat="false" ht="15.75" hidden="false" customHeight="true" outlineLevel="0" collapsed="false">
      <c r="G165" s="154"/>
    </row>
    <row r="166" customFormat="false" ht="15.75" hidden="false" customHeight="true" outlineLevel="0" collapsed="false">
      <c r="G166" s="154"/>
    </row>
    <row r="167" customFormat="false" ht="15.75" hidden="false" customHeight="true" outlineLevel="0" collapsed="false">
      <c r="G167" s="154"/>
    </row>
    <row r="168" customFormat="false" ht="15.75" hidden="false" customHeight="true" outlineLevel="0" collapsed="false">
      <c r="G168" s="154"/>
    </row>
    <row r="169" customFormat="false" ht="15.75" hidden="false" customHeight="true" outlineLevel="0" collapsed="false">
      <c r="G169" s="154"/>
    </row>
    <row r="170" customFormat="false" ht="15.75" hidden="false" customHeight="true" outlineLevel="0" collapsed="false">
      <c r="G170" s="154"/>
    </row>
    <row r="171" customFormat="false" ht="15.75" hidden="false" customHeight="true" outlineLevel="0" collapsed="false">
      <c r="G171" s="154"/>
    </row>
    <row r="172" customFormat="false" ht="15.75" hidden="false" customHeight="true" outlineLevel="0" collapsed="false">
      <c r="G172" s="154"/>
    </row>
    <row r="173" customFormat="false" ht="15.75" hidden="false" customHeight="true" outlineLevel="0" collapsed="false">
      <c r="G173" s="154"/>
    </row>
    <row r="174" customFormat="false" ht="15.75" hidden="false" customHeight="true" outlineLevel="0" collapsed="false">
      <c r="G174" s="154"/>
    </row>
    <row r="175" customFormat="false" ht="15.75" hidden="false" customHeight="true" outlineLevel="0" collapsed="false">
      <c r="G175" s="154"/>
    </row>
    <row r="176" customFormat="false" ht="15.75" hidden="false" customHeight="true" outlineLevel="0" collapsed="false">
      <c r="G176" s="154"/>
    </row>
    <row r="177" customFormat="false" ht="15.75" hidden="false" customHeight="true" outlineLevel="0" collapsed="false">
      <c r="G177" s="154"/>
    </row>
    <row r="178" customFormat="false" ht="15.75" hidden="false" customHeight="true" outlineLevel="0" collapsed="false">
      <c r="G178" s="154"/>
    </row>
    <row r="179" customFormat="false" ht="15.75" hidden="false" customHeight="true" outlineLevel="0" collapsed="false">
      <c r="G179" s="154"/>
    </row>
    <row r="180" customFormat="false" ht="15.75" hidden="false" customHeight="true" outlineLevel="0" collapsed="false">
      <c r="G180" s="154"/>
    </row>
    <row r="181" customFormat="false" ht="15.75" hidden="false" customHeight="true" outlineLevel="0" collapsed="false">
      <c r="G181" s="154"/>
    </row>
    <row r="182" customFormat="false" ht="15.75" hidden="false" customHeight="true" outlineLevel="0" collapsed="false">
      <c r="G182" s="154"/>
    </row>
    <row r="183" customFormat="false" ht="15.75" hidden="false" customHeight="true" outlineLevel="0" collapsed="false">
      <c r="G183" s="154"/>
    </row>
    <row r="184" customFormat="false" ht="15.75" hidden="false" customHeight="true" outlineLevel="0" collapsed="false">
      <c r="G184" s="154"/>
    </row>
    <row r="185" customFormat="false" ht="15.75" hidden="false" customHeight="true" outlineLevel="0" collapsed="false">
      <c r="G185" s="154"/>
    </row>
    <row r="186" customFormat="false" ht="15.75" hidden="false" customHeight="true" outlineLevel="0" collapsed="false">
      <c r="G186" s="154"/>
    </row>
    <row r="187" customFormat="false" ht="15.75" hidden="false" customHeight="true" outlineLevel="0" collapsed="false">
      <c r="G187" s="154"/>
    </row>
    <row r="188" customFormat="false" ht="15.75" hidden="false" customHeight="true" outlineLevel="0" collapsed="false">
      <c r="G188" s="154"/>
    </row>
    <row r="189" customFormat="false" ht="15.75" hidden="false" customHeight="true" outlineLevel="0" collapsed="false">
      <c r="G189" s="154"/>
    </row>
    <row r="190" customFormat="false" ht="15.75" hidden="false" customHeight="true" outlineLevel="0" collapsed="false">
      <c r="G190" s="154"/>
    </row>
    <row r="191" customFormat="false" ht="15.75" hidden="false" customHeight="true" outlineLevel="0" collapsed="false">
      <c r="G191" s="154"/>
    </row>
    <row r="192" customFormat="false" ht="15.75" hidden="false" customHeight="true" outlineLevel="0" collapsed="false">
      <c r="G192" s="154"/>
    </row>
    <row r="193" customFormat="false" ht="15.75" hidden="false" customHeight="true" outlineLevel="0" collapsed="false">
      <c r="G193" s="154"/>
    </row>
    <row r="194" customFormat="false" ht="15.75" hidden="false" customHeight="true" outlineLevel="0" collapsed="false">
      <c r="G194" s="154"/>
    </row>
    <row r="195" customFormat="false" ht="15.75" hidden="false" customHeight="true" outlineLevel="0" collapsed="false">
      <c r="G195" s="154"/>
    </row>
    <row r="196" customFormat="false" ht="15.75" hidden="false" customHeight="true" outlineLevel="0" collapsed="false">
      <c r="G196" s="154"/>
    </row>
    <row r="197" customFormat="false" ht="15.75" hidden="false" customHeight="true" outlineLevel="0" collapsed="false">
      <c r="G197" s="154"/>
    </row>
    <row r="198" customFormat="false" ht="15.75" hidden="false" customHeight="true" outlineLevel="0" collapsed="false">
      <c r="G198" s="154"/>
    </row>
    <row r="199" customFormat="false" ht="15.75" hidden="false" customHeight="true" outlineLevel="0" collapsed="false">
      <c r="G199" s="154"/>
    </row>
    <row r="200" customFormat="false" ht="15.75" hidden="false" customHeight="true" outlineLevel="0" collapsed="false">
      <c r="G200" s="154"/>
    </row>
    <row r="201" customFormat="false" ht="15.75" hidden="false" customHeight="true" outlineLevel="0" collapsed="false">
      <c r="G201" s="154"/>
    </row>
    <row r="202" customFormat="false" ht="15.75" hidden="false" customHeight="true" outlineLevel="0" collapsed="false">
      <c r="G202" s="154"/>
    </row>
    <row r="203" customFormat="false" ht="15.75" hidden="false" customHeight="true" outlineLevel="0" collapsed="false">
      <c r="G203" s="154"/>
    </row>
    <row r="204" customFormat="false" ht="15.75" hidden="false" customHeight="true" outlineLevel="0" collapsed="false">
      <c r="G204" s="154"/>
    </row>
    <row r="205" customFormat="false" ht="15.75" hidden="false" customHeight="true" outlineLevel="0" collapsed="false">
      <c r="G205" s="154"/>
    </row>
    <row r="206" customFormat="false" ht="15.75" hidden="false" customHeight="true" outlineLevel="0" collapsed="false">
      <c r="G206" s="154"/>
    </row>
    <row r="207" customFormat="false" ht="15.75" hidden="false" customHeight="true" outlineLevel="0" collapsed="false">
      <c r="G207" s="154"/>
    </row>
    <row r="208" customFormat="false" ht="15.75" hidden="false" customHeight="true" outlineLevel="0" collapsed="false">
      <c r="G208" s="154"/>
    </row>
    <row r="209" customFormat="false" ht="15.75" hidden="false" customHeight="true" outlineLevel="0" collapsed="false">
      <c r="G209" s="154"/>
    </row>
    <row r="210" customFormat="false" ht="15.75" hidden="false" customHeight="true" outlineLevel="0" collapsed="false">
      <c r="G210" s="154"/>
    </row>
    <row r="211" customFormat="false" ht="15.75" hidden="false" customHeight="true" outlineLevel="0" collapsed="false">
      <c r="G211" s="154"/>
    </row>
    <row r="212" customFormat="false" ht="15.75" hidden="false" customHeight="true" outlineLevel="0" collapsed="false">
      <c r="G212" s="154"/>
    </row>
    <row r="213" customFormat="false" ht="15.75" hidden="false" customHeight="true" outlineLevel="0" collapsed="false">
      <c r="G213" s="154"/>
    </row>
    <row r="214" customFormat="false" ht="15.75" hidden="false" customHeight="true" outlineLevel="0" collapsed="false">
      <c r="G214" s="154"/>
    </row>
    <row r="215" customFormat="false" ht="15.75" hidden="false" customHeight="true" outlineLevel="0" collapsed="false">
      <c r="G215" s="154"/>
    </row>
    <row r="216" customFormat="false" ht="15.75" hidden="false" customHeight="true" outlineLevel="0" collapsed="false">
      <c r="G216" s="154"/>
    </row>
    <row r="217" customFormat="false" ht="15.75" hidden="false" customHeight="true" outlineLevel="0" collapsed="false">
      <c r="G217" s="154"/>
    </row>
    <row r="218" customFormat="false" ht="15.75" hidden="false" customHeight="true" outlineLevel="0" collapsed="false">
      <c r="G218" s="154"/>
    </row>
    <row r="219" customFormat="false" ht="15.75" hidden="false" customHeight="true" outlineLevel="0" collapsed="false">
      <c r="G219" s="154"/>
    </row>
    <row r="220" customFormat="false" ht="15.75" hidden="false" customHeight="true" outlineLevel="0" collapsed="false">
      <c r="G220" s="154"/>
    </row>
    <row r="221" customFormat="false" ht="15.75" hidden="false" customHeight="true" outlineLevel="0" collapsed="false">
      <c r="G221" s="154"/>
    </row>
    <row r="222" customFormat="false" ht="15.75" hidden="false" customHeight="true" outlineLevel="0" collapsed="false">
      <c r="G222" s="154"/>
    </row>
    <row r="223" customFormat="false" ht="15.75" hidden="false" customHeight="true" outlineLevel="0" collapsed="false">
      <c r="G223" s="154"/>
    </row>
    <row r="224" customFormat="false" ht="15.75" hidden="false" customHeight="true" outlineLevel="0" collapsed="false">
      <c r="G224" s="154"/>
    </row>
    <row r="225" customFormat="false" ht="15.75" hidden="false" customHeight="true" outlineLevel="0" collapsed="false">
      <c r="G225" s="154"/>
    </row>
    <row r="226" customFormat="false" ht="15.75" hidden="false" customHeight="true" outlineLevel="0" collapsed="false">
      <c r="G226" s="154"/>
    </row>
    <row r="227" customFormat="false" ht="15.75" hidden="false" customHeight="true" outlineLevel="0" collapsed="false">
      <c r="G227" s="154"/>
    </row>
    <row r="228" customFormat="false" ht="15.75" hidden="false" customHeight="true" outlineLevel="0" collapsed="false">
      <c r="G228" s="154"/>
    </row>
    <row r="229" customFormat="false" ht="15.75" hidden="false" customHeight="true" outlineLevel="0" collapsed="false">
      <c r="G229" s="154"/>
    </row>
    <row r="230" customFormat="false" ht="15.75" hidden="false" customHeight="true" outlineLevel="0" collapsed="false">
      <c r="G230" s="154"/>
    </row>
    <row r="231" customFormat="false" ht="15.75" hidden="false" customHeight="true" outlineLevel="0" collapsed="false">
      <c r="G231" s="154"/>
    </row>
    <row r="232" customFormat="false" ht="15.75" hidden="false" customHeight="true" outlineLevel="0" collapsed="false">
      <c r="G232" s="154"/>
    </row>
    <row r="233" customFormat="false" ht="15.75" hidden="false" customHeight="true" outlineLevel="0" collapsed="false">
      <c r="G233" s="154"/>
    </row>
    <row r="234" customFormat="false" ht="15.75" hidden="false" customHeight="true" outlineLevel="0" collapsed="false">
      <c r="G234" s="154"/>
    </row>
    <row r="235" customFormat="false" ht="15.75" hidden="false" customHeight="true" outlineLevel="0" collapsed="false">
      <c r="G235" s="154"/>
    </row>
    <row r="236" customFormat="false" ht="15.75" hidden="false" customHeight="true" outlineLevel="0" collapsed="false">
      <c r="G236" s="154"/>
    </row>
    <row r="237" customFormat="false" ht="15.75" hidden="false" customHeight="true" outlineLevel="0" collapsed="false">
      <c r="G237" s="154"/>
    </row>
    <row r="238" customFormat="false" ht="15.75" hidden="false" customHeight="true" outlineLevel="0" collapsed="false">
      <c r="G238" s="154"/>
    </row>
    <row r="239" customFormat="false" ht="15.75" hidden="false" customHeight="true" outlineLevel="0" collapsed="false">
      <c r="G239" s="154"/>
    </row>
    <row r="240" customFormat="false" ht="15.75" hidden="false" customHeight="true" outlineLevel="0" collapsed="false">
      <c r="G240" s="154"/>
    </row>
    <row r="241" customFormat="false" ht="15.75" hidden="false" customHeight="true" outlineLevel="0" collapsed="false">
      <c r="G241" s="154"/>
    </row>
    <row r="242" customFormat="false" ht="15.75" hidden="false" customHeight="true" outlineLevel="0" collapsed="false">
      <c r="G242" s="154"/>
    </row>
    <row r="243" customFormat="false" ht="15.75" hidden="false" customHeight="true" outlineLevel="0" collapsed="false">
      <c r="G243" s="154"/>
    </row>
    <row r="244" customFormat="false" ht="15.75" hidden="false" customHeight="true" outlineLevel="0" collapsed="false">
      <c r="G244" s="154"/>
    </row>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0">
    <mergeCell ref="B3:G3"/>
    <mergeCell ref="B4:G4"/>
    <mergeCell ref="B6:G6"/>
    <mergeCell ref="B12:G12"/>
    <mergeCell ref="B18:G18"/>
    <mergeCell ref="B24:G24"/>
    <mergeCell ref="B28:G28"/>
    <mergeCell ref="B33:G33"/>
    <mergeCell ref="B37:G37"/>
    <mergeCell ref="B44:G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C7" activeCellId="0" sqref="C7"/>
    </sheetView>
  </sheetViews>
  <sheetFormatPr defaultColWidth="14.4453125" defaultRowHeight="14.25" zeroHeight="false" outlineLevelRow="0" outlineLevelCol="0"/>
  <cols>
    <col collapsed="false" customWidth="true" hidden="false" outlineLevel="0" max="1" min="1" style="1" width="4"/>
    <col collapsed="false" customWidth="true" hidden="false" outlineLevel="0" max="2" min="2" style="1" width="42"/>
    <col collapsed="false" customWidth="true" hidden="false" outlineLevel="0" max="72" min="3" style="1" width="11"/>
  </cols>
  <sheetData>
    <row r="2" customFormat="false" ht="17.25" hidden="false" customHeight="true" outlineLevel="0" collapsed="false">
      <c r="B2" s="92" t="s">
        <v>1525</v>
      </c>
    </row>
    <row r="3" customFormat="false" ht="15" hidden="false" customHeight="true" outlineLevel="0" collapsed="false">
      <c r="B3" s="16" t="s">
        <v>1526</v>
      </c>
    </row>
    <row r="4" customFormat="false" ht="34.5" hidden="false" customHeight="true" outlineLevel="0" collapsed="false">
      <c r="B4" s="15" t="s">
        <v>1527</v>
      </c>
      <c r="C4" s="171" t="str">
        <f aca="false">01_Supuestos!$C$5</f>
        <v>Base</v>
      </c>
      <c r="D4" s="15" t="s">
        <v>1528</v>
      </c>
      <c r="E4" s="172" t="n">
        <f aca="false">01_Supuestos!$E$5</f>
        <v>30</v>
      </c>
      <c r="F4" s="15" t="s">
        <v>1529</v>
      </c>
      <c r="G4" s="171" t="str">
        <f aca="false">01_Supuestos!$G$5</f>
        <v>Modo único (base editorial)</v>
      </c>
    </row>
    <row r="6" customFormat="false" ht="15" hidden="false" customHeight="true" outlineLevel="0" collapsed="false">
      <c r="B6" s="38" t="s">
        <v>1530</v>
      </c>
      <c r="C6" s="173" t="n">
        <v>1</v>
      </c>
      <c r="D6" s="173" t="n">
        <v>2</v>
      </c>
      <c r="E6" s="173" t="n">
        <v>3</v>
      </c>
      <c r="F6" s="173" t="n">
        <v>4</v>
      </c>
      <c r="G6" s="173" t="n">
        <v>5</v>
      </c>
      <c r="H6" s="173" t="n">
        <v>6</v>
      </c>
      <c r="I6" s="173" t="n">
        <v>7</v>
      </c>
      <c r="J6" s="173" t="n">
        <v>8</v>
      </c>
      <c r="K6" s="173" t="n">
        <v>9</v>
      </c>
      <c r="L6" s="173" t="n">
        <v>10</v>
      </c>
      <c r="M6" s="173" t="n">
        <v>11</v>
      </c>
      <c r="N6" s="173" t="n">
        <v>12</v>
      </c>
      <c r="O6" s="173" t="n">
        <v>13</v>
      </c>
      <c r="P6" s="173" t="n">
        <v>14</v>
      </c>
      <c r="Q6" s="173" t="n">
        <v>15</v>
      </c>
      <c r="R6" s="173" t="n">
        <v>16</v>
      </c>
      <c r="S6" s="173" t="n">
        <v>17</v>
      </c>
      <c r="T6" s="173" t="n">
        <v>18</v>
      </c>
      <c r="U6" s="173" t="n">
        <v>19</v>
      </c>
      <c r="V6" s="173" t="n">
        <v>20</v>
      </c>
      <c r="W6" s="173" t="n">
        <v>21</v>
      </c>
      <c r="X6" s="173" t="n">
        <v>22</v>
      </c>
      <c r="Y6" s="173" t="n">
        <v>23</v>
      </c>
      <c r="Z6" s="173" t="n">
        <v>24</v>
      </c>
      <c r="AA6" s="173" t="n">
        <v>25</v>
      </c>
      <c r="AB6" s="173" t="n">
        <v>26</v>
      </c>
      <c r="AC6" s="173" t="n">
        <v>27</v>
      </c>
      <c r="AD6" s="173" t="n">
        <v>28</v>
      </c>
      <c r="AE6" s="173" t="n">
        <v>29</v>
      </c>
      <c r="AF6" s="173" t="n">
        <v>30</v>
      </c>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c r="BQ6" s="173"/>
      <c r="BR6" s="173"/>
      <c r="BS6" s="173"/>
      <c r="BT6" s="173"/>
    </row>
    <row r="7" customFormat="false" ht="15" hidden="false" customHeight="true" outlineLevel="0" collapsed="false">
      <c r="B7" s="174" t="s">
        <v>1531</v>
      </c>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row>
    <row r="8" customFormat="false" ht="15" hidden="false" customHeight="true" outlineLevel="0" collapsed="false">
      <c r="B8" s="41" t="s">
        <v>1532</v>
      </c>
      <c r="C8" s="176" t="n">
        <f aca="false">01_Supuestos!$I$10*01_Supuestos!$I$73</f>
        <v>0.035</v>
      </c>
      <c r="D8" s="176" t="n">
        <f aca="false">01_Supuestos!$I$10*01_Supuestos!$I$73</f>
        <v>0.035</v>
      </c>
      <c r="E8" s="176" t="n">
        <f aca="false">01_Supuestos!$I$10*01_Supuestos!$I$73</f>
        <v>0.035</v>
      </c>
      <c r="F8" s="176" t="n">
        <f aca="false">01_Supuestos!$I$10*01_Supuestos!$I$73</f>
        <v>0.035</v>
      </c>
      <c r="G8" s="176" t="n">
        <f aca="false">01_Supuestos!$I$10*01_Supuestos!$I$73</f>
        <v>0.035</v>
      </c>
      <c r="H8" s="176" t="n">
        <f aca="false">01_Supuestos!$I$10*01_Supuestos!$I$73</f>
        <v>0.035</v>
      </c>
      <c r="I8" s="176" t="n">
        <f aca="false">01_Supuestos!$I$10*01_Supuestos!$I$73</f>
        <v>0.035</v>
      </c>
      <c r="J8" s="176" t="n">
        <f aca="false">01_Supuestos!$I$10*01_Supuestos!$I$73</f>
        <v>0.035</v>
      </c>
      <c r="K8" s="176" t="n">
        <f aca="false">01_Supuestos!$I$10*01_Supuestos!$I$73</f>
        <v>0.035</v>
      </c>
      <c r="L8" s="176" t="n">
        <f aca="false">01_Supuestos!$I$10*01_Supuestos!$I$73</f>
        <v>0.035</v>
      </c>
      <c r="M8" s="176" t="n">
        <f aca="false">01_Supuestos!$I$10*01_Supuestos!$I$73</f>
        <v>0.035</v>
      </c>
      <c r="N8" s="176" t="n">
        <f aca="false">01_Supuestos!$I$10*01_Supuestos!$I$73</f>
        <v>0.035</v>
      </c>
      <c r="O8" s="176" t="n">
        <f aca="false">01_Supuestos!$I$10*01_Supuestos!$I$73</f>
        <v>0.035</v>
      </c>
      <c r="P8" s="176" t="n">
        <f aca="false">01_Supuestos!$I$10*01_Supuestos!$I$73</f>
        <v>0.035</v>
      </c>
      <c r="Q8" s="176" t="n">
        <f aca="false">01_Supuestos!$I$10*01_Supuestos!$I$73</f>
        <v>0.035</v>
      </c>
      <c r="R8" s="176" t="n">
        <f aca="false">01_Supuestos!$I$10*01_Supuestos!$I$73</f>
        <v>0.035</v>
      </c>
      <c r="S8" s="176" t="n">
        <f aca="false">01_Supuestos!$I$10*01_Supuestos!$I$73</f>
        <v>0.035</v>
      </c>
      <c r="T8" s="176" t="n">
        <f aca="false">01_Supuestos!$I$10*01_Supuestos!$I$73</f>
        <v>0.035</v>
      </c>
      <c r="U8" s="176" t="n">
        <f aca="false">01_Supuestos!$I$10*01_Supuestos!$I$73</f>
        <v>0.035</v>
      </c>
      <c r="V8" s="176" t="n">
        <f aca="false">01_Supuestos!$I$10*01_Supuestos!$I$73</f>
        <v>0.035</v>
      </c>
      <c r="W8" s="176" t="n">
        <f aca="false">01_Supuestos!$I$10*01_Supuestos!$I$73</f>
        <v>0.035</v>
      </c>
      <c r="X8" s="176" t="n">
        <f aca="false">01_Supuestos!$I$10*01_Supuestos!$I$73</f>
        <v>0.035</v>
      </c>
      <c r="Y8" s="176" t="n">
        <f aca="false">01_Supuestos!$I$10*01_Supuestos!$I$73</f>
        <v>0.035</v>
      </c>
      <c r="Z8" s="176" t="n">
        <f aca="false">01_Supuestos!$I$10*01_Supuestos!$I$73</f>
        <v>0.035</v>
      </c>
      <c r="AA8" s="176" t="n">
        <f aca="false">01_Supuestos!$I$10*01_Supuestos!$I$73</f>
        <v>0.035</v>
      </c>
      <c r="AB8" s="176" t="n">
        <f aca="false">01_Supuestos!$I$10*01_Supuestos!$I$73</f>
        <v>0.035</v>
      </c>
      <c r="AC8" s="176" t="n">
        <f aca="false">01_Supuestos!$I$10*01_Supuestos!$I$73</f>
        <v>0.035</v>
      </c>
      <c r="AD8" s="176" t="n">
        <f aca="false">01_Supuestos!$I$10*01_Supuestos!$I$73</f>
        <v>0.035</v>
      </c>
      <c r="AE8" s="176" t="n">
        <f aca="false">01_Supuestos!$I$10*01_Supuestos!$I$73</f>
        <v>0.035</v>
      </c>
      <c r="AF8" s="176" t="n">
        <f aca="false">01_Supuestos!$I$10*01_Supuestos!$I$73</f>
        <v>0.035</v>
      </c>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176"/>
      <c r="BN8" s="176"/>
      <c r="BO8" s="176"/>
      <c r="BP8" s="176"/>
      <c r="BQ8" s="176"/>
      <c r="BR8" s="176"/>
      <c r="BS8" s="176"/>
      <c r="BT8" s="176"/>
    </row>
    <row r="9" customFormat="false" ht="15" hidden="false" customHeight="true" outlineLevel="0" collapsed="false">
      <c r="B9" s="41" t="s">
        <v>1533</v>
      </c>
      <c r="C9" s="176" t="n">
        <f aca="false">01_Supuestos!$I$9</f>
        <v>0.023</v>
      </c>
      <c r="D9" s="176" t="n">
        <f aca="false">01_Supuestos!$I$9</f>
        <v>0.023</v>
      </c>
      <c r="E9" s="176" t="n">
        <f aca="false">01_Supuestos!$I$9</f>
        <v>0.023</v>
      </c>
      <c r="F9" s="176" t="n">
        <f aca="false">01_Supuestos!$I$9</f>
        <v>0.023</v>
      </c>
      <c r="G9" s="176" t="n">
        <f aca="false">01_Supuestos!$I$9</f>
        <v>0.023</v>
      </c>
      <c r="H9" s="176" t="n">
        <f aca="false">01_Supuestos!$I$9</f>
        <v>0.023</v>
      </c>
      <c r="I9" s="176" t="n">
        <f aca="false">01_Supuestos!$I$9</f>
        <v>0.023</v>
      </c>
      <c r="J9" s="176" t="n">
        <f aca="false">01_Supuestos!$I$9</f>
        <v>0.023</v>
      </c>
      <c r="K9" s="176" t="n">
        <f aca="false">01_Supuestos!$I$9</f>
        <v>0.023</v>
      </c>
      <c r="L9" s="176" t="n">
        <f aca="false">01_Supuestos!$I$9</f>
        <v>0.023</v>
      </c>
      <c r="M9" s="176" t="n">
        <f aca="false">01_Supuestos!$I$9</f>
        <v>0.023</v>
      </c>
      <c r="N9" s="176" t="n">
        <f aca="false">01_Supuestos!$I$9</f>
        <v>0.023</v>
      </c>
      <c r="O9" s="176" t="n">
        <f aca="false">01_Supuestos!$I$9</f>
        <v>0.023</v>
      </c>
      <c r="P9" s="176" t="n">
        <f aca="false">01_Supuestos!$I$9</f>
        <v>0.023</v>
      </c>
      <c r="Q9" s="176" t="n">
        <f aca="false">01_Supuestos!$I$9</f>
        <v>0.023</v>
      </c>
      <c r="R9" s="176" t="n">
        <f aca="false">01_Supuestos!$I$9</f>
        <v>0.023</v>
      </c>
      <c r="S9" s="176" t="n">
        <f aca="false">01_Supuestos!$I$9</f>
        <v>0.023</v>
      </c>
      <c r="T9" s="176" t="n">
        <f aca="false">01_Supuestos!$I$9</f>
        <v>0.023</v>
      </c>
      <c r="U9" s="176" t="n">
        <f aca="false">01_Supuestos!$I$9</f>
        <v>0.023</v>
      </c>
      <c r="V9" s="176" t="n">
        <f aca="false">01_Supuestos!$I$9</f>
        <v>0.023</v>
      </c>
      <c r="W9" s="176" t="n">
        <f aca="false">01_Supuestos!$I$9</f>
        <v>0.023</v>
      </c>
      <c r="X9" s="176" t="n">
        <f aca="false">01_Supuestos!$I$9</f>
        <v>0.023</v>
      </c>
      <c r="Y9" s="176" t="n">
        <f aca="false">01_Supuestos!$I$9</f>
        <v>0.023</v>
      </c>
      <c r="Z9" s="176" t="n">
        <f aca="false">01_Supuestos!$I$9</f>
        <v>0.023</v>
      </c>
      <c r="AA9" s="176" t="n">
        <f aca="false">01_Supuestos!$I$9</f>
        <v>0.023</v>
      </c>
      <c r="AB9" s="176" t="n">
        <f aca="false">01_Supuestos!$I$9</f>
        <v>0.023</v>
      </c>
      <c r="AC9" s="176" t="n">
        <f aca="false">01_Supuestos!$I$9</f>
        <v>0.023</v>
      </c>
      <c r="AD9" s="176" t="n">
        <f aca="false">01_Supuestos!$I$9</f>
        <v>0.023</v>
      </c>
      <c r="AE9" s="176" t="n">
        <f aca="false">01_Supuestos!$I$9</f>
        <v>0.023</v>
      </c>
      <c r="AF9" s="176" t="n">
        <f aca="false">01_Supuestos!$I$9</f>
        <v>0.023</v>
      </c>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c r="BM9" s="176"/>
      <c r="BN9" s="176"/>
      <c r="BO9" s="176"/>
      <c r="BP9" s="176"/>
      <c r="BQ9" s="176"/>
      <c r="BR9" s="176"/>
      <c r="BS9" s="176"/>
      <c r="BT9" s="176"/>
    </row>
    <row r="10" customFormat="false" ht="15" hidden="false" customHeight="true" outlineLevel="0" collapsed="false">
      <c r="B10" s="41" t="s">
        <v>1534</v>
      </c>
      <c r="C10" s="176" t="n">
        <f aca="false">01_Supuestos!$I$12</f>
        <v>0.05</v>
      </c>
      <c r="D10" s="176" t="n">
        <f aca="false">01_Supuestos!$I$12</f>
        <v>0.05</v>
      </c>
      <c r="E10" s="176" t="n">
        <f aca="false">01_Supuestos!$I$12</f>
        <v>0.05</v>
      </c>
      <c r="F10" s="176" t="n">
        <f aca="false">01_Supuestos!$I$12</f>
        <v>0.05</v>
      </c>
      <c r="G10" s="176" t="n">
        <f aca="false">01_Supuestos!$I$12</f>
        <v>0.05</v>
      </c>
      <c r="H10" s="176" t="n">
        <f aca="false">01_Supuestos!$I$12</f>
        <v>0.05</v>
      </c>
      <c r="I10" s="176" t="n">
        <f aca="false">01_Supuestos!$I$12</f>
        <v>0.05</v>
      </c>
      <c r="J10" s="176" t="n">
        <f aca="false">01_Supuestos!$I$12</f>
        <v>0.05</v>
      </c>
      <c r="K10" s="176" t="n">
        <f aca="false">01_Supuestos!$I$12</f>
        <v>0.05</v>
      </c>
      <c r="L10" s="176" t="n">
        <f aca="false">01_Supuestos!$I$12</f>
        <v>0.05</v>
      </c>
      <c r="M10" s="176" t="n">
        <f aca="false">01_Supuestos!$I$12</f>
        <v>0.05</v>
      </c>
      <c r="N10" s="176" t="n">
        <f aca="false">01_Supuestos!$I$12</f>
        <v>0.05</v>
      </c>
      <c r="O10" s="176" t="n">
        <f aca="false">01_Supuestos!$I$12</f>
        <v>0.05</v>
      </c>
      <c r="P10" s="176" t="n">
        <f aca="false">01_Supuestos!$I$12</f>
        <v>0.05</v>
      </c>
      <c r="Q10" s="176" t="n">
        <f aca="false">01_Supuestos!$I$12</f>
        <v>0.05</v>
      </c>
      <c r="R10" s="176" t="n">
        <f aca="false">01_Supuestos!$I$12</f>
        <v>0.05</v>
      </c>
      <c r="S10" s="176" t="n">
        <f aca="false">01_Supuestos!$I$12</f>
        <v>0.05</v>
      </c>
      <c r="T10" s="176" t="n">
        <f aca="false">01_Supuestos!$I$12</f>
        <v>0.05</v>
      </c>
      <c r="U10" s="176" t="n">
        <f aca="false">01_Supuestos!$I$12</f>
        <v>0.05</v>
      </c>
      <c r="V10" s="176" t="n">
        <f aca="false">01_Supuestos!$I$12</f>
        <v>0.05</v>
      </c>
      <c r="W10" s="176" t="n">
        <f aca="false">01_Supuestos!$I$12</f>
        <v>0.05</v>
      </c>
      <c r="X10" s="176" t="n">
        <f aca="false">01_Supuestos!$I$12</f>
        <v>0.05</v>
      </c>
      <c r="Y10" s="176" t="n">
        <f aca="false">01_Supuestos!$I$12</f>
        <v>0.05</v>
      </c>
      <c r="Z10" s="176" t="n">
        <f aca="false">01_Supuestos!$I$12</f>
        <v>0.05</v>
      </c>
      <c r="AA10" s="176" t="n">
        <f aca="false">01_Supuestos!$I$12</f>
        <v>0.05</v>
      </c>
      <c r="AB10" s="176" t="n">
        <f aca="false">01_Supuestos!$I$12</f>
        <v>0.05</v>
      </c>
      <c r="AC10" s="176" t="n">
        <f aca="false">01_Supuestos!$I$12</f>
        <v>0.05</v>
      </c>
      <c r="AD10" s="176" t="n">
        <f aca="false">01_Supuestos!$I$12</f>
        <v>0.05</v>
      </c>
      <c r="AE10" s="176" t="n">
        <f aca="false">01_Supuestos!$I$12</f>
        <v>0.05</v>
      </c>
      <c r="AF10" s="176" t="n">
        <f aca="false">01_Supuestos!$I$12</f>
        <v>0.05</v>
      </c>
      <c r="AG10" s="176"/>
      <c r="AH10" s="176"/>
      <c r="AI10" s="1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176"/>
      <c r="BK10" s="176"/>
      <c r="BL10" s="176"/>
      <c r="BM10" s="176"/>
      <c r="BN10" s="176"/>
      <c r="BO10" s="176"/>
      <c r="BP10" s="176"/>
      <c r="BQ10" s="176"/>
      <c r="BR10" s="176"/>
      <c r="BS10" s="176"/>
      <c r="BT10" s="176"/>
    </row>
    <row r="11" customFormat="false" ht="15" hidden="false" customHeight="true" outlineLevel="0" collapsed="false">
      <c r="B11" s="41" t="s">
        <v>1535</v>
      </c>
      <c r="C11" s="177" t="n">
        <f aca="false">01_Supuestos!$I$13</f>
        <v>0.0382</v>
      </c>
      <c r="D11" s="177" t="n">
        <f aca="false">01_Supuestos!$I$13</f>
        <v>0.0382</v>
      </c>
      <c r="E11" s="177" t="n">
        <f aca="false">01_Supuestos!$I$13</f>
        <v>0.0382</v>
      </c>
      <c r="F11" s="177" t="n">
        <f aca="false">01_Supuestos!$I$13</f>
        <v>0.0382</v>
      </c>
      <c r="G11" s="177" t="n">
        <f aca="false">01_Supuestos!$I$13</f>
        <v>0.0382</v>
      </c>
      <c r="H11" s="177" t="n">
        <f aca="false">01_Supuestos!$I$13</f>
        <v>0.0382</v>
      </c>
      <c r="I11" s="177" t="n">
        <f aca="false">01_Supuestos!$I$13</f>
        <v>0.0382</v>
      </c>
      <c r="J11" s="177" t="n">
        <f aca="false">01_Supuestos!$I$13</f>
        <v>0.0382</v>
      </c>
      <c r="K11" s="177" t="n">
        <f aca="false">01_Supuestos!$I$13</f>
        <v>0.0382</v>
      </c>
      <c r="L11" s="177" t="n">
        <f aca="false">01_Supuestos!$I$13</f>
        <v>0.0382</v>
      </c>
      <c r="M11" s="177" t="n">
        <f aca="false">01_Supuestos!$I$13</f>
        <v>0.0382</v>
      </c>
      <c r="N11" s="177" t="n">
        <f aca="false">01_Supuestos!$I$13</f>
        <v>0.0382</v>
      </c>
      <c r="O11" s="177" t="n">
        <f aca="false">01_Supuestos!$I$13</f>
        <v>0.0382</v>
      </c>
      <c r="P11" s="177" t="n">
        <f aca="false">01_Supuestos!$I$13</f>
        <v>0.0382</v>
      </c>
      <c r="Q11" s="177" t="n">
        <f aca="false">01_Supuestos!$I$13</f>
        <v>0.0382</v>
      </c>
      <c r="R11" s="177" t="n">
        <f aca="false">01_Supuestos!$I$13</f>
        <v>0.0382</v>
      </c>
      <c r="S11" s="177" t="n">
        <f aca="false">01_Supuestos!$I$13</f>
        <v>0.0382</v>
      </c>
      <c r="T11" s="177" t="n">
        <f aca="false">01_Supuestos!$I$13</f>
        <v>0.0382</v>
      </c>
      <c r="U11" s="177" t="n">
        <f aca="false">01_Supuestos!$I$13</f>
        <v>0.0382</v>
      </c>
      <c r="V11" s="177" t="n">
        <f aca="false">01_Supuestos!$I$13</f>
        <v>0.0382</v>
      </c>
      <c r="W11" s="177" t="n">
        <f aca="false">01_Supuestos!$I$13</f>
        <v>0.0382</v>
      </c>
      <c r="X11" s="177" t="n">
        <f aca="false">01_Supuestos!$I$13</f>
        <v>0.0382</v>
      </c>
      <c r="Y11" s="177" t="n">
        <f aca="false">01_Supuestos!$I$13</f>
        <v>0.0382</v>
      </c>
      <c r="Z11" s="177" t="n">
        <f aca="false">01_Supuestos!$I$13</f>
        <v>0.0382</v>
      </c>
      <c r="AA11" s="177" t="n">
        <f aca="false">01_Supuestos!$I$13</f>
        <v>0.0382</v>
      </c>
      <c r="AB11" s="177" t="n">
        <f aca="false">01_Supuestos!$I$13</f>
        <v>0.0382</v>
      </c>
      <c r="AC11" s="177" t="n">
        <f aca="false">01_Supuestos!$I$13</f>
        <v>0.0382</v>
      </c>
      <c r="AD11" s="177" t="n">
        <f aca="false">01_Supuestos!$I$13</f>
        <v>0.0382</v>
      </c>
      <c r="AE11" s="177" t="n">
        <f aca="false">01_Supuestos!$I$13</f>
        <v>0.0382</v>
      </c>
      <c r="AF11" s="177" t="n">
        <f aca="false">01_Supuestos!$I$13</f>
        <v>0.0382</v>
      </c>
      <c r="AG11" s="177"/>
      <c r="AH11" s="177"/>
      <c r="AI11" s="177"/>
      <c r="AJ11" s="177"/>
      <c r="AK11" s="177"/>
      <c r="AL11" s="177"/>
      <c r="AM11" s="177"/>
      <c r="AN11" s="177"/>
      <c r="AO11" s="177"/>
      <c r="AP11" s="177"/>
      <c r="AQ11" s="177"/>
      <c r="AR11" s="177"/>
      <c r="AS11" s="177"/>
      <c r="AT11" s="177"/>
      <c r="AU11" s="177"/>
      <c r="AV11" s="177"/>
      <c r="AW11" s="177"/>
      <c r="AX11" s="177"/>
      <c r="AY11" s="177"/>
      <c r="AZ11" s="177"/>
      <c r="BA11" s="177"/>
      <c r="BB11" s="177"/>
      <c r="BC11" s="177"/>
      <c r="BD11" s="177"/>
      <c r="BE11" s="177"/>
      <c r="BF11" s="177"/>
      <c r="BG11" s="177"/>
      <c r="BH11" s="177"/>
      <c r="BI11" s="177"/>
      <c r="BJ11" s="177"/>
      <c r="BK11" s="177"/>
      <c r="BL11" s="177"/>
      <c r="BM11" s="177"/>
      <c r="BN11" s="177"/>
      <c r="BO11" s="177"/>
      <c r="BP11" s="177"/>
      <c r="BQ11" s="177"/>
      <c r="BR11" s="177"/>
      <c r="BS11" s="177"/>
      <c r="BT11" s="177"/>
    </row>
    <row r="12" customFormat="false" ht="15" hidden="false" customHeight="true" outlineLevel="0" collapsed="false">
      <c r="B12" s="41" t="s">
        <v>1536</v>
      </c>
      <c r="C12" s="176" t="n">
        <f aca="false">01_Supuestos!$I$14</f>
        <v>0.018</v>
      </c>
      <c r="D12" s="176" t="n">
        <f aca="false">01_Supuestos!$I$14</f>
        <v>0.018</v>
      </c>
      <c r="E12" s="176" t="n">
        <f aca="false">01_Supuestos!$I$14</f>
        <v>0.018</v>
      </c>
      <c r="F12" s="176" t="n">
        <f aca="false">01_Supuestos!$I$14</f>
        <v>0.018</v>
      </c>
      <c r="G12" s="176" t="n">
        <f aca="false">01_Supuestos!$I$14</f>
        <v>0.018</v>
      </c>
      <c r="H12" s="176" t="n">
        <f aca="false">01_Supuestos!$I$14</f>
        <v>0.018</v>
      </c>
      <c r="I12" s="176" t="n">
        <f aca="false">01_Supuestos!$I$14</f>
        <v>0.018</v>
      </c>
      <c r="J12" s="176" t="n">
        <f aca="false">01_Supuestos!$I$14</f>
        <v>0.018</v>
      </c>
      <c r="K12" s="176" t="n">
        <f aca="false">01_Supuestos!$I$14</f>
        <v>0.018</v>
      </c>
      <c r="L12" s="176" t="n">
        <f aca="false">01_Supuestos!$I$14</f>
        <v>0.018</v>
      </c>
      <c r="M12" s="176" t="n">
        <f aca="false">01_Supuestos!$I$14</f>
        <v>0.018</v>
      </c>
      <c r="N12" s="176" t="n">
        <f aca="false">01_Supuestos!$I$14</f>
        <v>0.018</v>
      </c>
      <c r="O12" s="176" t="n">
        <f aca="false">01_Supuestos!$I$14</f>
        <v>0.018</v>
      </c>
      <c r="P12" s="176" t="n">
        <f aca="false">01_Supuestos!$I$14</f>
        <v>0.018</v>
      </c>
      <c r="Q12" s="176" t="n">
        <f aca="false">01_Supuestos!$I$14</f>
        <v>0.018</v>
      </c>
      <c r="R12" s="176" t="n">
        <f aca="false">01_Supuestos!$I$14</f>
        <v>0.018</v>
      </c>
      <c r="S12" s="176" t="n">
        <f aca="false">01_Supuestos!$I$14</f>
        <v>0.018</v>
      </c>
      <c r="T12" s="176" t="n">
        <f aca="false">01_Supuestos!$I$14</f>
        <v>0.018</v>
      </c>
      <c r="U12" s="176" t="n">
        <f aca="false">01_Supuestos!$I$14</f>
        <v>0.018</v>
      </c>
      <c r="V12" s="176" t="n">
        <f aca="false">01_Supuestos!$I$14</f>
        <v>0.018</v>
      </c>
      <c r="W12" s="176" t="n">
        <f aca="false">01_Supuestos!$I$14</f>
        <v>0.018</v>
      </c>
      <c r="X12" s="176" t="n">
        <f aca="false">01_Supuestos!$I$14</f>
        <v>0.018</v>
      </c>
      <c r="Y12" s="176" t="n">
        <f aca="false">01_Supuestos!$I$14</f>
        <v>0.018</v>
      </c>
      <c r="Z12" s="176" t="n">
        <f aca="false">01_Supuestos!$I$14</f>
        <v>0.018</v>
      </c>
      <c r="AA12" s="176" t="n">
        <f aca="false">01_Supuestos!$I$14</f>
        <v>0.018</v>
      </c>
      <c r="AB12" s="176" t="n">
        <f aca="false">01_Supuestos!$I$14</f>
        <v>0.018</v>
      </c>
      <c r="AC12" s="176" t="n">
        <f aca="false">01_Supuestos!$I$14</f>
        <v>0.018</v>
      </c>
      <c r="AD12" s="176" t="n">
        <f aca="false">01_Supuestos!$I$14</f>
        <v>0.018</v>
      </c>
      <c r="AE12" s="176" t="n">
        <f aca="false">01_Supuestos!$I$14</f>
        <v>0.018</v>
      </c>
      <c r="AF12" s="176" t="n">
        <f aca="false">01_Supuestos!$I$14</f>
        <v>0.018</v>
      </c>
      <c r="AG12" s="176"/>
      <c r="AH12" s="176"/>
      <c r="AI12" s="176"/>
      <c r="AJ12" s="176"/>
      <c r="AK12" s="176"/>
      <c r="AL12" s="176"/>
      <c r="AM12" s="176"/>
      <c r="AN12" s="176"/>
      <c r="AO12" s="176"/>
      <c r="AP12" s="176"/>
      <c r="AQ12" s="176"/>
      <c r="AR12" s="176"/>
      <c r="AS12" s="176"/>
      <c r="AT12" s="176"/>
      <c r="AU12" s="176"/>
      <c r="AV12" s="176"/>
      <c r="AW12" s="176"/>
      <c r="AX12" s="176"/>
      <c r="AY12" s="176"/>
      <c r="AZ12" s="176"/>
      <c r="BA12" s="176"/>
      <c r="BB12" s="176"/>
      <c r="BC12" s="176"/>
      <c r="BD12" s="176"/>
      <c r="BE12" s="176"/>
      <c r="BF12" s="176"/>
      <c r="BG12" s="176"/>
      <c r="BH12" s="176"/>
      <c r="BI12" s="176"/>
      <c r="BJ12" s="176"/>
      <c r="BK12" s="176"/>
      <c r="BL12" s="176"/>
      <c r="BM12" s="176"/>
      <c r="BN12" s="176"/>
      <c r="BO12" s="176"/>
      <c r="BP12" s="176"/>
      <c r="BQ12" s="176"/>
      <c r="BR12" s="176"/>
      <c r="BS12" s="176"/>
      <c r="BT12" s="176"/>
    </row>
    <row r="13" customFormat="false" ht="15" hidden="false" customHeight="true" outlineLevel="0" collapsed="false">
      <c r="B13" s="41" t="s">
        <v>1537</v>
      </c>
      <c r="C13" s="178" t="n">
        <f aca="false">IF(C6&lt;=01_Supuestos!$I$77,01_Supuestos!$I$76,01_Supuestos!$I$47)</f>
        <v>0.12</v>
      </c>
      <c r="D13" s="178" t="n">
        <f aca="false">IF(D6&lt;=01_Supuestos!$I$77,01_Supuestos!$I$76,01_Supuestos!$I$47)</f>
        <v>0.12</v>
      </c>
      <c r="E13" s="178" t="n">
        <f aca="false">IF(E6&lt;=01_Supuestos!$I$77,01_Supuestos!$I$76,01_Supuestos!$I$47)</f>
        <v>0.12</v>
      </c>
      <c r="F13" s="178" t="n">
        <f aca="false">IF(F6&lt;=01_Supuestos!$I$77,01_Supuestos!$I$76,01_Supuestos!$I$47)</f>
        <v>0.12</v>
      </c>
      <c r="G13" s="178" t="n">
        <f aca="false">IF(G6&lt;=01_Supuestos!$I$77,01_Supuestos!$I$76,01_Supuestos!$I$47)</f>
        <v>0.12</v>
      </c>
      <c r="H13" s="178" t="n">
        <f aca="false">IF(H6&lt;=01_Supuestos!$I$77,01_Supuestos!$I$76,01_Supuestos!$I$47)</f>
        <v>0.12</v>
      </c>
      <c r="I13" s="178" t="n">
        <f aca="false">IF(I6&lt;=01_Supuestos!$I$77,01_Supuestos!$I$76,01_Supuestos!$I$47)</f>
        <v>0.12</v>
      </c>
      <c r="J13" s="178" t="n">
        <f aca="false">IF(J6&lt;=01_Supuestos!$I$77,01_Supuestos!$I$76,01_Supuestos!$I$47)</f>
        <v>0.12</v>
      </c>
      <c r="K13" s="178" t="n">
        <f aca="false">IF(K6&lt;=01_Supuestos!$I$77,01_Supuestos!$I$76,01_Supuestos!$I$47)</f>
        <v>0.12</v>
      </c>
      <c r="L13" s="178" t="n">
        <f aca="false">IF(L6&lt;=01_Supuestos!$I$77,01_Supuestos!$I$76,01_Supuestos!$I$47)</f>
        <v>0.12</v>
      </c>
      <c r="M13" s="178" t="n">
        <f aca="false">IF(M6&lt;=01_Supuestos!$I$77,01_Supuestos!$I$76,01_Supuestos!$I$47)</f>
        <v>0.075</v>
      </c>
      <c r="N13" s="178" t="n">
        <f aca="false">IF(N6&lt;=01_Supuestos!$I$77,01_Supuestos!$I$76,01_Supuestos!$I$47)</f>
        <v>0.075</v>
      </c>
      <c r="O13" s="178" t="n">
        <f aca="false">IF(O6&lt;=01_Supuestos!$I$77,01_Supuestos!$I$76,01_Supuestos!$I$47)</f>
        <v>0.075</v>
      </c>
      <c r="P13" s="178" t="n">
        <f aca="false">IF(P6&lt;=01_Supuestos!$I$77,01_Supuestos!$I$76,01_Supuestos!$I$47)</f>
        <v>0.075</v>
      </c>
      <c r="Q13" s="178" t="n">
        <f aca="false">IF(Q6&lt;=01_Supuestos!$I$77,01_Supuestos!$I$76,01_Supuestos!$I$47)</f>
        <v>0.075</v>
      </c>
      <c r="R13" s="178" t="n">
        <f aca="false">IF(R6&lt;=01_Supuestos!$I$77,01_Supuestos!$I$76,01_Supuestos!$I$47)</f>
        <v>0.075</v>
      </c>
      <c r="S13" s="178" t="n">
        <f aca="false">IF(S6&lt;=01_Supuestos!$I$77,01_Supuestos!$I$76,01_Supuestos!$I$47)</f>
        <v>0.075</v>
      </c>
      <c r="T13" s="178" t="n">
        <f aca="false">IF(T6&lt;=01_Supuestos!$I$77,01_Supuestos!$I$76,01_Supuestos!$I$47)</f>
        <v>0.075</v>
      </c>
      <c r="U13" s="178" t="n">
        <f aca="false">IF(U6&lt;=01_Supuestos!$I$77,01_Supuestos!$I$76,01_Supuestos!$I$47)</f>
        <v>0.075</v>
      </c>
      <c r="V13" s="178" t="n">
        <f aca="false">IF(V6&lt;=01_Supuestos!$I$77,01_Supuestos!$I$76,01_Supuestos!$I$47)</f>
        <v>0.075</v>
      </c>
      <c r="W13" s="178" t="n">
        <f aca="false">IF(W6&lt;=01_Supuestos!$I$77,01_Supuestos!$I$76,01_Supuestos!$I$47)</f>
        <v>0.075</v>
      </c>
      <c r="X13" s="178" t="n">
        <f aca="false">IF(X6&lt;=01_Supuestos!$I$77,01_Supuestos!$I$76,01_Supuestos!$I$47)</f>
        <v>0.075</v>
      </c>
      <c r="Y13" s="178" t="n">
        <f aca="false">IF(Y6&lt;=01_Supuestos!$I$77,01_Supuestos!$I$76,01_Supuestos!$I$47)</f>
        <v>0.075</v>
      </c>
      <c r="Z13" s="178" t="n">
        <f aca="false">IF(Z6&lt;=01_Supuestos!$I$77,01_Supuestos!$I$76,01_Supuestos!$I$47)</f>
        <v>0.075</v>
      </c>
      <c r="AA13" s="178" t="n">
        <f aca="false">IF(AA6&lt;=01_Supuestos!$I$77,01_Supuestos!$I$76,01_Supuestos!$I$47)</f>
        <v>0.075</v>
      </c>
      <c r="AB13" s="178" t="n">
        <f aca="false">IF(AB6&lt;=01_Supuestos!$I$77,01_Supuestos!$I$76,01_Supuestos!$I$47)</f>
        <v>0.075</v>
      </c>
      <c r="AC13" s="178" t="n">
        <f aca="false">IF(AC6&lt;=01_Supuestos!$I$77,01_Supuestos!$I$76,01_Supuestos!$I$47)</f>
        <v>0.075</v>
      </c>
      <c r="AD13" s="178" t="n">
        <f aca="false">IF(AD6&lt;=01_Supuestos!$I$77,01_Supuestos!$I$76,01_Supuestos!$I$47)</f>
        <v>0.075</v>
      </c>
      <c r="AE13" s="178" t="n">
        <f aca="false">IF(AE6&lt;=01_Supuestos!$I$77,01_Supuestos!$I$76,01_Supuestos!$I$47)</f>
        <v>0.075</v>
      </c>
      <c r="AF13" s="178" t="n">
        <f aca="false">IF(AF6&lt;=01_Supuestos!$I$77,01_Supuestos!$I$76,01_Supuestos!$I$47)</f>
        <v>0.075</v>
      </c>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178"/>
      <c r="BI13" s="178"/>
      <c r="BJ13" s="178"/>
      <c r="BK13" s="178"/>
      <c r="BL13" s="178"/>
      <c r="BM13" s="178"/>
      <c r="BN13" s="178"/>
      <c r="BO13" s="178"/>
      <c r="BP13" s="178"/>
      <c r="BQ13" s="178"/>
      <c r="BR13" s="178"/>
      <c r="BS13" s="178"/>
      <c r="BT13" s="178"/>
    </row>
    <row r="14" customFormat="false" ht="15" hidden="false" customHeight="true" outlineLevel="0" collapsed="false">
      <c r="B14" s="41" t="s">
        <v>1538</v>
      </c>
      <c r="C14" s="176" t="n">
        <f aca="false">01_Supuestos!$I$37</f>
        <v>0.45</v>
      </c>
      <c r="D14" s="176" t="n">
        <f aca="false">01_Supuestos!$I$37</f>
        <v>0.45</v>
      </c>
      <c r="E14" s="176" t="n">
        <f aca="false">01_Supuestos!$I$37</f>
        <v>0.45</v>
      </c>
      <c r="F14" s="176" t="n">
        <f aca="false">01_Supuestos!$I$37</f>
        <v>0.45</v>
      </c>
      <c r="G14" s="176" t="n">
        <f aca="false">01_Supuestos!$I$37</f>
        <v>0.45</v>
      </c>
      <c r="H14" s="176" t="n">
        <f aca="false">01_Supuestos!$I$37</f>
        <v>0.45</v>
      </c>
      <c r="I14" s="176" t="n">
        <f aca="false">01_Supuestos!$I$37</f>
        <v>0.45</v>
      </c>
      <c r="J14" s="176" t="n">
        <f aca="false">01_Supuestos!$I$37</f>
        <v>0.45</v>
      </c>
      <c r="K14" s="176" t="n">
        <f aca="false">01_Supuestos!$I$37</f>
        <v>0.45</v>
      </c>
      <c r="L14" s="176" t="n">
        <f aca="false">01_Supuestos!$I$37</f>
        <v>0.45</v>
      </c>
      <c r="M14" s="176" t="n">
        <f aca="false">01_Supuestos!$I$37</f>
        <v>0.45</v>
      </c>
      <c r="N14" s="176" t="n">
        <f aca="false">01_Supuestos!$I$37</f>
        <v>0.45</v>
      </c>
      <c r="O14" s="176" t="n">
        <f aca="false">01_Supuestos!$I$37</f>
        <v>0.45</v>
      </c>
      <c r="P14" s="176" t="n">
        <f aca="false">01_Supuestos!$I$37</f>
        <v>0.45</v>
      </c>
      <c r="Q14" s="176" t="n">
        <f aca="false">01_Supuestos!$I$37</f>
        <v>0.45</v>
      </c>
      <c r="R14" s="176" t="n">
        <f aca="false">01_Supuestos!$I$37</f>
        <v>0.45</v>
      </c>
      <c r="S14" s="176" t="n">
        <f aca="false">01_Supuestos!$I$37</f>
        <v>0.45</v>
      </c>
      <c r="T14" s="176" t="n">
        <f aca="false">01_Supuestos!$I$37</f>
        <v>0.45</v>
      </c>
      <c r="U14" s="176" t="n">
        <f aca="false">01_Supuestos!$I$37</f>
        <v>0.45</v>
      </c>
      <c r="V14" s="176" t="n">
        <f aca="false">01_Supuestos!$I$37</f>
        <v>0.45</v>
      </c>
      <c r="W14" s="176" t="n">
        <f aca="false">01_Supuestos!$I$37</f>
        <v>0.45</v>
      </c>
      <c r="X14" s="176" t="n">
        <f aca="false">01_Supuestos!$I$37</f>
        <v>0.45</v>
      </c>
      <c r="Y14" s="176" t="n">
        <f aca="false">01_Supuestos!$I$37</f>
        <v>0.45</v>
      </c>
      <c r="Z14" s="176" t="n">
        <f aca="false">01_Supuestos!$I$37</f>
        <v>0.45</v>
      </c>
      <c r="AA14" s="176" t="n">
        <f aca="false">01_Supuestos!$I$37</f>
        <v>0.45</v>
      </c>
      <c r="AB14" s="176" t="n">
        <f aca="false">01_Supuestos!$I$37</f>
        <v>0.45</v>
      </c>
      <c r="AC14" s="176" t="n">
        <f aca="false">01_Supuestos!$I$37</f>
        <v>0.45</v>
      </c>
      <c r="AD14" s="176" t="n">
        <f aca="false">01_Supuestos!$I$37</f>
        <v>0.45</v>
      </c>
      <c r="AE14" s="176" t="n">
        <f aca="false">01_Supuestos!$I$37</f>
        <v>0.45</v>
      </c>
      <c r="AF14" s="176" t="n">
        <f aca="false">01_Supuestos!$I$37</f>
        <v>0.45</v>
      </c>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c r="BN14" s="176"/>
      <c r="BO14" s="176"/>
      <c r="BP14" s="176"/>
      <c r="BQ14" s="176"/>
      <c r="BR14" s="176"/>
      <c r="BS14" s="176"/>
      <c r="BT14" s="176"/>
    </row>
    <row r="15" customFormat="false" ht="15" hidden="false" customHeight="true" outlineLevel="0" collapsed="false">
      <c r="B15" s="41" t="s">
        <v>1539</v>
      </c>
      <c r="C15" s="176" t="n">
        <f aca="false">01_Supuestos!$I$38</f>
        <v>0.3</v>
      </c>
      <c r="D15" s="176" t="n">
        <f aca="false">01_Supuestos!$I$38</f>
        <v>0.3</v>
      </c>
      <c r="E15" s="176" t="n">
        <f aca="false">01_Supuestos!$I$38</f>
        <v>0.3</v>
      </c>
      <c r="F15" s="176" t="n">
        <f aca="false">01_Supuestos!$I$38</f>
        <v>0.3</v>
      </c>
      <c r="G15" s="176" t="n">
        <f aca="false">01_Supuestos!$I$38</f>
        <v>0.3</v>
      </c>
      <c r="H15" s="176" t="n">
        <f aca="false">01_Supuestos!$I$38</f>
        <v>0.3</v>
      </c>
      <c r="I15" s="176" t="n">
        <f aca="false">01_Supuestos!$I$38</f>
        <v>0.3</v>
      </c>
      <c r="J15" s="176" t="n">
        <f aca="false">01_Supuestos!$I$38</f>
        <v>0.3</v>
      </c>
      <c r="K15" s="176" t="n">
        <f aca="false">01_Supuestos!$I$38</f>
        <v>0.3</v>
      </c>
      <c r="L15" s="176" t="n">
        <f aca="false">01_Supuestos!$I$38</f>
        <v>0.3</v>
      </c>
      <c r="M15" s="176" t="n">
        <f aca="false">01_Supuestos!$I$38</f>
        <v>0.3</v>
      </c>
      <c r="N15" s="176" t="n">
        <f aca="false">01_Supuestos!$I$38</f>
        <v>0.3</v>
      </c>
      <c r="O15" s="176" t="n">
        <f aca="false">01_Supuestos!$I$38</f>
        <v>0.3</v>
      </c>
      <c r="P15" s="176" t="n">
        <f aca="false">01_Supuestos!$I$38</f>
        <v>0.3</v>
      </c>
      <c r="Q15" s="176" t="n">
        <f aca="false">01_Supuestos!$I$38</f>
        <v>0.3</v>
      </c>
      <c r="R15" s="176" t="n">
        <f aca="false">01_Supuestos!$I$38</f>
        <v>0.3</v>
      </c>
      <c r="S15" s="176" t="n">
        <f aca="false">01_Supuestos!$I$38</f>
        <v>0.3</v>
      </c>
      <c r="T15" s="176" t="n">
        <f aca="false">01_Supuestos!$I$38</f>
        <v>0.3</v>
      </c>
      <c r="U15" s="176" t="n">
        <f aca="false">01_Supuestos!$I$38</f>
        <v>0.3</v>
      </c>
      <c r="V15" s="176" t="n">
        <f aca="false">01_Supuestos!$I$38</f>
        <v>0.3</v>
      </c>
      <c r="W15" s="176" t="n">
        <f aca="false">01_Supuestos!$I$38</f>
        <v>0.3</v>
      </c>
      <c r="X15" s="176" t="n">
        <f aca="false">01_Supuestos!$I$38</f>
        <v>0.3</v>
      </c>
      <c r="Y15" s="176" t="n">
        <f aca="false">01_Supuestos!$I$38</f>
        <v>0.3</v>
      </c>
      <c r="Z15" s="176" t="n">
        <f aca="false">01_Supuestos!$I$38</f>
        <v>0.3</v>
      </c>
      <c r="AA15" s="176" t="n">
        <f aca="false">01_Supuestos!$I$38</f>
        <v>0.3</v>
      </c>
      <c r="AB15" s="176" t="n">
        <f aca="false">01_Supuestos!$I$38</f>
        <v>0.3</v>
      </c>
      <c r="AC15" s="176" t="n">
        <f aca="false">01_Supuestos!$I$38</f>
        <v>0.3</v>
      </c>
      <c r="AD15" s="176" t="n">
        <f aca="false">01_Supuestos!$I$38</f>
        <v>0.3</v>
      </c>
      <c r="AE15" s="176" t="n">
        <f aca="false">01_Supuestos!$I$38</f>
        <v>0.3</v>
      </c>
      <c r="AF15" s="176" t="n">
        <f aca="false">01_Supuestos!$I$38</f>
        <v>0.3</v>
      </c>
      <c r="AG15" s="176"/>
      <c r="AH15" s="176"/>
      <c r="AI15" s="176"/>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c r="BP15" s="176"/>
      <c r="BQ15" s="176"/>
      <c r="BR15" s="176"/>
      <c r="BS15" s="176"/>
      <c r="BT15" s="176"/>
    </row>
    <row r="16" customFormat="false" ht="15" hidden="false" customHeight="true" outlineLevel="0" collapsed="false">
      <c r="B16" s="41" t="s">
        <v>1540</v>
      </c>
      <c r="C16" s="176" t="n">
        <f aca="false">01_Supuestos!$I$39</f>
        <v>0.25</v>
      </c>
      <c r="D16" s="176" t="n">
        <f aca="false">01_Supuestos!$I$39</f>
        <v>0.25</v>
      </c>
      <c r="E16" s="176" t="n">
        <f aca="false">01_Supuestos!$I$39</f>
        <v>0.25</v>
      </c>
      <c r="F16" s="176" t="n">
        <f aca="false">01_Supuestos!$I$39</f>
        <v>0.25</v>
      </c>
      <c r="G16" s="176" t="n">
        <f aca="false">01_Supuestos!$I$39</f>
        <v>0.25</v>
      </c>
      <c r="H16" s="176" t="n">
        <f aca="false">01_Supuestos!$I$39</f>
        <v>0.25</v>
      </c>
      <c r="I16" s="176" t="n">
        <f aca="false">01_Supuestos!$I$39</f>
        <v>0.25</v>
      </c>
      <c r="J16" s="176" t="n">
        <f aca="false">01_Supuestos!$I$39</f>
        <v>0.25</v>
      </c>
      <c r="K16" s="176" t="n">
        <f aca="false">01_Supuestos!$I$39</f>
        <v>0.25</v>
      </c>
      <c r="L16" s="176" t="n">
        <f aca="false">01_Supuestos!$I$39</f>
        <v>0.25</v>
      </c>
      <c r="M16" s="176" t="n">
        <f aca="false">01_Supuestos!$I$39</f>
        <v>0.25</v>
      </c>
      <c r="N16" s="176" t="n">
        <f aca="false">01_Supuestos!$I$39</f>
        <v>0.25</v>
      </c>
      <c r="O16" s="176" t="n">
        <f aca="false">01_Supuestos!$I$39</f>
        <v>0.25</v>
      </c>
      <c r="P16" s="176" t="n">
        <f aca="false">01_Supuestos!$I$39</f>
        <v>0.25</v>
      </c>
      <c r="Q16" s="176" t="n">
        <f aca="false">01_Supuestos!$I$39</f>
        <v>0.25</v>
      </c>
      <c r="R16" s="176" t="n">
        <f aca="false">01_Supuestos!$I$39</f>
        <v>0.25</v>
      </c>
      <c r="S16" s="176" t="n">
        <f aca="false">01_Supuestos!$I$39</f>
        <v>0.25</v>
      </c>
      <c r="T16" s="176" t="n">
        <f aca="false">01_Supuestos!$I$39</f>
        <v>0.25</v>
      </c>
      <c r="U16" s="176" t="n">
        <f aca="false">01_Supuestos!$I$39</f>
        <v>0.25</v>
      </c>
      <c r="V16" s="176" t="n">
        <f aca="false">01_Supuestos!$I$39</f>
        <v>0.25</v>
      </c>
      <c r="W16" s="176" t="n">
        <f aca="false">01_Supuestos!$I$39</f>
        <v>0.25</v>
      </c>
      <c r="X16" s="176" t="n">
        <f aca="false">01_Supuestos!$I$39</f>
        <v>0.25</v>
      </c>
      <c r="Y16" s="176" t="n">
        <f aca="false">01_Supuestos!$I$39</f>
        <v>0.25</v>
      </c>
      <c r="Z16" s="176" t="n">
        <f aca="false">01_Supuestos!$I$39</f>
        <v>0.25</v>
      </c>
      <c r="AA16" s="176" t="n">
        <f aca="false">01_Supuestos!$I$39</f>
        <v>0.25</v>
      </c>
      <c r="AB16" s="176" t="n">
        <f aca="false">01_Supuestos!$I$39</f>
        <v>0.25</v>
      </c>
      <c r="AC16" s="176" t="n">
        <f aca="false">01_Supuestos!$I$39</f>
        <v>0.25</v>
      </c>
      <c r="AD16" s="176" t="n">
        <f aca="false">01_Supuestos!$I$39</f>
        <v>0.25</v>
      </c>
      <c r="AE16" s="176" t="n">
        <f aca="false">01_Supuestos!$I$39</f>
        <v>0.25</v>
      </c>
      <c r="AF16" s="176" t="n">
        <f aca="false">01_Supuestos!$I$39</f>
        <v>0.25</v>
      </c>
      <c r="AG16" s="176"/>
      <c r="AH16" s="176"/>
      <c r="AI16" s="176"/>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c r="BN16" s="176"/>
      <c r="BO16" s="176"/>
      <c r="BP16" s="176"/>
      <c r="BQ16" s="176"/>
      <c r="BR16" s="176"/>
      <c r="BS16" s="176"/>
      <c r="BT16" s="176"/>
    </row>
    <row r="17" customFormat="false" ht="15" hidden="false" customHeight="true" outlineLevel="0" collapsed="false">
      <c r="B17" s="41" t="s">
        <v>1541</v>
      </c>
      <c r="C17" s="176" t="n">
        <f aca="false">01_Supuestos!$I$20</f>
        <v>0.6</v>
      </c>
      <c r="D17" s="176" t="n">
        <f aca="false">01_Supuestos!$I$20</f>
        <v>0.6</v>
      </c>
      <c r="E17" s="176" t="n">
        <f aca="false">01_Supuestos!$I$20</f>
        <v>0.6</v>
      </c>
      <c r="F17" s="176" t="n">
        <f aca="false">01_Supuestos!$I$20</f>
        <v>0.6</v>
      </c>
      <c r="G17" s="176" t="n">
        <f aca="false">01_Supuestos!$I$20</f>
        <v>0.6</v>
      </c>
      <c r="H17" s="176" t="n">
        <f aca="false">01_Supuestos!$I$20</f>
        <v>0.6</v>
      </c>
      <c r="I17" s="176" t="n">
        <f aca="false">01_Supuestos!$I$20</f>
        <v>0.6</v>
      </c>
      <c r="J17" s="176" t="n">
        <f aca="false">01_Supuestos!$I$20</f>
        <v>0.6</v>
      </c>
      <c r="K17" s="176" t="n">
        <f aca="false">01_Supuestos!$I$20</f>
        <v>0.6</v>
      </c>
      <c r="L17" s="176" t="n">
        <f aca="false">01_Supuestos!$I$20</f>
        <v>0.6</v>
      </c>
      <c r="M17" s="176" t="n">
        <f aca="false">01_Supuestos!$I$20</f>
        <v>0.6</v>
      </c>
      <c r="N17" s="176" t="n">
        <f aca="false">01_Supuestos!$I$20</f>
        <v>0.6</v>
      </c>
      <c r="O17" s="176" t="n">
        <f aca="false">01_Supuestos!$I$20</f>
        <v>0.6</v>
      </c>
      <c r="P17" s="176" t="n">
        <f aca="false">01_Supuestos!$I$20</f>
        <v>0.6</v>
      </c>
      <c r="Q17" s="176" t="n">
        <f aca="false">01_Supuestos!$I$20</f>
        <v>0.6</v>
      </c>
      <c r="R17" s="176" t="n">
        <f aca="false">01_Supuestos!$I$20</f>
        <v>0.6</v>
      </c>
      <c r="S17" s="176" t="n">
        <f aca="false">01_Supuestos!$I$20</f>
        <v>0.6</v>
      </c>
      <c r="T17" s="176" t="n">
        <f aca="false">01_Supuestos!$I$20</f>
        <v>0.6</v>
      </c>
      <c r="U17" s="176" t="n">
        <f aca="false">01_Supuestos!$I$20</f>
        <v>0.6</v>
      </c>
      <c r="V17" s="176" t="n">
        <f aca="false">01_Supuestos!$I$20</f>
        <v>0.6</v>
      </c>
      <c r="W17" s="176" t="n">
        <f aca="false">01_Supuestos!$I$20</f>
        <v>0.6</v>
      </c>
      <c r="X17" s="176" t="n">
        <f aca="false">01_Supuestos!$I$20</f>
        <v>0.6</v>
      </c>
      <c r="Y17" s="176" t="n">
        <f aca="false">01_Supuestos!$I$20</f>
        <v>0.6</v>
      </c>
      <c r="Z17" s="176" t="n">
        <f aca="false">01_Supuestos!$I$20</f>
        <v>0.6</v>
      </c>
      <c r="AA17" s="176" t="n">
        <f aca="false">01_Supuestos!$I$20</f>
        <v>0.6</v>
      </c>
      <c r="AB17" s="176" t="n">
        <f aca="false">01_Supuestos!$I$20</f>
        <v>0.6</v>
      </c>
      <c r="AC17" s="176" t="n">
        <f aca="false">01_Supuestos!$I$20</f>
        <v>0.6</v>
      </c>
      <c r="AD17" s="176" t="n">
        <f aca="false">01_Supuestos!$I$20</f>
        <v>0.6</v>
      </c>
      <c r="AE17" s="176" t="n">
        <f aca="false">01_Supuestos!$I$20</f>
        <v>0.6</v>
      </c>
      <c r="AF17" s="176" t="n">
        <f aca="false">01_Supuestos!$I$20</f>
        <v>0.6</v>
      </c>
      <c r="AG17" s="176"/>
      <c r="AH17" s="176"/>
      <c r="AI17" s="176"/>
      <c r="AJ17" s="176"/>
      <c r="AK17" s="176"/>
      <c r="AL17" s="176"/>
      <c r="AM17" s="176"/>
      <c r="AN17" s="176"/>
      <c r="AO17" s="176"/>
      <c r="AP17" s="176"/>
      <c r="AQ17" s="176"/>
      <c r="AR17" s="176"/>
      <c r="AS17" s="176"/>
      <c r="AT17" s="176"/>
      <c r="AU17" s="176"/>
      <c r="AV17" s="176"/>
      <c r="AW17" s="176"/>
      <c r="AX17" s="176"/>
      <c r="AY17" s="176"/>
      <c r="AZ17" s="176"/>
      <c r="BA17" s="176"/>
      <c r="BB17" s="176"/>
      <c r="BC17" s="176"/>
      <c r="BD17" s="176"/>
      <c r="BE17" s="176"/>
      <c r="BF17" s="176"/>
      <c r="BG17" s="176"/>
      <c r="BH17" s="176"/>
      <c r="BI17" s="176"/>
      <c r="BJ17" s="176"/>
      <c r="BK17" s="176"/>
      <c r="BL17" s="176"/>
      <c r="BM17" s="176"/>
      <c r="BN17" s="176"/>
      <c r="BO17" s="176"/>
      <c r="BP17" s="176"/>
      <c r="BQ17" s="176"/>
      <c r="BR17" s="176"/>
      <c r="BS17" s="176"/>
      <c r="BT17" s="176"/>
    </row>
    <row r="18" customFormat="false" ht="15" hidden="false" customHeight="true" outlineLevel="0" collapsed="false">
      <c r="B18" s="41" t="s">
        <v>1542</v>
      </c>
      <c r="C18" s="179" t="n">
        <f aca="false">01_Supuestos!$I$21</f>
        <v>60000</v>
      </c>
      <c r="D18" s="179" t="n">
        <f aca="false">01_Supuestos!$I$21</f>
        <v>60000</v>
      </c>
      <c r="E18" s="179" t="n">
        <f aca="false">01_Supuestos!$I$21</f>
        <v>60000</v>
      </c>
      <c r="F18" s="179" t="n">
        <f aca="false">01_Supuestos!$I$21</f>
        <v>60000</v>
      </c>
      <c r="G18" s="179" t="n">
        <f aca="false">01_Supuestos!$I$21</f>
        <v>60000</v>
      </c>
      <c r="H18" s="179" t="n">
        <f aca="false">01_Supuestos!$I$21</f>
        <v>60000</v>
      </c>
      <c r="I18" s="179" t="n">
        <f aca="false">01_Supuestos!$I$21</f>
        <v>60000</v>
      </c>
      <c r="J18" s="179" t="n">
        <f aca="false">01_Supuestos!$I$21</f>
        <v>60000</v>
      </c>
      <c r="K18" s="179" t="n">
        <f aca="false">01_Supuestos!$I$21</f>
        <v>60000</v>
      </c>
      <c r="L18" s="179" t="n">
        <f aca="false">01_Supuestos!$I$21</f>
        <v>60000</v>
      </c>
      <c r="M18" s="179" t="n">
        <f aca="false">01_Supuestos!$I$21</f>
        <v>60000</v>
      </c>
      <c r="N18" s="179" t="n">
        <f aca="false">01_Supuestos!$I$21</f>
        <v>60000</v>
      </c>
      <c r="O18" s="179" t="n">
        <f aca="false">01_Supuestos!$I$21</f>
        <v>60000</v>
      </c>
      <c r="P18" s="179" t="n">
        <f aca="false">01_Supuestos!$I$21</f>
        <v>60000</v>
      </c>
      <c r="Q18" s="179" t="n">
        <f aca="false">01_Supuestos!$I$21</f>
        <v>60000</v>
      </c>
      <c r="R18" s="179" t="n">
        <f aca="false">01_Supuestos!$I$21</f>
        <v>60000</v>
      </c>
      <c r="S18" s="179" t="n">
        <f aca="false">01_Supuestos!$I$21</f>
        <v>60000</v>
      </c>
      <c r="T18" s="179" t="n">
        <f aca="false">01_Supuestos!$I$21</f>
        <v>60000</v>
      </c>
      <c r="U18" s="179" t="n">
        <f aca="false">01_Supuestos!$I$21</f>
        <v>60000</v>
      </c>
      <c r="V18" s="179" t="n">
        <f aca="false">01_Supuestos!$I$21</f>
        <v>60000</v>
      </c>
      <c r="W18" s="179" t="n">
        <f aca="false">01_Supuestos!$I$21</f>
        <v>60000</v>
      </c>
      <c r="X18" s="179" t="n">
        <f aca="false">01_Supuestos!$I$21</f>
        <v>60000</v>
      </c>
      <c r="Y18" s="179" t="n">
        <f aca="false">01_Supuestos!$I$21</f>
        <v>60000</v>
      </c>
      <c r="Z18" s="179" t="n">
        <f aca="false">01_Supuestos!$I$21</f>
        <v>60000</v>
      </c>
      <c r="AA18" s="179" t="n">
        <f aca="false">01_Supuestos!$I$21</f>
        <v>60000</v>
      </c>
      <c r="AB18" s="179" t="n">
        <f aca="false">01_Supuestos!$I$21</f>
        <v>60000</v>
      </c>
      <c r="AC18" s="179" t="n">
        <f aca="false">01_Supuestos!$I$21</f>
        <v>60000</v>
      </c>
      <c r="AD18" s="179" t="n">
        <f aca="false">01_Supuestos!$I$21</f>
        <v>60000</v>
      </c>
      <c r="AE18" s="179" t="n">
        <f aca="false">01_Supuestos!$I$21</f>
        <v>60000</v>
      </c>
      <c r="AF18" s="179" t="n">
        <f aca="false">01_Supuestos!$I$21</f>
        <v>60000</v>
      </c>
      <c r="AG18" s="179"/>
      <c r="AH18" s="179"/>
      <c r="AI18" s="179"/>
      <c r="AJ18" s="179"/>
      <c r="AK18" s="179"/>
      <c r="AL18" s="179"/>
      <c r="AM18" s="179"/>
      <c r="AN18" s="179"/>
      <c r="AO18" s="179"/>
      <c r="AP18" s="179"/>
      <c r="AQ18" s="179"/>
      <c r="AR18" s="179"/>
      <c r="AS18" s="179"/>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79"/>
      <c r="BP18" s="179"/>
      <c r="BQ18" s="179"/>
      <c r="BR18" s="179"/>
      <c r="BS18" s="179"/>
      <c r="BT18" s="179"/>
    </row>
    <row r="19" customFormat="false" ht="15" hidden="false" customHeight="true" outlineLevel="0" collapsed="false">
      <c r="B19" s="41" t="s">
        <v>1543</v>
      </c>
      <c r="C19" s="179" t="n">
        <f aca="false">01_Supuestos!$I$22</f>
        <v>20</v>
      </c>
      <c r="D19" s="179" t="n">
        <f aca="false">01_Supuestos!$I$22</f>
        <v>20</v>
      </c>
      <c r="E19" s="179" t="n">
        <f aca="false">01_Supuestos!$I$22</f>
        <v>20</v>
      </c>
      <c r="F19" s="179" t="n">
        <f aca="false">01_Supuestos!$I$22</f>
        <v>20</v>
      </c>
      <c r="G19" s="179" t="n">
        <f aca="false">01_Supuestos!$I$22</f>
        <v>20</v>
      </c>
      <c r="H19" s="179" t="n">
        <f aca="false">01_Supuestos!$I$22</f>
        <v>20</v>
      </c>
      <c r="I19" s="179" t="n">
        <f aca="false">01_Supuestos!$I$22</f>
        <v>20</v>
      </c>
      <c r="J19" s="179" t="n">
        <f aca="false">01_Supuestos!$I$22</f>
        <v>20</v>
      </c>
      <c r="K19" s="179" t="n">
        <f aca="false">01_Supuestos!$I$22</f>
        <v>20</v>
      </c>
      <c r="L19" s="179" t="n">
        <f aca="false">01_Supuestos!$I$22</f>
        <v>20</v>
      </c>
      <c r="M19" s="179" t="n">
        <f aca="false">01_Supuestos!$I$22</f>
        <v>20</v>
      </c>
      <c r="N19" s="179" t="n">
        <f aca="false">01_Supuestos!$I$22</f>
        <v>20</v>
      </c>
      <c r="O19" s="179" t="n">
        <f aca="false">01_Supuestos!$I$22</f>
        <v>20</v>
      </c>
      <c r="P19" s="179" t="n">
        <f aca="false">01_Supuestos!$I$22</f>
        <v>20</v>
      </c>
      <c r="Q19" s="179" t="n">
        <f aca="false">01_Supuestos!$I$22</f>
        <v>20</v>
      </c>
      <c r="R19" s="179" t="n">
        <f aca="false">01_Supuestos!$I$22</f>
        <v>20</v>
      </c>
      <c r="S19" s="179" t="n">
        <f aca="false">01_Supuestos!$I$22</f>
        <v>20</v>
      </c>
      <c r="T19" s="179" t="n">
        <f aca="false">01_Supuestos!$I$22</f>
        <v>20</v>
      </c>
      <c r="U19" s="179" t="n">
        <f aca="false">01_Supuestos!$I$22</f>
        <v>20</v>
      </c>
      <c r="V19" s="179" t="n">
        <f aca="false">01_Supuestos!$I$22</f>
        <v>20</v>
      </c>
      <c r="W19" s="179" t="n">
        <f aca="false">01_Supuestos!$I$22</f>
        <v>20</v>
      </c>
      <c r="X19" s="179" t="n">
        <f aca="false">01_Supuestos!$I$22</f>
        <v>20</v>
      </c>
      <c r="Y19" s="179" t="n">
        <f aca="false">01_Supuestos!$I$22</f>
        <v>20</v>
      </c>
      <c r="Z19" s="179" t="n">
        <f aca="false">01_Supuestos!$I$22</f>
        <v>20</v>
      </c>
      <c r="AA19" s="179" t="n">
        <f aca="false">01_Supuestos!$I$22</f>
        <v>20</v>
      </c>
      <c r="AB19" s="179" t="n">
        <f aca="false">01_Supuestos!$I$22</f>
        <v>20</v>
      </c>
      <c r="AC19" s="179" t="n">
        <f aca="false">01_Supuestos!$I$22</f>
        <v>20</v>
      </c>
      <c r="AD19" s="179" t="n">
        <f aca="false">01_Supuestos!$I$22</f>
        <v>20</v>
      </c>
      <c r="AE19" s="179" t="n">
        <f aca="false">01_Supuestos!$I$22</f>
        <v>20</v>
      </c>
      <c r="AF19" s="179" t="n">
        <f aca="false">01_Supuestos!$I$22</f>
        <v>20</v>
      </c>
      <c r="AG19" s="179"/>
      <c r="AH19" s="179"/>
      <c r="AI19" s="179"/>
      <c r="AJ19" s="179"/>
      <c r="AK19" s="179"/>
      <c r="AL19" s="179"/>
      <c r="AM19" s="179"/>
      <c r="AN19" s="179"/>
      <c r="AO19" s="179"/>
      <c r="AP19" s="179"/>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79"/>
      <c r="BP19" s="179"/>
      <c r="BQ19" s="179"/>
      <c r="BR19" s="179"/>
      <c r="BS19" s="179"/>
      <c r="BT19" s="179"/>
    </row>
    <row r="20" customFormat="false" ht="15" hidden="false" customHeight="true" outlineLevel="0" collapsed="false">
      <c r="B20" s="41" t="s">
        <v>1544</v>
      </c>
      <c r="C20" s="180" t="n">
        <f aca="false">01_Supuestos!$I$28</f>
        <v>20.6</v>
      </c>
      <c r="D20" s="180" t="n">
        <f aca="false">01_Supuestos!$I$28</f>
        <v>20.6</v>
      </c>
      <c r="E20" s="180" t="n">
        <f aca="false">01_Supuestos!$I$28</f>
        <v>20.6</v>
      </c>
      <c r="F20" s="180" t="n">
        <f aca="false">01_Supuestos!$I$28</f>
        <v>20.6</v>
      </c>
      <c r="G20" s="180" t="n">
        <f aca="false">01_Supuestos!$I$28</f>
        <v>20.6</v>
      </c>
      <c r="H20" s="180" t="n">
        <f aca="false">01_Supuestos!$I$28</f>
        <v>20.6</v>
      </c>
      <c r="I20" s="180" t="n">
        <f aca="false">01_Supuestos!$I$28</f>
        <v>20.6</v>
      </c>
      <c r="J20" s="180" t="n">
        <f aca="false">01_Supuestos!$I$28</f>
        <v>20.6</v>
      </c>
      <c r="K20" s="180" t="n">
        <f aca="false">01_Supuestos!$I$28</f>
        <v>20.6</v>
      </c>
      <c r="L20" s="180" t="n">
        <f aca="false">01_Supuestos!$I$28</f>
        <v>20.6</v>
      </c>
      <c r="M20" s="180" t="n">
        <f aca="false">01_Supuestos!$I$28</f>
        <v>20.6</v>
      </c>
      <c r="N20" s="180" t="n">
        <f aca="false">01_Supuestos!$I$28</f>
        <v>20.6</v>
      </c>
      <c r="O20" s="180" t="n">
        <f aca="false">01_Supuestos!$I$28</f>
        <v>20.6</v>
      </c>
      <c r="P20" s="180" t="n">
        <f aca="false">01_Supuestos!$I$28</f>
        <v>20.6</v>
      </c>
      <c r="Q20" s="180" t="n">
        <f aca="false">01_Supuestos!$I$28</f>
        <v>20.6</v>
      </c>
      <c r="R20" s="180" t="n">
        <f aca="false">01_Supuestos!$I$28</f>
        <v>20.6</v>
      </c>
      <c r="S20" s="180" t="n">
        <f aca="false">01_Supuestos!$I$28</f>
        <v>20.6</v>
      </c>
      <c r="T20" s="180" t="n">
        <f aca="false">01_Supuestos!$I$28</f>
        <v>20.6</v>
      </c>
      <c r="U20" s="180" t="n">
        <f aca="false">01_Supuestos!$I$28</f>
        <v>20.6</v>
      </c>
      <c r="V20" s="180" t="n">
        <f aca="false">01_Supuestos!$I$28</f>
        <v>20.6</v>
      </c>
      <c r="W20" s="180" t="n">
        <f aca="false">01_Supuestos!$I$28</f>
        <v>20.6</v>
      </c>
      <c r="X20" s="180" t="n">
        <f aca="false">01_Supuestos!$I$28</f>
        <v>20.6</v>
      </c>
      <c r="Y20" s="180" t="n">
        <f aca="false">01_Supuestos!$I$28</f>
        <v>20.6</v>
      </c>
      <c r="Z20" s="180" t="n">
        <f aca="false">01_Supuestos!$I$28</f>
        <v>20.6</v>
      </c>
      <c r="AA20" s="180" t="n">
        <f aca="false">01_Supuestos!$I$28</f>
        <v>20.6</v>
      </c>
      <c r="AB20" s="180" t="n">
        <f aca="false">01_Supuestos!$I$28</f>
        <v>20.6</v>
      </c>
      <c r="AC20" s="180" t="n">
        <f aca="false">01_Supuestos!$I$28</f>
        <v>20.6</v>
      </c>
      <c r="AD20" s="180" t="n">
        <f aca="false">01_Supuestos!$I$28</f>
        <v>20.6</v>
      </c>
      <c r="AE20" s="180" t="n">
        <f aca="false">01_Supuestos!$I$28</f>
        <v>20.6</v>
      </c>
      <c r="AF20" s="180" t="n">
        <f aca="false">01_Supuestos!$I$28</f>
        <v>20.6</v>
      </c>
      <c r="AG20" s="180"/>
      <c r="AH20" s="180"/>
      <c r="AI20" s="180"/>
      <c r="AJ20" s="180"/>
      <c r="AK20" s="180"/>
      <c r="AL20" s="180"/>
      <c r="AM20" s="180"/>
      <c r="AN20" s="180"/>
      <c r="AO20" s="180"/>
      <c r="AP20" s="180"/>
      <c r="AQ20" s="180"/>
      <c r="AR20" s="180"/>
      <c r="AS20" s="180"/>
      <c r="AT20" s="180"/>
      <c r="AU20" s="180"/>
      <c r="AV20" s="180"/>
      <c r="AW20" s="180"/>
      <c r="AX20" s="180"/>
      <c r="AY20" s="180"/>
      <c r="AZ20" s="180"/>
      <c r="BA20" s="180"/>
      <c r="BB20" s="180"/>
      <c r="BC20" s="180"/>
      <c r="BD20" s="180"/>
      <c r="BE20" s="180"/>
      <c r="BF20" s="180"/>
      <c r="BG20" s="180"/>
      <c r="BH20" s="180"/>
      <c r="BI20" s="180"/>
      <c r="BJ20" s="180"/>
      <c r="BK20" s="180"/>
      <c r="BL20" s="180"/>
      <c r="BM20" s="180"/>
      <c r="BN20" s="180"/>
      <c r="BO20" s="180"/>
      <c r="BP20" s="180"/>
      <c r="BQ20" s="180"/>
      <c r="BR20" s="180"/>
      <c r="BS20" s="180"/>
      <c r="BT20" s="180"/>
    </row>
    <row r="21" customFormat="false" ht="15" hidden="false" customHeight="true" outlineLevel="0" collapsed="false">
      <c r="B21" s="41" t="s">
        <v>1545</v>
      </c>
      <c r="C21" s="179" t="n">
        <f aca="false">01_Supuestos!$I$29</f>
        <v>10</v>
      </c>
      <c r="D21" s="179" t="n">
        <f aca="false">01_Supuestos!$I$29</f>
        <v>10</v>
      </c>
      <c r="E21" s="179" t="n">
        <f aca="false">01_Supuestos!$I$29</f>
        <v>10</v>
      </c>
      <c r="F21" s="179" t="n">
        <f aca="false">01_Supuestos!$I$29</f>
        <v>10</v>
      </c>
      <c r="G21" s="179" t="n">
        <f aca="false">01_Supuestos!$I$29</f>
        <v>10</v>
      </c>
      <c r="H21" s="179" t="n">
        <f aca="false">01_Supuestos!$I$29</f>
        <v>10</v>
      </c>
      <c r="I21" s="179" t="n">
        <f aca="false">01_Supuestos!$I$29</f>
        <v>10</v>
      </c>
      <c r="J21" s="179" t="n">
        <f aca="false">01_Supuestos!$I$29</f>
        <v>10</v>
      </c>
      <c r="K21" s="179" t="n">
        <f aca="false">01_Supuestos!$I$29</f>
        <v>10</v>
      </c>
      <c r="L21" s="179" t="n">
        <f aca="false">01_Supuestos!$I$29</f>
        <v>10</v>
      </c>
      <c r="M21" s="179" t="n">
        <f aca="false">01_Supuestos!$I$29</f>
        <v>10</v>
      </c>
      <c r="N21" s="179" t="n">
        <f aca="false">01_Supuestos!$I$29</f>
        <v>10</v>
      </c>
      <c r="O21" s="179" t="n">
        <f aca="false">01_Supuestos!$I$29</f>
        <v>10</v>
      </c>
      <c r="P21" s="179" t="n">
        <f aca="false">01_Supuestos!$I$29</f>
        <v>10</v>
      </c>
      <c r="Q21" s="179" t="n">
        <f aca="false">01_Supuestos!$I$29</f>
        <v>10</v>
      </c>
      <c r="R21" s="179" t="n">
        <f aca="false">01_Supuestos!$I$29</f>
        <v>10</v>
      </c>
      <c r="S21" s="179" t="n">
        <f aca="false">01_Supuestos!$I$29</f>
        <v>10</v>
      </c>
      <c r="T21" s="179" t="n">
        <f aca="false">01_Supuestos!$I$29</f>
        <v>10</v>
      </c>
      <c r="U21" s="179" t="n">
        <f aca="false">01_Supuestos!$I$29</f>
        <v>10</v>
      </c>
      <c r="V21" s="179" t="n">
        <f aca="false">01_Supuestos!$I$29</f>
        <v>10</v>
      </c>
      <c r="W21" s="179" t="n">
        <f aca="false">01_Supuestos!$I$29</f>
        <v>10</v>
      </c>
      <c r="X21" s="179" t="n">
        <f aca="false">01_Supuestos!$I$29</f>
        <v>10</v>
      </c>
      <c r="Y21" s="179" t="n">
        <f aca="false">01_Supuestos!$I$29</f>
        <v>10</v>
      </c>
      <c r="Z21" s="179" t="n">
        <f aca="false">01_Supuestos!$I$29</f>
        <v>10</v>
      </c>
      <c r="AA21" s="179" t="n">
        <f aca="false">01_Supuestos!$I$29</f>
        <v>10</v>
      </c>
      <c r="AB21" s="179" t="n">
        <f aca="false">01_Supuestos!$I$29</f>
        <v>10</v>
      </c>
      <c r="AC21" s="179" t="n">
        <f aca="false">01_Supuestos!$I$29</f>
        <v>10</v>
      </c>
      <c r="AD21" s="179" t="n">
        <f aca="false">01_Supuestos!$I$29</f>
        <v>10</v>
      </c>
      <c r="AE21" s="179" t="n">
        <f aca="false">01_Supuestos!$I$29</f>
        <v>10</v>
      </c>
      <c r="AF21" s="179" t="n">
        <f aca="false">01_Supuestos!$I$29</f>
        <v>10</v>
      </c>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c r="BP21" s="179"/>
      <c r="BQ21" s="179"/>
      <c r="BR21" s="179"/>
      <c r="BS21" s="179"/>
      <c r="BT21" s="179"/>
    </row>
    <row r="22" customFormat="false" ht="15" hidden="false" customHeight="true" outlineLevel="0" collapsed="false">
      <c r="B22" s="181" t="s">
        <v>1546</v>
      </c>
      <c r="C22" s="180" t="n">
        <f aca="false">01_Supuestos!$I$26</f>
        <v>1.1</v>
      </c>
      <c r="D22" s="180" t="n">
        <f aca="false">01_Supuestos!$I$26</f>
        <v>1.1</v>
      </c>
      <c r="E22" s="180" t="n">
        <f aca="false">01_Supuestos!$I$26</f>
        <v>1.1</v>
      </c>
      <c r="F22" s="180" t="n">
        <f aca="false">01_Supuestos!$I$26</f>
        <v>1.1</v>
      </c>
      <c r="G22" s="180" t="n">
        <f aca="false">01_Supuestos!$I$26</f>
        <v>1.1</v>
      </c>
      <c r="H22" s="180" t="n">
        <f aca="false">01_Supuestos!$I$26</f>
        <v>1.1</v>
      </c>
      <c r="I22" s="180" t="n">
        <f aca="false">01_Supuestos!$I$26</f>
        <v>1.1</v>
      </c>
      <c r="J22" s="180" t="n">
        <f aca="false">01_Supuestos!$I$26</f>
        <v>1.1</v>
      </c>
      <c r="K22" s="180" t="n">
        <f aca="false">01_Supuestos!$I$26</f>
        <v>1.1</v>
      </c>
      <c r="L22" s="180" t="n">
        <f aca="false">01_Supuestos!$I$26</f>
        <v>1.1</v>
      </c>
      <c r="M22" s="180" t="n">
        <f aca="false">01_Supuestos!$I$26</f>
        <v>1.1</v>
      </c>
      <c r="N22" s="180" t="n">
        <f aca="false">01_Supuestos!$I$26</f>
        <v>1.1</v>
      </c>
      <c r="O22" s="180" t="n">
        <f aca="false">01_Supuestos!$I$26</f>
        <v>1.1</v>
      </c>
      <c r="P22" s="180" t="n">
        <f aca="false">01_Supuestos!$I$26</f>
        <v>1.1</v>
      </c>
      <c r="Q22" s="180" t="n">
        <f aca="false">01_Supuestos!$I$26</f>
        <v>1.1</v>
      </c>
      <c r="R22" s="180" t="n">
        <f aca="false">01_Supuestos!$I$26</f>
        <v>1.1</v>
      </c>
      <c r="S22" s="180" t="n">
        <f aca="false">01_Supuestos!$I$26</f>
        <v>1.1</v>
      </c>
      <c r="T22" s="180" t="n">
        <f aca="false">01_Supuestos!$I$26</f>
        <v>1.1</v>
      </c>
      <c r="U22" s="180" t="n">
        <f aca="false">01_Supuestos!$I$26</f>
        <v>1.1</v>
      </c>
      <c r="V22" s="180" t="n">
        <f aca="false">01_Supuestos!$I$26</f>
        <v>1.1</v>
      </c>
      <c r="W22" s="180" t="n">
        <f aca="false">01_Supuestos!$I$26</f>
        <v>1.1</v>
      </c>
      <c r="X22" s="180" t="n">
        <f aca="false">01_Supuestos!$I$26</f>
        <v>1.1</v>
      </c>
      <c r="Y22" s="180" t="n">
        <f aca="false">01_Supuestos!$I$26</f>
        <v>1.1</v>
      </c>
      <c r="Z22" s="180" t="n">
        <f aca="false">01_Supuestos!$I$26</f>
        <v>1.1</v>
      </c>
      <c r="AA22" s="180" t="n">
        <f aca="false">01_Supuestos!$I$26</f>
        <v>1.1</v>
      </c>
      <c r="AB22" s="180" t="n">
        <f aca="false">01_Supuestos!$I$26</f>
        <v>1.1</v>
      </c>
      <c r="AC22" s="180" t="n">
        <f aca="false">01_Supuestos!$I$26</f>
        <v>1.1</v>
      </c>
      <c r="AD22" s="180" t="n">
        <f aca="false">01_Supuestos!$I$26</f>
        <v>1.1</v>
      </c>
      <c r="AE22" s="180" t="n">
        <f aca="false">01_Supuestos!$I$26</f>
        <v>1.1</v>
      </c>
      <c r="AF22" s="180" t="n">
        <f aca="false">01_Supuestos!$I$26</f>
        <v>1.1</v>
      </c>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c r="BP22" s="180"/>
      <c r="BQ22" s="180"/>
      <c r="BR22" s="180"/>
      <c r="BS22" s="180"/>
      <c r="BT22" s="180"/>
    </row>
    <row r="23" customFormat="false" ht="15" hidden="false" customHeight="true" outlineLevel="0" collapsed="false">
      <c r="B23" s="181" t="s">
        <v>1547</v>
      </c>
      <c r="C23" s="180" t="n">
        <f aca="false">01_Supuestos!$I$27</f>
        <v>2.5</v>
      </c>
      <c r="D23" s="180" t="n">
        <f aca="false">01_Supuestos!$I$27</f>
        <v>2.5</v>
      </c>
      <c r="E23" s="180" t="n">
        <f aca="false">01_Supuestos!$I$27</f>
        <v>2.5</v>
      </c>
      <c r="F23" s="180" t="n">
        <f aca="false">01_Supuestos!$I$27</f>
        <v>2.5</v>
      </c>
      <c r="G23" s="180" t="n">
        <f aca="false">01_Supuestos!$I$27</f>
        <v>2.5</v>
      </c>
      <c r="H23" s="180" t="n">
        <f aca="false">01_Supuestos!$I$27</f>
        <v>2.5</v>
      </c>
      <c r="I23" s="180" t="n">
        <f aca="false">01_Supuestos!$I$27</f>
        <v>2.5</v>
      </c>
      <c r="J23" s="180" t="n">
        <f aca="false">01_Supuestos!$I$27</f>
        <v>2.5</v>
      </c>
      <c r="K23" s="180" t="n">
        <f aca="false">01_Supuestos!$I$27</f>
        <v>2.5</v>
      </c>
      <c r="L23" s="180" t="n">
        <f aca="false">01_Supuestos!$I$27</f>
        <v>2.5</v>
      </c>
      <c r="M23" s="180" t="n">
        <f aca="false">01_Supuestos!$I$27</f>
        <v>2.5</v>
      </c>
      <c r="N23" s="180" t="n">
        <f aca="false">01_Supuestos!$I$27</f>
        <v>2.5</v>
      </c>
      <c r="O23" s="180" t="n">
        <f aca="false">01_Supuestos!$I$27</f>
        <v>2.5</v>
      </c>
      <c r="P23" s="180" t="n">
        <f aca="false">01_Supuestos!$I$27</f>
        <v>2.5</v>
      </c>
      <c r="Q23" s="180" t="n">
        <f aca="false">01_Supuestos!$I$27</f>
        <v>2.5</v>
      </c>
      <c r="R23" s="180" t="n">
        <f aca="false">01_Supuestos!$I$27</f>
        <v>2.5</v>
      </c>
      <c r="S23" s="180" t="n">
        <f aca="false">01_Supuestos!$I$27</f>
        <v>2.5</v>
      </c>
      <c r="T23" s="180" t="n">
        <f aca="false">01_Supuestos!$I$27</f>
        <v>2.5</v>
      </c>
      <c r="U23" s="180" t="n">
        <f aca="false">01_Supuestos!$I$27</f>
        <v>2.5</v>
      </c>
      <c r="V23" s="180" t="n">
        <f aca="false">01_Supuestos!$I$27</f>
        <v>2.5</v>
      </c>
      <c r="W23" s="180" t="n">
        <f aca="false">01_Supuestos!$I$27</f>
        <v>2.5</v>
      </c>
      <c r="X23" s="180" t="n">
        <f aca="false">01_Supuestos!$I$27</f>
        <v>2.5</v>
      </c>
      <c r="Y23" s="180" t="n">
        <f aca="false">01_Supuestos!$I$27</f>
        <v>2.5</v>
      </c>
      <c r="Z23" s="180" t="n">
        <f aca="false">01_Supuestos!$I$27</f>
        <v>2.5</v>
      </c>
      <c r="AA23" s="180" t="n">
        <f aca="false">01_Supuestos!$I$27</f>
        <v>2.5</v>
      </c>
      <c r="AB23" s="180" t="n">
        <f aca="false">01_Supuestos!$I$27</f>
        <v>2.5</v>
      </c>
      <c r="AC23" s="180" t="n">
        <f aca="false">01_Supuestos!$I$27</f>
        <v>2.5</v>
      </c>
      <c r="AD23" s="180" t="n">
        <f aca="false">01_Supuestos!$I$27</f>
        <v>2.5</v>
      </c>
      <c r="AE23" s="180" t="n">
        <f aca="false">01_Supuestos!$I$27</f>
        <v>2.5</v>
      </c>
      <c r="AF23" s="180" t="n">
        <f aca="false">01_Supuestos!$I$27</f>
        <v>2.5</v>
      </c>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180"/>
      <c r="BD23" s="180"/>
      <c r="BE23" s="180"/>
      <c r="BF23" s="180"/>
      <c r="BG23" s="180"/>
      <c r="BH23" s="180"/>
      <c r="BI23" s="180"/>
      <c r="BJ23" s="180"/>
      <c r="BK23" s="180"/>
      <c r="BL23" s="180"/>
      <c r="BM23" s="180"/>
      <c r="BN23" s="180"/>
      <c r="BO23" s="180"/>
      <c r="BP23" s="180"/>
      <c r="BQ23" s="180"/>
      <c r="BR23" s="180"/>
      <c r="BS23" s="180"/>
      <c r="BT23" s="180"/>
    </row>
    <row r="24" customFormat="false" ht="15" hidden="false" customHeight="true" outlineLevel="0" collapsed="false">
      <c r="B24" s="41" t="s">
        <v>1548</v>
      </c>
      <c r="C24" s="182" t="n">
        <f aca="false">01_Supuestos!$I$30</f>
        <v>231732</v>
      </c>
      <c r="D24" s="182" t="n">
        <f aca="false">01_Supuestos!$I$30</f>
        <v>231732</v>
      </c>
      <c r="E24" s="182" t="n">
        <f aca="false">01_Supuestos!$I$30</f>
        <v>231732</v>
      </c>
      <c r="F24" s="182" t="n">
        <f aca="false">01_Supuestos!$I$30</f>
        <v>231732</v>
      </c>
      <c r="G24" s="182" t="n">
        <f aca="false">01_Supuestos!$I$30</f>
        <v>231732</v>
      </c>
      <c r="H24" s="182" t="n">
        <f aca="false">01_Supuestos!$I$30</f>
        <v>231732</v>
      </c>
      <c r="I24" s="182" t="n">
        <f aca="false">01_Supuestos!$I$30</f>
        <v>231732</v>
      </c>
      <c r="J24" s="182" t="n">
        <f aca="false">01_Supuestos!$I$30</f>
        <v>231732</v>
      </c>
      <c r="K24" s="182" t="n">
        <f aca="false">01_Supuestos!$I$30</f>
        <v>231732</v>
      </c>
      <c r="L24" s="182" t="n">
        <f aca="false">01_Supuestos!$I$30</f>
        <v>231732</v>
      </c>
      <c r="M24" s="182" t="n">
        <f aca="false">01_Supuestos!$I$30</f>
        <v>231732</v>
      </c>
      <c r="N24" s="182" t="n">
        <f aca="false">01_Supuestos!$I$30</f>
        <v>231732</v>
      </c>
      <c r="O24" s="182" t="n">
        <f aca="false">01_Supuestos!$I$30</f>
        <v>231732</v>
      </c>
      <c r="P24" s="182" t="n">
        <f aca="false">01_Supuestos!$I$30</f>
        <v>231732</v>
      </c>
      <c r="Q24" s="182" t="n">
        <f aca="false">01_Supuestos!$I$30</f>
        <v>231732</v>
      </c>
      <c r="R24" s="182" t="n">
        <f aca="false">01_Supuestos!$I$30</f>
        <v>231732</v>
      </c>
      <c r="S24" s="182" t="n">
        <f aca="false">01_Supuestos!$I$30</f>
        <v>231732</v>
      </c>
      <c r="T24" s="182" t="n">
        <f aca="false">01_Supuestos!$I$30</f>
        <v>231732</v>
      </c>
      <c r="U24" s="182" t="n">
        <f aca="false">01_Supuestos!$I$30</f>
        <v>231732</v>
      </c>
      <c r="V24" s="182" t="n">
        <f aca="false">01_Supuestos!$I$30</f>
        <v>231732</v>
      </c>
      <c r="W24" s="182" t="n">
        <f aca="false">01_Supuestos!$I$30</f>
        <v>231732</v>
      </c>
      <c r="X24" s="182" t="n">
        <f aca="false">01_Supuestos!$I$30</f>
        <v>231732</v>
      </c>
      <c r="Y24" s="182" t="n">
        <f aca="false">01_Supuestos!$I$30</f>
        <v>231732</v>
      </c>
      <c r="Z24" s="182" t="n">
        <f aca="false">01_Supuestos!$I$30</f>
        <v>231732</v>
      </c>
      <c r="AA24" s="182" t="n">
        <f aca="false">01_Supuestos!$I$30</f>
        <v>231732</v>
      </c>
      <c r="AB24" s="182" t="n">
        <f aca="false">01_Supuestos!$I$30</f>
        <v>231732</v>
      </c>
      <c r="AC24" s="182" t="n">
        <f aca="false">01_Supuestos!$I$30</f>
        <v>231732</v>
      </c>
      <c r="AD24" s="182" t="n">
        <f aca="false">01_Supuestos!$I$30</f>
        <v>231732</v>
      </c>
      <c r="AE24" s="182" t="n">
        <f aca="false">01_Supuestos!$I$30</f>
        <v>231732</v>
      </c>
      <c r="AF24" s="182" t="n">
        <f aca="false">01_Supuestos!$I$30</f>
        <v>231732</v>
      </c>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row>
    <row r="25" customFormat="false" ht="15" hidden="false" customHeight="true" outlineLevel="0" collapsed="false">
      <c r="B25" s="41" t="s">
        <v>1549</v>
      </c>
      <c r="C25" s="176" t="n">
        <f aca="false">01_Supuestos!$I$31</f>
        <v>1</v>
      </c>
      <c r="D25" s="176" t="n">
        <f aca="false">01_Supuestos!$I$31</f>
        <v>1</v>
      </c>
      <c r="E25" s="176" t="n">
        <f aca="false">01_Supuestos!$I$31</f>
        <v>1</v>
      </c>
      <c r="F25" s="176" t="n">
        <f aca="false">01_Supuestos!$I$31</f>
        <v>1</v>
      </c>
      <c r="G25" s="176" t="n">
        <f aca="false">01_Supuestos!$I$31</f>
        <v>1</v>
      </c>
      <c r="H25" s="176" t="n">
        <f aca="false">01_Supuestos!$I$31</f>
        <v>1</v>
      </c>
      <c r="I25" s="176" t="n">
        <f aca="false">01_Supuestos!$I$31</f>
        <v>1</v>
      </c>
      <c r="J25" s="176" t="n">
        <f aca="false">01_Supuestos!$I$31</f>
        <v>1</v>
      </c>
      <c r="K25" s="176" t="n">
        <f aca="false">01_Supuestos!$I$31</f>
        <v>1</v>
      </c>
      <c r="L25" s="176" t="n">
        <f aca="false">01_Supuestos!$I$31</f>
        <v>1</v>
      </c>
      <c r="M25" s="176" t="n">
        <f aca="false">01_Supuestos!$I$31</f>
        <v>1</v>
      </c>
      <c r="N25" s="176" t="n">
        <f aca="false">01_Supuestos!$I$31</f>
        <v>1</v>
      </c>
      <c r="O25" s="176" t="n">
        <f aca="false">01_Supuestos!$I$31</f>
        <v>1</v>
      </c>
      <c r="P25" s="176" t="n">
        <f aca="false">01_Supuestos!$I$31</f>
        <v>1</v>
      </c>
      <c r="Q25" s="176" t="n">
        <f aca="false">01_Supuestos!$I$31</f>
        <v>1</v>
      </c>
      <c r="R25" s="176" t="n">
        <f aca="false">01_Supuestos!$I$31</f>
        <v>1</v>
      </c>
      <c r="S25" s="176" t="n">
        <f aca="false">01_Supuestos!$I$31</f>
        <v>1</v>
      </c>
      <c r="T25" s="176" t="n">
        <f aca="false">01_Supuestos!$I$31</f>
        <v>1</v>
      </c>
      <c r="U25" s="176" t="n">
        <f aca="false">01_Supuestos!$I$31</f>
        <v>1</v>
      </c>
      <c r="V25" s="176" t="n">
        <f aca="false">01_Supuestos!$I$31</f>
        <v>1</v>
      </c>
      <c r="W25" s="176" t="n">
        <f aca="false">01_Supuestos!$I$31</f>
        <v>1</v>
      </c>
      <c r="X25" s="176" t="n">
        <f aca="false">01_Supuestos!$I$31</f>
        <v>1</v>
      </c>
      <c r="Y25" s="176" t="n">
        <f aca="false">01_Supuestos!$I$31</f>
        <v>1</v>
      </c>
      <c r="Z25" s="176" t="n">
        <f aca="false">01_Supuestos!$I$31</f>
        <v>1</v>
      </c>
      <c r="AA25" s="176" t="n">
        <f aca="false">01_Supuestos!$I$31</f>
        <v>1</v>
      </c>
      <c r="AB25" s="176" t="n">
        <f aca="false">01_Supuestos!$I$31</f>
        <v>1</v>
      </c>
      <c r="AC25" s="176" t="n">
        <f aca="false">01_Supuestos!$I$31</f>
        <v>1</v>
      </c>
      <c r="AD25" s="176" t="n">
        <f aca="false">01_Supuestos!$I$31</f>
        <v>1</v>
      </c>
      <c r="AE25" s="176" t="n">
        <f aca="false">01_Supuestos!$I$31</f>
        <v>1</v>
      </c>
      <c r="AF25" s="176" t="n">
        <f aca="false">01_Supuestos!$I$31</f>
        <v>1</v>
      </c>
      <c r="AG25" s="176"/>
      <c r="AH25" s="176"/>
      <c r="AI25" s="176"/>
      <c r="AJ25" s="176"/>
      <c r="AK25" s="176"/>
      <c r="AL25" s="176"/>
      <c r="AM25" s="176"/>
      <c r="AN25" s="176"/>
      <c r="AO25" s="176"/>
      <c r="AP25" s="176"/>
      <c r="AQ25" s="176"/>
      <c r="AR25" s="176"/>
      <c r="AS25" s="176"/>
      <c r="AT25" s="176"/>
      <c r="AU25" s="176"/>
      <c r="AV25" s="176"/>
      <c r="AW25" s="176"/>
      <c r="AX25" s="176"/>
      <c r="AY25" s="176"/>
      <c r="AZ25" s="176"/>
      <c r="BA25" s="176"/>
      <c r="BB25" s="176"/>
      <c r="BC25" s="176"/>
      <c r="BD25" s="176"/>
      <c r="BE25" s="176"/>
      <c r="BF25" s="176"/>
      <c r="BG25" s="176"/>
      <c r="BH25" s="176"/>
      <c r="BI25" s="176"/>
      <c r="BJ25" s="176"/>
      <c r="BK25" s="176"/>
      <c r="BL25" s="176"/>
      <c r="BM25" s="176"/>
      <c r="BN25" s="176"/>
      <c r="BO25" s="176"/>
      <c r="BP25" s="176"/>
      <c r="BQ25" s="176"/>
      <c r="BR25" s="176"/>
      <c r="BS25" s="176"/>
      <c r="BT25" s="176"/>
    </row>
    <row r="26" customFormat="false" ht="15" hidden="false" customHeight="true" outlineLevel="0" collapsed="false">
      <c r="B26" s="41" t="s">
        <v>1550</v>
      </c>
      <c r="C26" s="179" t="n">
        <f aca="false">01_Supuestos!$I$25</f>
        <v>325</v>
      </c>
      <c r="D26" s="179" t="n">
        <f aca="false">01_Supuestos!$I$25</f>
        <v>325</v>
      </c>
      <c r="E26" s="179" t="n">
        <f aca="false">01_Supuestos!$I$25</f>
        <v>325</v>
      </c>
      <c r="F26" s="179" t="n">
        <f aca="false">01_Supuestos!$I$25</f>
        <v>325</v>
      </c>
      <c r="G26" s="179" t="n">
        <f aca="false">01_Supuestos!$I$25</f>
        <v>325</v>
      </c>
      <c r="H26" s="179" t="n">
        <f aca="false">01_Supuestos!$I$25</f>
        <v>325</v>
      </c>
      <c r="I26" s="179" t="n">
        <f aca="false">01_Supuestos!$I$25</f>
        <v>325</v>
      </c>
      <c r="J26" s="179" t="n">
        <f aca="false">01_Supuestos!$I$25</f>
        <v>325</v>
      </c>
      <c r="K26" s="179" t="n">
        <f aca="false">01_Supuestos!$I$25</f>
        <v>325</v>
      </c>
      <c r="L26" s="179" t="n">
        <f aca="false">01_Supuestos!$I$25</f>
        <v>325</v>
      </c>
      <c r="M26" s="179" t="n">
        <f aca="false">01_Supuestos!$I$25</f>
        <v>325</v>
      </c>
      <c r="N26" s="179" t="n">
        <f aca="false">01_Supuestos!$I$25</f>
        <v>325</v>
      </c>
      <c r="O26" s="179" t="n">
        <f aca="false">01_Supuestos!$I$25</f>
        <v>325</v>
      </c>
      <c r="P26" s="179" t="n">
        <f aca="false">01_Supuestos!$I$25</f>
        <v>325</v>
      </c>
      <c r="Q26" s="179" t="n">
        <f aca="false">01_Supuestos!$I$25</f>
        <v>325</v>
      </c>
      <c r="R26" s="179" t="n">
        <f aca="false">01_Supuestos!$I$25</f>
        <v>325</v>
      </c>
      <c r="S26" s="179" t="n">
        <f aca="false">01_Supuestos!$I$25</f>
        <v>325</v>
      </c>
      <c r="T26" s="179" t="n">
        <f aca="false">01_Supuestos!$I$25</f>
        <v>325</v>
      </c>
      <c r="U26" s="179" t="n">
        <f aca="false">01_Supuestos!$I$25</f>
        <v>325</v>
      </c>
      <c r="V26" s="179" t="n">
        <f aca="false">01_Supuestos!$I$25</f>
        <v>325</v>
      </c>
      <c r="W26" s="179" t="n">
        <f aca="false">01_Supuestos!$I$25</f>
        <v>325</v>
      </c>
      <c r="X26" s="179" t="n">
        <f aca="false">01_Supuestos!$I$25</f>
        <v>325</v>
      </c>
      <c r="Y26" s="179" t="n">
        <f aca="false">01_Supuestos!$I$25</f>
        <v>325</v>
      </c>
      <c r="Z26" s="179" t="n">
        <f aca="false">01_Supuestos!$I$25</f>
        <v>325</v>
      </c>
      <c r="AA26" s="179" t="n">
        <f aca="false">01_Supuestos!$I$25</f>
        <v>325</v>
      </c>
      <c r="AB26" s="179" t="n">
        <f aca="false">01_Supuestos!$I$25</f>
        <v>325</v>
      </c>
      <c r="AC26" s="179" t="n">
        <f aca="false">01_Supuestos!$I$25</f>
        <v>325</v>
      </c>
      <c r="AD26" s="179" t="n">
        <f aca="false">01_Supuestos!$I$25</f>
        <v>325</v>
      </c>
      <c r="AE26" s="179" t="n">
        <f aca="false">01_Supuestos!$I$25</f>
        <v>325</v>
      </c>
      <c r="AF26" s="179" t="n">
        <f aca="false">01_Supuestos!$I$25</f>
        <v>325</v>
      </c>
      <c r="AG26" s="179"/>
      <c r="AH26" s="179"/>
      <c r="AI26" s="179"/>
      <c r="AJ26" s="179"/>
      <c r="AK26" s="179"/>
      <c r="AL26" s="179"/>
      <c r="AM26" s="179"/>
      <c r="AN26" s="179"/>
      <c r="AO26" s="179"/>
      <c r="AP26" s="179"/>
      <c r="AQ26" s="179"/>
      <c r="AR26" s="179"/>
      <c r="AS26" s="179"/>
      <c r="AT26" s="179"/>
      <c r="AU26" s="179"/>
      <c r="AV26" s="179"/>
      <c r="AW26" s="179"/>
      <c r="AX26" s="179"/>
      <c r="AY26" s="179"/>
      <c r="AZ26" s="179"/>
      <c r="BA26" s="179"/>
      <c r="BB26" s="179"/>
      <c r="BC26" s="179"/>
      <c r="BD26" s="179"/>
      <c r="BE26" s="179"/>
      <c r="BF26" s="179"/>
      <c r="BG26" s="179"/>
      <c r="BH26" s="179"/>
      <c r="BI26" s="179"/>
      <c r="BJ26" s="179"/>
      <c r="BK26" s="179"/>
      <c r="BL26" s="179"/>
      <c r="BM26" s="179"/>
      <c r="BN26" s="179"/>
      <c r="BO26" s="179"/>
      <c r="BP26" s="179"/>
      <c r="BQ26" s="179"/>
      <c r="BR26" s="179"/>
      <c r="BS26" s="179"/>
      <c r="BT26" s="179"/>
    </row>
    <row r="27" customFormat="false" ht="23.25" hidden="false" customHeight="true" outlineLevel="0" collapsed="false">
      <c r="B27" s="41" t="s">
        <v>1551</v>
      </c>
      <c r="C27" s="183" t="n">
        <f aca="false">IF(LEFT(01_Supuestos!$G$5,1)="A",1,IF(LEFT(01_Supuestos!$G$5,1)="B",1+01_Supuestos!$I$50,IF(LEFT(01_Supuestos!$G$5,1)="C",1+01_Supuestos!$I$51,1+01_Supuestos!$I$52*01_Supuestos!$I$53)))</f>
        <v>1</v>
      </c>
      <c r="D27" s="183" t="n">
        <f aca="false">IF(LEFT(01_Supuestos!$G$5,1)="A",1,IF(LEFT(01_Supuestos!$G$5,1)="B",1+01_Supuestos!$I$50,IF(LEFT(01_Supuestos!$G$5,1)="C",1+01_Supuestos!$I$51,1+01_Supuestos!$I$52*01_Supuestos!$I$53)))</f>
        <v>1</v>
      </c>
      <c r="E27" s="183" t="n">
        <f aca="false">IF(LEFT(01_Supuestos!$G$5,1)="A",1,IF(LEFT(01_Supuestos!$G$5,1)="B",1+01_Supuestos!$I$50,IF(LEFT(01_Supuestos!$G$5,1)="C",1+01_Supuestos!$I$51,1+01_Supuestos!$I$52*01_Supuestos!$I$53)))</f>
        <v>1</v>
      </c>
      <c r="F27" s="183" t="n">
        <f aca="false">IF(LEFT(01_Supuestos!$G$5,1)="A",1,IF(LEFT(01_Supuestos!$G$5,1)="B",1+01_Supuestos!$I$50,IF(LEFT(01_Supuestos!$G$5,1)="C",1+01_Supuestos!$I$51,1+01_Supuestos!$I$52*01_Supuestos!$I$53)))</f>
        <v>1</v>
      </c>
      <c r="G27" s="183" t="n">
        <f aca="false">IF(LEFT(01_Supuestos!$G$5,1)="A",1,IF(LEFT(01_Supuestos!$G$5,1)="B",1+01_Supuestos!$I$50,IF(LEFT(01_Supuestos!$G$5,1)="C",1+01_Supuestos!$I$51,1+01_Supuestos!$I$52*01_Supuestos!$I$53)))</f>
        <v>1</v>
      </c>
      <c r="H27" s="183" t="n">
        <f aca="false">IF(LEFT(01_Supuestos!$G$5,1)="A",1,IF(LEFT(01_Supuestos!$G$5,1)="B",1+01_Supuestos!$I$50,IF(LEFT(01_Supuestos!$G$5,1)="C",1+01_Supuestos!$I$51,1+01_Supuestos!$I$52*01_Supuestos!$I$53)))</f>
        <v>1</v>
      </c>
      <c r="I27" s="183" t="n">
        <f aca="false">IF(LEFT(01_Supuestos!$G$5,1)="A",1,IF(LEFT(01_Supuestos!$G$5,1)="B",1+01_Supuestos!$I$50,IF(LEFT(01_Supuestos!$G$5,1)="C",1+01_Supuestos!$I$51,1+01_Supuestos!$I$52*01_Supuestos!$I$53)))</f>
        <v>1</v>
      </c>
      <c r="J27" s="183" t="n">
        <f aca="false">IF(LEFT(01_Supuestos!$G$5,1)="A",1,IF(LEFT(01_Supuestos!$G$5,1)="B",1+01_Supuestos!$I$50,IF(LEFT(01_Supuestos!$G$5,1)="C",1+01_Supuestos!$I$51,1+01_Supuestos!$I$52*01_Supuestos!$I$53)))</f>
        <v>1</v>
      </c>
      <c r="K27" s="183" t="n">
        <f aca="false">IF(LEFT(01_Supuestos!$G$5,1)="A",1,IF(LEFT(01_Supuestos!$G$5,1)="B",1+01_Supuestos!$I$50,IF(LEFT(01_Supuestos!$G$5,1)="C",1+01_Supuestos!$I$51,1+01_Supuestos!$I$52*01_Supuestos!$I$53)))</f>
        <v>1</v>
      </c>
      <c r="L27" s="183" t="n">
        <f aca="false">IF(LEFT(01_Supuestos!$G$5,1)="A",1,IF(LEFT(01_Supuestos!$G$5,1)="B",1+01_Supuestos!$I$50,IF(LEFT(01_Supuestos!$G$5,1)="C",1+01_Supuestos!$I$51,1+01_Supuestos!$I$52*01_Supuestos!$I$53)))</f>
        <v>1</v>
      </c>
      <c r="M27" s="183" t="n">
        <f aca="false">IF(LEFT(01_Supuestos!$G$5,1)="A",1,IF(LEFT(01_Supuestos!$G$5,1)="B",1+01_Supuestos!$I$50,IF(LEFT(01_Supuestos!$G$5,1)="C",1+01_Supuestos!$I$51,1+01_Supuestos!$I$52*01_Supuestos!$I$53)))</f>
        <v>1</v>
      </c>
      <c r="N27" s="183" t="n">
        <f aca="false">IF(LEFT(01_Supuestos!$G$5,1)="A",1,IF(LEFT(01_Supuestos!$G$5,1)="B",1+01_Supuestos!$I$50,IF(LEFT(01_Supuestos!$G$5,1)="C",1+01_Supuestos!$I$51,1+01_Supuestos!$I$52*01_Supuestos!$I$53)))</f>
        <v>1</v>
      </c>
      <c r="O27" s="183" t="n">
        <f aca="false">IF(LEFT(01_Supuestos!$G$5,1)="A",1,IF(LEFT(01_Supuestos!$G$5,1)="B",1+01_Supuestos!$I$50,IF(LEFT(01_Supuestos!$G$5,1)="C",1+01_Supuestos!$I$51,1+01_Supuestos!$I$52*01_Supuestos!$I$53)))</f>
        <v>1</v>
      </c>
      <c r="P27" s="183" t="n">
        <f aca="false">IF(LEFT(01_Supuestos!$G$5,1)="A",1,IF(LEFT(01_Supuestos!$G$5,1)="B",1+01_Supuestos!$I$50,IF(LEFT(01_Supuestos!$G$5,1)="C",1+01_Supuestos!$I$51,1+01_Supuestos!$I$52*01_Supuestos!$I$53)))</f>
        <v>1</v>
      </c>
      <c r="Q27" s="183" t="n">
        <f aca="false">IF(LEFT(01_Supuestos!$G$5,1)="A",1,IF(LEFT(01_Supuestos!$G$5,1)="B",1+01_Supuestos!$I$50,IF(LEFT(01_Supuestos!$G$5,1)="C",1+01_Supuestos!$I$51,1+01_Supuestos!$I$52*01_Supuestos!$I$53)))</f>
        <v>1</v>
      </c>
      <c r="R27" s="183" t="n">
        <f aca="false">IF(LEFT(01_Supuestos!$G$5,1)="A",1,IF(LEFT(01_Supuestos!$G$5,1)="B",1+01_Supuestos!$I$50,IF(LEFT(01_Supuestos!$G$5,1)="C",1+01_Supuestos!$I$51,1+01_Supuestos!$I$52*01_Supuestos!$I$53)))</f>
        <v>1</v>
      </c>
      <c r="S27" s="183" t="n">
        <f aca="false">IF(LEFT(01_Supuestos!$G$5,1)="A",1,IF(LEFT(01_Supuestos!$G$5,1)="B",1+01_Supuestos!$I$50,IF(LEFT(01_Supuestos!$G$5,1)="C",1+01_Supuestos!$I$51,1+01_Supuestos!$I$52*01_Supuestos!$I$53)))</f>
        <v>1</v>
      </c>
      <c r="T27" s="183" t="n">
        <f aca="false">IF(LEFT(01_Supuestos!$G$5,1)="A",1,IF(LEFT(01_Supuestos!$G$5,1)="B",1+01_Supuestos!$I$50,IF(LEFT(01_Supuestos!$G$5,1)="C",1+01_Supuestos!$I$51,1+01_Supuestos!$I$52*01_Supuestos!$I$53)))</f>
        <v>1</v>
      </c>
      <c r="U27" s="183" t="n">
        <f aca="false">IF(LEFT(01_Supuestos!$G$5,1)="A",1,IF(LEFT(01_Supuestos!$G$5,1)="B",1+01_Supuestos!$I$50,IF(LEFT(01_Supuestos!$G$5,1)="C",1+01_Supuestos!$I$51,1+01_Supuestos!$I$52*01_Supuestos!$I$53)))</f>
        <v>1</v>
      </c>
      <c r="V27" s="183" t="n">
        <f aca="false">IF(LEFT(01_Supuestos!$G$5,1)="A",1,IF(LEFT(01_Supuestos!$G$5,1)="B",1+01_Supuestos!$I$50,IF(LEFT(01_Supuestos!$G$5,1)="C",1+01_Supuestos!$I$51,1+01_Supuestos!$I$52*01_Supuestos!$I$53)))</f>
        <v>1</v>
      </c>
      <c r="W27" s="183" t="n">
        <f aca="false">IF(LEFT(01_Supuestos!$G$5,1)="A",1,IF(LEFT(01_Supuestos!$G$5,1)="B",1+01_Supuestos!$I$50,IF(LEFT(01_Supuestos!$G$5,1)="C",1+01_Supuestos!$I$51,1+01_Supuestos!$I$52*01_Supuestos!$I$53)))</f>
        <v>1</v>
      </c>
      <c r="X27" s="183" t="n">
        <f aca="false">IF(LEFT(01_Supuestos!$G$5,1)="A",1,IF(LEFT(01_Supuestos!$G$5,1)="B",1+01_Supuestos!$I$50,IF(LEFT(01_Supuestos!$G$5,1)="C",1+01_Supuestos!$I$51,1+01_Supuestos!$I$52*01_Supuestos!$I$53)))</f>
        <v>1</v>
      </c>
      <c r="Y27" s="183" t="n">
        <f aca="false">IF(LEFT(01_Supuestos!$G$5,1)="A",1,IF(LEFT(01_Supuestos!$G$5,1)="B",1+01_Supuestos!$I$50,IF(LEFT(01_Supuestos!$G$5,1)="C",1+01_Supuestos!$I$51,1+01_Supuestos!$I$52*01_Supuestos!$I$53)))</f>
        <v>1</v>
      </c>
      <c r="Z27" s="183" t="n">
        <f aca="false">IF(LEFT(01_Supuestos!$G$5,1)="A",1,IF(LEFT(01_Supuestos!$G$5,1)="B",1+01_Supuestos!$I$50,IF(LEFT(01_Supuestos!$G$5,1)="C",1+01_Supuestos!$I$51,1+01_Supuestos!$I$52*01_Supuestos!$I$53)))</f>
        <v>1</v>
      </c>
      <c r="AA27" s="183" t="n">
        <f aca="false">IF(LEFT(01_Supuestos!$G$5,1)="A",1,IF(LEFT(01_Supuestos!$G$5,1)="B",1+01_Supuestos!$I$50,IF(LEFT(01_Supuestos!$G$5,1)="C",1+01_Supuestos!$I$51,1+01_Supuestos!$I$52*01_Supuestos!$I$53)))</f>
        <v>1</v>
      </c>
      <c r="AB27" s="183" t="n">
        <f aca="false">IF(LEFT(01_Supuestos!$G$5,1)="A",1,IF(LEFT(01_Supuestos!$G$5,1)="B",1+01_Supuestos!$I$50,IF(LEFT(01_Supuestos!$G$5,1)="C",1+01_Supuestos!$I$51,1+01_Supuestos!$I$52*01_Supuestos!$I$53)))</f>
        <v>1</v>
      </c>
      <c r="AC27" s="183" t="n">
        <f aca="false">IF(LEFT(01_Supuestos!$G$5,1)="A",1,IF(LEFT(01_Supuestos!$G$5,1)="B",1+01_Supuestos!$I$50,IF(LEFT(01_Supuestos!$G$5,1)="C",1+01_Supuestos!$I$51,1+01_Supuestos!$I$52*01_Supuestos!$I$53)))</f>
        <v>1</v>
      </c>
      <c r="AD27" s="183" t="n">
        <f aca="false">IF(LEFT(01_Supuestos!$G$5,1)="A",1,IF(LEFT(01_Supuestos!$G$5,1)="B",1+01_Supuestos!$I$50,IF(LEFT(01_Supuestos!$G$5,1)="C",1+01_Supuestos!$I$51,1+01_Supuestos!$I$52*01_Supuestos!$I$53)))</f>
        <v>1</v>
      </c>
      <c r="AE27" s="183" t="n">
        <f aca="false">IF(LEFT(01_Supuestos!$G$5,1)="A",1,IF(LEFT(01_Supuestos!$G$5,1)="B",1+01_Supuestos!$I$50,IF(LEFT(01_Supuestos!$G$5,1)="C",1+01_Supuestos!$I$51,1+01_Supuestos!$I$52*01_Supuestos!$I$53)))</f>
        <v>1</v>
      </c>
      <c r="AF27" s="183" t="n">
        <f aca="false">IF(LEFT(01_Supuestos!$G$5,1)="A",1,IF(LEFT(01_Supuestos!$G$5,1)="B",1+01_Supuestos!$I$50,IF(LEFT(01_Supuestos!$G$5,1)="C",1+01_Supuestos!$I$51,1+01_Supuestos!$I$52*01_Supuestos!$I$53)))</f>
        <v>1</v>
      </c>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3"/>
      <c r="BL27" s="183"/>
      <c r="BM27" s="183"/>
      <c r="BN27" s="183"/>
      <c r="BO27" s="183"/>
      <c r="BP27" s="183"/>
      <c r="BQ27" s="183"/>
      <c r="BR27" s="183"/>
      <c r="BS27" s="183"/>
      <c r="BT27" s="183"/>
    </row>
    <row r="28" customFormat="false" ht="15.75" hidden="false" customHeight="true" outlineLevel="0" collapsed="false"/>
    <row r="29" customFormat="false" ht="15" hidden="false" customHeight="true" outlineLevel="0" collapsed="false">
      <c r="B29" s="174" t="s">
        <v>1552</v>
      </c>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c r="BQ29" s="175"/>
      <c r="BR29" s="175"/>
      <c r="BS29" s="175"/>
      <c r="BT29" s="175"/>
    </row>
    <row r="30" customFormat="false" ht="15" hidden="false" customHeight="true" outlineLevel="0" collapsed="false">
      <c r="B30" s="41" t="s">
        <v>1553</v>
      </c>
      <c r="C30" s="184" t="n">
        <f aca="false">01_Supuestos!$I$55*01_Supuestos!$I$56/1000000000000</f>
        <v>56.77404</v>
      </c>
      <c r="D30" s="184" t="n">
        <f aca="false">C30*(1+D12)</f>
        <v>57.79597272</v>
      </c>
      <c r="E30" s="184" t="n">
        <f aca="false">D30*(1+E12)</f>
        <v>58.83630022896</v>
      </c>
      <c r="F30" s="184" t="n">
        <f aca="false">E30*(1+F12)</f>
        <v>59.8953536330813</v>
      </c>
      <c r="G30" s="184" t="n">
        <f aca="false">F30*(1+G12)</f>
        <v>60.9734699984767</v>
      </c>
      <c r="H30" s="184" t="n">
        <f aca="false">G30*(1+H12)</f>
        <v>62.0709924584493</v>
      </c>
      <c r="I30" s="184" t="n">
        <f aca="false">H30*(1+I12)</f>
        <v>63.1882703227014</v>
      </c>
      <c r="J30" s="184" t="n">
        <f aca="false">I30*(1+J12)</f>
        <v>64.32565918851</v>
      </c>
      <c r="K30" s="184" t="n">
        <f aca="false">J30*(1+K12)</f>
        <v>65.4835210539032</v>
      </c>
      <c r="L30" s="184" t="n">
        <f aca="false">K30*(1+L12)</f>
        <v>66.6622244328735</v>
      </c>
      <c r="M30" s="184" t="n">
        <f aca="false">L30*(1+M12)</f>
        <v>67.8621444726652</v>
      </c>
      <c r="N30" s="184" t="n">
        <f aca="false">M30*(1+N12)</f>
        <v>69.0836630731732</v>
      </c>
      <c r="O30" s="184" t="n">
        <f aca="false">N30*(1+O12)</f>
        <v>70.3271690084903</v>
      </c>
      <c r="P30" s="184" t="n">
        <f aca="false">O30*(1+P12)</f>
        <v>71.5930580506431</v>
      </c>
      <c r="Q30" s="184" t="n">
        <f aca="false">P30*(1+Q12)</f>
        <v>72.8817330955547</v>
      </c>
      <c r="R30" s="184" t="n">
        <f aca="false">Q30*(1+R12)</f>
        <v>74.1936042912747</v>
      </c>
      <c r="S30" s="184" t="n">
        <f aca="false">R30*(1+S12)</f>
        <v>75.5290891685176</v>
      </c>
      <c r="T30" s="184" t="n">
        <f aca="false">S30*(1+T12)</f>
        <v>76.888612773551</v>
      </c>
      <c r="U30" s="184" t="n">
        <f aca="false">T30*(1+U12)</f>
        <v>78.2726078034749</v>
      </c>
      <c r="V30" s="184" t="n">
        <f aca="false">U30*(1+V12)</f>
        <v>79.6815147439374</v>
      </c>
      <c r="W30" s="184" t="n">
        <f aca="false">V30*(1+W12)</f>
        <v>81.1157820093283</v>
      </c>
      <c r="X30" s="184" t="n">
        <f aca="false">W30*(1+X12)</f>
        <v>82.5758660854962</v>
      </c>
      <c r="Y30" s="184" t="n">
        <f aca="false">X30*(1+Y12)</f>
        <v>84.0622316750351</v>
      </c>
      <c r="Z30" s="184" t="n">
        <f aca="false">Y30*(1+Z12)</f>
        <v>85.5753518451858</v>
      </c>
      <c r="AA30" s="184" t="n">
        <f aca="false">Z30*(1+AA12)</f>
        <v>87.1157081783991</v>
      </c>
      <c r="AB30" s="184" t="n">
        <f aca="false">AA30*(1+AB12)</f>
        <v>88.6837909256103</v>
      </c>
      <c r="AC30" s="184" t="n">
        <f aca="false">AB30*(1+AC12)</f>
        <v>90.2800991622713</v>
      </c>
      <c r="AD30" s="184" t="n">
        <f aca="false">AC30*(1+AD12)</f>
        <v>91.9051409471922</v>
      </c>
      <c r="AE30" s="184" t="n">
        <f aca="false">AD30*(1+AE12)</f>
        <v>93.5594334842416</v>
      </c>
      <c r="AF30" s="184" t="n">
        <f aca="false">AE30*(1+AF12)</f>
        <v>95.243503286958</v>
      </c>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4"/>
      <c r="BC30" s="184"/>
      <c r="BD30" s="184"/>
      <c r="BE30" s="184"/>
      <c r="BF30" s="184"/>
      <c r="BG30" s="184"/>
      <c r="BH30" s="184"/>
      <c r="BI30" s="184"/>
      <c r="BJ30" s="184"/>
      <c r="BK30" s="184"/>
      <c r="BL30" s="184"/>
      <c r="BM30" s="184"/>
      <c r="BN30" s="184"/>
      <c r="BO30" s="184"/>
      <c r="BP30" s="184"/>
      <c r="BQ30" s="184"/>
      <c r="BR30" s="184"/>
      <c r="BS30" s="184"/>
      <c r="BT30" s="184"/>
    </row>
    <row r="31" customFormat="false" ht="15" hidden="false" customHeight="true" outlineLevel="0" collapsed="false">
      <c r="B31" s="41" t="s">
        <v>1554</v>
      </c>
      <c r="C31" s="184" t="n">
        <v>0</v>
      </c>
      <c r="D31" s="184" t="n">
        <v>0</v>
      </c>
      <c r="E31" s="184" t="n">
        <f aca="false">01_Supuestos!$I$57*01_Supuestos!$I$58/1000000000000</f>
        <v>19.2</v>
      </c>
      <c r="F31" s="184" t="n">
        <f aca="false">E31*(1+F12)</f>
        <v>19.5456</v>
      </c>
      <c r="G31" s="184" t="n">
        <f aca="false">F31*(1+G12)</f>
        <v>19.8974208</v>
      </c>
      <c r="H31" s="184" t="n">
        <f aca="false">G31*(1+H12)</f>
        <v>20.2555743744</v>
      </c>
      <c r="I31" s="184" t="n">
        <f aca="false">H31*(1+I12)</f>
        <v>20.6201747131392</v>
      </c>
      <c r="J31" s="184" t="n">
        <f aca="false">I31*(1+J12)</f>
        <v>20.9913378579757</v>
      </c>
      <c r="K31" s="184" t="n">
        <f aca="false">J31*(1+K12)</f>
        <v>21.3691819394193</v>
      </c>
      <c r="L31" s="184" t="n">
        <f aca="false">K31*(1+L12)</f>
        <v>21.7538272143288</v>
      </c>
      <c r="M31" s="184" t="n">
        <f aca="false">L31*(1+M12)</f>
        <v>22.1453961041867</v>
      </c>
      <c r="N31" s="184" t="n">
        <f aca="false">M31*(1+N12)</f>
        <v>22.5440132340621</v>
      </c>
      <c r="O31" s="184" t="n">
        <f aca="false">N31*(1+O12)</f>
        <v>22.9498054722752</v>
      </c>
      <c r="P31" s="184" t="n">
        <f aca="false">O31*(1+P12)</f>
        <v>23.3629019707762</v>
      </c>
      <c r="Q31" s="184" t="n">
        <f aca="false">P31*(1+Q12)</f>
        <v>23.7834342062501</v>
      </c>
      <c r="R31" s="184" t="n">
        <f aca="false">Q31*(1+R12)</f>
        <v>24.2115360219626</v>
      </c>
      <c r="S31" s="184" t="n">
        <f aca="false">R31*(1+S12)</f>
        <v>24.647343670358</v>
      </c>
      <c r="T31" s="184" t="n">
        <f aca="false">S31*(1+T12)</f>
        <v>25.0909958564244</v>
      </c>
      <c r="U31" s="184" t="n">
        <f aca="false">T31*(1+U12)</f>
        <v>25.5426337818401</v>
      </c>
      <c r="V31" s="184" t="n">
        <f aca="false">U31*(1+V12)</f>
        <v>26.0024011899132</v>
      </c>
      <c r="W31" s="184" t="n">
        <f aca="false">V31*(1+W12)</f>
        <v>26.4704444113316</v>
      </c>
      <c r="X31" s="184" t="n">
        <f aca="false">W31*(1+X12)</f>
        <v>26.9469124107356</v>
      </c>
      <c r="Y31" s="184" t="n">
        <f aca="false">X31*(1+Y12)</f>
        <v>27.4319568341288</v>
      </c>
      <c r="Z31" s="184" t="n">
        <f aca="false">Y31*(1+Z12)</f>
        <v>27.9257320571431</v>
      </c>
      <c r="AA31" s="184" t="n">
        <f aca="false">Z31*(1+AA12)</f>
        <v>28.4283952341717</v>
      </c>
      <c r="AB31" s="184" t="n">
        <f aca="false">AA31*(1+AB12)</f>
        <v>28.9401063483868</v>
      </c>
      <c r="AC31" s="184" t="n">
        <f aca="false">AB31*(1+AC12)</f>
        <v>29.4610282626578</v>
      </c>
      <c r="AD31" s="184" t="n">
        <f aca="false">AC31*(1+AD12)</f>
        <v>29.9913267713856</v>
      </c>
      <c r="AE31" s="184" t="n">
        <f aca="false">AD31*(1+AE12)</f>
        <v>30.5311706532706</v>
      </c>
      <c r="AF31" s="184" t="n">
        <f aca="false">AE31*(1+AF12)</f>
        <v>31.0807317250294</v>
      </c>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row>
    <row r="32" customFormat="false" ht="15" hidden="false" customHeight="true" outlineLevel="0" collapsed="false">
      <c r="B32" s="41" t="s">
        <v>1555</v>
      </c>
      <c r="C32" s="184" t="n">
        <v>0</v>
      </c>
      <c r="D32" s="184" t="n">
        <v>0</v>
      </c>
      <c r="E32" s="184" t="n">
        <f aca="false">01_Supuestos!$I$59*01_Supuestos!$I$60/1000000000000</f>
        <v>9.6</v>
      </c>
      <c r="F32" s="184" t="n">
        <f aca="false">E32*(1+F12)</f>
        <v>9.7728</v>
      </c>
      <c r="G32" s="184" t="n">
        <f aca="false">F32*(1+G12)</f>
        <v>9.9487104</v>
      </c>
      <c r="H32" s="184" t="n">
        <f aca="false">G32*(1+H12)</f>
        <v>10.1277871872</v>
      </c>
      <c r="I32" s="184" t="n">
        <f aca="false">H32*(1+I12)</f>
        <v>10.3100873565696</v>
      </c>
      <c r="J32" s="184" t="n">
        <f aca="false">I32*(1+J12)</f>
        <v>10.4956689289879</v>
      </c>
      <c r="K32" s="184" t="n">
        <f aca="false">J32*(1+K12)</f>
        <v>10.6845909697096</v>
      </c>
      <c r="L32" s="184" t="n">
        <f aca="false">K32*(1+L12)</f>
        <v>10.8769136071644</v>
      </c>
      <c r="M32" s="184" t="n">
        <f aca="false">L32*(1+M12)</f>
        <v>11.0726980520934</v>
      </c>
      <c r="N32" s="184" t="n">
        <f aca="false">M32*(1+N12)</f>
        <v>11.272006617031</v>
      </c>
      <c r="O32" s="184" t="n">
        <f aca="false">N32*(1+O12)</f>
        <v>11.4749027361376</v>
      </c>
      <c r="P32" s="184" t="n">
        <f aca="false">O32*(1+P12)</f>
        <v>11.6814509853881</v>
      </c>
      <c r="Q32" s="184" t="n">
        <f aca="false">P32*(1+Q12)</f>
        <v>11.8917171031251</v>
      </c>
      <c r="R32" s="184" t="n">
        <f aca="false">Q32*(1+R12)</f>
        <v>12.1057680109813</v>
      </c>
      <c r="S32" s="184" t="n">
        <f aca="false">R32*(1+S12)</f>
        <v>12.323671835179</v>
      </c>
      <c r="T32" s="184" t="n">
        <f aca="false">S32*(1+T12)</f>
        <v>12.5454979282122</v>
      </c>
      <c r="U32" s="184" t="n">
        <f aca="false">T32*(1+U12)</f>
        <v>12.77131689092</v>
      </c>
      <c r="V32" s="184" t="n">
        <f aca="false">U32*(1+V12)</f>
        <v>13.0012005949566</v>
      </c>
      <c r="W32" s="184" t="n">
        <f aca="false">V32*(1+W12)</f>
        <v>13.2352222056658</v>
      </c>
      <c r="X32" s="184" t="n">
        <f aca="false">W32*(1+X12)</f>
        <v>13.4734562053678</v>
      </c>
      <c r="Y32" s="184" t="n">
        <f aca="false">X32*(1+Y12)</f>
        <v>13.7159784170644</v>
      </c>
      <c r="Z32" s="184" t="n">
        <f aca="false">Y32*(1+Z12)</f>
        <v>13.9628660285716</v>
      </c>
      <c r="AA32" s="184" t="n">
        <f aca="false">Z32*(1+AA12)</f>
        <v>14.2141976170859</v>
      </c>
      <c r="AB32" s="184" t="n">
        <f aca="false">AA32*(1+AB12)</f>
        <v>14.4700531741934</v>
      </c>
      <c r="AC32" s="184" t="n">
        <f aca="false">AB32*(1+AC12)</f>
        <v>14.7305141313289</v>
      </c>
      <c r="AD32" s="184" t="n">
        <f aca="false">AC32*(1+AD12)</f>
        <v>14.9956633856928</v>
      </c>
      <c r="AE32" s="184" t="n">
        <f aca="false">AD32*(1+AE12)</f>
        <v>15.2655853266353</v>
      </c>
      <c r="AF32" s="184" t="n">
        <f aca="false">AE32*(1+AF12)</f>
        <v>15.5403658625147</v>
      </c>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84"/>
      <c r="BG32" s="184"/>
      <c r="BH32" s="184"/>
      <c r="BI32" s="184"/>
      <c r="BJ32" s="184"/>
      <c r="BK32" s="184"/>
      <c r="BL32" s="184"/>
      <c r="BM32" s="184"/>
      <c r="BN32" s="184"/>
      <c r="BO32" s="184"/>
      <c r="BP32" s="184"/>
      <c r="BQ32" s="184"/>
      <c r="BR32" s="184"/>
      <c r="BS32" s="184"/>
      <c r="BT32" s="184"/>
    </row>
    <row r="33" customFormat="false" ht="15" hidden="false" customHeight="true" outlineLevel="0" collapsed="false">
      <c r="B33" s="41" t="s">
        <v>1556</v>
      </c>
      <c r="C33" s="184" t="n">
        <v>0</v>
      </c>
      <c r="D33" s="184" t="n">
        <v>0</v>
      </c>
      <c r="E33" s="184" t="n">
        <v>0</v>
      </c>
      <c r="F33" s="184" t="n">
        <f aca="false">01_Supuestos!$I$61*01_Supuestos!$I$63/1000000000000 + 01_Supuestos!$I$67</f>
        <v>92.044182</v>
      </c>
      <c r="G33" s="184" t="n">
        <f aca="false">F33*(1+G12)</f>
        <v>93.700977276</v>
      </c>
      <c r="H33" s="184" t="n">
        <f aca="false">G33*(1+H12)</f>
        <v>95.387594866968</v>
      </c>
      <c r="I33" s="184" t="n">
        <f aca="false">H33*(1+I12)</f>
        <v>97.1045715745734</v>
      </c>
      <c r="J33" s="184" t="n">
        <f aca="false">I33*(1+J12)</f>
        <v>98.8524538629158</v>
      </c>
      <c r="K33" s="184" t="n">
        <f aca="false">J33*(1+K12)</f>
        <v>100.631798032448</v>
      </c>
      <c r="L33" s="184" t="n">
        <f aca="false">K33*(1+L12)</f>
        <v>102.443170397032</v>
      </c>
      <c r="M33" s="184" t="n">
        <f aca="false">L33*(1+M12)</f>
        <v>104.287147464179</v>
      </c>
      <c r="N33" s="184" t="n">
        <f aca="false">M33*(1+N12)</f>
        <v>106.164316118534</v>
      </c>
      <c r="O33" s="184" t="n">
        <f aca="false">N33*(1+O12)</f>
        <v>108.075273808668</v>
      </c>
      <c r="P33" s="184" t="n">
        <f aca="false">O33*(1+P12)</f>
        <v>110.020628737224</v>
      </c>
      <c r="Q33" s="184" t="n">
        <f aca="false">P33*(1+Q12)</f>
        <v>112.001000054494</v>
      </c>
      <c r="R33" s="184" t="n">
        <f aca="false">Q33*(1+R12)</f>
        <v>114.017018055475</v>
      </c>
      <c r="S33" s="184" t="n">
        <f aca="false">R33*(1+S12)</f>
        <v>116.069324380473</v>
      </c>
      <c r="T33" s="184" t="n">
        <f aca="false">S33*(1+T12)</f>
        <v>118.158572219322</v>
      </c>
      <c r="U33" s="184" t="n">
        <f aca="false">T33*(1+U12)</f>
        <v>120.28542651927</v>
      </c>
      <c r="V33" s="184" t="n">
        <f aca="false">U33*(1+V12)</f>
        <v>122.450564196616</v>
      </c>
      <c r="W33" s="184" t="n">
        <f aca="false">V33*(1+W12)</f>
        <v>124.654674352155</v>
      </c>
      <c r="X33" s="184" t="n">
        <f aca="false">W33*(1+X12)</f>
        <v>126.898458490494</v>
      </c>
      <c r="Y33" s="184" t="n">
        <f aca="false">X33*(1+Y12)</f>
        <v>129.182630743323</v>
      </c>
      <c r="Z33" s="184" t="n">
        <f aca="false">Y33*(1+Z12)</f>
        <v>131.507918096703</v>
      </c>
      <c r="AA33" s="184" t="n">
        <f aca="false">Z33*(1+AA12)</f>
        <v>133.875060622444</v>
      </c>
      <c r="AB33" s="184" t="n">
        <f aca="false">AA33*(1+AB12)</f>
        <v>136.284811713648</v>
      </c>
      <c r="AC33" s="184" t="n">
        <f aca="false">AB33*(1+AC12)</f>
        <v>138.737938324493</v>
      </c>
      <c r="AD33" s="184" t="n">
        <f aca="false">AC33*(1+AD12)</f>
        <v>141.235221214334</v>
      </c>
      <c r="AE33" s="184" t="n">
        <f aca="false">AD33*(1+AE12)</f>
        <v>143.777455196192</v>
      </c>
      <c r="AF33" s="184" t="n">
        <f aca="false">AE33*(1+AF12)</f>
        <v>146.365449389724</v>
      </c>
      <c r="AG33" s="184"/>
      <c r="AH33" s="184"/>
      <c r="AI33" s="184"/>
      <c r="AJ33" s="184"/>
      <c r="AK33" s="184"/>
      <c r="AL33" s="184"/>
      <c r="AM33" s="184"/>
      <c r="AN33" s="184"/>
      <c r="AO33" s="184"/>
      <c r="AP33" s="184"/>
      <c r="AQ33" s="184"/>
      <c r="AR33" s="184"/>
      <c r="AS33" s="184"/>
      <c r="AT33" s="184"/>
      <c r="AU33" s="184"/>
      <c r="AV33" s="184"/>
      <c r="AW33" s="184"/>
      <c r="AX33" s="184"/>
      <c r="AY33" s="184"/>
      <c r="AZ33" s="184"/>
      <c r="BA33" s="184"/>
      <c r="BB33" s="184"/>
      <c r="BC33" s="184"/>
      <c r="BD33" s="184"/>
      <c r="BE33" s="184"/>
      <c r="BF33" s="184"/>
      <c r="BG33" s="184"/>
      <c r="BH33" s="184"/>
      <c r="BI33" s="184"/>
      <c r="BJ33" s="184"/>
      <c r="BK33" s="184"/>
      <c r="BL33" s="184"/>
      <c r="BM33" s="184"/>
      <c r="BN33" s="184"/>
      <c r="BO33" s="184"/>
      <c r="BP33" s="184"/>
      <c r="BQ33" s="184"/>
      <c r="BR33" s="184"/>
      <c r="BS33" s="184"/>
      <c r="BT33" s="184"/>
    </row>
    <row r="34" customFormat="false" ht="15" hidden="false" customHeight="true" outlineLevel="0" collapsed="false">
      <c r="B34" s="41" t="s">
        <v>1557</v>
      </c>
      <c r="C34" s="184" t="n">
        <v>0</v>
      </c>
      <c r="D34" s="184" t="n">
        <f aca="false">01_Supuestos!$I$65*307000*240/1000000000000</f>
        <v>33.605448</v>
      </c>
      <c r="E34" s="184" t="n">
        <f aca="false">D34*(1+E12)</f>
        <v>34.210346064</v>
      </c>
      <c r="F34" s="184" t="n">
        <f aca="false">E34*(1+F12)</f>
        <v>34.826132293152</v>
      </c>
      <c r="G34" s="184" t="n">
        <f aca="false">F34*(1+G12)</f>
        <v>35.4530026744287</v>
      </c>
      <c r="H34" s="184" t="n">
        <f aca="false">G34*(1+H12)</f>
        <v>36.0911567225685</v>
      </c>
      <c r="I34" s="184" t="n">
        <f aca="false">H34*(1+I12)</f>
        <v>36.7407975435747</v>
      </c>
      <c r="J34" s="184" t="n">
        <f aca="false">I34*(1+J12)</f>
        <v>37.402131899359</v>
      </c>
      <c r="K34" s="184" t="n">
        <f aca="false">J34*(1+K12)</f>
        <v>38.0753702735475</v>
      </c>
      <c r="L34" s="184" t="n">
        <f aca="false">K34*(1+L12)</f>
        <v>38.7607269384714</v>
      </c>
      <c r="M34" s="184" t="n">
        <f aca="false">L34*(1+M12)</f>
        <v>39.4584200233639</v>
      </c>
      <c r="N34" s="184" t="n">
        <f aca="false">M34*(1+N12)</f>
        <v>40.1686715837844</v>
      </c>
      <c r="O34" s="184" t="n">
        <f aca="false">N34*(1+O12)</f>
        <v>40.8917076722925</v>
      </c>
      <c r="P34" s="184" t="n">
        <f aca="false">O34*(1+P12)</f>
        <v>41.6277584103938</v>
      </c>
      <c r="Q34" s="184" t="n">
        <f aca="false">P34*(1+Q12)</f>
        <v>42.3770580617809</v>
      </c>
      <c r="R34" s="184" t="n">
        <f aca="false">Q34*(1+R12)</f>
        <v>43.1398451068929</v>
      </c>
      <c r="S34" s="184" t="n">
        <f aca="false">R34*(1+S12)</f>
        <v>43.916362318817</v>
      </c>
      <c r="T34" s="184" t="n">
        <f aca="false">S34*(1+T12)</f>
        <v>44.7068568405557</v>
      </c>
      <c r="U34" s="184" t="n">
        <f aca="false">T34*(1+U12)</f>
        <v>45.5115802636857</v>
      </c>
      <c r="V34" s="184" t="n">
        <f aca="false">U34*(1+V12)</f>
        <v>46.3307887084321</v>
      </c>
      <c r="W34" s="184" t="n">
        <f aca="false">V34*(1+W12)</f>
        <v>47.1647429051838</v>
      </c>
      <c r="X34" s="184" t="n">
        <f aca="false">W34*(1+X12)</f>
        <v>48.0137082774772</v>
      </c>
      <c r="Y34" s="184" t="n">
        <f aca="false">X34*(1+Y12)</f>
        <v>48.8779550264717</v>
      </c>
      <c r="Z34" s="184" t="n">
        <f aca="false">Y34*(1+Z12)</f>
        <v>49.7577582169482</v>
      </c>
      <c r="AA34" s="184" t="n">
        <f aca="false">Z34*(1+AA12)</f>
        <v>50.6533978648533</v>
      </c>
      <c r="AB34" s="184" t="n">
        <f aca="false">AA34*(1+AB12)</f>
        <v>51.5651590264207</v>
      </c>
      <c r="AC34" s="184" t="n">
        <f aca="false">AB34*(1+AC12)</f>
        <v>52.4933318888962</v>
      </c>
      <c r="AD34" s="184" t="n">
        <f aca="false">AC34*(1+AD12)</f>
        <v>53.4382118628964</v>
      </c>
      <c r="AE34" s="184" t="n">
        <f aca="false">AD34*(1+AE12)</f>
        <v>54.4000996764285</v>
      </c>
      <c r="AF34" s="184" t="n">
        <f aca="false">AE34*(1+AF12)</f>
        <v>55.3793014706042</v>
      </c>
      <c r="AG34" s="184"/>
      <c r="AH34" s="184"/>
      <c r="AI34" s="184"/>
      <c r="AJ34" s="184"/>
      <c r="AK34" s="184"/>
      <c r="AL34" s="184"/>
      <c r="AM34" s="184"/>
      <c r="AN34" s="184"/>
      <c r="AO34" s="184"/>
      <c r="AP34" s="184"/>
      <c r="AQ34" s="184"/>
      <c r="AR34" s="184"/>
      <c r="AS34" s="184"/>
      <c r="AT34" s="184"/>
      <c r="AU34" s="184"/>
      <c r="AV34" s="184"/>
      <c r="AW34" s="184"/>
      <c r="AX34" s="184"/>
      <c r="AY34" s="184"/>
      <c r="AZ34" s="184"/>
      <c r="BA34" s="184"/>
      <c r="BB34" s="184"/>
      <c r="BC34" s="184"/>
      <c r="BD34" s="184"/>
      <c r="BE34" s="184"/>
      <c r="BF34" s="184"/>
      <c r="BG34" s="184"/>
      <c r="BH34" s="184"/>
      <c r="BI34" s="184"/>
      <c r="BJ34" s="184"/>
      <c r="BK34" s="184"/>
      <c r="BL34" s="184"/>
      <c r="BM34" s="184"/>
      <c r="BN34" s="184"/>
      <c r="BO34" s="184"/>
      <c r="BP34" s="184"/>
      <c r="BQ34" s="184"/>
      <c r="BR34" s="184"/>
      <c r="BS34" s="184"/>
      <c r="BT34" s="184"/>
    </row>
    <row r="35" customFormat="false" ht="15" hidden="false" customHeight="true" outlineLevel="0" collapsed="false">
      <c r="B35" s="41" t="s">
        <v>1558</v>
      </c>
      <c r="C35" s="184" t="n">
        <v>0</v>
      </c>
      <c r="D35" s="184" t="n">
        <v>0</v>
      </c>
      <c r="E35" s="184" t="n">
        <v>0</v>
      </c>
      <c r="F35" s="184" t="n">
        <f aca="false">(IF(F6&lt;4,0,F18*01_Supuestos!$C$203*F27*POWER(1+F8,F6-4)/1000000000000))*(1-01_Supuestos!$I$82*MIN(1,MAX(0,(F6-01_Supuestos!$I$80)/(01_Supuestos!$I$81-01_Supuestos!$I$80))))+F62</f>
        <v>3.19703714191</v>
      </c>
      <c r="G35" s="184" t="n">
        <f aca="false">(IF(G6&lt;4,0,G18*01_Supuestos!$C$203*G27*POWER(1+G8,G6-4)/1000000000000))*(1-01_Supuestos!$I$82*MIN(1,MAX(0,(G6-01_Supuestos!$I$80)/(01_Supuestos!$I$81-01_Supuestos!$I$80))))+G62</f>
        <v>3.30893344187685</v>
      </c>
      <c r="H35" s="184" t="n">
        <f aca="false">(IF(H6&lt;4,0,H18*01_Supuestos!$C$203*H27*POWER(1+H8,H6-4)/1000000000000))*(1-01_Supuestos!$I$82*MIN(1,MAX(0,(H6-01_Supuestos!$I$80)/(01_Supuestos!$I$81-01_Supuestos!$I$80))))+H62</f>
        <v>3.42474611234254</v>
      </c>
      <c r="I35" s="184" t="n">
        <f aca="false">(IF(I6&lt;4,0,I18*01_Supuestos!$C$203*I27*POWER(1+I8,I6-4)/1000000000000))*(1-01_Supuestos!$I$82*MIN(1,MAX(0,(I6-01_Supuestos!$I$80)/(01_Supuestos!$I$81-01_Supuestos!$I$80))))+I62</f>
        <v>3.54461222627453</v>
      </c>
      <c r="J35" s="184" t="n">
        <f aca="false">(IF(J6&lt;4,0,J18*01_Supuestos!$C$203*J27*POWER(1+J8,J6-4)/1000000000000))*(1-01_Supuestos!$I$82*MIN(1,MAX(0,(J6-01_Supuestos!$I$80)/(01_Supuestos!$I$81-01_Supuestos!$I$80))))+J62</f>
        <v>3.66867365419414</v>
      </c>
      <c r="K35" s="184" t="n">
        <f aca="false">(IF(K6&lt;4,0,K18*01_Supuestos!$C$203*K27*POWER(1+K8,K6-4)/1000000000000))*(1-01_Supuestos!$I$82*MIN(1,MAX(0,(K6-01_Supuestos!$I$80)/(01_Supuestos!$I$81-01_Supuestos!$I$80))))+K62</f>
        <v>3.79707723209093</v>
      </c>
      <c r="L35" s="184" t="n">
        <f aca="false">(IF(L6&lt;4,0,L18*01_Supuestos!$C$203*L27*POWER(1+L8,L6-4)/1000000000000))*(1-01_Supuestos!$I$82*MIN(1,MAX(0,(L6-01_Supuestos!$I$80)/(01_Supuestos!$I$81-01_Supuestos!$I$80))))+L62</f>
        <v>3.92997493521411</v>
      </c>
      <c r="M35" s="184" t="n">
        <f aca="false">(IF(M6&lt;4,0,M18*01_Supuestos!$C$203*M27*POWER(1+M8,M6-4)/1000000000000))*(1-01_Supuestos!$I$82*MIN(1,MAX(0,(M6-01_Supuestos!$I$80)/(01_Supuestos!$I$81-01_Supuestos!$I$80))))+M62</f>
        <v>4.06752405794661</v>
      </c>
      <c r="N35" s="184" t="n">
        <f aca="false">(IF(N6&lt;4,0,N18*01_Supuestos!$C$203*N27*POWER(1+N8,N6-4)/1000000000000))*(1-01_Supuestos!$I$82*MIN(1,MAX(0,(N6-01_Supuestos!$I$80)/(01_Supuestos!$I$81-01_Supuestos!$I$80))))+N62</f>
        <v>4.20988739997474</v>
      </c>
      <c r="O35" s="184" t="n">
        <f aca="false">(IF(O6&lt;4,0,O18*01_Supuestos!$C$203*O27*POWER(1+O8,O6-4)/1000000000000))*(1-01_Supuestos!$I$82*MIN(1,MAX(0,(O6-01_Supuestos!$I$80)/(01_Supuestos!$I$81-01_Supuestos!$I$80))))+O62</f>
        <v>4.35723345897385</v>
      </c>
      <c r="P35" s="184" t="n">
        <f aca="false">(IF(P6&lt;4,0,P18*01_Supuestos!$C$203*P27*POWER(1+P8,P6-4)/1000000000000))*(1-01_Supuestos!$I$82*MIN(1,MAX(0,(P6-01_Supuestos!$I$80)/(01_Supuestos!$I$81-01_Supuestos!$I$80))))+P62</f>
        <v>4.50973663003794</v>
      </c>
      <c r="Q35" s="184" t="n">
        <f aca="false">(IF(Q6&lt;4,0,Q18*01_Supuestos!$C$203*Q27*POWER(1+Q8,Q6-4)/1000000000000))*(1-01_Supuestos!$I$82*MIN(1,MAX(0,(Q6-01_Supuestos!$I$80)/(01_Supuestos!$I$81-01_Supuestos!$I$80))))+Q62</f>
        <v>4.66757741208927</v>
      </c>
      <c r="R35" s="184" t="n">
        <f aca="false">(IF(R6&lt;4,0,R18*01_Supuestos!$C$203*R27*POWER(1+R8,R6-4)/1000000000000))*(1-01_Supuestos!$I$82*MIN(1,MAX(0,(R6-01_Supuestos!$I$80)/(01_Supuestos!$I$81-01_Supuestos!$I$80))))+R62</f>
        <v>4.679684522357</v>
      </c>
      <c r="S35" s="184" t="n">
        <f aca="false">(IF(S6&lt;4,0,S18*01_Supuestos!$C$203*S27*POWER(1+S8,S6-4)/1000000000000))*(1-01_Supuestos!$I$82*MIN(1,MAX(0,(S6-01_Supuestos!$I$80)/(01_Supuestos!$I$81-01_Supuestos!$I$80))))+S62</f>
        <v>4.68692134801366</v>
      </c>
      <c r="T35" s="184" t="n">
        <f aca="false">(IF(T6&lt;4,0,T18*01_Supuestos!$C$203*T27*POWER(1+T8,T6-4)/1000000000000))*(1-01_Supuestos!$I$82*MIN(1,MAX(0,(T6-01_Supuestos!$I$80)/(01_Supuestos!$I$81-01_Supuestos!$I$80))))+T62</f>
        <v>4.6889321379264</v>
      </c>
      <c r="U35" s="184" t="n">
        <f aca="false">(IF(U6&lt;4,0,U18*01_Supuestos!$C$203*U27*POWER(1+U8,U6-4)/1000000000000))*(1-01_Supuestos!$I$82*MIN(1,MAX(0,(U6-01_Supuestos!$I$80)/(01_Supuestos!$I$81-01_Supuestos!$I$80))))+U62</f>
        <v>4.68534220448172</v>
      </c>
      <c r="V35" s="184" t="n">
        <f aca="false">(IF(V6&lt;4,0,V18*01_Supuestos!$C$203*V27*POWER(1+V8,V6-4)/1000000000000))*(1-01_Supuestos!$I$82*MIN(1,MAX(0,(V6-01_Supuestos!$I$80)/(01_Supuestos!$I$81-01_Supuestos!$I$80))))+V62</f>
        <v>4.67575703382695</v>
      </c>
      <c r="W35" s="184" t="n">
        <f aca="false">(IF(W6&lt;4,0,W18*01_Supuestos!$C$203*W27*POWER(1+W8,W6-4)/1000000000000))*(1-01_Supuestos!$I$82*MIN(1,MAX(0,(W6-01_Supuestos!$I$80)/(01_Supuestos!$I$81-01_Supuestos!$I$80))))+W62</f>
        <v>4.65976135702585</v>
      </c>
      <c r="X35" s="184" t="n">
        <f aca="false">(IF(X6&lt;4,0,X18*01_Supuestos!$C$203*X27*POWER(1+X8,X6-4)/1000000000000))*(1-01_Supuestos!$I$82*MIN(1,MAX(0,(X6-01_Supuestos!$I$80)/(01_Supuestos!$I$81-01_Supuestos!$I$80))))+X62</f>
        <v>4.63691818048224</v>
      </c>
      <c r="Y35" s="184" t="n">
        <f aca="false">(IF(Y6&lt;4,0,Y18*01_Supuestos!$C$203*Y27*POWER(1+Y8,Y6-4)/1000000000000))*(1-01_Supuestos!$I$82*MIN(1,MAX(0,(Y6-01_Supuestos!$I$80)/(01_Supuestos!$I$81-01_Supuestos!$I$80))))+Y62</f>
        <v>4.60676777391823</v>
      </c>
      <c r="Z35" s="184" t="n">
        <f aca="false">(IF(Z6&lt;4,0,Z18*01_Supuestos!$C$203*Z27*POWER(1+Z8,Z6-4)/1000000000000))*(1-01_Supuestos!$I$82*MIN(1,MAX(0,(Z6-01_Supuestos!$I$80)/(01_Supuestos!$I$81-01_Supuestos!$I$80))))+Z62</f>
        <v>4.56882661412364</v>
      </c>
      <c r="AA35" s="184" t="n">
        <f aca="false">(IF(AA6&lt;4,0,AA18*01_Supuestos!$C$203*AA27*POWER(1+AA8,AA6-4)/1000000000000))*(1-01_Supuestos!$I$82*MIN(1,MAX(0,(AA6-01_Supuestos!$I$80)/(01_Supuestos!$I$81-01_Supuestos!$I$80))))+AA62</f>
        <v>4.52258628262038</v>
      </c>
      <c r="AB35" s="184" t="n">
        <f aca="false">(IF(AB6&lt;4,0,AB18*01_Supuestos!$C$203*AB27*POWER(1+AB8,AB6-4)/1000000000000))*(1-01_Supuestos!$I$82*MIN(1,MAX(0,(AB6-01_Supuestos!$I$80)/(01_Supuestos!$I$81-01_Supuestos!$I$80))))+AB62</f>
        <v>4.46751231530958</v>
      </c>
      <c r="AC35" s="184" t="n">
        <f aca="false">(IF(AC6&lt;4,0,AC18*01_Supuestos!$C$203*AC27*POWER(1+AC8,AC6-4)/1000000000000))*(1-01_Supuestos!$I$82*MIN(1,MAX(0,(AC6-01_Supuestos!$I$80)/(01_Supuestos!$I$81-01_Supuestos!$I$80))))+AC62</f>
        <v>4.40304300209083</v>
      </c>
      <c r="AD35" s="184" t="n">
        <f aca="false">(IF(AD6&lt;4,0,AD18*01_Supuestos!$C$203*AD27*POWER(1+AD8,AD6-4)/1000000000000))*(1-01_Supuestos!$I$82*MIN(1,MAX(0,(AD6-01_Supuestos!$I$80)/(01_Supuestos!$I$81-01_Supuestos!$I$80))))+AD62</f>
        <v>4.3285881343605</v>
      </c>
      <c r="AE35" s="184" t="n">
        <f aca="false">(IF(AE6&lt;4,0,AE18*01_Supuestos!$C$203*AE27*POWER(1+AE8,AE6-4)/1000000000000))*(1-01_Supuestos!$I$82*MIN(1,MAX(0,(AE6-01_Supuestos!$I$80)/(01_Supuestos!$I$81-01_Supuestos!$I$80))))+AE62</f>
        <v>4.2435276982115</v>
      </c>
      <c r="AF35" s="184" t="n">
        <f aca="false">(IF(AF6&lt;4,0,AF18*01_Supuestos!$C$203*AF27*POWER(1+AF8,AF6-4)/1000000000000))*(1-01_Supuestos!$I$82*MIN(1,MAX(0,(AF6-01_Supuestos!$I$80)/(01_Supuestos!$I$81-01_Supuestos!$I$80))))+AF62</f>
        <v>4.14721051106747</v>
      </c>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c r="BF35" s="184"/>
      <c r="BG35" s="184"/>
      <c r="BH35" s="184"/>
      <c r="BI35" s="184"/>
      <c r="BJ35" s="184"/>
      <c r="BK35" s="184"/>
      <c r="BL35" s="184"/>
      <c r="BM35" s="184"/>
      <c r="BN35" s="184"/>
      <c r="BO35" s="184"/>
      <c r="BP35" s="184"/>
      <c r="BQ35" s="184"/>
      <c r="BR35" s="184"/>
      <c r="BS35" s="184"/>
      <c r="BT35" s="184"/>
    </row>
    <row r="36" customFormat="false" ht="15" hidden="false" customHeight="true" outlineLevel="0" collapsed="false">
      <c r="B36" s="185" t="s">
        <v>1559</v>
      </c>
      <c r="C36" s="186" t="n">
        <f aca="false">C30+C31+C32+C33+C34+C58</f>
        <v>56.77404</v>
      </c>
      <c r="D36" s="186" t="n">
        <f aca="false">D30+D31+D32+D33+D34+D58</f>
        <v>91.40142072</v>
      </c>
      <c r="E36" s="186" t="n">
        <f aca="false">E30+E31+E32+E33+E34+E58</f>
        <v>121.84664629296</v>
      </c>
      <c r="F36" s="186" t="n">
        <f aca="false">F30+F31+F32+F33+F34+F58</f>
        <v>219.281105068143</v>
      </c>
      <c r="G36" s="186" t="n">
        <f aca="false">G30+G31+G32+G33+G34+G58</f>
        <v>226.537098401247</v>
      </c>
      <c r="H36" s="186" t="n">
        <f aca="false">H30+H31+H32+H33+H34+H58</f>
        <v>234.039512284812</v>
      </c>
      <c r="I36" s="186" t="n">
        <f aca="false">I30+I31+I32+I33+I34+I58</f>
        <v>241.796835732213</v>
      </c>
      <c r="J36" s="186" t="n">
        <f aca="false">J30+J31+J32+J33+J34+J58</f>
        <v>249.817852429587</v>
      </c>
      <c r="K36" s="186" t="n">
        <f aca="false">K30+K31+K32+K33+K34+K58</f>
        <v>258.11165100541</v>
      </c>
      <c r="L36" s="186" t="n">
        <f aca="false">L30+L31+L32+L33+L34+L58</f>
        <v>266.687635658722</v>
      </c>
      <c r="M36" s="186" t="n">
        <f aca="false">M30+M31+M32+M33+M34+M58</f>
        <v>275.555537158525</v>
      </c>
      <c r="N36" s="186" t="n">
        <f aca="false">N30+N31+N32+N33+N34+N58</f>
        <v>284.725424227354</v>
      </c>
      <c r="O36" s="186" t="n">
        <f aca="false">O30+O31+O32+O33+O34+O58</f>
        <v>294.20771532242</v>
      </c>
      <c r="P36" s="186" t="n">
        <f aca="false">P30+P31+P32+P33+P34+P58</f>
        <v>304.013190828261</v>
      </c>
      <c r="Q36" s="186" t="n">
        <f aca="false">Q30+Q31+Q32+Q33+Q34+Q58</f>
        <v>314.153005675259</v>
      </c>
      <c r="R36" s="186" t="n">
        <f aca="false">R30+R31+R32+R33+R34+R58</f>
        <v>324.487444299771</v>
      </c>
      <c r="S36" s="186" t="n">
        <f aca="false">S30+S31+S32+S33+S34+S58</f>
        <v>335.015139645181</v>
      </c>
      <c r="T36" s="186" t="n">
        <f aca="false">T30+T31+T32+T33+T34+T58</f>
        <v>345.73434429672</v>
      </c>
      <c r="U36" s="186" t="n">
        <f aca="false">U30+U31+U32+U33+U34+U58</f>
        <v>356.642904698543</v>
      </c>
      <c r="V36" s="186" t="n">
        <f aca="false">V30+V31+V32+V33+V34+V58</f>
        <v>367.738234016944</v>
      </c>
      <c r="W36" s="186" t="n">
        <f aca="false">W30+W31+W32+W33+W34+W58</f>
        <v>379.017283586274</v>
      </c>
      <c r="X36" s="186" t="n">
        <f aca="false">X30+X31+X32+X33+X34+X58</f>
        <v>390.47651287131</v>
      </c>
      <c r="Y36" s="186" t="n">
        <f aca="false">Y30+Y31+Y32+Y33+Y34+Y58</f>
        <v>402.111857876911</v>
      </c>
      <c r="Z36" s="186" t="n">
        <f aca="false">Z30+Z31+Z32+Z33+Z34+Z58</f>
        <v>413.918697932819</v>
      </c>
      <c r="AA36" s="186" t="n">
        <f aca="false">AA30+AA31+AA32+AA33+AA34+AA58</f>
        <v>425.891820778231</v>
      </c>
      <c r="AB36" s="186" t="n">
        <f aca="false">AB30+AB31+AB32+AB33+AB34+AB58</f>
        <v>438.025385867548</v>
      </c>
      <c r="AC36" s="186" t="n">
        <f aca="false">AC30+AC31+AC32+AC33+AC34+AC58</f>
        <v>450.312885815255</v>
      </c>
      <c r="AD36" s="186" t="n">
        <f aca="false">AD30+AD31+AD32+AD33+AD34+AD58</f>
        <v>462.74710589429</v>
      </c>
      <c r="AE36" s="186" t="n">
        <f aca="false">AE30+AE31+AE32+AE33+AE34+AE58</f>
        <v>475.320081498599</v>
      </c>
      <c r="AF36" s="186" t="n">
        <f aca="false">AF30+AF31+AF32+AF33+AF34+AF58</f>
        <v>488.023053476641</v>
      </c>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86"/>
      <c r="BF36" s="186"/>
      <c r="BG36" s="186"/>
      <c r="BH36" s="186"/>
      <c r="BI36" s="186"/>
      <c r="BJ36" s="186"/>
      <c r="BK36" s="186"/>
      <c r="BL36" s="186"/>
      <c r="BM36" s="186"/>
      <c r="BN36" s="186"/>
      <c r="BO36" s="186"/>
      <c r="BP36" s="186"/>
      <c r="BQ36" s="186"/>
      <c r="BR36" s="186"/>
      <c r="BS36" s="186"/>
      <c r="BT36" s="186"/>
    </row>
    <row r="37" customFormat="false" ht="15" hidden="false" customHeight="true" outlineLevel="0" collapsed="false">
      <c r="B37" s="187" t="s">
        <v>1560</v>
      </c>
      <c r="C37" s="184" t="n">
        <f aca="false">IF(C20=0,0,IF(1&lt;=C21,C20,0))</f>
        <v>20.6</v>
      </c>
      <c r="D37" s="184" t="n">
        <f aca="false">IF(D20=0,0,IF(2&lt;=D21,D20,0))</f>
        <v>20.6</v>
      </c>
      <c r="E37" s="184" t="n">
        <f aca="false">IF(E20=0,0,IF(3&lt;=E21,E20,0))</f>
        <v>20.6</v>
      </c>
      <c r="F37" s="184" t="n">
        <f aca="false">IF(F20=0,0,IF(4&lt;=F21,F20,0))</f>
        <v>20.6</v>
      </c>
      <c r="G37" s="184" t="n">
        <f aca="false">IF(G20=0,0,IF(5&lt;=G21,G20,0))</f>
        <v>20.6</v>
      </c>
      <c r="H37" s="184" t="n">
        <f aca="false">IF(H20=0,0,IF(6&lt;=H21,H20,0))</f>
        <v>20.6</v>
      </c>
      <c r="I37" s="184" t="n">
        <f aca="false">IF(I20=0,0,IF(7&lt;=I21,I20,0))</f>
        <v>20.6</v>
      </c>
      <c r="J37" s="184" t="n">
        <f aca="false">IF(J20=0,0,IF(8&lt;=J21,J20,0))</f>
        <v>20.6</v>
      </c>
      <c r="K37" s="184" t="n">
        <f aca="false">IF(K20=0,0,IF(9&lt;=K21,K20,0))</f>
        <v>20.6</v>
      </c>
      <c r="L37" s="184" t="n">
        <f aca="false">IF(L20=0,0,IF(10&lt;=L21,L20,0))</f>
        <v>20.6</v>
      </c>
      <c r="M37" s="184" t="n">
        <f aca="false">IF(M20=0,0,IF(11&lt;=M21,M20,0))</f>
        <v>0</v>
      </c>
      <c r="N37" s="184" t="n">
        <f aca="false">IF(N20=0,0,IF(12&lt;=N21,N20,0))</f>
        <v>0</v>
      </c>
      <c r="O37" s="184" t="n">
        <f aca="false">IF(O20=0,0,IF(13&lt;=O21,O20,0))</f>
        <v>0</v>
      </c>
      <c r="P37" s="184" t="n">
        <f aca="false">IF(P20=0,0,IF(14&lt;=P21,P20,0))</f>
        <v>0</v>
      </c>
      <c r="Q37" s="184" t="n">
        <f aca="false">IF(Q20=0,0,IF(15&lt;=Q21,Q20,0))</f>
        <v>0</v>
      </c>
      <c r="R37" s="184" t="n">
        <f aca="false">IF(R20=0,0,IF(16&lt;=R21,R20,0))</f>
        <v>0</v>
      </c>
      <c r="S37" s="184" t="n">
        <f aca="false">IF(S20=0,0,IF(17&lt;=S21,S20,0))</f>
        <v>0</v>
      </c>
      <c r="T37" s="184" t="n">
        <f aca="false">IF(T20=0,0,IF(18&lt;=T21,T20,0))</f>
        <v>0</v>
      </c>
      <c r="U37" s="184" t="n">
        <f aca="false">IF(U20=0,0,IF(19&lt;=U21,U20,0))</f>
        <v>0</v>
      </c>
      <c r="V37" s="184" t="n">
        <f aca="false">IF(V20=0,0,IF(20&lt;=V21,V20,0))</f>
        <v>0</v>
      </c>
      <c r="W37" s="184" t="n">
        <f aca="false">IF(W20=0,0,IF(21&lt;=W21,W20,0))</f>
        <v>0</v>
      </c>
      <c r="X37" s="184" t="n">
        <f aca="false">IF(X20=0,0,IF(22&lt;=X21,X20,0))</f>
        <v>0</v>
      </c>
      <c r="Y37" s="184" t="n">
        <f aca="false">IF(Y20=0,0,IF(23&lt;=Y21,Y20,0))</f>
        <v>0</v>
      </c>
      <c r="Z37" s="184" t="n">
        <f aca="false">IF(Z20=0,0,IF(24&lt;=Z21,Z20,0))</f>
        <v>0</v>
      </c>
      <c r="AA37" s="184" t="n">
        <f aca="false">IF(AA20=0,0,IF(25&lt;=AA21,AA20,0))</f>
        <v>0</v>
      </c>
      <c r="AB37" s="184" t="n">
        <f aca="false">IF(AB20=0,0,IF(26&lt;=AB21,AB20,0))</f>
        <v>0</v>
      </c>
      <c r="AC37" s="184" t="n">
        <f aca="false">IF(AC20=0,0,IF(27&lt;=AC21,AC20,0))</f>
        <v>0</v>
      </c>
      <c r="AD37" s="184" t="n">
        <f aca="false">IF(AD20=0,0,IF(28&lt;=AD21,AD20,0))</f>
        <v>0</v>
      </c>
      <c r="AE37" s="184" t="n">
        <f aca="false">IF(AE20=0,0,IF(29&lt;=AE21,AE20,0))</f>
        <v>0</v>
      </c>
      <c r="AF37" s="184" t="n">
        <f aca="false">IF(AF20=0,0,IF(30&lt;=AF21,AF20,0))</f>
        <v>0</v>
      </c>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4"/>
      <c r="BR37" s="184"/>
      <c r="BS37" s="184"/>
      <c r="BT37" s="184"/>
    </row>
    <row r="38" customFormat="false" ht="15" hidden="false" customHeight="true" outlineLevel="0" collapsed="false">
      <c r="B38" s="187" t="s">
        <v>1561</v>
      </c>
      <c r="C38" s="184" t="n">
        <f aca="false">IF(1&lt;=20,(C22 + (C23-C22)*(1-1)/19),C23*POWER(1+C8,1-20))</f>
        <v>1.1</v>
      </c>
      <c r="D38" s="184" t="n">
        <f aca="false">IF(2&lt;=20,(D22 + (D23-D22)*(2-1)/19),D23*POWER(1+D8,2-20))</f>
        <v>1.17368421052632</v>
      </c>
      <c r="E38" s="184" t="n">
        <f aca="false">IF(3&lt;=20,(E22 + (E23-E22)*(3-1)/19),E23*POWER(1+E8,3-20))</f>
        <v>1.24736842105263</v>
      </c>
      <c r="F38" s="184" t="n">
        <f aca="false">IF(4&lt;=20,(F22 + (F23-F22)*(4-1)/19),F23*POWER(1+F8,4-20))</f>
        <v>1.32105263157895</v>
      </c>
      <c r="G38" s="184" t="n">
        <f aca="false">IF(5&lt;=20,(G22 + (G23-G22)*(5-1)/19),G23*POWER(1+G8,5-20))</f>
        <v>1.39473684210526</v>
      </c>
      <c r="H38" s="184" t="n">
        <f aca="false">IF(6&lt;=20,(H22 + (H23-H22)*(6-1)/19),H23*POWER(1+H8,6-20))</f>
        <v>1.46842105263158</v>
      </c>
      <c r="I38" s="184" t="n">
        <f aca="false">IF(7&lt;=20,(I22 + (I23-I22)*(7-1)/19),I23*POWER(1+I8,7-20))</f>
        <v>1.54210526315789</v>
      </c>
      <c r="J38" s="184" t="n">
        <f aca="false">IF(8&lt;=20,(J22 + (J23-J22)*(8-1)/19),J23*POWER(1+J8,8-20))</f>
        <v>1.61578947368421</v>
      </c>
      <c r="K38" s="184" t="n">
        <f aca="false">IF(9&lt;=20,(K22 + (K23-K22)*(9-1)/19),K23*POWER(1+K8,9-20))</f>
        <v>1.68947368421053</v>
      </c>
      <c r="L38" s="184" t="n">
        <f aca="false">IF(10&lt;=20,(L22 + (L23-L22)*(10-1)/19),L23*POWER(1+L8,10-20))</f>
        <v>1.76315789473684</v>
      </c>
      <c r="M38" s="184" t="n">
        <f aca="false">IF(11&lt;=20,(M22 + (M23-M22)*(11-1)/19),M23*POWER(1+M8,11-20))</f>
        <v>1.83684210526316</v>
      </c>
      <c r="N38" s="184" t="n">
        <f aca="false">IF(12&lt;=20,(N22 + (N23-N22)*(12-1)/19),N23*POWER(1+N8,12-20))</f>
        <v>1.91052631578947</v>
      </c>
      <c r="O38" s="184" t="n">
        <f aca="false">IF(13&lt;=20,(O22 + (O23-O22)*(13-1)/19),O23*POWER(1+O8,13-20))</f>
        <v>1.98421052631579</v>
      </c>
      <c r="P38" s="184" t="n">
        <f aca="false">IF(14&lt;=20,(P22 + (P23-P22)*(14-1)/19),P23*POWER(1+P8,14-20))</f>
        <v>2.05789473684211</v>
      </c>
      <c r="Q38" s="184" t="n">
        <f aca="false">IF(15&lt;=20,(Q22 + (Q23-Q22)*(15-1)/19),Q23*POWER(1+Q8,15-20))</f>
        <v>2.13157894736842</v>
      </c>
      <c r="R38" s="184" t="n">
        <f aca="false">IF(16&lt;=20,(R22 + (R23-R22)*(16-1)/19),R23*POWER(1+R8,16-20))</f>
        <v>2.20526315789474</v>
      </c>
      <c r="S38" s="184" t="n">
        <f aca="false">IF(17&lt;=20,(S22 + (S23-S22)*(17-1)/19),S23*POWER(1+S8,17-20))</f>
        <v>2.27894736842105</v>
      </c>
      <c r="T38" s="184" t="n">
        <f aca="false">IF(18&lt;=20,(T22 + (T23-T22)*(18-1)/19),T23*POWER(1+T8,18-20))</f>
        <v>2.35263157894737</v>
      </c>
      <c r="U38" s="184" t="n">
        <f aca="false">IF(19&lt;=20,(U22 + (U23-U22)*(19-1)/19),U23*POWER(1+U8,19-20))</f>
        <v>2.42631578947368</v>
      </c>
      <c r="V38" s="184" t="n">
        <f aca="false">IF(20&lt;=20,(V22 + (V23-V22)*(20-1)/19),V23*POWER(1+V8,20-20))</f>
        <v>2.5</v>
      </c>
      <c r="W38" s="184" t="n">
        <f aca="false">IF(21&lt;=20,(W22 + (W23-W22)*(21-1)/19),W23*POWER(1+W8,21-20))</f>
        <v>2.5875</v>
      </c>
      <c r="X38" s="184" t="n">
        <f aca="false">IF(22&lt;=20,(X22 + (X23-X22)*(22-1)/19),X23*POWER(1+X8,22-20))</f>
        <v>2.6780625</v>
      </c>
      <c r="Y38" s="184" t="n">
        <f aca="false">IF(23&lt;=20,(Y22 + (Y23-Y22)*(23-1)/19),Y23*POWER(1+Y8,23-20))</f>
        <v>2.7717946875</v>
      </c>
      <c r="Z38" s="184" t="n">
        <f aca="false">IF(24&lt;=20,(Z22 + (Z23-Z22)*(24-1)/19),Z23*POWER(1+Z8,24-20))</f>
        <v>2.8688075015625</v>
      </c>
      <c r="AA38" s="184" t="n">
        <f aca="false">IF(25&lt;=20,(AA22 + (AA23-AA22)*(25-1)/19),AA23*POWER(1+AA8,25-20))</f>
        <v>2.96921576411719</v>
      </c>
      <c r="AB38" s="184" t="n">
        <f aca="false">IF(26&lt;=20,(AB22 + (AB23-AB22)*(26-1)/19),AB23*POWER(1+AB8,26-20))</f>
        <v>3.07313831586129</v>
      </c>
      <c r="AC38" s="184" t="n">
        <f aca="false">IF(27&lt;=20,(AC22 + (AC23-AC22)*(27-1)/19),AC23*POWER(1+AC8,27-20))</f>
        <v>3.18069815691643</v>
      </c>
      <c r="AD38" s="184" t="n">
        <f aca="false">IF(28&lt;=20,(AD22 + (AD23-AD22)*(28-1)/19),AD23*POWER(1+AD8,28-20))</f>
        <v>3.29202259240851</v>
      </c>
      <c r="AE38" s="184" t="n">
        <f aca="false">IF(29&lt;=20,(AE22 + (AE23-AE22)*(29-1)/19),AE23*POWER(1+AE8,29-20))</f>
        <v>3.40724338314281</v>
      </c>
      <c r="AF38" s="184" t="n">
        <f aca="false">IF(30&lt;=20,(AF22 + (AF23-AF22)*(30-1)/19),AF23*POWER(1+AF8,30-20))</f>
        <v>3.5264969015528</v>
      </c>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row>
    <row r="39" customFormat="false" ht="15" hidden="false" customHeight="true" outlineLevel="0" collapsed="false">
      <c r="B39" s="41" t="s">
        <v>1562</v>
      </c>
      <c r="C39" s="184" t="n">
        <f aca="false">C30*C$11</f>
        <v>2.168768328</v>
      </c>
      <c r="D39" s="184" t="n">
        <f aca="false">D30*D$11</f>
        <v>2.207806157904</v>
      </c>
      <c r="E39" s="184" t="n">
        <f aca="false">E30*E$11</f>
        <v>2.24754666874627</v>
      </c>
      <c r="F39" s="184" t="n">
        <f aca="false">F30*F$11</f>
        <v>2.2880025087837</v>
      </c>
      <c r="G39" s="184" t="n">
        <f aca="false">G30*G$11</f>
        <v>2.32918655394181</v>
      </c>
      <c r="H39" s="184" t="n">
        <f aca="false">H30*H$11</f>
        <v>2.37111191191276</v>
      </c>
      <c r="I39" s="184" t="n">
        <f aca="false">I30*I$11</f>
        <v>2.41379192632719</v>
      </c>
      <c r="J39" s="184" t="n">
        <f aca="false">J30*J$11</f>
        <v>2.45724018100108</v>
      </c>
      <c r="K39" s="184" t="n">
        <f aca="false">K30*K$11</f>
        <v>2.5014705042591</v>
      </c>
      <c r="L39" s="184" t="n">
        <f aca="false">L30*L$11</f>
        <v>2.54649697333577</v>
      </c>
      <c r="M39" s="184" t="n">
        <f aca="false">M30*M$11</f>
        <v>2.59233391885581</v>
      </c>
      <c r="N39" s="184" t="n">
        <f aca="false">N30*N$11</f>
        <v>2.63899592939522</v>
      </c>
      <c r="O39" s="184" t="n">
        <f aca="false">O30*O$11</f>
        <v>2.68649785612433</v>
      </c>
      <c r="P39" s="184" t="n">
        <f aca="false">P30*P$11</f>
        <v>2.73485481753457</v>
      </c>
      <c r="Q39" s="184" t="n">
        <f aca="false">Q30*Q$11</f>
        <v>2.78408220425019</v>
      </c>
      <c r="R39" s="184" t="n">
        <f aca="false">R30*R$11</f>
        <v>2.83419568392669</v>
      </c>
      <c r="S39" s="184" t="n">
        <f aca="false">S30*S$11</f>
        <v>2.88521120623737</v>
      </c>
      <c r="T39" s="184" t="n">
        <f aca="false">T30*T$11</f>
        <v>2.93714500794965</v>
      </c>
      <c r="U39" s="184" t="n">
        <f aca="false">U30*U$11</f>
        <v>2.99001361809274</v>
      </c>
      <c r="V39" s="184" t="n">
        <f aca="false">V30*V$11</f>
        <v>3.04383386321841</v>
      </c>
      <c r="W39" s="184" t="n">
        <f aca="false">W30*W$11</f>
        <v>3.09862287275634</v>
      </c>
      <c r="X39" s="184" t="n">
        <f aca="false">X30*X$11</f>
        <v>3.15439808446595</v>
      </c>
      <c r="Y39" s="184" t="n">
        <f aca="false">Y30*Y$11</f>
        <v>3.21117724998634</v>
      </c>
      <c r="Z39" s="184" t="n">
        <f aca="false">Z30*Z$11</f>
        <v>3.2689784404861</v>
      </c>
      <c r="AA39" s="184" t="n">
        <f aca="false">AA30*AA$11</f>
        <v>3.32782005241485</v>
      </c>
      <c r="AB39" s="184" t="n">
        <f aca="false">AB30*AB$11</f>
        <v>3.38772081335831</v>
      </c>
      <c r="AC39" s="184" t="n">
        <f aca="false">AC30*AC$11</f>
        <v>3.44869978799876</v>
      </c>
      <c r="AD39" s="184" t="n">
        <f aca="false">AD30*AD$11</f>
        <v>3.51077638418274</v>
      </c>
      <c r="AE39" s="184" t="n">
        <f aca="false">AE30*AE$11</f>
        <v>3.57397035909803</v>
      </c>
      <c r="AF39" s="184" t="n">
        <f aca="false">AF30*AF$11</f>
        <v>3.63830182556179</v>
      </c>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c r="BP39" s="184"/>
      <c r="BQ39" s="184"/>
      <c r="BR39" s="184"/>
      <c r="BS39" s="184"/>
      <c r="BT39" s="184"/>
    </row>
    <row r="40" customFormat="false" ht="15" hidden="false" customHeight="true" outlineLevel="0" collapsed="false">
      <c r="B40" s="41" t="s">
        <v>1563</v>
      </c>
      <c r="C40" s="184" t="n">
        <f aca="false">C31*C$11</f>
        <v>0</v>
      </c>
      <c r="D40" s="184" t="n">
        <f aca="false">D31*D$11</f>
        <v>0</v>
      </c>
      <c r="E40" s="184" t="n">
        <f aca="false">E31*E$11</f>
        <v>0.73344</v>
      </c>
      <c r="F40" s="184" t="n">
        <f aca="false">F31*F$11</f>
        <v>0.74664192</v>
      </c>
      <c r="G40" s="184" t="n">
        <f aca="false">G31*G$11</f>
        <v>0.76008147456</v>
      </c>
      <c r="H40" s="184" t="n">
        <f aca="false">H31*H$11</f>
        <v>0.77376294110208</v>
      </c>
      <c r="I40" s="184" t="n">
        <f aca="false">I31*I$11</f>
        <v>0.787690674041917</v>
      </c>
      <c r="J40" s="184" t="n">
        <f aca="false">J31*J$11</f>
        <v>0.801869106174672</v>
      </c>
      <c r="K40" s="184" t="n">
        <f aca="false">K31*K$11</f>
        <v>0.816302750085816</v>
      </c>
      <c r="L40" s="184" t="n">
        <f aca="false">L31*L$11</f>
        <v>0.830996199587361</v>
      </c>
      <c r="M40" s="184" t="n">
        <f aca="false">M31*M$11</f>
        <v>0.845954131179933</v>
      </c>
      <c r="N40" s="184" t="n">
        <f aca="false">N31*N$11</f>
        <v>0.861181305541172</v>
      </c>
      <c r="O40" s="184" t="n">
        <f aca="false">O31*O$11</f>
        <v>0.876682569040913</v>
      </c>
      <c r="P40" s="184" t="n">
        <f aca="false">P31*P$11</f>
        <v>0.89246285528365</v>
      </c>
      <c r="Q40" s="184" t="n">
        <f aca="false">Q31*Q$11</f>
        <v>0.908527186678755</v>
      </c>
      <c r="R40" s="184" t="n">
        <f aca="false">R31*R$11</f>
        <v>0.924880676038973</v>
      </c>
      <c r="S40" s="184" t="n">
        <f aca="false">S31*S$11</f>
        <v>0.941528528207674</v>
      </c>
      <c r="T40" s="184" t="n">
        <f aca="false">T31*T$11</f>
        <v>0.958476041715413</v>
      </c>
      <c r="U40" s="184" t="n">
        <f aca="false">U31*U$11</f>
        <v>0.97572861046629</v>
      </c>
      <c r="V40" s="184" t="n">
        <f aca="false">V31*V$11</f>
        <v>0.993291725454683</v>
      </c>
      <c r="W40" s="184" t="n">
        <f aca="false">W31*W$11</f>
        <v>1.01117097651287</v>
      </c>
      <c r="X40" s="184" t="n">
        <f aca="false">X31*X$11</f>
        <v>1.0293720540901</v>
      </c>
      <c r="Y40" s="184" t="n">
        <f aca="false">Y31*Y$11</f>
        <v>1.04790075106372</v>
      </c>
      <c r="Z40" s="184" t="n">
        <f aca="false">Z31*Z$11</f>
        <v>1.06676296458287</v>
      </c>
      <c r="AA40" s="184" t="n">
        <f aca="false">AA31*AA$11</f>
        <v>1.08596469794536</v>
      </c>
      <c r="AB40" s="184" t="n">
        <f aca="false">AB31*AB$11</f>
        <v>1.10551206250838</v>
      </c>
      <c r="AC40" s="184" t="n">
        <f aca="false">AC31*AC$11</f>
        <v>1.12541127963353</v>
      </c>
      <c r="AD40" s="184" t="n">
        <f aca="false">AD31*AD$11</f>
        <v>1.14566868266693</v>
      </c>
      <c r="AE40" s="184" t="n">
        <f aca="false">AE31*AE$11</f>
        <v>1.16629071895494</v>
      </c>
      <c r="AF40" s="184" t="n">
        <f aca="false">AF31*AF$11</f>
        <v>1.18728395189612</v>
      </c>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4"/>
      <c r="BP40" s="184"/>
      <c r="BQ40" s="184"/>
      <c r="BR40" s="184"/>
      <c r="BS40" s="184"/>
      <c r="BT40" s="184"/>
    </row>
    <row r="41" customFormat="false" ht="15" hidden="false" customHeight="true" outlineLevel="0" collapsed="false">
      <c r="B41" s="41" t="s">
        <v>1564</v>
      </c>
      <c r="C41" s="184" t="n">
        <f aca="false">C32*C$11</f>
        <v>0</v>
      </c>
      <c r="D41" s="184" t="n">
        <f aca="false">D32*D$11</f>
        <v>0</v>
      </c>
      <c r="E41" s="184" t="n">
        <f aca="false">E32*E$11</f>
        <v>0.36672</v>
      </c>
      <c r="F41" s="184" t="n">
        <f aca="false">F32*F$11</f>
        <v>0.37332096</v>
      </c>
      <c r="G41" s="184" t="n">
        <f aca="false">G32*G$11</f>
        <v>0.38004073728</v>
      </c>
      <c r="H41" s="184" t="n">
        <f aca="false">H32*H$11</f>
        <v>0.38688147055104</v>
      </c>
      <c r="I41" s="184" t="n">
        <f aca="false">I32*I$11</f>
        <v>0.393845337020959</v>
      </c>
      <c r="J41" s="184" t="n">
        <f aca="false">J32*J$11</f>
        <v>0.400934553087336</v>
      </c>
      <c r="K41" s="184" t="n">
        <f aca="false">K32*K$11</f>
        <v>0.408151375042908</v>
      </c>
      <c r="L41" s="184" t="n">
        <f aca="false">L32*L$11</f>
        <v>0.41549809979368</v>
      </c>
      <c r="M41" s="184" t="n">
        <f aca="false">M32*M$11</f>
        <v>0.422977065589967</v>
      </c>
      <c r="N41" s="184" t="n">
        <f aca="false">N32*N$11</f>
        <v>0.430590652770586</v>
      </c>
      <c r="O41" s="184" t="n">
        <f aca="false">O32*O$11</f>
        <v>0.438341284520457</v>
      </c>
      <c r="P41" s="184" t="n">
        <f aca="false">P32*P$11</f>
        <v>0.446231427641825</v>
      </c>
      <c r="Q41" s="184" t="n">
        <f aca="false">Q32*Q$11</f>
        <v>0.454263593339378</v>
      </c>
      <c r="R41" s="184" t="n">
        <f aca="false">R32*R$11</f>
        <v>0.462440338019486</v>
      </c>
      <c r="S41" s="184" t="n">
        <f aca="false">S32*S$11</f>
        <v>0.470764264103837</v>
      </c>
      <c r="T41" s="184" t="n">
        <f aca="false">T32*T$11</f>
        <v>0.479238020857706</v>
      </c>
      <c r="U41" s="184" t="n">
        <f aca="false">U32*U$11</f>
        <v>0.487864305233145</v>
      </c>
      <c r="V41" s="184" t="n">
        <f aca="false">V32*V$11</f>
        <v>0.496645862727342</v>
      </c>
      <c r="W41" s="184" t="n">
        <f aca="false">W32*W$11</f>
        <v>0.505585488256434</v>
      </c>
      <c r="X41" s="184" t="n">
        <f aca="false">X32*X$11</f>
        <v>0.51468602704505</v>
      </c>
      <c r="Y41" s="184" t="n">
        <f aca="false">Y32*Y$11</f>
        <v>0.523950375531861</v>
      </c>
      <c r="Z41" s="184" t="n">
        <f aca="false">Z32*Z$11</f>
        <v>0.533381482291434</v>
      </c>
      <c r="AA41" s="184" t="n">
        <f aca="false">AA32*AA$11</f>
        <v>0.54298234897268</v>
      </c>
      <c r="AB41" s="184" t="n">
        <f aca="false">AB32*AB$11</f>
        <v>0.552756031254188</v>
      </c>
      <c r="AC41" s="184" t="n">
        <f aca="false">AC32*AC$11</f>
        <v>0.562705639816764</v>
      </c>
      <c r="AD41" s="184" t="n">
        <f aca="false">AD32*AD$11</f>
        <v>0.572834341333465</v>
      </c>
      <c r="AE41" s="184" t="n">
        <f aca="false">AE32*AE$11</f>
        <v>0.583145359477468</v>
      </c>
      <c r="AF41" s="184" t="n">
        <f aca="false">AF32*AF$11</f>
        <v>0.593641975948062</v>
      </c>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c r="BP41" s="184"/>
      <c r="BQ41" s="184"/>
      <c r="BR41" s="184"/>
      <c r="BS41" s="184"/>
      <c r="BT41" s="184"/>
    </row>
    <row r="42" customFormat="false" ht="15" hidden="false" customHeight="true" outlineLevel="0" collapsed="false">
      <c r="B42" s="41" t="s">
        <v>1565</v>
      </c>
      <c r="C42" s="184" t="n">
        <f aca="false">C33*C$11</f>
        <v>0</v>
      </c>
      <c r="D42" s="184" t="n">
        <f aca="false">D33*D$11</f>
        <v>0</v>
      </c>
      <c r="E42" s="184" t="n">
        <f aca="false">E33*E$11</f>
        <v>0</v>
      </c>
      <c r="F42" s="184" t="n">
        <f aca="false">F33*F$11</f>
        <v>3.5160877524</v>
      </c>
      <c r="G42" s="184" t="n">
        <f aca="false">G33*G$11</f>
        <v>3.5793773319432</v>
      </c>
      <c r="H42" s="184" t="n">
        <f aca="false">H33*H$11</f>
        <v>3.64380612391818</v>
      </c>
      <c r="I42" s="184" t="n">
        <f aca="false">I33*I$11</f>
        <v>3.7093946341487</v>
      </c>
      <c r="J42" s="184" t="n">
        <f aca="false">J33*J$11</f>
        <v>3.77616373756338</v>
      </c>
      <c r="K42" s="184" t="n">
        <f aca="false">K33*K$11</f>
        <v>3.84413468483952</v>
      </c>
      <c r="L42" s="184" t="n">
        <f aca="false">L33*L$11</f>
        <v>3.91332910916663</v>
      </c>
      <c r="M42" s="184" t="n">
        <f aca="false">M33*M$11</f>
        <v>3.98376903313163</v>
      </c>
      <c r="N42" s="184" t="n">
        <f aca="false">N33*N$11</f>
        <v>4.055476875728</v>
      </c>
      <c r="O42" s="184" t="n">
        <f aca="false">O33*O$11</f>
        <v>4.12847545949111</v>
      </c>
      <c r="P42" s="184" t="n">
        <f aca="false">P33*P$11</f>
        <v>4.20278801776195</v>
      </c>
      <c r="Q42" s="184" t="n">
        <f aca="false">Q33*Q$11</f>
        <v>4.27843820208166</v>
      </c>
      <c r="R42" s="184" t="n">
        <f aca="false">R33*R$11</f>
        <v>4.35545008971913</v>
      </c>
      <c r="S42" s="184" t="n">
        <f aca="false">S33*S$11</f>
        <v>4.43384819133408</v>
      </c>
      <c r="T42" s="184" t="n">
        <f aca="false">T33*T$11</f>
        <v>4.51365745877809</v>
      </c>
      <c r="U42" s="184" t="n">
        <f aca="false">U33*U$11</f>
        <v>4.59490329303609</v>
      </c>
      <c r="V42" s="184" t="n">
        <f aca="false">V33*V$11</f>
        <v>4.67761155231074</v>
      </c>
      <c r="W42" s="184" t="n">
        <f aca="false">W33*W$11</f>
        <v>4.76180856025234</v>
      </c>
      <c r="X42" s="184" t="n">
        <f aca="false">X33*X$11</f>
        <v>4.84752111433688</v>
      </c>
      <c r="Y42" s="184" t="n">
        <f aca="false">Y33*Y$11</f>
        <v>4.93477649439495</v>
      </c>
      <c r="Z42" s="184" t="n">
        <f aca="false">Z33*Z$11</f>
        <v>5.02360247129405</v>
      </c>
      <c r="AA42" s="184" t="n">
        <f aca="false">AA33*AA$11</f>
        <v>5.11402731577735</v>
      </c>
      <c r="AB42" s="184" t="n">
        <f aca="false">AB33*AB$11</f>
        <v>5.20607980746134</v>
      </c>
      <c r="AC42" s="184" t="n">
        <f aca="false">AC33*AC$11</f>
        <v>5.29978924399564</v>
      </c>
      <c r="AD42" s="184" t="n">
        <f aca="false">AD33*AD$11</f>
        <v>5.39518545038756</v>
      </c>
      <c r="AE42" s="184" t="n">
        <f aca="false">AE33*AE$11</f>
        <v>5.49229878849454</v>
      </c>
      <c r="AF42" s="184" t="n">
        <f aca="false">AF33*AF$11</f>
        <v>5.59116016668744</v>
      </c>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184"/>
      <c r="BO42" s="184"/>
      <c r="BP42" s="184"/>
      <c r="BQ42" s="184"/>
      <c r="BR42" s="184"/>
      <c r="BS42" s="184"/>
      <c r="BT42" s="184"/>
    </row>
    <row r="43" customFormat="false" ht="15" hidden="false" customHeight="true" outlineLevel="0" collapsed="false">
      <c r="B43" s="41" t="s">
        <v>1566</v>
      </c>
      <c r="C43" s="184" t="n">
        <f aca="false">C34*C$11</f>
        <v>0</v>
      </c>
      <c r="D43" s="184" t="n">
        <f aca="false">D34*D$11</f>
        <v>1.2837281136</v>
      </c>
      <c r="E43" s="184" t="n">
        <f aca="false">E34*E$11</f>
        <v>1.3068352196448</v>
      </c>
      <c r="F43" s="184" t="n">
        <f aca="false">F34*F$11</f>
        <v>1.33035825359841</v>
      </c>
      <c r="G43" s="184" t="n">
        <f aca="false">G34*G$11</f>
        <v>1.35430470216318</v>
      </c>
      <c r="H43" s="184" t="n">
        <f aca="false">H34*H$11</f>
        <v>1.37868218680212</v>
      </c>
      <c r="I43" s="184" t="n">
        <f aca="false">I34*I$11</f>
        <v>1.40349846616455</v>
      </c>
      <c r="J43" s="184" t="n">
        <f aca="false">J34*J$11</f>
        <v>1.42876143855552</v>
      </c>
      <c r="K43" s="184" t="n">
        <f aca="false">K34*K$11</f>
        <v>1.45447914444951</v>
      </c>
      <c r="L43" s="184" t="n">
        <f aca="false">L34*L$11</f>
        <v>1.48065976904961</v>
      </c>
      <c r="M43" s="184" t="n">
        <f aca="false">M34*M$11</f>
        <v>1.5073116448925</v>
      </c>
      <c r="N43" s="184" t="n">
        <f aca="false">N34*N$11</f>
        <v>1.53444325450056</v>
      </c>
      <c r="O43" s="184" t="n">
        <f aca="false">O34*O$11</f>
        <v>1.56206323308157</v>
      </c>
      <c r="P43" s="184" t="n">
        <f aca="false">P34*P$11</f>
        <v>1.59018037127704</v>
      </c>
      <c r="Q43" s="184" t="n">
        <f aca="false">Q34*Q$11</f>
        <v>1.61880361796003</v>
      </c>
      <c r="R43" s="184" t="n">
        <f aca="false">R34*R$11</f>
        <v>1.64794208308331</v>
      </c>
      <c r="S43" s="184" t="n">
        <f aca="false">S34*S$11</f>
        <v>1.67760504057881</v>
      </c>
      <c r="T43" s="184" t="n">
        <f aca="false">T34*T$11</f>
        <v>1.70780193130923</v>
      </c>
      <c r="U43" s="184" t="n">
        <f aca="false">U34*U$11</f>
        <v>1.73854236607279</v>
      </c>
      <c r="V43" s="184" t="n">
        <f aca="false">V34*V$11</f>
        <v>1.76983612866211</v>
      </c>
      <c r="W43" s="184" t="n">
        <f aca="false">W34*W$11</f>
        <v>1.80169317897802</v>
      </c>
      <c r="X43" s="184" t="n">
        <f aca="false">X34*X$11</f>
        <v>1.83412365619963</v>
      </c>
      <c r="Y43" s="184" t="n">
        <f aca="false">Y34*Y$11</f>
        <v>1.86713788201122</v>
      </c>
      <c r="Z43" s="184" t="n">
        <f aca="false">Z34*Z$11</f>
        <v>1.90074636388742</v>
      </c>
      <c r="AA43" s="184" t="n">
        <f aca="false">AA34*AA$11</f>
        <v>1.9349597984374</v>
      </c>
      <c r="AB43" s="184" t="n">
        <f aca="false">AB34*AB$11</f>
        <v>1.96978907480927</v>
      </c>
      <c r="AC43" s="184" t="n">
        <f aca="false">AC34*AC$11</f>
        <v>2.00524527815584</v>
      </c>
      <c r="AD43" s="184" t="n">
        <f aca="false">AD34*AD$11</f>
        <v>2.04133969316264</v>
      </c>
      <c r="AE43" s="184" t="n">
        <f aca="false">AE34*AE$11</f>
        <v>2.07808380763957</v>
      </c>
      <c r="AF43" s="184" t="n">
        <f aca="false">AF34*AF$11</f>
        <v>2.11548931617708</v>
      </c>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c r="BP43" s="184"/>
      <c r="BQ43" s="184"/>
      <c r="BR43" s="184"/>
      <c r="BS43" s="184"/>
      <c r="BT43" s="184"/>
    </row>
    <row r="44" customFormat="false" ht="15" hidden="false" customHeight="true" outlineLevel="0" collapsed="false">
      <c r="B44" s="41" t="s">
        <v>1567</v>
      </c>
      <c r="C44" s="184" t="n">
        <f aca="false">C58*C$11</f>
        <v>0</v>
      </c>
      <c r="D44" s="184" t="n">
        <f aca="false">D58*D$11</f>
        <v>0</v>
      </c>
      <c r="E44" s="184" t="n">
        <f aca="false">E58*E$11</f>
        <v>0</v>
      </c>
      <c r="F44" s="184" t="n">
        <f aca="false">F58*F$11</f>
        <v>0.122126818820962</v>
      </c>
      <c r="G44" s="184" t="n">
        <f aca="false">G58*G$11</f>
        <v>0.250726359039435</v>
      </c>
      <c r="H44" s="184" t="n">
        <f aca="false">H58*H$11</f>
        <v>0.38606473499363</v>
      </c>
      <c r="I44" s="184" t="n">
        <f aca="false">I58*I$11</f>
        <v>0.528418087267202</v>
      </c>
      <c r="J44" s="184" t="n">
        <f aca="false">J58*J$11</f>
        <v>0.678072946428228</v>
      </c>
      <c r="K44" s="184" t="n">
        <f aca="false">K58*K$11</f>
        <v>0.83532660972981</v>
      </c>
      <c r="L44" s="184" t="n">
        <f aca="false">L58*L$11</f>
        <v>1.00048753123013</v>
      </c>
      <c r="M44" s="184" t="n">
        <f aca="false">M58*M$11</f>
        <v>1.17387572580583</v>
      </c>
      <c r="N44" s="184" t="n">
        <f aca="false">N58*N$11</f>
        <v>1.35582318754937</v>
      </c>
      <c r="O44" s="184" t="n">
        <f aca="false">O58*O$11</f>
        <v>1.54667432305806</v>
      </c>
      <c r="P44" s="184" t="n">
        <f aca="false">P58*P$11</f>
        <v>1.74678640014055</v>
      </c>
      <c r="Q44" s="184" t="n">
        <f aca="false">Q58*Q$11</f>
        <v>1.95653001248489</v>
      </c>
      <c r="R44" s="184" t="n">
        <f aca="false">R58*R$11</f>
        <v>2.17051150146366</v>
      </c>
      <c r="S44" s="184" t="n">
        <f aca="false">S58*S$11</f>
        <v>2.38862110398412</v>
      </c>
      <c r="T44" s="184" t="n">
        <f aca="false">T58*T$11</f>
        <v>2.61073349152463</v>
      </c>
      <c r="U44" s="184" t="n">
        <f aca="false">U58*U$11</f>
        <v>2.83670676658327</v>
      </c>
      <c r="V44" s="184" t="n">
        <f aca="false">V58*V$11</f>
        <v>3.06638140707396</v>
      </c>
      <c r="W44" s="184" t="n">
        <f aca="false">W58*W$11</f>
        <v>3.29957915623968</v>
      </c>
      <c r="X44" s="184" t="n">
        <f aca="false">X58*X$11</f>
        <v>3.53610185554642</v>
      </c>
      <c r="Y44" s="184" t="n">
        <f aca="false">Y58*Y$11</f>
        <v>3.77573021790993</v>
      </c>
      <c r="Z44" s="184" t="n">
        <f aca="false">Z58*Z$11</f>
        <v>4.01822253849183</v>
      </c>
      <c r="AA44" s="184" t="n">
        <f aca="false">AA58*AA$11</f>
        <v>4.26331334018078</v>
      </c>
      <c r="AB44" s="184" t="n">
        <f aca="false">AB58*AB$11</f>
        <v>4.51071195074886</v>
      </c>
      <c r="AC44" s="184" t="n">
        <f aca="false">AC58*AC$11</f>
        <v>4.76010100854221</v>
      </c>
      <c r="AD44" s="184" t="n">
        <f aca="false">AD58*AD$11</f>
        <v>5.01113489342854</v>
      </c>
      <c r="AE44" s="184" t="n">
        <f aca="false">AE58*AE$11</f>
        <v>5.26343807958193</v>
      </c>
      <c r="AF44" s="184" t="n">
        <f aca="false">AF58*AF$11</f>
        <v>5.51660340653718</v>
      </c>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4"/>
      <c r="BP44" s="184"/>
      <c r="BQ44" s="184"/>
      <c r="BR44" s="184"/>
      <c r="BS44" s="184"/>
      <c r="BT44" s="184"/>
    </row>
    <row r="45" customFormat="false" ht="15" hidden="false" customHeight="true" outlineLevel="0" collapsed="false">
      <c r="B45" s="185" t="s">
        <v>1568</v>
      </c>
      <c r="C45" s="186" t="n">
        <f aca="false">C39+C40+C41+C42+C43+C44</f>
        <v>2.168768328</v>
      </c>
      <c r="D45" s="186" t="n">
        <f aca="false">D39+D40+D41+D42+D43+D44</f>
        <v>3.491534271504</v>
      </c>
      <c r="E45" s="186" t="n">
        <f aca="false">E39+E40+E41+E42+E43+E44</f>
        <v>4.65454188839107</v>
      </c>
      <c r="F45" s="186" t="n">
        <f aca="false">F39+F40+F41+F42+F43+F44</f>
        <v>8.37653821360308</v>
      </c>
      <c r="G45" s="186" t="n">
        <f aca="false">G39+G40+G41+G42+G43+G44</f>
        <v>8.65371715892762</v>
      </c>
      <c r="H45" s="186" t="n">
        <f aca="false">H39+H40+H41+H42+H43+H44</f>
        <v>8.94030936927981</v>
      </c>
      <c r="I45" s="186" t="n">
        <f aca="false">I39+I40+I41+I42+I43+I44</f>
        <v>9.23663912497053</v>
      </c>
      <c r="J45" s="186" t="n">
        <f aca="false">J39+J40+J41+J42+J43+J44</f>
        <v>9.54304196281022</v>
      </c>
      <c r="K45" s="186" t="n">
        <f aca="false">K39+K40+K41+K42+K43+K44</f>
        <v>9.85986506840668</v>
      </c>
      <c r="L45" s="186" t="n">
        <f aca="false">L39+L40+L41+L42+L43+L44</f>
        <v>10.1874676821632</v>
      </c>
      <c r="M45" s="186" t="n">
        <f aca="false">M39+M40+M41+M42+M43+M44</f>
        <v>10.5262215194557</v>
      </c>
      <c r="N45" s="186" t="n">
        <f aca="false">N39+N40+N41+N42+N43+N44</f>
        <v>10.8765112054849</v>
      </c>
      <c r="O45" s="186" t="n">
        <f aca="false">O39+O40+O41+O42+O43+O44</f>
        <v>11.2387347253164</v>
      </c>
      <c r="P45" s="186" t="n">
        <f aca="false">P39+P40+P41+P42+P43+P44</f>
        <v>11.6133038896396</v>
      </c>
      <c r="Q45" s="186" t="n">
        <f aca="false">Q39+Q40+Q41+Q42+Q43+Q44</f>
        <v>12.0006448167949</v>
      </c>
      <c r="R45" s="186" t="n">
        <f aca="false">R39+R40+R41+R42+R43+R44</f>
        <v>12.3954203722512</v>
      </c>
      <c r="S45" s="186" t="n">
        <f aca="false">S39+S40+S41+S42+S43+S44</f>
        <v>12.7975783344459</v>
      </c>
      <c r="T45" s="186" t="n">
        <f aca="false">T39+T40+T41+T42+T43+T44</f>
        <v>13.2070519521347</v>
      </c>
      <c r="U45" s="186" t="n">
        <f aca="false">U39+U40+U41+U42+U43+U44</f>
        <v>13.6237589594843</v>
      </c>
      <c r="V45" s="186" t="n">
        <f aca="false">V39+V40+V41+V42+V43+V44</f>
        <v>14.0476005394472</v>
      </c>
      <c r="W45" s="186" t="n">
        <f aca="false">W39+W40+W41+W42+W43+W44</f>
        <v>14.4784602329957</v>
      </c>
      <c r="X45" s="186" t="n">
        <f aca="false">X39+X40+X41+X42+X43+X44</f>
        <v>14.916202791684</v>
      </c>
      <c r="Y45" s="186" t="n">
        <f aca="false">Y39+Y40+Y41+Y42+Y43+Y44</f>
        <v>15.360672970898</v>
      </c>
      <c r="Z45" s="186" t="n">
        <f aca="false">Z39+Z40+Z41+Z42+Z43+Z44</f>
        <v>15.8116942610337</v>
      </c>
      <c r="AA45" s="186" t="n">
        <f aca="false">AA39+AA40+AA41+AA42+AA43+AA44</f>
        <v>16.2690675537284</v>
      </c>
      <c r="AB45" s="186" t="n">
        <f aca="false">AB39+AB40+AB41+AB42+AB43+AB44</f>
        <v>16.7325697401403</v>
      </c>
      <c r="AC45" s="186" t="n">
        <f aca="false">AC39+AC40+AC41+AC42+AC43+AC44</f>
        <v>17.2019522381427</v>
      </c>
      <c r="AD45" s="186" t="n">
        <f aca="false">AD39+AD40+AD41+AD42+AD43+AD44</f>
        <v>17.6769394451619</v>
      </c>
      <c r="AE45" s="186" t="n">
        <f aca="false">AE39+AE40+AE41+AE42+AE43+AE44</f>
        <v>18.1572271132465</v>
      </c>
      <c r="AF45" s="186" t="n">
        <f aca="false">AF39+AF40+AF41+AF42+AF43+AF44</f>
        <v>18.6424806428077</v>
      </c>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row>
    <row r="46" customFormat="false" ht="15" hidden="false" customHeight="true" outlineLevel="0" collapsed="false">
      <c r="B46" s="188" t="s">
        <v>1569</v>
      </c>
      <c r="C46" s="184" t="n">
        <f aca="false">C36*C10</f>
        <v>2.838702</v>
      </c>
      <c r="D46" s="184" t="n">
        <f aca="false">D36*D10</f>
        <v>4.570071036</v>
      </c>
      <c r="E46" s="184" t="n">
        <f aca="false">E36*E10</f>
        <v>6.092332314648</v>
      </c>
      <c r="F46" s="184" t="n">
        <f aca="false">F36*F10</f>
        <v>10.9640552534072</v>
      </c>
      <c r="G46" s="184" t="n">
        <f aca="false">G36*G10</f>
        <v>11.3268549200623</v>
      </c>
      <c r="H46" s="184" t="n">
        <f aca="false">H36*H10</f>
        <v>11.7019756142406</v>
      </c>
      <c r="I46" s="184" t="n">
        <f aca="false">I36*I10</f>
        <v>12.0898417866106</v>
      </c>
      <c r="J46" s="184" t="n">
        <f aca="false">J36*J10</f>
        <v>12.4908926214793</v>
      </c>
      <c r="K46" s="184" t="n">
        <f aca="false">K36*K10</f>
        <v>12.9055825502705</v>
      </c>
      <c r="L46" s="184" t="n">
        <f aca="false">L36*L10</f>
        <v>13.3343817829361</v>
      </c>
      <c r="M46" s="184" t="n">
        <f aca="false">M36*M10</f>
        <v>13.7777768579263</v>
      </c>
      <c r="N46" s="184" t="n">
        <f aca="false">N36*N10</f>
        <v>14.2362712113677</v>
      </c>
      <c r="O46" s="184" t="n">
        <f aca="false">O36*O10</f>
        <v>14.710385766121</v>
      </c>
      <c r="P46" s="184" t="n">
        <f aca="false">P36*P10</f>
        <v>15.2006595414131</v>
      </c>
      <c r="Q46" s="184" t="n">
        <f aca="false">Q36*Q10</f>
        <v>15.707650283763</v>
      </c>
      <c r="R46" s="184" t="n">
        <f aca="false">R36*R10</f>
        <v>16.2243722149886</v>
      </c>
      <c r="S46" s="184" t="n">
        <f aca="false">S36*S10</f>
        <v>16.750756982259</v>
      </c>
      <c r="T46" s="184" t="n">
        <f aca="false">T36*T10</f>
        <v>17.286717214836</v>
      </c>
      <c r="U46" s="184" t="n">
        <f aca="false">U36*U10</f>
        <v>17.8321452349271</v>
      </c>
      <c r="V46" s="184" t="n">
        <f aca="false">V36*V10</f>
        <v>18.3869117008472</v>
      </c>
      <c r="W46" s="184" t="n">
        <f aca="false">W36*W10</f>
        <v>18.9508641793137</v>
      </c>
      <c r="X46" s="184" t="n">
        <f aca="false">X36*X10</f>
        <v>19.5238256435655</v>
      </c>
      <c r="Y46" s="184" t="n">
        <f aca="false">Y36*Y10</f>
        <v>20.1055928938456</v>
      </c>
      <c r="Z46" s="184" t="n">
        <f aca="false">Z36*Z10</f>
        <v>20.695934896641</v>
      </c>
      <c r="AA46" s="184" t="n">
        <f aca="false">AA36*AA10</f>
        <v>21.2945910389115</v>
      </c>
      <c r="AB46" s="184" t="n">
        <f aca="false">AB36*AB10</f>
        <v>21.9012692933774</v>
      </c>
      <c r="AC46" s="184" t="n">
        <f aca="false">AC36*AC10</f>
        <v>22.5156442907628</v>
      </c>
      <c r="AD46" s="184" t="n">
        <f aca="false">AD36*AD10</f>
        <v>23.1373552947145</v>
      </c>
      <c r="AE46" s="184" t="n">
        <f aca="false">AE36*AE10</f>
        <v>23.7660040749299</v>
      </c>
      <c r="AF46" s="184" t="n">
        <f aca="false">AF36*AF10</f>
        <v>24.4011526738321</v>
      </c>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4"/>
      <c r="BR46" s="184"/>
      <c r="BS46" s="184"/>
      <c r="BT46" s="184"/>
    </row>
    <row r="47" customFormat="false" ht="15" hidden="false" customHeight="true" outlineLevel="0" collapsed="false">
      <c r="B47" s="41" t="s">
        <v>1570</v>
      </c>
      <c r="C47" s="189" t="n">
        <f aca="false">IFERROR(C46/C45,0)</f>
        <v>1.30890052356021</v>
      </c>
      <c r="D47" s="189" t="n">
        <f aca="false">IFERROR(D46/D45,0)</f>
        <v>1.30890052356021</v>
      </c>
      <c r="E47" s="189" t="n">
        <f aca="false">IFERROR(E46/E45,0)</f>
        <v>1.30890052356021</v>
      </c>
      <c r="F47" s="189" t="n">
        <f aca="false">IFERROR(F46/F45,0)</f>
        <v>1.30890052356021</v>
      </c>
      <c r="G47" s="189" t="n">
        <f aca="false">IFERROR(G46/G45,0)</f>
        <v>1.30890052356021</v>
      </c>
      <c r="H47" s="189" t="n">
        <f aca="false">IFERROR(H46/H45,0)</f>
        <v>1.30890052356021</v>
      </c>
      <c r="I47" s="189" t="n">
        <f aca="false">IFERROR(I46/I45,0)</f>
        <v>1.30890052356021</v>
      </c>
      <c r="J47" s="189" t="n">
        <f aca="false">IFERROR(J46/J45,0)</f>
        <v>1.30890052356021</v>
      </c>
      <c r="K47" s="189" t="n">
        <f aca="false">IFERROR(K46/K45,0)</f>
        <v>1.30890052356021</v>
      </c>
      <c r="L47" s="189" t="n">
        <f aca="false">IFERROR(L46/L45,0)</f>
        <v>1.30890052356021</v>
      </c>
      <c r="M47" s="189" t="n">
        <f aca="false">IFERROR(M46/M45,0)</f>
        <v>1.30890052356021</v>
      </c>
      <c r="N47" s="189" t="n">
        <f aca="false">IFERROR(N46/N45,0)</f>
        <v>1.30890052356021</v>
      </c>
      <c r="O47" s="189" t="n">
        <f aca="false">IFERROR(O46/O45,0)</f>
        <v>1.30890052356021</v>
      </c>
      <c r="P47" s="189" t="n">
        <f aca="false">IFERROR(P46/P45,0)</f>
        <v>1.30890052356021</v>
      </c>
      <c r="Q47" s="189" t="n">
        <f aca="false">IFERROR(Q46/Q45,0)</f>
        <v>1.30890052356021</v>
      </c>
      <c r="R47" s="189" t="n">
        <f aca="false">IFERROR(R46/R45,0)</f>
        <v>1.30890052356021</v>
      </c>
      <c r="S47" s="189" t="n">
        <f aca="false">IFERROR(S46/S45,0)</f>
        <v>1.30890052356021</v>
      </c>
      <c r="T47" s="189" t="n">
        <f aca="false">IFERROR(T46/T45,0)</f>
        <v>1.30890052356021</v>
      </c>
      <c r="U47" s="189" t="n">
        <f aca="false">IFERROR(U46/U45,0)</f>
        <v>1.30890052356021</v>
      </c>
      <c r="V47" s="189" t="n">
        <f aca="false">IFERROR(V46/V45,0)</f>
        <v>1.30890052356021</v>
      </c>
      <c r="W47" s="189" t="n">
        <f aca="false">IFERROR(W46/W45,0)</f>
        <v>1.30890052356021</v>
      </c>
      <c r="X47" s="189" t="n">
        <f aca="false">IFERROR(X46/X45,0)</f>
        <v>1.30890052356021</v>
      </c>
      <c r="Y47" s="189" t="n">
        <f aca="false">IFERROR(Y46/Y45,0)</f>
        <v>1.30890052356021</v>
      </c>
      <c r="Z47" s="189" t="n">
        <f aca="false">IFERROR(Z46/Z45,0)</f>
        <v>1.30890052356021</v>
      </c>
      <c r="AA47" s="189" t="n">
        <f aca="false">IFERROR(AA46/AA45,0)</f>
        <v>1.30890052356021</v>
      </c>
      <c r="AB47" s="189" t="n">
        <f aca="false">IFERROR(AB46/AB45,0)</f>
        <v>1.30890052356021</v>
      </c>
      <c r="AC47" s="189" t="n">
        <f aca="false">IFERROR(AC46/AC45,0)</f>
        <v>1.30890052356021</v>
      </c>
      <c r="AD47" s="189" t="n">
        <f aca="false">IFERROR(AD46/AD45,0)</f>
        <v>1.30890052356021</v>
      </c>
      <c r="AE47" s="189" t="n">
        <f aca="false">IFERROR(AE46/AE45,0)</f>
        <v>1.30890052356021</v>
      </c>
      <c r="AF47" s="189" t="n">
        <f aca="false">IFERROR(AF46/AF45,0)</f>
        <v>1.30890052356021</v>
      </c>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row>
    <row r="48" customFormat="false" ht="15" hidden="false" customHeight="true" outlineLevel="0" collapsed="false">
      <c r="B48" s="41" t="s">
        <v>1571</v>
      </c>
      <c r="C48" s="184" t="n">
        <f aca="false">(IF(C6&lt;=4,0,MIN(C6-4,20)/20*C18*01_Supuestos!$I$63/1000000000000*POWER(1+C8,C6-4)))*01_Supuestos!$I$79</f>
        <v>0</v>
      </c>
      <c r="D48" s="184" t="n">
        <f aca="false">(IF(D6&lt;=4,0,MIN(D6-4,20)/20*D18*01_Supuestos!$I$63/1000000000000*POWER(1+D8,D6-4)))*01_Supuestos!$I$79</f>
        <v>0</v>
      </c>
      <c r="E48" s="184" t="n">
        <f aca="false">(IF(E6&lt;=4,0,MIN(E6-4,20)/20*E18*01_Supuestos!$I$63/1000000000000*POWER(1+E8,E6-4)))*01_Supuestos!$I$79</f>
        <v>0</v>
      </c>
      <c r="F48" s="184" t="n">
        <f aca="false">(IF(F6&lt;=4,0,MIN(F6-4,20)/20*F18*01_Supuestos!$I$63/1000000000000*POWER(1+F8,F6-4)))*01_Supuestos!$I$79</f>
        <v>0</v>
      </c>
      <c r="G48" s="184" t="n">
        <f aca="false">(IF(G6&lt;=4,0,MIN(G6-4,20)/20*G18*01_Supuestos!$I$63/1000000000000*POWER(1+G8,G6-4)))*01_Supuestos!$I$79</f>
        <v>0</v>
      </c>
      <c r="H48" s="184" t="n">
        <f aca="false">(IF(H6&lt;=4,0,MIN(H6-4,20)/20*H18*01_Supuestos!$I$63/1000000000000*POWER(1+H8,H6-4)))*01_Supuestos!$I$79</f>
        <v>0</v>
      </c>
      <c r="I48" s="184" t="n">
        <f aca="false">(IF(I6&lt;=4,0,MIN(I6-4,20)/20*I18*01_Supuestos!$I$63/1000000000000*POWER(1+I8,I6-4)))*01_Supuestos!$I$79</f>
        <v>0</v>
      </c>
      <c r="J48" s="184" t="n">
        <f aca="false">(IF(J6&lt;=4,0,MIN(J6-4,20)/20*J18*01_Supuestos!$I$63/1000000000000*POWER(1+J8,J6-4)))*01_Supuestos!$I$79</f>
        <v>0</v>
      </c>
      <c r="K48" s="184" t="n">
        <f aca="false">(IF(K6&lt;=4,0,MIN(K6-4,20)/20*K18*01_Supuestos!$I$63/1000000000000*POWER(1+K8,K6-4)))*01_Supuestos!$I$79</f>
        <v>0</v>
      </c>
      <c r="L48" s="184" t="n">
        <f aca="false">(IF(L6&lt;=4,0,MIN(L6-4,20)/20*L18*01_Supuestos!$I$63/1000000000000*POWER(1+L8,L6-4)))*01_Supuestos!$I$79</f>
        <v>0</v>
      </c>
      <c r="M48" s="184" t="n">
        <f aca="false">(IF(M6&lt;=4,0,MIN(M6-4,20)/20*M18*01_Supuestos!$I$63/1000000000000*POWER(1+M8,M6-4)))*01_Supuestos!$I$79</f>
        <v>0</v>
      </c>
      <c r="N48" s="184" t="n">
        <f aca="false">(IF(N6&lt;=4,0,MIN(N6-4,20)/20*N18*01_Supuestos!$I$63/1000000000000*POWER(1+N8,N6-4)))*01_Supuestos!$I$79</f>
        <v>0</v>
      </c>
      <c r="O48" s="184" t="n">
        <f aca="false">(IF(O6&lt;=4,0,MIN(O6-4,20)/20*O18*01_Supuestos!$I$63/1000000000000*POWER(1+O8,O6-4)))*01_Supuestos!$I$79</f>
        <v>0</v>
      </c>
      <c r="P48" s="184" t="n">
        <f aca="false">(IF(P6&lt;=4,0,MIN(P6-4,20)/20*P18*01_Supuestos!$I$63/1000000000000*POWER(1+P8,P6-4)))*01_Supuestos!$I$79</f>
        <v>0</v>
      </c>
      <c r="Q48" s="184" t="n">
        <f aca="false">(IF(Q6&lt;=4,0,MIN(Q6-4,20)/20*Q18*01_Supuestos!$I$63/1000000000000*POWER(1+Q8,Q6-4)))*01_Supuestos!$I$79</f>
        <v>0</v>
      </c>
      <c r="R48" s="184" t="n">
        <f aca="false">(IF(R6&lt;=4,0,MIN(R6-4,20)/20*R18*01_Supuestos!$I$63/1000000000000*POWER(1+R8,R6-4)))*01_Supuestos!$I$79</f>
        <v>0</v>
      </c>
      <c r="S48" s="184" t="n">
        <f aca="false">(IF(S6&lt;=4,0,MIN(S6-4,20)/20*S18*01_Supuestos!$I$63/1000000000000*POWER(1+S8,S6-4)))*01_Supuestos!$I$79</f>
        <v>0</v>
      </c>
      <c r="T48" s="184" t="n">
        <f aca="false">(IF(T6&lt;=4,0,MIN(T6-4,20)/20*T18*01_Supuestos!$I$63/1000000000000*POWER(1+T8,T6-4)))*01_Supuestos!$I$79</f>
        <v>0</v>
      </c>
      <c r="U48" s="184" t="n">
        <f aca="false">(IF(U6&lt;=4,0,MIN(U6-4,20)/20*U18*01_Supuestos!$I$63/1000000000000*POWER(1+U8,U6-4)))*01_Supuestos!$I$79</f>
        <v>0</v>
      </c>
      <c r="V48" s="184" t="n">
        <f aca="false">(IF(V6&lt;=4,0,MIN(V6-4,20)/20*V18*01_Supuestos!$I$63/1000000000000*POWER(1+V8,V6-4)))*01_Supuestos!$I$79</f>
        <v>0</v>
      </c>
      <c r="W48" s="184" t="n">
        <f aca="false">(IF(W6&lt;=4,0,MIN(W6-4,20)/20*W18*01_Supuestos!$I$63/1000000000000*POWER(1+W8,W6-4)))*01_Supuestos!$I$79</f>
        <v>0</v>
      </c>
      <c r="X48" s="184" t="n">
        <f aca="false">(IF(X6&lt;=4,0,MIN(X6-4,20)/20*X18*01_Supuestos!$I$63/1000000000000*POWER(1+X8,X6-4)))*01_Supuestos!$I$79</f>
        <v>0</v>
      </c>
      <c r="Y48" s="184" t="n">
        <f aca="false">(IF(Y6&lt;=4,0,MIN(Y6-4,20)/20*Y18*01_Supuestos!$I$63/1000000000000*POWER(1+Y8,Y6-4)))*01_Supuestos!$I$79</f>
        <v>0</v>
      </c>
      <c r="Z48" s="184" t="n">
        <f aca="false">(IF(Z6&lt;=4,0,MIN(Z6-4,20)/20*Z18*01_Supuestos!$I$63/1000000000000*POWER(1+Z8,Z6-4)))*01_Supuestos!$I$79</f>
        <v>0</v>
      </c>
      <c r="AA48" s="184" t="n">
        <f aca="false">(IF(AA6&lt;=4,0,MIN(AA6-4,20)/20*AA18*01_Supuestos!$I$63/1000000000000*POWER(1+AA8,AA6-4)))*01_Supuestos!$I$79</f>
        <v>0</v>
      </c>
      <c r="AB48" s="184" t="n">
        <f aca="false">(IF(AB6&lt;=4,0,MIN(AB6-4,20)/20*AB18*01_Supuestos!$I$63/1000000000000*POWER(1+AB8,AB6-4)))*01_Supuestos!$I$79</f>
        <v>0</v>
      </c>
      <c r="AC48" s="184" t="n">
        <f aca="false">(IF(AC6&lt;=4,0,MIN(AC6-4,20)/20*AC18*01_Supuestos!$I$63/1000000000000*POWER(1+AC8,AC6-4)))*01_Supuestos!$I$79</f>
        <v>0</v>
      </c>
      <c r="AD48" s="184" t="n">
        <f aca="false">(IF(AD6&lt;=4,0,MIN(AD6-4,20)/20*AD18*01_Supuestos!$I$63/1000000000000*POWER(1+AD8,AD6-4)))*01_Supuestos!$I$79</f>
        <v>0</v>
      </c>
      <c r="AE48" s="184" t="n">
        <f aca="false">(IF(AE6&lt;=4,0,MIN(AE6-4,20)/20*AE18*01_Supuestos!$I$63/1000000000000*POWER(1+AE8,AE6-4)))*01_Supuestos!$I$79</f>
        <v>0</v>
      </c>
      <c r="AF48" s="184" t="n">
        <f aca="false">(IF(AF6&lt;=4,0,MIN(AF6-4,20)/20*AF18*01_Supuestos!$I$63/1000000000000*POWER(1+AF8,AF6-4)))*01_Supuestos!$I$79</f>
        <v>0</v>
      </c>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c r="BP48" s="184"/>
      <c r="BQ48" s="184"/>
      <c r="BR48" s="184"/>
      <c r="BS48" s="184"/>
      <c r="BT48" s="184"/>
    </row>
    <row r="49" customFormat="false" ht="15" hidden="false" customHeight="true" outlineLevel="0" collapsed="false">
      <c r="B49" s="41" t="s">
        <v>1572</v>
      </c>
      <c r="C49" s="184" t="n">
        <f aca="false">C36*C13</f>
        <v>6.8128848</v>
      </c>
      <c r="D49" s="184" t="n">
        <f aca="false">D36*D13</f>
        <v>10.9681704864</v>
      </c>
      <c r="E49" s="184" t="n">
        <f aca="false">E36*E13</f>
        <v>14.6215975551552</v>
      </c>
      <c r="F49" s="184" t="n">
        <f aca="false">F36*F13</f>
        <v>26.3137326081772</v>
      </c>
      <c r="G49" s="184" t="n">
        <f aca="false">G36*G13</f>
        <v>27.1844518081496</v>
      </c>
      <c r="H49" s="184" t="n">
        <f aca="false">H36*H13</f>
        <v>28.0847414741774</v>
      </c>
      <c r="I49" s="184" t="n">
        <f aca="false">I36*I13</f>
        <v>29.0156202878655</v>
      </c>
      <c r="J49" s="184" t="n">
        <f aca="false">J36*J13</f>
        <v>29.9781422915504</v>
      </c>
      <c r="K49" s="184" t="n">
        <f aca="false">K36*K13</f>
        <v>30.9733981206492</v>
      </c>
      <c r="L49" s="184" t="n">
        <f aca="false">L36*L13</f>
        <v>32.0025162790466</v>
      </c>
      <c r="M49" s="184" t="n">
        <f aca="false">M36*M13</f>
        <v>20.6666652868894</v>
      </c>
      <c r="N49" s="184" t="n">
        <f aca="false">N36*N13</f>
        <v>21.3544068170515</v>
      </c>
      <c r="O49" s="184" t="n">
        <f aca="false">O36*O13</f>
        <v>22.0655786491815</v>
      </c>
      <c r="P49" s="184" t="n">
        <f aca="false">P36*P13</f>
        <v>22.8009893121196</v>
      </c>
      <c r="Q49" s="184" t="n">
        <f aca="false">Q36*Q13</f>
        <v>23.5614754256444</v>
      </c>
      <c r="R49" s="184" t="n">
        <f aca="false">R36*R13</f>
        <v>24.3365583224828</v>
      </c>
      <c r="S49" s="184" t="n">
        <f aca="false">S36*S13</f>
        <v>25.1261354733885</v>
      </c>
      <c r="T49" s="184" t="n">
        <f aca="false">T36*T13</f>
        <v>25.930075822254</v>
      </c>
      <c r="U49" s="184" t="n">
        <f aca="false">U36*U13</f>
        <v>26.7482178523907</v>
      </c>
      <c r="V49" s="184" t="n">
        <f aca="false">V36*V13</f>
        <v>27.5803675512708</v>
      </c>
      <c r="W49" s="184" t="n">
        <f aca="false">W36*W13</f>
        <v>28.4262962689706</v>
      </c>
      <c r="X49" s="184" t="n">
        <f aca="false">X36*X13</f>
        <v>29.2857384653482</v>
      </c>
      <c r="Y49" s="184" t="n">
        <f aca="false">Y36*Y13</f>
        <v>30.1583893407684</v>
      </c>
      <c r="Z49" s="184" t="n">
        <f aca="false">Z36*Z13</f>
        <v>31.0439023449615</v>
      </c>
      <c r="AA49" s="184" t="n">
        <f aca="false">AA36*AA13</f>
        <v>31.9418865583673</v>
      </c>
      <c r="AB49" s="184" t="n">
        <f aca="false">AB36*AB13</f>
        <v>32.8519039400661</v>
      </c>
      <c r="AC49" s="184" t="n">
        <f aca="false">AC36*AC13</f>
        <v>33.7734664361441</v>
      </c>
      <c r="AD49" s="184" t="n">
        <f aca="false">AD36*AD13</f>
        <v>34.7060329420718</v>
      </c>
      <c r="AE49" s="184" t="n">
        <f aca="false">AE36*AE13</f>
        <v>35.6490061123949</v>
      </c>
      <c r="AF49" s="184" t="n">
        <f aca="false">AF36*AF13</f>
        <v>36.6017290107481</v>
      </c>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4"/>
      <c r="BR49" s="184"/>
      <c r="BS49" s="184"/>
      <c r="BT49" s="184"/>
    </row>
    <row r="50" customFormat="false" ht="15" hidden="false" customHeight="true" outlineLevel="0" collapsed="false">
      <c r="B50" s="41" t="s">
        <v>1573</v>
      </c>
      <c r="C50" s="184" t="n">
        <f aca="false">C37+C38+C48</f>
        <v>21.7</v>
      </c>
      <c r="D50" s="184" t="n">
        <f aca="false">D37+D38+D48</f>
        <v>21.7736842105263</v>
      </c>
      <c r="E50" s="184" t="n">
        <f aca="false">E37+E38+E48</f>
        <v>21.8473684210526</v>
      </c>
      <c r="F50" s="184" t="n">
        <f aca="false">F37+F38+F48</f>
        <v>21.921052631579</v>
      </c>
      <c r="G50" s="184" t="n">
        <f aca="false">G37+G38+G48</f>
        <v>21.9947368421053</v>
      </c>
      <c r="H50" s="184" t="n">
        <f aca="false">H37+H38+H48</f>
        <v>22.0684210526316</v>
      </c>
      <c r="I50" s="184" t="n">
        <f aca="false">I37+I38+I48</f>
        <v>22.1421052631579</v>
      </c>
      <c r="J50" s="184" t="n">
        <f aca="false">J37+J38+J48</f>
        <v>22.2157894736842</v>
      </c>
      <c r="K50" s="184" t="n">
        <f aca="false">K37+K38+K48</f>
        <v>22.2894736842105</v>
      </c>
      <c r="L50" s="184" t="n">
        <f aca="false">L37+L38+L48</f>
        <v>22.3631578947368</v>
      </c>
      <c r="M50" s="184" t="n">
        <f aca="false">M37+M38+M48</f>
        <v>1.83684210526316</v>
      </c>
      <c r="N50" s="184" t="n">
        <f aca="false">N37+N38+N48</f>
        <v>1.91052631578947</v>
      </c>
      <c r="O50" s="184" t="n">
        <f aca="false">O37+O38+O48</f>
        <v>1.98421052631579</v>
      </c>
      <c r="P50" s="184" t="n">
        <f aca="false">P37+P38+P48</f>
        <v>2.05789473684211</v>
      </c>
      <c r="Q50" s="184" t="n">
        <f aca="false">Q37+Q38+Q48</f>
        <v>2.13157894736842</v>
      </c>
      <c r="R50" s="184" t="n">
        <f aca="false">R37+R38+R48</f>
        <v>2.20526315789474</v>
      </c>
      <c r="S50" s="184" t="n">
        <f aca="false">S37+S38+S48</f>
        <v>2.27894736842105</v>
      </c>
      <c r="T50" s="184" t="n">
        <f aca="false">T37+T38+T48</f>
        <v>2.35263157894737</v>
      </c>
      <c r="U50" s="184" t="n">
        <f aca="false">U37+U38+U48</f>
        <v>2.42631578947368</v>
      </c>
      <c r="V50" s="184" t="n">
        <f aca="false">V37+V38+V48</f>
        <v>2.5</v>
      </c>
      <c r="W50" s="184" t="n">
        <f aca="false">W37+W38+W48</f>
        <v>2.5875</v>
      </c>
      <c r="X50" s="184" t="n">
        <f aca="false">X37+X38+X48</f>
        <v>2.6780625</v>
      </c>
      <c r="Y50" s="184" t="n">
        <f aca="false">Y37+Y38+Y48</f>
        <v>2.7717946875</v>
      </c>
      <c r="Z50" s="184" t="n">
        <f aca="false">Z37+Z38+Z48</f>
        <v>2.8688075015625</v>
      </c>
      <c r="AA50" s="184" t="n">
        <f aca="false">AA37+AA38+AA48</f>
        <v>2.96921576411719</v>
      </c>
      <c r="AB50" s="184" t="n">
        <f aca="false">AB37+AB38+AB48</f>
        <v>3.07313831586129</v>
      </c>
      <c r="AC50" s="184" t="n">
        <f aca="false">AC37+AC38+AC48</f>
        <v>3.18069815691643</v>
      </c>
      <c r="AD50" s="184" t="n">
        <f aca="false">AD37+AD38+AD48</f>
        <v>3.29202259240851</v>
      </c>
      <c r="AE50" s="184" t="n">
        <f aca="false">AE37+AE38+AE48</f>
        <v>3.40724338314281</v>
      </c>
      <c r="AF50" s="184" t="n">
        <f aca="false">AF37+AF38+AF48</f>
        <v>3.5264969015528</v>
      </c>
      <c r="AG50" s="184"/>
      <c r="AH50" s="184"/>
      <c r="AI50" s="184"/>
      <c r="AJ50" s="184"/>
      <c r="AK50" s="184"/>
      <c r="AL50" s="184"/>
      <c r="AM50" s="184"/>
      <c r="AN50" s="184"/>
      <c r="AO50" s="184"/>
      <c r="AP50" s="184"/>
      <c r="AQ50" s="184"/>
      <c r="AR50" s="184"/>
      <c r="AS50" s="184"/>
      <c r="AT50" s="184"/>
      <c r="AU50" s="184"/>
      <c r="AV50" s="184"/>
      <c r="AW50" s="184"/>
      <c r="AX50" s="184"/>
      <c r="AY50" s="184"/>
      <c r="AZ50" s="184"/>
      <c r="BA50" s="184"/>
      <c r="BB50" s="184"/>
      <c r="BC50" s="184"/>
      <c r="BD50" s="184"/>
      <c r="BE50" s="184"/>
      <c r="BF50" s="184"/>
      <c r="BG50" s="184"/>
      <c r="BH50" s="184"/>
      <c r="BI50" s="184"/>
      <c r="BJ50" s="184"/>
      <c r="BK50" s="184"/>
      <c r="BL50" s="184"/>
      <c r="BM50" s="184"/>
      <c r="BN50" s="184"/>
      <c r="BO50" s="184"/>
      <c r="BP50" s="184"/>
      <c r="BQ50" s="184"/>
      <c r="BR50" s="184"/>
      <c r="BS50" s="184"/>
      <c r="BT50" s="184"/>
    </row>
    <row r="51" customFormat="false" ht="15" hidden="false" customHeight="true" outlineLevel="0" collapsed="false">
      <c r="B51" s="41" t="s">
        <v>1574</v>
      </c>
      <c r="C51" s="184" t="n">
        <f aca="false">MAX(C35-C50,0)</f>
        <v>0</v>
      </c>
      <c r="D51" s="184" t="n">
        <f aca="false">MAX(D35-D50,0)</f>
        <v>0</v>
      </c>
      <c r="E51" s="184" t="n">
        <f aca="false">MAX(E35-E50,0)</f>
        <v>0</v>
      </c>
      <c r="F51" s="184" t="n">
        <f aca="false">MAX(F35-F50,0)</f>
        <v>0</v>
      </c>
      <c r="G51" s="184" t="n">
        <f aca="false">MAX(G35-G50,0)</f>
        <v>0</v>
      </c>
      <c r="H51" s="184" t="n">
        <f aca="false">MAX(H35-H50,0)</f>
        <v>0</v>
      </c>
      <c r="I51" s="184" t="n">
        <f aca="false">MAX(I35-I50,0)</f>
        <v>0</v>
      </c>
      <c r="J51" s="184" t="n">
        <f aca="false">MAX(J35-J50,0)</f>
        <v>0</v>
      </c>
      <c r="K51" s="184" t="n">
        <f aca="false">MAX(K35-K50,0)</f>
        <v>0</v>
      </c>
      <c r="L51" s="184" t="n">
        <f aca="false">MAX(L35-L50,0)</f>
        <v>0</v>
      </c>
      <c r="M51" s="184" t="n">
        <f aca="false">MAX(M35-M50,0)</f>
        <v>2.23068195268345</v>
      </c>
      <c r="N51" s="184" t="n">
        <f aca="false">MAX(N35-N50,0)</f>
        <v>2.29936108418526</v>
      </c>
      <c r="O51" s="184" t="n">
        <f aca="false">MAX(O35-O50,0)</f>
        <v>2.37302293265806</v>
      </c>
      <c r="P51" s="184" t="n">
        <f aca="false">MAX(P35-P50,0)</f>
        <v>2.45184189319583</v>
      </c>
      <c r="Q51" s="184" t="n">
        <f aca="false">MAX(Q35-Q50,0)</f>
        <v>2.53599846472084</v>
      </c>
      <c r="R51" s="184" t="n">
        <f aca="false">MAX(R35-R50,0)</f>
        <v>2.47442136446226</v>
      </c>
      <c r="S51" s="184" t="n">
        <f aca="false">MAX(S35-S50,0)</f>
        <v>2.40797397959261</v>
      </c>
      <c r="T51" s="184" t="n">
        <f aca="false">MAX(T35-T50,0)</f>
        <v>2.33630055897903</v>
      </c>
      <c r="U51" s="184" t="n">
        <f aca="false">MAX(U35-U50,0)</f>
        <v>2.25902641500803</v>
      </c>
      <c r="V51" s="184" t="n">
        <f aca="false">MAX(V35-V50,0)</f>
        <v>2.17575703382695</v>
      </c>
      <c r="W51" s="184" t="n">
        <f aca="false">MAX(W35-W50,0)</f>
        <v>2.07226135702585</v>
      </c>
      <c r="X51" s="184" t="n">
        <f aca="false">MAX(X35-X50,0)</f>
        <v>1.95885568048224</v>
      </c>
      <c r="Y51" s="184" t="n">
        <f aca="false">MAX(Y35-Y50,0)</f>
        <v>1.83497308641823</v>
      </c>
      <c r="Z51" s="184" t="n">
        <f aca="false">MAX(Z35-Z50,0)</f>
        <v>1.70001911256114</v>
      </c>
      <c r="AA51" s="184" t="n">
        <f aca="false">MAX(AA35-AA50,0)</f>
        <v>1.55337051850319</v>
      </c>
      <c r="AB51" s="184" t="n">
        <f aca="false">MAX(AB35-AB50,0)</f>
        <v>1.3943739994483</v>
      </c>
      <c r="AC51" s="184" t="n">
        <f aca="false">MAX(AC35-AC50,0)</f>
        <v>1.22234484517439</v>
      </c>
      <c r="AD51" s="184" t="n">
        <f aca="false">MAX(AD35-AD50,0)</f>
        <v>1.036565541952</v>
      </c>
      <c r="AE51" s="184" t="n">
        <f aca="false">MAX(AE35-AE50,0)</f>
        <v>0.836284315068691</v>
      </c>
      <c r="AF51" s="184" t="n">
        <f aca="false">MAX(AF35-AF50,0)</f>
        <v>0.620713609514664</v>
      </c>
      <c r="AG51" s="184"/>
      <c r="AH51" s="184"/>
      <c r="AI51" s="184"/>
      <c r="AJ51" s="184"/>
      <c r="AK51" s="184"/>
      <c r="AL51" s="184"/>
      <c r="AM51" s="184"/>
      <c r="AN51" s="184"/>
      <c r="AO51" s="184"/>
      <c r="AP51" s="184"/>
      <c r="AQ51" s="184"/>
      <c r="AR51" s="184"/>
      <c r="AS51" s="184"/>
      <c r="AT51" s="184"/>
      <c r="AU51" s="184"/>
      <c r="AV51" s="184"/>
      <c r="AW51" s="184"/>
      <c r="AX51" s="184"/>
      <c r="AY51" s="184"/>
      <c r="AZ51" s="184"/>
      <c r="BA51" s="184"/>
      <c r="BB51" s="184"/>
      <c r="BC51" s="184"/>
      <c r="BD51" s="184"/>
      <c r="BE51" s="184"/>
      <c r="BF51" s="184"/>
      <c r="BG51" s="184"/>
      <c r="BH51" s="184"/>
      <c r="BI51" s="184"/>
      <c r="BJ51" s="184"/>
      <c r="BK51" s="184"/>
      <c r="BL51" s="184"/>
      <c r="BM51" s="184"/>
      <c r="BN51" s="184"/>
      <c r="BO51" s="184"/>
      <c r="BP51" s="184"/>
      <c r="BQ51" s="184"/>
      <c r="BR51" s="184"/>
      <c r="BS51" s="184"/>
      <c r="BT51" s="184"/>
    </row>
    <row r="52" customFormat="false" ht="15" hidden="false" customHeight="true" outlineLevel="0" collapsed="false">
      <c r="B52" s="41" t="s">
        <v>1575</v>
      </c>
      <c r="C52" s="189" t="n">
        <f aca="false">IFERROR(C66/C49,0)</f>
        <v>0.0516666666666666</v>
      </c>
      <c r="D52" s="189" t="n">
        <f aca="false">IFERROR(D66/D49,0)</f>
        <v>0.0516666666666666</v>
      </c>
      <c r="E52" s="189" t="n">
        <f aca="false">IFERROR(E66/E49,0)</f>
        <v>0.0516666666666666</v>
      </c>
      <c r="F52" s="189" t="n">
        <f aca="false">IFERROR(F66/F49,0)</f>
        <v>0.0516666666666667</v>
      </c>
      <c r="G52" s="189" t="n">
        <f aca="false">IFERROR(G66/G49,0)</f>
        <v>0.0516666666666666</v>
      </c>
      <c r="H52" s="189" t="n">
        <f aca="false">IFERROR(H66/H49,0)</f>
        <v>0.0516666666666666</v>
      </c>
      <c r="I52" s="189" t="n">
        <f aca="false">IFERROR(I66/I49,0)</f>
        <v>0.0516666666666667</v>
      </c>
      <c r="J52" s="189" t="n">
        <f aca="false">IFERROR(J66/J49,0)</f>
        <v>0.0516666666666666</v>
      </c>
      <c r="K52" s="189" t="n">
        <f aca="false">IFERROR(K66/K49,0)</f>
        <v>0.0516666666666667</v>
      </c>
      <c r="L52" s="189" t="n">
        <f aca="false">IFERROR(L66/L49,0)</f>
        <v>0.0516666666666666</v>
      </c>
      <c r="M52" s="189" t="n">
        <f aca="false">IFERROR(M66/M49,0)</f>
        <v>0.190602897389799</v>
      </c>
      <c r="N52" s="189" t="n">
        <f aca="false">IFERROR(N66/N49,0)</f>
        <v>0.19034285284615</v>
      </c>
      <c r="O52" s="189" t="n">
        <f aca="false">IFERROR(O66/O49,0)</f>
        <v>0.190210772823434</v>
      </c>
      <c r="P52" s="189" t="n">
        <f aca="false">IFERROR(P66/P49,0)</f>
        <v>0.190198925887217</v>
      </c>
      <c r="Q52" s="189" t="n">
        <f aca="false">IFERROR(Q66/Q49,0)</f>
        <v>0.190299928969105</v>
      </c>
      <c r="R52" s="189" t="n">
        <f aca="false">IFERROR(R66/R49,0)</f>
        <v>0.184341740507174</v>
      </c>
      <c r="S52" s="189" t="n">
        <f aca="false">IFERROR(S66/S49,0)</f>
        <v>0.178502095960715</v>
      </c>
      <c r="T52" s="189" t="n">
        <f aca="false">IFERROR(T66/T49,0)</f>
        <v>0.1727666947188</v>
      </c>
      <c r="U52" s="189" t="n">
        <f aca="false">IFERROR(U66/U49,0)</f>
        <v>0.167121878878351</v>
      </c>
      <c r="V52" s="189" t="n">
        <f aca="false">IFERROR(V66/V49,0)</f>
        <v>0.161554557837163</v>
      </c>
      <c r="W52" s="189" t="n">
        <f aca="false">IFERROR(W66/W49,0)</f>
        <v>0.155566116437331</v>
      </c>
      <c r="X52" s="189" t="n">
        <f aca="false">IFERROR(X66/X49,0)</f>
        <v>0.149554366384398</v>
      </c>
      <c r="Y52" s="189" t="n">
        <f aca="false">IFERROR(Y66/Y49,0)</f>
        <v>0.143511198703319</v>
      </c>
      <c r="Z52" s="189" t="n">
        <f aca="false">IFERROR(Z66/Z49,0)</f>
        <v>0.137428439000262</v>
      </c>
      <c r="AA52" s="189" t="n">
        <f aca="false">IFERROR(AA66/AA49,0)</f>
        <v>0.131297811720191</v>
      </c>
      <c r="AB52" s="189" t="n">
        <f aca="false">IFERROR(AB66/AB49,0)</f>
        <v>0.125110903749307</v>
      </c>
      <c r="AC52" s="189" t="n">
        <f aca="false">IFERROR(AC66/AC49,0)</f>
        <v>0.118859127025614</v>
      </c>
      <c r="AD52" s="189" t="n">
        <f aca="false">IFERROR(AD66/AD49,0)</f>
        <v>0.112533679807642</v>
      </c>
      <c r="AE52" s="189" t="n">
        <f aca="false">IFERROR(AE66/AE49,0)</f>
        <v>0.106125506232405</v>
      </c>
      <c r="AF52" s="189" t="n">
        <f aca="false">IFERROR(AF66/AF49,0)</f>
        <v>0.0996252537687237</v>
      </c>
      <c r="AG52" s="189"/>
      <c r="AH52" s="189"/>
      <c r="AI52" s="189"/>
      <c r="AJ52" s="189"/>
      <c r="AK52" s="189"/>
      <c r="AL52" s="189"/>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row>
    <row r="53" customFormat="false" ht="15" hidden="false" customHeight="true" outlineLevel="0" collapsed="false">
      <c r="B53" s="15" t="s">
        <v>1576</v>
      </c>
      <c r="C53" s="12" t="str">
        <f aca="false">IF(C52&lt;01_Supuestos!$I$48,"🟢 Verde",IF(C52&lt;01_Supuestos!$I$49,"🟡 Amarillo","🔴 Rojo"))</f>
        <v>🟢 Verde</v>
      </c>
      <c r="D53" s="12" t="str">
        <f aca="false">IF(D52&lt;01_Supuestos!$I$48,"🟢 Verde",IF(D52&lt;01_Supuestos!$I$49,"🟡 Amarillo","🔴 Rojo"))</f>
        <v>🟢 Verde</v>
      </c>
      <c r="E53" s="12" t="str">
        <f aca="false">IF(E52&lt;01_Supuestos!$I$48,"🟢 Verde",IF(E52&lt;01_Supuestos!$I$49,"🟡 Amarillo","🔴 Rojo"))</f>
        <v>🟢 Verde</v>
      </c>
      <c r="F53" s="12" t="str">
        <f aca="false">IF(F52&lt;01_Supuestos!$I$48,"🟢 Verde",IF(F52&lt;01_Supuestos!$I$49,"🟡 Amarillo","🔴 Rojo"))</f>
        <v>🟢 Verde</v>
      </c>
      <c r="G53" s="12" t="str">
        <f aca="false">IF(G52&lt;01_Supuestos!$I$48,"🟢 Verde",IF(G52&lt;01_Supuestos!$I$49,"🟡 Amarillo","🔴 Rojo"))</f>
        <v>🟢 Verde</v>
      </c>
      <c r="H53" s="12" t="str">
        <f aca="false">IF(H52&lt;01_Supuestos!$I$48,"🟢 Verde",IF(H52&lt;01_Supuestos!$I$49,"🟡 Amarillo","🔴 Rojo"))</f>
        <v>🟢 Verde</v>
      </c>
      <c r="I53" s="12" t="str">
        <f aca="false">IF(I52&lt;01_Supuestos!$I$48,"🟢 Verde",IF(I52&lt;01_Supuestos!$I$49,"🟡 Amarillo","🔴 Rojo"))</f>
        <v>🟢 Verde</v>
      </c>
      <c r="J53" s="12" t="str">
        <f aca="false">IF(J52&lt;01_Supuestos!$I$48,"🟢 Verde",IF(J52&lt;01_Supuestos!$I$49,"🟡 Amarillo","🔴 Rojo"))</f>
        <v>🟢 Verde</v>
      </c>
      <c r="K53" s="12" t="str">
        <f aca="false">IF(K52&lt;01_Supuestos!$I$48,"🟢 Verde",IF(K52&lt;01_Supuestos!$I$49,"🟡 Amarillo","🔴 Rojo"))</f>
        <v>🟢 Verde</v>
      </c>
      <c r="L53" s="12" t="str">
        <f aca="false">IF(L52&lt;01_Supuestos!$I$48,"🟢 Verde",IF(L52&lt;01_Supuestos!$I$49,"🟡 Amarillo","🔴 Rojo"))</f>
        <v>🟢 Verde</v>
      </c>
      <c r="M53" s="12" t="str">
        <f aca="false">IF(M52&lt;01_Supuestos!$I$48,"🟢 Verde",IF(M52&lt;01_Supuestos!$I$49,"🟡 Amarillo","🔴 Rojo"))</f>
        <v>🟢 Verde</v>
      </c>
      <c r="N53" s="12" t="str">
        <f aca="false">IF(N52&lt;01_Supuestos!$I$48,"🟢 Verde",IF(N52&lt;01_Supuestos!$I$49,"🟡 Amarillo","🔴 Rojo"))</f>
        <v>🟢 Verde</v>
      </c>
      <c r="O53" s="12" t="str">
        <f aca="false">IF(O52&lt;01_Supuestos!$I$48,"🟢 Verde",IF(O52&lt;01_Supuestos!$I$49,"🟡 Amarillo","🔴 Rojo"))</f>
        <v>🟢 Verde</v>
      </c>
      <c r="P53" s="12" t="str">
        <f aca="false">IF(P52&lt;01_Supuestos!$I$48,"🟢 Verde",IF(P52&lt;01_Supuestos!$I$49,"🟡 Amarillo","🔴 Rojo"))</f>
        <v>🟢 Verde</v>
      </c>
      <c r="Q53" s="12" t="str">
        <f aca="false">IF(Q52&lt;01_Supuestos!$I$48,"🟢 Verde",IF(Q52&lt;01_Supuestos!$I$49,"🟡 Amarillo","🔴 Rojo"))</f>
        <v>🟢 Verde</v>
      </c>
      <c r="R53" s="12" t="str">
        <f aca="false">IF(R52&lt;01_Supuestos!$I$48,"🟢 Verde",IF(R52&lt;01_Supuestos!$I$49,"🟡 Amarillo","🔴 Rojo"))</f>
        <v>🟢 Verde</v>
      </c>
      <c r="S53" s="12" t="str">
        <f aca="false">IF(S52&lt;01_Supuestos!$I$48,"🟢 Verde",IF(S52&lt;01_Supuestos!$I$49,"🟡 Amarillo","🔴 Rojo"))</f>
        <v>🟢 Verde</v>
      </c>
      <c r="T53" s="12" t="str">
        <f aca="false">IF(T52&lt;01_Supuestos!$I$48,"🟢 Verde",IF(T52&lt;01_Supuestos!$I$49,"🟡 Amarillo","🔴 Rojo"))</f>
        <v>🟢 Verde</v>
      </c>
      <c r="U53" s="12" t="str">
        <f aca="false">IF(U52&lt;01_Supuestos!$I$48,"🟢 Verde",IF(U52&lt;01_Supuestos!$I$49,"🟡 Amarillo","🔴 Rojo"))</f>
        <v>🟢 Verde</v>
      </c>
      <c r="V53" s="12" t="str">
        <f aca="false">IF(V52&lt;01_Supuestos!$I$48,"🟢 Verde",IF(V52&lt;01_Supuestos!$I$49,"🟡 Amarillo","🔴 Rojo"))</f>
        <v>🟢 Verde</v>
      </c>
      <c r="W53" s="12" t="str">
        <f aca="false">IF(W52&lt;01_Supuestos!$I$48,"🟢 Verde",IF(W52&lt;01_Supuestos!$I$49,"🟡 Amarillo","🔴 Rojo"))</f>
        <v>🟢 Verde</v>
      </c>
      <c r="X53" s="12" t="str">
        <f aca="false">IF(X52&lt;01_Supuestos!$I$48,"🟢 Verde",IF(X52&lt;01_Supuestos!$I$49,"🟡 Amarillo","🔴 Rojo"))</f>
        <v>🟢 Verde</v>
      </c>
      <c r="Y53" s="12" t="str">
        <f aca="false">IF(Y52&lt;01_Supuestos!$I$48,"🟢 Verde",IF(Y52&lt;01_Supuestos!$I$49,"🟡 Amarillo","🔴 Rojo"))</f>
        <v>🟢 Verde</v>
      </c>
      <c r="Z53" s="12" t="str">
        <f aca="false">IF(Z52&lt;01_Supuestos!$I$48,"🟢 Verde",IF(Z52&lt;01_Supuestos!$I$49,"🟡 Amarillo","🔴 Rojo"))</f>
        <v>🟢 Verde</v>
      </c>
      <c r="AA53" s="12" t="str">
        <f aca="false">IF(AA52&lt;01_Supuestos!$I$48,"🟢 Verde",IF(AA52&lt;01_Supuestos!$I$49,"🟡 Amarillo","🔴 Rojo"))</f>
        <v>🟢 Verde</v>
      </c>
      <c r="AB53" s="12" t="str">
        <f aca="false">IF(AB52&lt;01_Supuestos!$I$48,"🟢 Verde",IF(AB52&lt;01_Supuestos!$I$49,"🟡 Amarillo","🔴 Rojo"))</f>
        <v>🟢 Verde</v>
      </c>
      <c r="AC53" s="12" t="str">
        <f aca="false">IF(AC52&lt;01_Supuestos!$I$48,"🟢 Verde",IF(AC52&lt;01_Supuestos!$I$49,"🟡 Amarillo","🔴 Rojo"))</f>
        <v>🟢 Verde</v>
      </c>
      <c r="AD53" s="12" t="str">
        <f aca="false">IF(AD52&lt;01_Supuestos!$I$48,"🟢 Verde",IF(AD52&lt;01_Supuestos!$I$49,"🟡 Amarillo","🔴 Rojo"))</f>
        <v>🟢 Verde</v>
      </c>
      <c r="AE53" s="12" t="str">
        <f aca="false">IF(AE52&lt;01_Supuestos!$I$48,"🟢 Verde",IF(AE52&lt;01_Supuestos!$I$49,"🟡 Amarillo","🔴 Rojo"))</f>
        <v>🟢 Verde</v>
      </c>
      <c r="AF53" s="12" t="str">
        <f aca="false">IF(AF52&lt;01_Supuestos!$I$48,"🟢 Verde",IF(AF52&lt;01_Supuestos!$I$49,"🟡 Amarillo","🔴 Rojo"))</f>
        <v>🟢 Verde</v>
      </c>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row>
    <row r="54" customFormat="false" ht="15" hidden="false" customHeight="true" outlineLevel="0" collapsed="false">
      <c r="B54" s="41" t="s">
        <v>1577</v>
      </c>
      <c r="C54" s="189" t="n">
        <f aca="false">IF(1&lt;5,0,IF(1&gt;=30,C25,(1-5)/25*C25))</f>
        <v>0</v>
      </c>
      <c r="D54" s="189" t="n">
        <f aca="false">IF(2&lt;5,0,IF(2&gt;=30,D25,(2-5)/25*D25))</f>
        <v>0</v>
      </c>
      <c r="E54" s="189" t="n">
        <f aca="false">IF(3&lt;5,0,IF(3&gt;=30,E25,(3-5)/25*E25))</f>
        <v>0</v>
      </c>
      <c r="F54" s="189" t="n">
        <f aca="false">IF(4&lt;5,0,IF(4&gt;=30,F25,(4-5)/25*F25))</f>
        <v>0</v>
      </c>
      <c r="G54" s="189" t="n">
        <f aca="false">IF(5&lt;5,0,IF(5&gt;=30,G25,(5-5)/25*G25))</f>
        <v>0</v>
      </c>
      <c r="H54" s="189" t="n">
        <f aca="false">IF(6&lt;5,0,IF(6&gt;=30,H25,(6-5)/25*H25))</f>
        <v>0.04</v>
      </c>
      <c r="I54" s="189" t="n">
        <f aca="false">IF(7&lt;5,0,IF(7&gt;=30,I25,(7-5)/25*I25))</f>
        <v>0.08</v>
      </c>
      <c r="J54" s="189" t="n">
        <f aca="false">IF(8&lt;5,0,IF(8&gt;=30,J25,(8-5)/25*J25))</f>
        <v>0.12</v>
      </c>
      <c r="K54" s="189" t="n">
        <f aca="false">IF(9&lt;5,0,IF(9&gt;=30,K25,(9-5)/25*K25))</f>
        <v>0.16</v>
      </c>
      <c r="L54" s="189" t="n">
        <f aca="false">IF(10&lt;5,0,IF(10&gt;=30,L25,(10-5)/25*L25))</f>
        <v>0.2</v>
      </c>
      <c r="M54" s="189" t="n">
        <f aca="false">IF(11&lt;5,0,IF(11&gt;=30,M25,(11-5)/25*M25))</f>
        <v>0.24</v>
      </c>
      <c r="N54" s="189" t="n">
        <f aca="false">IF(12&lt;5,0,IF(12&gt;=30,N25,(12-5)/25*N25))</f>
        <v>0.28</v>
      </c>
      <c r="O54" s="189" t="n">
        <f aca="false">IF(13&lt;5,0,IF(13&gt;=30,O25,(13-5)/25*O25))</f>
        <v>0.32</v>
      </c>
      <c r="P54" s="189" t="n">
        <f aca="false">IF(14&lt;5,0,IF(14&gt;=30,P25,(14-5)/25*P25))</f>
        <v>0.36</v>
      </c>
      <c r="Q54" s="189" t="n">
        <f aca="false">IF(15&lt;5,0,IF(15&gt;=30,Q25,(15-5)/25*Q25))</f>
        <v>0.4</v>
      </c>
      <c r="R54" s="189" t="n">
        <f aca="false">IF(16&lt;5,0,IF(16&gt;=30,R25,(16-5)/25*R25))</f>
        <v>0.44</v>
      </c>
      <c r="S54" s="189" t="n">
        <f aca="false">IF(17&lt;5,0,IF(17&gt;=30,S25,(17-5)/25*S25))</f>
        <v>0.48</v>
      </c>
      <c r="T54" s="189" t="n">
        <f aca="false">IF(18&lt;5,0,IF(18&gt;=30,T25,(18-5)/25*T25))</f>
        <v>0.52</v>
      </c>
      <c r="U54" s="189" t="n">
        <f aca="false">IF(19&lt;5,0,IF(19&gt;=30,U25,(19-5)/25*U25))</f>
        <v>0.56</v>
      </c>
      <c r="V54" s="189" t="n">
        <f aca="false">IF(20&lt;5,0,IF(20&gt;=30,V25,(20-5)/25*V25))</f>
        <v>0.6</v>
      </c>
      <c r="W54" s="189" t="n">
        <f aca="false">IF(21&lt;5,0,IF(21&gt;=30,W25,(21-5)/25*W25))</f>
        <v>0.64</v>
      </c>
      <c r="X54" s="189" t="n">
        <f aca="false">IF(22&lt;5,0,IF(22&gt;=30,X25,(22-5)/25*X25))</f>
        <v>0.68</v>
      </c>
      <c r="Y54" s="189" t="n">
        <f aca="false">IF(23&lt;5,0,IF(23&gt;=30,Y25,(23-5)/25*Y25))</f>
        <v>0.72</v>
      </c>
      <c r="Z54" s="189" t="n">
        <f aca="false">IF(24&lt;5,0,IF(24&gt;=30,Z25,(24-5)/25*Z25))</f>
        <v>0.76</v>
      </c>
      <c r="AA54" s="189" t="n">
        <f aca="false">IF(25&lt;5,0,IF(25&gt;=30,AA25,(25-5)/25*AA25))</f>
        <v>0.8</v>
      </c>
      <c r="AB54" s="189" t="n">
        <f aca="false">IF(26&lt;5,0,IF(26&gt;=30,AB25,(26-5)/25*AB25))</f>
        <v>0.84</v>
      </c>
      <c r="AC54" s="189" t="n">
        <f aca="false">IF(27&lt;5,0,IF(27&gt;=30,AC25,(27-5)/25*AC25))</f>
        <v>0.88</v>
      </c>
      <c r="AD54" s="189" t="n">
        <f aca="false">IF(28&lt;5,0,IF(28&gt;=30,AD25,(28-5)/25*AD25))</f>
        <v>0.92</v>
      </c>
      <c r="AE54" s="189" t="n">
        <f aca="false">IF(29&lt;5,0,IF(29&gt;=30,AE25,(29-5)/25*AE25))</f>
        <v>0.96</v>
      </c>
      <c r="AF54" s="189" t="n">
        <f aca="false">IF(30&lt;5,0,IF(30&gt;=30,AF25,(30-5)/25*AF25))</f>
        <v>1</v>
      </c>
      <c r="AG54" s="189"/>
      <c r="AH54" s="189"/>
      <c r="AI54" s="189"/>
      <c r="AJ54" s="189"/>
      <c r="AK54" s="189"/>
      <c r="AL54" s="189"/>
      <c r="AM54" s="189"/>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89"/>
      <c r="BR54" s="189"/>
      <c r="BS54" s="189"/>
      <c r="BT54" s="189"/>
    </row>
    <row r="55" customFormat="false" ht="15" hidden="false" customHeight="true" outlineLevel="0" collapsed="false">
      <c r="B55" s="41" t="s">
        <v>1578</v>
      </c>
      <c r="C55" s="184" t="n">
        <f aca="false">01_Supuestos!$I$62*01_Supuestos!$I$30*12/1000000000000*POWER(1+C8,1-1)</f>
        <v>2.23682093784</v>
      </c>
      <c r="D55" s="184" t="n">
        <f aca="false">01_Supuestos!$I$62*01_Supuestos!$I$30*12/1000000000000*POWER(1+D8,2-1)</f>
        <v>2.3151096706644</v>
      </c>
      <c r="E55" s="184" t="n">
        <f aca="false">01_Supuestos!$I$62*01_Supuestos!$I$30*12/1000000000000*POWER(1+E8,3-1)</f>
        <v>2.39613850913765</v>
      </c>
      <c r="F55" s="184" t="n">
        <f aca="false">01_Supuestos!$I$62*01_Supuestos!$I$30*12/1000000000000*POWER(1+F8,4-1)</f>
        <v>2.48000335695747</v>
      </c>
      <c r="G55" s="184" t="n">
        <f aca="false">01_Supuestos!$I$62*01_Supuestos!$I$30*12/1000000000000*POWER(1+G8,5-1)</f>
        <v>2.56680347445098</v>
      </c>
      <c r="H55" s="184" t="n">
        <f aca="false">01_Supuestos!$I$62*01_Supuestos!$I$30*12/1000000000000*POWER(1+H8,6-1)</f>
        <v>2.65664159605677</v>
      </c>
      <c r="I55" s="184" t="n">
        <f aca="false">01_Supuestos!$I$62*01_Supuestos!$I$30*12/1000000000000*POWER(1+I8,7-1)</f>
        <v>2.74962405191875</v>
      </c>
      <c r="J55" s="184" t="n">
        <f aca="false">01_Supuestos!$I$62*01_Supuestos!$I$30*12/1000000000000*POWER(1+J8,8-1)</f>
        <v>2.84586089373591</v>
      </c>
      <c r="K55" s="184" t="n">
        <f aca="false">01_Supuestos!$I$62*01_Supuestos!$I$30*12/1000000000000*POWER(1+K8,9-1)</f>
        <v>2.94546602501667</v>
      </c>
      <c r="L55" s="184" t="n">
        <f aca="false">01_Supuestos!$I$62*01_Supuestos!$I$30*12/1000000000000*POWER(1+L8,10-1)</f>
        <v>3.04855733589225</v>
      </c>
      <c r="M55" s="184" t="n">
        <f aca="false">01_Supuestos!$I$62*01_Supuestos!$I$30*12/1000000000000*POWER(1+M8,11-1)</f>
        <v>3.15525684264848</v>
      </c>
      <c r="N55" s="184" t="n">
        <f aca="false">01_Supuestos!$I$62*01_Supuestos!$I$30*12/1000000000000*POWER(1+N8,12-1)</f>
        <v>3.26569083214117</v>
      </c>
      <c r="O55" s="184" t="n">
        <f aca="false">01_Supuestos!$I$62*01_Supuestos!$I$30*12/1000000000000*POWER(1+O8,13-1)</f>
        <v>3.37999001126612</v>
      </c>
      <c r="P55" s="184" t="n">
        <f aca="false">01_Supuestos!$I$62*01_Supuestos!$I$30*12/1000000000000*POWER(1+P8,14-1)</f>
        <v>3.49828966166043</v>
      </c>
      <c r="Q55" s="184" t="n">
        <f aca="false">01_Supuestos!$I$62*01_Supuestos!$I$30*12/1000000000000*POWER(1+Q8,15-1)</f>
        <v>3.62072979981854</v>
      </c>
      <c r="R55" s="184" t="n">
        <f aca="false">01_Supuestos!$I$62*01_Supuestos!$I$30*12/1000000000000*POWER(1+R8,16-1)</f>
        <v>3.74745534281219</v>
      </c>
      <c r="S55" s="184" t="n">
        <f aca="false">01_Supuestos!$I$62*01_Supuestos!$I$30*12/1000000000000*POWER(1+S8,17-1)</f>
        <v>3.87861627981062</v>
      </c>
      <c r="T55" s="184" t="n">
        <f aca="false">01_Supuestos!$I$62*01_Supuestos!$I$30*12/1000000000000*POWER(1+T8,18-1)</f>
        <v>4.01436784960399</v>
      </c>
      <c r="U55" s="184" t="n">
        <f aca="false">01_Supuestos!$I$62*01_Supuestos!$I$30*12/1000000000000*POWER(1+U8,19-1)</f>
        <v>4.15487072434013</v>
      </c>
      <c r="V55" s="184" t="n">
        <f aca="false">01_Supuestos!$I$62*01_Supuestos!$I$30*12/1000000000000*POWER(1+V8,20-1)</f>
        <v>4.30029119969203</v>
      </c>
      <c r="W55" s="184" t="n">
        <f aca="false">01_Supuestos!$I$62*01_Supuestos!$I$30*12/1000000000000*POWER(1+W8,21-1)</f>
        <v>4.45080139168126</v>
      </c>
      <c r="X55" s="184" t="n">
        <f aca="false">01_Supuestos!$I$62*01_Supuestos!$I$30*12/1000000000000*POWER(1+X8,22-1)</f>
        <v>4.6065794403901</v>
      </c>
      <c r="Y55" s="184" t="n">
        <f aca="false">01_Supuestos!$I$62*01_Supuestos!$I$30*12/1000000000000*POWER(1+Y8,23-1)</f>
        <v>4.76780972080375</v>
      </c>
      <c r="Z55" s="184" t="n">
        <f aca="false">01_Supuestos!$I$62*01_Supuestos!$I$30*12/1000000000000*POWER(1+Z8,24-1)</f>
        <v>4.93468306103188</v>
      </c>
      <c r="AA55" s="184" t="n">
        <f aca="false">01_Supuestos!$I$62*01_Supuestos!$I$30*12/1000000000000*POWER(1+AA8,25-1)</f>
        <v>5.107396968168</v>
      </c>
      <c r="AB55" s="184" t="n">
        <f aca="false">01_Supuestos!$I$62*01_Supuestos!$I$30*12/1000000000000*POWER(1+AB8,26-1)</f>
        <v>5.28615586205388</v>
      </c>
      <c r="AC55" s="184" t="n">
        <f aca="false">01_Supuestos!$I$62*01_Supuestos!$I$30*12/1000000000000*POWER(1+AC8,27-1)</f>
        <v>5.47117131722576</v>
      </c>
      <c r="AD55" s="184" t="n">
        <f aca="false">01_Supuestos!$I$62*01_Supuestos!$I$30*12/1000000000000*POWER(1+AD8,28-1)</f>
        <v>5.66266231332866</v>
      </c>
      <c r="AE55" s="184" t="n">
        <f aca="false">01_Supuestos!$I$62*01_Supuestos!$I$30*12/1000000000000*POWER(1+AE8,29-1)</f>
        <v>5.86085549429517</v>
      </c>
      <c r="AF55" s="184" t="n">
        <f aca="false">01_Supuestos!$I$62*01_Supuestos!$I$30*12/1000000000000*POWER(1+AF8,30-1)</f>
        <v>6.0659854365955</v>
      </c>
      <c r="AG55" s="184"/>
      <c r="AH55" s="184"/>
      <c r="AI55" s="184"/>
      <c r="AJ55" s="184"/>
      <c r="AK55" s="184"/>
      <c r="AL55" s="184"/>
      <c r="AM55" s="184"/>
      <c r="AN55" s="184"/>
      <c r="AO55" s="184"/>
      <c r="AP55" s="184"/>
      <c r="AQ55" s="184"/>
      <c r="AR55" s="184"/>
      <c r="AS55" s="184"/>
      <c r="AT55" s="184"/>
      <c r="AU55" s="184"/>
      <c r="AV55" s="184"/>
      <c r="AW55" s="184"/>
      <c r="AX55" s="184"/>
      <c r="AY55" s="184"/>
      <c r="AZ55" s="184"/>
      <c r="BA55" s="184"/>
      <c r="BB55" s="184"/>
      <c r="BC55" s="184"/>
      <c r="BD55" s="184"/>
      <c r="BE55" s="184"/>
      <c r="BF55" s="184"/>
      <c r="BG55" s="184"/>
      <c r="BH55" s="184"/>
      <c r="BI55" s="184"/>
      <c r="BJ55" s="184"/>
      <c r="BK55" s="184"/>
      <c r="BL55" s="184"/>
      <c r="BM55" s="184"/>
      <c r="BN55" s="184"/>
      <c r="BO55" s="184"/>
      <c r="BP55" s="184"/>
      <c r="BQ55" s="184"/>
      <c r="BR55" s="184"/>
      <c r="BS55" s="184"/>
      <c r="BT55" s="184"/>
    </row>
    <row r="56" customFormat="false" ht="15" hidden="false" customHeight="true" outlineLevel="0" collapsed="false">
      <c r="B56" s="41" t="s">
        <v>1579</v>
      </c>
      <c r="C56" s="184" t="n">
        <f aca="false">C55*C54</f>
        <v>0</v>
      </c>
      <c r="D56" s="184" t="n">
        <f aca="false">D55*D54</f>
        <v>0</v>
      </c>
      <c r="E56" s="184" t="n">
        <f aca="false">E55*E54</f>
        <v>0</v>
      </c>
      <c r="F56" s="184" t="n">
        <f aca="false">F55*F54</f>
        <v>0</v>
      </c>
      <c r="G56" s="184" t="n">
        <f aca="false">G55*G54</f>
        <v>0</v>
      </c>
      <c r="H56" s="184" t="n">
        <f aca="false">H55*H54</f>
        <v>0.106265663842271</v>
      </c>
      <c r="I56" s="184" t="n">
        <f aca="false">I55*I54</f>
        <v>0.2199699241535</v>
      </c>
      <c r="J56" s="184" t="n">
        <f aca="false">J55*J54</f>
        <v>0.341503307248309</v>
      </c>
      <c r="K56" s="184" t="n">
        <f aca="false">K55*K54</f>
        <v>0.471274564002667</v>
      </c>
      <c r="L56" s="184" t="n">
        <f aca="false">L55*L54</f>
        <v>0.60971146717845</v>
      </c>
      <c r="M56" s="184" t="n">
        <f aca="false">M55*M54</f>
        <v>0.757261642235635</v>
      </c>
      <c r="N56" s="184" t="n">
        <f aca="false">N55*N54</f>
        <v>0.914393432999529</v>
      </c>
      <c r="O56" s="184" t="n">
        <f aca="false">O55*O54</f>
        <v>1.08159680360516</v>
      </c>
      <c r="P56" s="184" t="n">
        <f aca="false">P55*P54</f>
        <v>1.25938427819775</v>
      </c>
      <c r="Q56" s="184" t="n">
        <f aca="false">Q55*Q54</f>
        <v>1.44829191992742</v>
      </c>
      <c r="R56" s="184" t="n">
        <f aca="false">R55*R54</f>
        <v>1.64888035083736</v>
      </c>
      <c r="S56" s="184" t="n">
        <f aca="false">S55*S54</f>
        <v>1.8617358143091</v>
      </c>
      <c r="T56" s="184" t="n">
        <f aca="false">T55*T54</f>
        <v>2.08747128179407</v>
      </c>
      <c r="U56" s="184" t="n">
        <f aca="false">U55*U54</f>
        <v>2.32672760563047</v>
      </c>
      <c r="V56" s="184" t="n">
        <f aca="false">V55*V54</f>
        <v>2.58017471981522</v>
      </c>
      <c r="W56" s="184" t="n">
        <f aca="false">W55*W54</f>
        <v>2.848512890676</v>
      </c>
      <c r="X56" s="184" t="n">
        <f aca="false">X55*X54</f>
        <v>3.13247401946527</v>
      </c>
      <c r="Y56" s="184" t="n">
        <f aca="false">Y55*Y54</f>
        <v>3.4328229989787</v>
      </c>
      <c r="Z56" s="184" t="n">
        <f aca="false">Z55*Z54</f>
        <v>3.75035912638423</v>
      </c>
      <c r="AA56" s="184" t="n">
        <f aca="false">AA55*AA54</f>
        <v>4.0859175745344</v>
      </c>
      <c r="AB56" s="184" t="n">
        <f aca="false">AB55*AB54</f>
        <v>4.44037092412526</v>
      </c>
      <c r="AC56" s="184" t="n">
        <f aca="false">AC55*AC54</f>
        <v>4.81463075915867</v>
      </c>
      <c r="AD56" s="184" t="n">
        <f aca="false">AD55*AD54</f>
        <v>5.20964932826237</v>
      </c>
      <c r="AE56" s="184" t="n">
        <f aca="false">AE55*AE54</f>
        <v>5.62642127452336</v>
      </c>
      <c r="AF56" s="184" t="n">
        <f aca="false">AF55*AF54</f>
        <v>6.0659854365955</v>
      </c>
      <c r="AG56" s="184"/>
      <c r="AH56" s="184"/>
      <c r="AI56" s="184"/>
      <c r="AJ56" s="184"/>
      <c r="AK56" s="184"/>
      <c r="AL56" s="184"/>
      <c r="AM56" s="184"/>
      <c r="AN56" s="184"/>
      <c r="AO56" s="184"/>
      <c r="AP56" s="184"/>
      <c r="AQ56" s="184"/>
      <c r="AR56" s="184"/>
      <c r="AS56" s="184"/>
      <c r="AT56" s="184"/>
      <c r="AU56" s="184"/>
      <c r="AV56" s="184"/>
      <c r="AW56" s="184"/>
      <c r="AX56" s="184"/>
      <c r="AY56" s="184"/>
      <c r="AZ56" s="184"/>
      <c r="BA56" s="184"/>
      <c r="BB56" s="184"/>
      <c r="BC56" s="184"/>
      <c r="BD56" s="184"/>
      <c r="BE56" s="184"/>
      <c r="BF56" s="184"/>
      <c r="BG56" s="184"/>
      <c r="BH56" s="184"/>
      <c r="BI56" s="184"/>
      <c r="BJ56" s="184"/>
      <c r="BK56" s="184"/>
      <c r="BL56" s="184"/>
      <c r="BM56" s="184"/>
      <c r="BN56" s="184"/>
      <c r="BO56" s="184"/>
      <c r="BP56" s="184"/>
      <c r="BQ56" s="184"/>
      <c r="BR56" s="184"/>
      <c r="BS56" s="184"/>
      <c r="BT56" s="184"/>
    </row>
    <row r="57" customFormat="false" ht="15" hidden="false" customHeight="true" outlineLevel="0" collapsed="false">
      <c r="B57" s="185" t="s">
        <v>1580</v>
      </c>
      <c r="C57" s="186" t="n">
        <f aca="false">MAX(0,C46-C45-C60)+C37+C38+C48-MIN(C35,C50)</f>
        <v>21.7</v>
      </c>
      <c r="D57" s="186" t="n">
        <f aca="false">C57+MAX(0,D46-D45-D60)+D37+D38+D48-MIN(D35,D50)</f>
        <v>43.4736842105263</v>
      </c>
      <c r="E57" s="186" t="n">
        <f aca="false">D57+MAX(0,E46-E45-E60)+E37+E38+E48-MIN(E35,E50)</f>
        <v>65.321052631579</v>
      </c>
      <c r="F57" s="186" t="n">
        <f aca="false">E57+MAX(0,F46-F45-F60)+F37+F38+F48-MIN(F35,F50)</f>
        <v>84.0450681212479</v>
      </c>
      <c r="G57" s="186" t="n">
        <f aca="false">F57+MAX(0,G46-G45-G60)+G37+G38+G48-MIN(G35,G50)</f>
        <v>102.730871521476</v>
      </c>
      <c r="H57" s="186" t="n">
        <f aca="false">G57+MAX(0,H46-H45-H60)+H37+H38+H48-MIN(H35,H50)</f>
        <v>121.374546461765</v>
      </c>
      <c r="I57" s="186" t="n">
        <f aca="false">H57+MAX(0,I46-I45-I60)+I37+I38+I48-MIN(I35,I50)</f>
        <v>139.972039498649</v>
      </c>
      <c r="J57" s="186" t="n">
        <f aca="false">I57+MAX(0,J46-J45-J60)+J37+J38+J48-MIN(J35,J50)</f>
        <v>158.519155318139</v>
      </c>
      <c r="K57" s="186" t="n">
        <f aca="false">J57+MAX(0,K46-K45-K60)+K37+K38+K48-MIN(K35,K50)</f>
        <v>177.011551770258</v>
      </c>
      <c r="L57" s="186" t="n">
        <f aca="false">K57+MAX(0,L46-L45-L60)+L37+L38+L48-MIN(L35,L50)</f>
        <v>195.444734729781</v>
      </c>
      <c r="M57" s="186" t="n">
        <f aca="false">L57+MAX(0,M46-M45-M60)+M37+M38+M48-MIN(M35,M50)</f>
        <v>195.444734729781</v>
      </c>
      <c r="N57" s="186" t="n">
        <f aca="false">M57+MAX(0,N46-N45-N60)+N37+N38+N48-MIN(N35,N50)</f>
        <v>195.444734729781</v>
      </c>
      <c r="O57" s="186" t="n">
        <f aca="false">N57+MAX(0,O46-O45-O60)+O37+O38+O48-MIN(O35,O50)</f>
        <v>195.444734729781</v>
      </c>
      <c r="P57" s="186" t="n">
        <f aca="false">O57+MAX(0,P46-P45-P60)+P37+P38+P48-MIN(P35,P50)</f>
        <v>195.444734729781</v>
      </c>
      <c r="Q57" s="186" t="n">
        <f aca="false">P57+MAX(0,Q46-Q45-Q60)+Q37+Q38+Q48-MIN(Q35,Q50)</f>
        <v>195.444734729781</v>
      </c>
      <c r="R57" s="186" t="n">
        <f aca="false">Q57+MAX(0,R46-R45-R60)+R37+R38+R48-MIN(R35,R50)</f>
        <v>195.444734729781</v>
      </c>
      <c r="S57" s="186" t="n">
        <f aca="false">R57+MAX(0,S46-S45-S60)+S37+S38+S48-MIN(S35,S50)</f>
        <v>195.444734729781</v>
      </c>
      <c r="T57" s="186" t="n">
        <f aca="false">S57+MAX(0,T46-T45-T60)+T37+T38+T48-MIN(T35,T50)</f>
        <v>195.444734729781</v>
      </c>
      <c r="U57" s="186" t="n">
        <f aca="false">T57+MAX(0,U46-U45-U60)+U37+U38+U48-MIN(U35,U50)</f>
        <v>195.444734729781</v>
      </c>
      <c r="V57" s="186" t="n">
        <f aca="false">U57+MAX(0,V46-V45-V60)+V37+V38+V48-MIN(V35,V50)</f>
        <v>195.444734729781</v>
      </c>
      <c r="W57" s="186" t="n">
        <f aca="false">V57+MAX(0,W46-W45-W60)+W37+W38+W48-MIN(W35,W50)</f>
        <v>195.444734729781</v>
      </c>
      <c r="X57" s="186" t="n">
        <f aca="false">W57+MAX(0,X46-X45-X60)+X37+X38+X48-MIN(X35,X50)</f>
        <v>195.444734729781</v>
      </c>
      <c r="Y57" s="186" t="n">
        <f aca="false">X57+MAX(0,Y46-Y45-Y60)+Y37+Y38+Y48-MIN(Y35,Y50)</f>
        <v>195.444734729781</v>
      </c>
      <c r="Z57" s="186" t="n">
        <f aca="false">Y57+MAX(0,Z46-Z45-Z60)+Z37+Z38+Z48-MIN(Z35,Z50)</f>
        <v>195.444734729781</v>
      </c>
      <c r="AA57" s="186" t="n">
        <f aca="false">Z57+MAX(0,AA46-AA45-AA60)+AA37+AA38+AA48-MIN(AA35,AA50)</f>
        <v>195.444734729781</v>
      </c>
      <c r="AB57" s="186" t="n">
        <f aca="false">AA57+MAX(0,AB46-AB45-AB60)+AB37+AB38+AB48-MIN(AB35,AB50)</f>
        <v>195.444734729781</v>
      </c>
      <c r="AC57" s="186" t="n">
        <f aca="false">AB57+MAX(0,AC46-AC45-AC60)+AC37+AC38+AC48-MIN(AC35,AC50)</f>
        <v>195.444734729781</v>
      </c>
      <c r="AD57" s="186" t="n">
        <f aca="false">AC57+MAX(0,AD46-AD45-AD60)+AD37+AD38+AD48-MIN(AD35,AD50)</f>
        <v>195.444734729781</v>
      </c>
      <c r="AE57" s="186" t="n">
        <f aca="false">AD57+MAX(0,AE46-AE45-AE60)+AE37+AE38+AE48-MIN(AE35,AE50)</f>
        <v>195.444734729781</v>
      </c>
      <c r="AF57" s="186" t="n">
        <f aca="false">AE57+MAX(0,AF46-AF45-AF60)+AF37+AF38+AF48-MIN(AF35,AF50)</f>
        <v>195.444734729781</v>
      </c>
      <c r="AG57" s="186"/>
      <c r="AH57" s="186"/>
      <c r="AI57" s="186"/>
      <c r="AJ57" s="186"/>
      <c r="AK57" s="186"/>
      <c r="AL57" s="186"/>
      <c r="AM57" s="186"/>
      <c r="AN57" s="186"/>
      <c r="AO57" s="186"/>
      <c r="AP57" s="186"/>
      <c r="AQ57" s="186"/>
      <c r="AR57" s="186"/>
      <c r="AS57" s="186"/>
      <c r="AT57" s="186"/>
      <c r="AU57" s="186"/>
      <c r="AV57" s="186"/>
      <c r="AW57" s="186"/>
      <c r="AX57" s="186"/>
      <c r="AY57" s="186"/>
      <c r="AZ57" s="186"/>
      <c r="BA57" s="186"/>
      <c r="BB57" s="186"/>
      <c r="BC57" s="186"/>
      <c r="BD57" s="186"/>
      <c r="BE57" s="186"/>
      <c r="BF57" s="186"/>
      <c r="BG57" s="186"/>
      <c r="BH57" s="186"/>
      <c r="BI57" s="186"/>
      <c r="BJ57" s="186"/>
      <c r="BK57" s="186"/>
      <c r="BL57" s="186"/>
      <c r="BM57" s="186"/>
      <c r="BN57" s="186"/>
      <c r="BO57" s="186"/>
      <c r="BP57" s="186"/>
      <c r="BQ57" s="186"/>
      <c r="BR57" s="186"/>
      <c r="BS57" s="186"/>
      <c r="BT57" s="186"/>
    </row>
    <row r="58" customFormat="false" ht="15" hidden="false" customHeight="true" outlineLevel="0" collapsed="false">
      <c r="B58" s="190" t="s">
        <v>1581</v>
      </c>
      <c r="C58" s="191" t="n">
        <v>0</v>
      </c>
      <c r="D58" s="191" t="n">
        <v>0</v>
      </c>
      <c r="E58" s="191" t="n">
        <v>0</v>
      </c>
      <c r="F58" s="191" t="n">
        <f aca="false">F35</f>
        <v>3.19703714191</v>
      </c>
      <c r="G58" s="191" t="n">
        <f aca="false">F58*(1+G12)+G35</f>
        <v>6.56351725234123</v>
      </c>
      <c r="H58" s="191" t="n">
        <f aca="false">G58*(1+H12)+H35</f>
        <v>10.1064066752259</v>
      </c>
      <c r="I58" s="191" t="n">
        <f aca="false">H58*(1+I12)+I35</f>
        <v>13.8329342216545</v>
      </c>
      <c r="J58" s="191" t="n">
        <f aca="false">I58*(1+J12)+J35</f>
        <v>17.7506006918384</v>
      </c>
      <c r="K58" s="191" t="n">
        <f aca="false">J58*(1+K12)+K35</f>
        <v>21.8671887363825</v>
      </c>
      <c r="L58" s="191" t="n">
        <f aca="false">K58*(1+L12)+L35</f>
        <v>26.1907730688514</v>
      </c>
      <c r="M58" s="191" t="n">
        <f aca="false">L58*(1+M12)+M35</f>
        <v>30.7297310420374</v>
      </c>
      <c r="N58" s="191" t="n">
        <f aca="false">M58*(1+N12)+N35</f>
        <v>35.4927536007688</v>
      </c>
      <c r="O58" s="191" t="n">
        <f aca="false">N58*(1+O12)+O35</f>
        <v>40.4888566245565</v>
      </c>
      <c r="P58" s="191" t="n">
        <f aca="false">O58*(1+P12)+P35</f>
        <v>45.7273926738364</v>
      </c>
      <c r="Q58" s="191" t="n">
        <f aca="false">P58*(1+Q12)+Q35</f>
        <v>51.2180631540548</v>
      </c>
      <c r="R58" s="191" t="n">
        <f aca="false">Q58*(1+R12)+R35</f>
        <v>56.8196728131847</v>
      </c>
      <c r="S58" s="191" t="n">
        <f aca="false">R58*(1+S12)+S35</f>
        <v>62.5293482718357</v>
      </c>
      <c r="T58" s="191" t="n">
        <f aca="false">S58*(1+T12)+T35</f>
        <v>68.3438086786552</v>
      </c>
      <c r="U58" s="191" t="n">
        <f aca="false">T58*(1+U12)+U35</f>
        <v>74.2593394393527</v>
      </c>
      <c r="V58" s="191" t="n">
        <f aca="false">U58*(1+V12)+V35</f>
        <v>80.271764583088</v>
      </c>
      <c r="W58" s="191" t="n">
        <f aca="false">V58*(1+W12)+W35</f>
        <v>86.3764177026094</v>
      </c>
      <c r="X58" s="191" t="n">
        <f aca="false">W58*(1+X12)+X35</f>
        <v>92.5681114017386</v>
      </c>
      <c r="Y58" s="191" t="n">
        <f aca="false">X58*(1+Y12)+Y35</f>
        <v>98.8411051808881</v>
      </c>
      <c r="Z58" s="191" t="n">
        <f aca="false">Y58*(1+Z12)+Z35</f>
        <v>105.189071688268</v>
      </c>
      <c r="AA58" s="191" t="n">
        <f aca="false">Z58*(1+AA12)+AA35</f>
        <v>111.605061261277</v>
      </c>
      <c r="AB58" s="191" t="n">
        <f aca="false">AA58*(1+AB12)+AB35</f>
        <v>118.08146467929</v>
      </c>
      <c r="AC58" s="191" t="n">
        <f aca="false">AB58*(1+AC12)+AC35</f>
        <v>124.609974045608</v>
      </c>
      <c r="AD58" s="191" t="n">
        <f aca="false">AC58*(1+AD12)+AD35</f>
        <v>131.181541712789</v>
      </c>
      <c r="AE58" s="191" t="n">
        <f aca="false">AD58*(1+AE12)+AE35</f>
        <v>137.786337161831</v>
      </c>
      <c r="AF58" s="191" t="n">
        <f aca="false">AE58*(1+AF12)+AF35</f>
        <v>144.413701741811</v>
      </c>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L58" s="191"/>
      <c r="BM58" s="191"/>
      <c r="BN58" s="191"/>
      <c r="BO58" s="191"/>
      <c r="BP58" s="191"/>
      <c r="BQ58" s="191"/>
      <c r="BR58" s="191"/>
      <c r="BS58" s="191"/>
      <c r="BT58" s="191"/>
    </row>
    <row r="59" customFormat="false" ht="23.25" hidden="false" customHeight="true" outlineLevel="0" collapsed="false">
      <c r="B59" s="192" t="s">
        <v>1582</v>
      </c>
      <c r="C59" s="193" t="n">
        <f aca="false">C45</f>
        <v>2.168768328</v>
      </c>
      <c r="D59" s="193" t="n">
        <f aca="false">D45</f>
        <v>3.491534271504</v>
      </c>
      <c r="E59" s="193" t="n">
        <f aca="false">E45</f>
        <v>4.65454188839107</v>
      </c>
      <c r="F59" s="193" t="n">
        <f aca="false">F45</f>
        <v>8.37653821360308</v>
      </c>
      <c r="G59" s="193" t="n">
        <f aca="false">G45</f>
        <v>8.65371715892762</v>
      </c>
      <c r="H59" s="193" t="n">
        <f aca="false">H45</f>
        <v>8.94030936927981</v>
      </c>
      <c r="I59" s="193" t="n">
        <f aca="false">I45</f>
        <v>9.23663912497053</v>
      </c>
      <c r="J59" s="193" t="n">
        <f aca="false">J45</f>
        <v>9.54304196281022</v>
      </c>
      <c r="K59" s="193" t="n">
        <f aca="false">K45</f>
        <v>9.85986506840668</v>
      </c>
      <c r="L59" s="193" t="n">
        <f aca="false">L45</f>
        <v>10.1874676821632</v>
      </c>
      <c r="M59" s="193" t="n">
        <f aca="false">M45</f>
        <v>10.5262215194557</v>
      </c>
      <c r="N59" s="193" t="n">
        <f aca="false">N45</f>
        <v>10.8765112054849</v>
      </c>
      <c r="O59" s="193" t="n">
        <f aca="false">O45</f>
        <v>11.2387347253164</v>
      </c>
      <c r="P59" s="193" t="n">
        <f aca="false">P45</f>
        <v>11.6133038896396</v>
      </c>
      <c r="Q59" s="193" t="n">
        <f aca="false">Q45</f>
        <v>12.0006448167949</v>
      </c>
      <c r="R59" s="193" t="n">
        <f aca="false">R45</f>
        <v>12.3954203722512</v>
      </c>
      <c r="S59" s="193" t="n">
        <f aca="false">S45</f>
        <v>12.7975783344459</v>
      </c>
      <c r="T59" s="193" t="n">
        <f aca="false">T45</f>
        <v>13.2070519521347</v>
      </c>
      <c r="U59" s="193" t="n">
        <f aca="false">U45</f>
        <v>13.6237589594843</v>
      </c>
      <c r="V59" s="193" t="n">
        <f aca="false">V45</f>
        <v>14.0476005394472</v>
      </c>
      <c r="W59" s="193" t="n">
        <f aca="false">W45</f>
        <v>14.4784602329957</v>
      </c>
      <c r="X59" s="193" t="n">
        <f aca="false">X45</f>
        <v>14.916202791684</v>
      </c>
      <c r="Y59" s="193" t="n">
        <f aca="false">Y45</f>
        <v>15.360672970898</v>
      </c>
      <c r="Z59" s="193" t="n">
        <f aca="false">Z45</f>
        <v>15.8116942610337</v>
      </c>
      <c r="AA59" s="193" t="n">
        <f aca="false">AA45</f>
        <v>16.2690675537284</v>
      </c>
      <c r="AB59" s="193" t="n">
        <f aca="false">AB45</f>
        <v>16.7325697401403</v>
      </c>
      <c r="AC59" s="193" t="n">
        <f aca="false">AC45</f>
        <v>17.2019522381427</v>
      </c>
      <c r="AD59" s="193" t="n">
        <f aca="false">AD45</f>
        <v>17.6769394451619</v>
      </c>
      <c r="AE59" s="193" t="n">
        <f aca="false">AE45</f>
        <v>18.1572271132465</v>
      </c>
      <c r="AF59" s="193" t="n">
        <f aca="false">AF45</f>
        <v>18.6424806428077</v>
      </c>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193"/>
      <c r="BO59" s="193"/>
      <c r="BP59" s="193"/>
      <c r="BQ59" s="193"/>
      <c r="BR59" s="193"/>
      <c r="BS59" s="193"/>
      <c r="BT59" s="193"/>
    </row>
    <row r="60" customFormat="false" ht="23.25" hidden="false" customHeight="true" outlineLevel="0" collapsed="false">
      <c r="B60" s="194" t="s">
        <v>1583</v>
      </c>
      <c r="C60" s="195" t="n">
        <f aca="false">C36*C12</f>
        <v>1.02193272</v>
      </c>
      <c r="D60" s="195" t="n">
        <f aca="false">D36*D12</f>
        <v>1.64522557296</v>
      </c>
      <c r="E60" s="195" t="n">
        <f aca="false">E36*E12</f>
        <v>2.19323963327328</v>
      </c>
      <c r="F60" s="195" t="n">
        <f aca="false">F36*F12</f>
        <v>3.94705989122658</v>
      </c>
      <c r="G60" s="195" t="n">
        <f aca="false">G36*G12</f>
        <v>4.07766777122244</v>
      </c>
      <c r="H60" s="195" t="n">
        <f aca="false">H36*H12</f>
        <v>4.21271122112661</v>
      </c>
      <c r="I60" s="195" t="n">
        <f aca="false">I36*I12</f>
        <v>4.35234304317983</v>
      </c>
      <c r="J60" s="195" t="n">
        <f aca="false">J36*J12</f>
        <v>4.49672134373256</v>
      </c>
      <c r="K60" s="195" t="n">
        <f aca="false">K36*K12</f>
        <v>4.64600971809739</v>
      </c>
      <c r="L60" s="195" t="n">
        <f aca="false">L36*L12</f>
        <v>4.80037744185699</v>
      </c>
      <c r="M60" s="195" t="n">
        <f aca="false">M36*M12</f>
        <v>4.95999966885346</v>
      </c>
      <c r="N60" s="195" t="n">
        <f aca="false">N36*N12</f>
        <v>5.12505763609237</v>
      </c>
      <c r="O60" s="195" t="n">
        <f aca="false">O36*O12</f>
        <v>5.29573887580356</v>
      </c>
      <c r="P60" s="195" t="n">
        <f aca="false">P36*P12</f>
        <v>5.4722374349087</v>
      </c>
      <c r="Q60" s="195" t="n">
        <f aca="false">Q36*Q12</f>
        <v>5.65475410215467</v>
      </c>
      <c r="R60" s="195" t="n">
        <f aca="false">R36*R12</f>
        <v>5.84077399739588</v>
      </c>
      <c r="S60" s="195" t="n">
        <f aca="false">S36*S12</f>
        <v>6.03027251361325</v>
      </c>
      <c r="T60" s="195" t="n">
        <f aca="false">T36*T12</f>
        <v>6.22321819734096</v>
      </c>
      <c r="U60" s="195" t="n">
        <f aca="false">U36*U12</f>
        <v>6.41957228457377</v>
      </c>
      <c r="V60" s="195" t="n">
        <f aca="false">V36*V12</f>
        <v>6.61928821230498</v>
      </c>
      <c r="W60" s="195" t="n">
        <f aca="false">W36*W12</f>
        <v>6.82231110455294</v>
      </c>
      <c r="X60" s="195" t="n">
        <f aca="false">X36*X12</f>
        <v>7.02857723168357</v>
      </c>
      <c r="Y60" s="195" t="n">
        <f aca="false">Y36*Y12</f>
        <v>7.2380134417844</v>
      </c>
      <c r="Z60" s="195" t="n">
        <f aca="false">Z36*Z12</f>
        <v>7.45053656279075</v>
      </c>
      <c r="AA60" s="195" t="n">
        <f aca="false">AA36*AA12</f>
        <v>7.66605277400815</v>
      </c>
      <c r="AB60" s="195" t="n">
        <f aca="false">AB36*AB12</f>
        <v>7.88445694561587</v>
      </c>
      <c r="AC60" s="195" t="n">
        <f aca="false">AC36*AC12</f>
        <v>8.10563194467459</v>
      </c>
      <c r="AD60" s="195" t="n">
        <f aca="false">AD36*AD12</f>
        <v>8.32944790609722</v>
      </c>
      <c r="AE60" s="195" t="n">
        <f aca="false">AE36*AE12</f>
        <v>8.55576146697478</v>
      </c>
      <c r="AF60" s="195" t="n">
        <f aca="false">AF36*AF12</f>
        <v>8.78441496257954</v>
      </c>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row>
    <row r="61" customFormat="false" ht="23.25" hidden="false" customHeight="true" outlineLevel="0" collapsed="false">
      <c r="B61" s="196" t="s">
        <v>1584</v>
      </c>
      <c r="C61" s="197" t="n">
        <f aca="false">C46-C59-C60</f>
        <v>-0.351999048</v>
      </c>
      <c r="D61" s="197" t="n">
        <f aca="false">D46-D59-D60</f>
        <v>-0.566688808463999</v>
      </c>
      <c r="E61" s="197" t="n">
        <f aca="false">E46-E59-E60</f>
        <v>-0.755449207016351</v>
      </c>
      <c r="F61" s="197" t="n">
        <f aca="false">F46-F59-F60</f>
        <v>-1.35954285142249</v>
      </c>
      <c r="G61" s="197" t="n">
        <f aca="false">G46-G59-G60</f>
        <v>-1.40453001008773</v>
      </c>
      <c r="H61" s="197" t="n">
        <f aca="false">H46-H59-H60</f>
        <v>-1.45104497616583</v>
      </c>
      <c r="I61" s="197" t="n">
        <f aca="false">I46-I59-I60</f>
        <v>-1.49914038153972</v>
      </c>
      <c r="J61" s="197" t="n">
        <f aca="false">J46-J59-J60</f>
        <v>-1.54887068506344</v>
      </c>
      <c r="K61" s="197" t="n">
        <f aca="false">K46-K59-K60</f>
        <v>-1.60029223623354</v>
      </c>
      <c r="L61" s="197" t="n">
        <f aca="false">L46-L59-L60</f>
        <v>-1.65346334108407</v>
      </c>
      <c r="M61" s="197" t="n">
        <f aca="false">M46-M59-M60</f>
        <v>-1.70844433038286</v>
      </c>
      <c r="N61" s="197" t="n">
        <f aca="false">N46-N59-N60</f>
        <v>-1.76529763020959</v>
      </c>
      <c r="O61" s="197" t="n">
        <f aca="false">O46-O59-O60</f>
        <v>-1.824087834999</v>
      </c>
      <c r="P61" s="197" t="n">
        <f aca="false">P46-P59-P60</f>
        <v>-1.88488178313522</v>
      </c>
      <c r="Q61" s="197" t="n">
        <f aca="false">Q46-Q59-Q60</f>
        <v>-1.94774863518661</v>
      </c>
      <c r="R61" s="197" t="n">
        <f aca="false">R46-R59-R60</f>
        <v>-2.01182215465858</v>
      </c>
      <c r="S61" s="197" t="n">
        <f aca="false">S46-S59-S60</f>
        <v>-2.07709386580012</v>
      </c>
      <c r="T61" s="197" t="n">
        <f aca="false">T46-T59-T60</f>
        <v>-2.14355293463967</v>
      </c>
      <c r="U61" s="197" t="n">
        <f aca="false">U46-U59-U60</f>
        <v>-2.21118600913096</v>
      </c>
      <c r="V61" s="197" t="n">
        <f aca="false">V46-V59-V60</f>
        <v>-2.27997705090505</v>
      </c>
      <c r="W61" s="197" t="n">
        <f aca="false">W46-W59-W60</f>
        <v>-2.3499071582349</v>
      </c>
      <c r="X61" s="197" t="n">
        <f aca="false">X46-X59-X60</f>
        <v>-2.42095437980211</v>
      </c>
      <c r="Y61" s="197" t="n">
        <f aca="false">Y46-Y59-Y60</f>
        <v>-2.49309351883685</v>
      </c>
      <c r="Z61" s="197" t="n">
        <f aca="false">Z46-Z59-Z60</f>
        <v>-2.56629592718348</v>
      </c>
      <c r="AA61" s="197" t="n">
        <f aca="false">AA46-AA59-AA60</f>
        <v>-2.64052928882502</v>
      </c>
      <c r="AB61" s="197" t="n">
        <f aca="false">AB46-AB59-AB60</f>
        <v>-2.71575739237879</v>
      </c>
      <c r="AC61" s="197" t="n">
        <f aca="false">AC46-AC59-AC60</f>
        <v>-2.79193989205458</v>
      </c>
      <c r="AD61" s="197" t="n">
        <f aca="false">AD46-AD59-AD60</f>
        <v>-2.8690320565446</v>
      </c>
      <c r="AE61" s="197" t="n">
        <f aca="false">AE46-AE59-AE60</f>
        <v>-2.94698450529131</v>
      </c>
      <c r="AF61" s="197" t="n">
        <f aca="false">AF46-AF59-AF60</f>
        <v>-3.02574293155517</v>
      </c>
      <c r="AG61" s="197"/>
      <c r="AH61" s="197"/>
      <c r="AI61" s="197"/>
      <c r="AJ61" s="197"/>
      <c r="AK61" s="197"/>
      <c r="AL61" s="197"/>
      <c r="AM61" s="197"/>
      <c r="AN61" s="197"/>
      <c r="AO61" s="197"/>
      <c r="AP61" s="197"/>
      <c r="AQ61" s="197"/>
      <c r="AR61" s="197"/>
      <c r="AS61" s="197"/>
      <c r="AT61" s="197"/>
      <c r="AU61" s="197"/>
      <c r="AV61" s="197"/>
      <c r="AW61" s="197"/>
      <c r="AX61" s="197"/>
      <c r="AY61" s="197"/>
      <c r="AZ61" s="197"/>
      <c r="BA61" s="197"/>
      <c r="BB61" s="197"/>
      <c r="BC61" s="197"/>
      <c r="BD61" s="197"/>
      <c r="BE61" s="197"/>
      <c r="BF61" s="197"/>
      <c r="BG61" s="197"/>
      <c r="BH61" s="197"/>
      <c r="BI61" s="197"/>
      <c r="BJ61" s="197"/>
      <c r="BK61" s="197"/>
      <c r="BL61" s="197"/>
      <c r="BM61" s="197"/>
      <c r="BN61" s="197"/>
      <c r="BO61" s="197"/>
      <c r="BP61" s="197"/>
      <c r="BQ61" s="197"/>
      <c r="BR61" s="197"/>
      <c r="BS61" s="197"/>
      <c r="BT61" s="197"/>
    </row>
    <row r="62" customFormat="false" ht="15.75" hidden="false" customHeight="true" outlineLevel="0" collapsed="false">
      <c r="B62" s="41" t="s">
        <v>1585</v>
      </c>
      <c r="F62" s="184" t="n">
        <f aca="false">IF(F6&lt;4,0,F18*01_Supuestos!$C$204*F27*POWER(1+F8,F6-4)/1000000000000)</f>
        <v>1.32016057156</v>
      </c>
      <c r="G62" s="184" t="n">
        <f aca="false">IF(G6&lt;4,0,G18*01_Supuestos!$C$204*G27*POWER(1+G8,G6-4)/1000000000000)</f>
        <v>1.3663661915646</v>
      </c>
      <c r="H62" s="184" t="n">
        <f aca="false">IF(H6&lt;4,0,H18*01_Supuestos!$C$204*H27*POWER(1+H8,H6-4)/1000000000000)</f>
        <v>1.41418900826936</v>
      </c>
      <c r="I62" s="184" t="n">
        <f aca="false">IF(I6&lt;4,0,I18*01_Supuestos!$C$204*I27*POWER(1+I8,I6-4)/1000000000000)</f>
        <v>1.46368562355879</v>
      </c>
      <c r="J62" s="184" t="n">
        <f aca="false">IF(J6&lt;4,0,J18*01_Supuestos!$C$204*J27*POWER(1+J8,J6-4)/1000000000000)</f>
        <v>1.51491462038335</v>
      </c>
      <c r="K62" s="184" t="n">
        <f aca="false">IF(K6&lt;4,0,K18*01_Supuestos!$C$204*K27*POWER(1+K8,K6-4)/1000000000000)</f>
        <v>1.56793663209676</v>
      </c>
      <c r="L62" s="184" t="n">
        <f aca="false">IF(L6&lt;4,0,L18*01_Supuestos!$C$204*L27*POWER(1+L8,L6-4)/1000000000000)</f>
        <v>1.62281441422015</v>
      </c>
      <c r="M62" s="184" t="n">
        <f aca="false">IF(M6&lt;4,0,M18*01_Supuestos!$C$204*M27*POWER(1+M8,M6-4)/1000000000000)</f>
        <v>1.67961291871785</v>
      </c>
      <c r="N62" s="184" t="n">
        <f aca="false">IF(N6&lt;4,0,N18*01_Supuestos!$C$204*N27*POWER(1+N8,N6-4)/1000000000000)</f>
        <v>1.73839937087298</v>
      </c>
      <c r="O62" s="184" t="n">
        <f aca="false">IF(O6&lt;4,0,O18*01_Supuestos!$C$204*O27*POWER(1+O8,O6-4)/1000000000000)</f>
        <v>1.79924334885353</v>
      </c>
      <c r="P62" s="184" t="n">
        <f aca="false">IF(P6&lt;4,0,P18*01_Supuestos!$C$204*P27*POWER(1+P8,P6-4)/1000000000000)</f>
        <v>1.86221686606341</v>
      </c>
      <c r="Q62" s="184" t="n">
        <f aca="false">IF(Q6&lt;4,0,Q18*01_Supuestos!$C$204*Q27*POWER(1+Q8,Q6-4)/1000000000000)</f>
        <v>1.92739445637563</v>
      </c>
      <c r="R62" s="184" t="n">
        <f aca="false">IF(R6&lt;4,0,R18*01_Supuestos!$C$204*R27*POWER(1+R8,R6-4)/1000000000000)</f>
        <v>1.99485326234877</v>
      </c>
      <c r="S62" s="184" t="n">
        <f aca="false">IF(S6&lt;4,0,S18*01_Supuestos!$C$204*S27*POWER(1+S8,S6-4)/1000000000000)</f>
        <v>2.06467312653098</v>
      </c>
      <c r="T62" s="184" t="n">
        <f aca="false">IF(T6&lt;4,0,T18*01_Supuestos!$C$204*T27*POWER(1+T8,T6-4)/1000000000000)</f>
        <v>2.13693668595956</v>
      </c>
      <c r="U62" s="184" t="n">
        <f aca="false">IF(U6&lt;4,0,U18*01_Supuestos!$C$204*U27*POWER(1+U8,U6-4)/1000000000000)</f>
        <v>2.21172946996815</v>
      </c>
      <c r="V62" s="184" t="n">
        <f aca="false">IF(V6&lt;4,0,V18*01_Supuestos!$C$204*V27*POWER(1+V8,V6-4)/1000000000000)</f>
        <v>2.28914000141703</v>
      </c>
      <c r="W62" s="184" t="n">
        <f aca="false">IF(W6&lt;4,0,W18*01_Supuestos!$C$204*W27*POWER(1+W8,W6-4)/1000000000000)</f>
        <v>2.36925990146663</v>
      </c>
      <c r="X62" s="184" t="n">
        <f aca="false">IF(X6&lt;4,0,X18*01_Supuestos!$C$204*X27*POWER(1+X8,X6-4)/1000000000000)</f>
        <v>2.45218399801796</v>
      </c>
      <c r="Y62" s="184" t="n">
        <f aca="false">IF(Y6&lt;4,0,Y18*01_Supuestos!$C$204*Y27*POWER(1+Y8,Y6-4)/1000000000000)</f>
        <v>2.53801043794859</v>
      </c>
      <c r="Z62" s="184" t="n">
        <f aca="false">IF(Z6&lt;4,0,Z18*01_Supuestos!$C$204*Z27*POWER(1+Z8,Z6-4)/1000000000000)</f>
        <v>2.62684080327679</v>
      </c>
      <c r="AA62" s="184" t="n">
        <f aca="false">IF(AA6&lt;4,0,AA18*01_Supuestos!$C$204*AA27*POWER(1+AA8,AA6-4)/1000000000000)</f>
        <v>2.71878023139148</v>
      </c>
      <c r="AB62" s="184" t="n">
        <f aca="false">IF(AB6&lt;4,0,AB18*01_Supuestos!$C$204*AB27*POWER(1+AB8,AB6-4)/1000000000000)</f>
        <v>2.81393753949018</v>
      </c>
      <c r="AC62" s="184" t="n">
        <f aca="false">IF(AC6&lt;4,0,AC18*01_Supuestos!$C$204*AC27*POWER(1+AC8,AC6-4)/1000000000000)</f>
        <v>2.91242535337233</v>
      </c>
      <c r="AD62" s="184" t="n">
        <f aca="false">IF(AD6&lt;4,0,AD18*01_Supuestos!$C$204*AD27*POWER(1+AD8,AD6-4)/1000000000000)</f>
        <v>3.01436024074037</v>
      </c>
      <c r="AE62" s="184" t="n">
        <f aca="false">IF(AE6&lt;4,0,AE18*01_Supuestos!$C$204*AE27*POWER(1+AE8,AE6-4)/1000000000000)</f>
        <v>3.11986284916628</v>
      </c>
      <c r="AF62" s="184" t="n">
        <f aca="false">IF(AF6&lt;4,0,AF18*01_Supuestos!$C$204*AF27*POWER(1+AF8,AF6-4)/1000000000000)</f>
        <v>3.2290580488871</v>
      </c>
    </row>
    <row r="63" customFormat="false" ht="15" hidden="false" customHeight="true" outlineLevel="0" collapsed="false">
      <c r="B63" s="198" t="s">
        <v>1586</v>
      </c>
      <c r="C63" s="199" t="n">
        <f aca="false">C46-C59-C60-C61</f>
        <v>0</v>
      </c>
      <c r="D63" s="199" t="n">
        <f aca="false">D46-D59-D60-D61</f>
        <v>0</v>
      </c>
      <c r="E63" s="199" t="n">
        <f aca="false">E46-E59-E60-E61</f>
        <v>0</v>
      </c>
      <c r="F63" s="199" t="n">
        <f aca="false">F46-F59-F60-F61</f>
        <v>0</v>
      </c>
      <c r="G63" s="199" t="n">
        <f aca="false">G46-G59-G60-G61</f>
        <v>0</v>
      </c>
      <c r="H63" s="199" t="n">
        <f aca="false">H46-H59-H60-H61</f>
        <v>0</v>
      </c>
      <c r="I63" s="199" t="n">
        <f aca="false">I46-I59-I60-I61</f>
        <v>0</v>
      </c>
      <c r="J63" s="199" t="n">
        <f aca="false">J46-J59-J60-J61</f>
        <v>0</v>
      </c>
      <c r="K63" s="199" t="n">
        <f aca="false">K46-K59-K60-K61</f>
        <v>0</v>
      </c>
      <c r="L63" s="199" t="n">
        <f aca="false">L46-L59-L60-L61</f>
        <v>0</v>
      </c>
      <c r="M63" s="199" t="n">
        <f aca="false">M46-M59-M60-M61</f>
        <v>0</v>
      </c>
      <c r="N63" s="199" t="n">
        <f aca="false">N46-N59-N60-N61</f>
        <v>0</v>
      </c>
      <c r="O63" s="199" t="n">
        <f aca="false">O46-O59-O60-O61</f>
        <v>0</v>
      </c>
      <c r="P63" s="199" t="n">
        <f aca="false">P46-P59-P60-P61</f>
        <v>0</v>
      </c>
      <c r="Q63" s="199" t="n">
        <f aca="false">Q46-Q59-Q60-Q61</f>
        <v>0</v>
      </c>
      <c r="R63" s="199" t="n">
        <f aca="false">R46-R59-R60-R61</f>
        <v>0</v>
      </c>
      <c r="S63" s="199" t="n">
        <f aca="false">S46-S59-S60-S61</f>
        <v>0</v>
      </c>
      <c r="T63" s="199" t="n">
        <f aca="false">T46-T59-T60-T61</f>
        <v>0</v>
      </c>
      <c r="U63" s="199" t="n">
        <f aca="false">U46-U59-U60-U61</f>
        <v>0</v>
      </c>
      <c r="V63" s="199" t="n">
        <f aca="false">V46-V59-V60-V61</f>
        <v>0</v>
      </c>
      <c r="W63" s="199" t="n">
        <f aca="false">W46-W59-W60-W61</f>
        <v>0</v>
      </c>
      <c r="X63" s="199" t="n">
        <f aca="false">X46-X59-X60-X61</f>
        <v>0</v>
      </c>
      <c r="Y63" s="199" t="n">
        <f aca="false">Y46-Y59-Y60-Y61</f>
        <v>0</v>
      </c>
      <c r="Z63" s="199" t="n">
        <f aca="false">Z46-Z59-Z60-Z61</f>
        <v>0</v>
      </c>
      <c r="AA63" s="199" t="n">
        <f aca="false">AA46-AA59-AA60-AA61</f>
        <v>0</v>
      </c>
      <c r="AB63" s="199" t="n">
        <f aca="false">AB46-AB59-AB60-AB61</f>
        <v>0</v>
      </c>
      <c r="AC63" s="199" t="n">
        <f aca="false">AC46-AC59-AC60-AC61</f>
        <v>0</v>
      </c>
      <c r="AD63" s="199" t="n">
        <f aca="false">AD46-AD59-AD60-AD61</f>
        <v>0</v>
      </c>
      <c r="AE63" s="199" t="n">
        <f aca="false">AE46-AE59-AE60-AE61</f>
        <v>0</v>
      </c>
      <c r="AF63" s="199" t="n">
        <f aca="false">AF46-AF59-AF60-AF61</f>
        <v>0</v>
      </c>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c r="BQ63" s="199"/>
      <c r="BR63" s="199"/>
      <c r="BS63" s="199"/>
      <c r="BT63" s="199"/>
    </row>
    <row r="64" customFormat="false" ht="15.75" hidden="false" customHeight="true" outlineLevel="0" collapsed="false"/>
    <row r="65" customFormat="false" ht="15.75" hidden="false" customHeight="true" outlineLevel="0" collapsed="false">
      <c r="B65" s="200" t="s">
        <v>1587</v>
      </c>
      <c r="C65" s="201" t="n">
        <f aca="false">0</f>
        <v>0</v>
      </c>
      <c r="D65" s="201" t="n">
        <f aca="false">0</f>
        <v>0</v>
      </c>
      <c r="E65" s="201" t="n">
        <f aca="false">0</f>
        <v>0</v>
      </c>
      <c r="F65" s="201" t="n">
        <f aca="false">0</f>
        <v>0</v>
      </c>
      <c r="G65" s="201" t="n">
        <f aca="false">0</f>
        <v>0</v>
      </c>
      <c r="H65" s="201" t="n">
        <f aca="false">0</f>
        <v>0</v>
      </c>
      <c r="I65" s="201" t="n">
        <f aca="false">0</f>
        <v>0</v>
      </c>
      <c r="J65" s="201" t="n">
        <f aca="false">0</f>
        <v>0</v>
      </c>
      <c r="K65" s="201" t="n">
        <f aca="false">0</f>
        <v>0</v>
      </c>
      <c r="L65" s="201" t="n">
        <f aca="false">0</f>
        <v>0</v>
      </c>
      <c r="M65" s="201" t="n">
        <f aca="false">0</f>
        <v>0</v>
      </c>
      <c r="N65" s="201" t="n">
        <f aca="false">0</f>
        <v>0</v>
      </c>
      <c r="O65" s="201" t="n">
        <f aca="false">0</f>
        <v>0</v>
      </c>
      <c r="P65" s="201" t="n">
        <f aca="false">0</f>
        <v>0</v>
      </c>
      <c r="Q65" s="201" t="n">
        <f aca="false">0</f>
        <v>0</v>
      </c>
      <c r="R65" s="201" t="n">
        <f aca="false">0</f>
        <v>0</v>
      </c>
      <c r="S65" s="201" t="n">
        <f aca="false">0</f>
        <v>0</v>
      </c>
      <c r="T65" s="201" t="n">
        <f aca="false">0</f>
        <v>0</v>
      </c>
      <c r="U65" s="201" t="n">
        <f aca="false">0</f>
        <v>0</v>
      </c>
      <c r="V65" s="201" t="n">
        <f aca="false">0</f>
        <v>0</v>
      </c>
      <c r="W65" s="201" t="n">
        <f aca="false">0</f>
        <v>0</v>
      </c>
      <c r="X65" s="201" t="n">
        <f aca="false">0</f>
        <v>0</v>
      </c>
      <c r="Y65" s="201" t="n">
        <f aca="false">0</f>
        <v>0</v>
      </c>
      <c r="Z65" s="201" t="n">
        <f aca="false">0</f>
        <v>0</v>
      </c>
      <c r="AA65" s="201" t="n">
        <f aca="false">0</f>
        <v>0</v>
      </c>
      <c r="AB65" s="201" t="n">
        <f aca="false">0</f>
        <v>0</v>
      </c>
      <c r="AC65" s="201" t="n">
        <f aca="false">0</f>
        <v>0</v>
      </c>
      <c r="AD65" s="201" t="n">
        <f aca="false">0</f>
        <v>0</v>
      </c>
      <c r="AE65" s="201" t="n">
        <f aca="false">0</f>
        <v>0</v>
      </c>
      <c r="AF65" s="201" t="n">
        <f aca="false">0</f>
        <v>0</v>
      </c>
      <c r="AG65" s="201"/>
      <c r="AH65" s="201"/>
      <c r="AI65" s="201"/>
      <c r="AJ65" s="201"/>
      <c r="AK65" s="201"/>
      <c r="AL65" s="201"/>
      <c r="AM65" s="201"/>
      <c r="AN65" s="201"/>
      <c r="AO65" s="201"/>
      <c r="AP65" s="201"/>
      <c r="AQ65" s="201"/>
      <c r="AR65" s="201"/>
      <c r="AS65" s="201"/>
      <c r="AT65" s="201"/>
      <c r="AU65" s="201"/>
      <c r="AV65" s="201"/>
      <c r="AW65" s="201"/>
      <c r="AX65" s="201"/>
      <c r="AY65" s="201"/>
      <c r="AZ65" s="201"/>
      <c r="BA65" s="201"/>
      <c r="BB65" s="201"/>
      <c r="BC65" s="201"/>
      <c r="BD65" s="201"/>
      <c r="BE65" s="201"/>
      <c r="BF65" s="201"/>
      <c r="BG65" s="201"/>
      <c r="BH65" s="201"/>
      <c r="BI65" s="201"/>
      <c r="BJ65" s="201"/>
      <c r="BK65" s="201"/>
      <c r="BL65" s="201"/>
      <c r="BM65" s="201"/>
      <c r="BN65" s="201"/>
      <c r="BO65" s="201"/>
      <c r="BP65" s="201"/>
      <c r="BQ65" s="201"/>
      <c r="BR65" s="201"/>
      <c r="BS65" s="201"/>
      <c r="BT65" s="201"/>
    </row>
    <row r="66" customFormat="false" ht="15.75" hidden="false" customHeight="true" outlineLevel="0" collapsed="false">
      <c r="B66" s="200" t="s">
        <v>1588</v>
      </c>
      <c r="C66" s="201" t="n">
        <f aca="false">C51+MAX(0,C60-(C46-C45))</f>
        <v>0.351999048</v>
      </c>
      <c r="D66" s="201" t="n">
        <f aca="false">D51+MAX(0,D60-(D46-D45))</f>
        <v>0.566688808463999</v>
      </c>
      <c r="E66" s="201" t="n">
        <f aca="false">E51+MAX(0,E60-(E46-E45))</f>
        <v>0.755449207016351</v>
      </c>
      <c r="F66" s="201" t="n">
        <f aca="false">F51+MAX(0,F60-(F46-F45))</f>
        <v>1.35954285142249</v>
      </c>
      <c r="G66" s="201" t="n">
        <f aca="false">G51+MAX(0,G60-(G46-G45))</f>
        <v>1.40453001008773</v>
      </c>
      <c r="H66" s="201" t="n">
        <f aca="false">H51+MAX(0,H60-(H46-H45))</f>
        <v>1.45104497616583</v>
      </c>
      <c r="I66" s="201" t="n">
        <f aca="false">I51+MAX(0,I60-(I46-I45))</f>
        <v>1.49914038153972</v>
      </c>
      <c r="J66" s="201" t="n">
        <f aca="false">J51+MAX(0,J60-(J46-J45))</f>
        <v>1.54887068506344</v>
      </c>
      <c r="K66" s="201" t="n">
        <f aca="false">K51+MAX(0,K60-(K46-K45))</f>
        <v>1.60029223623354</v>
      </c>
      <c r="L66" s="201" t="n">
        <f aca="false">L51+MAX(0,L60-(L46-L45))</f>
        <v>1.65346334108407</v>
      </c>
      <c r="M66" s="201" t="n">
        <f aca="false">M51+MAX(0,M60-(M46-M45))</f>
        <v>3.9391262830663</v>
      </c>
      <c r="N66" s="201" t="n">
        <f aca="false">N51+MAX(0,N60-(N46-N45))</f>
        <v>4.06465871439485</v>
      </c>
      <c r="O66" s="201" t="n">
        <f aca="false">O51+MAX(0,O60-(O46-O45))</f>
        <v>4.19711076765707</v>
      </c>
      <c r="P66" s="201" t="n">
        <f aca="false">P51+MAX(0,P60-(P46-P45))</f>
        <v>4.33672367633105</v>
      </c>
      <c r="Q66" s="201" t="n">
        <f aca="false">Q51+MAX(0,Q60-(Q46-Q45))</f>
        <v>4.48374709990745</v>
      </c>
      <c r="R66" s="201" t="n">
        <f aca="false">R51+MAX(0,R60-(R46-R45))</f>
        <v>4.48624351912084</v>
      </c>
      <c r="S66" s="201" t="n">
        <f aca="false">S51+MAX(0,S60-(S46-S45))</f>
        <v>4.48506784539272</v>
      </c>
      <c r="T66" s="201" t="n">
        <f aca="false">T51+MAX(0,T60-(T46-T45))</f>
        <v>4.4798534936187</v>
      </c>
      <c r="U66" s="201" t="n">
        <f aca="false">U51+MAX(0,U60-(U46-U45))</f>
        <v>4.47021242413899</v>
      </c>
      <c r="V66" s="201" t="n">
        <f aca="false">V51+MAX(0,V60-(V46-V45))</f>
        <v>4.455734084732</v>
      </c>
      <c r="W66" s="201" t="n">
        <f aca="false">W51+MAX(0,W60-(W46-W45))</f>
        <v>4.42216851526075</v>
      </c>
      <c r="X66" s="201" t="n">
        <f aca="false">X51+MAX(0,X60-(X46-X45))</f>
        <v>4.37981006028436</v>
      </c>
      <c r="Y66" s="201" t="n">
        <f aca="false">Y51+MAX(0,Y60-(Y46-Y45))</f>
        <v>4.32806660525508</v>
      </c>
      <c r="Z66" s="201" t="n">
        <f aca="false">Z51+MAX(0,Z60-(Z46-Z45))</f>
        <v>4.26631503974462</v>
      </c>
      <c r="AA66" s="201" t="n">
        <f aca="false">AA51+MAX(0,AA60-(AA46-AA45))</f>
        <v>4.19389980732821</v>
      </c>
      <c r="AB66" s="201" t="n">
        <f aca="false">AB51+MAX(0,AB60-(AB46-AB45))</f>
        <v>4.11013139182709</v>
      </c>
      <c r="AC66" s="201" t="n">
        <f aca="false">AC51+MAX(0,AC60-(AC46-AC45))</f>
        <v>4.01428473722898</v>
      </c>
      <c r="AD66" s="201" t="n">
        <f aca="false">AD51+MAX(0,AD60-(AD46-AD45))</f>
        <v>3.90559759849659</v>
      </c>
      <c r="AE66" s="201" t="n">
        <f aca="false">AE51+MAX(0,AE60-(AE46-AE45))</f>
        <v>3.78326882036</v>
      </c>
      <c r="AF66" s="201" t="n">
        <f aca="false">AF51+MAX(0,AF60-(AF46-AF45))</f>
        <v>3.64645654106983</v>
      </c>
      <c r="AG66" s="201"/>
      <c r="AH66" s="201"/>
      <c r="AI66" s="201"/>
      <c r="AJ66" s="201"/>
      <c r="AK66" s="201"/>
      <c r="AL66" s="201"/>
      <c r="AM66" s="201"/>
      <c r="AN66" s="201"/>
      <c r="AO66" s="201"/>
      <c r="AP66" s="201"/>
      <c r="AQ66" s="201"/>
      <c r="AR66" s="201"/>
      <c r="AS66" s="201"/>
      <c r="AT66" s="201"/>
      <c r="AU66" s="201"/>
      <c r="AV66" s="201"/>
      <c r="AW66" s="201"/>
      <c r="AX66" s="201"/>
      <c r="AY66" s="201"/>
      <c r="AZ66" s="201"/>
      <c r="BA66" s="201"/>
      <c r="BB66" s="201"/>
      <c r="BC66" s="201"/>
      <c r="BD66" s="201"/>
      <c r="BE66" s="201"/>
      <c r="BF66" s="201"/>
      <c r="BG66" s="201"/>
      <c r="BH66" s="201"/>
      <c r="BI66" s="201"/>
      <c r="BJ66" s="201"/>
      <c r="BK66" s="201"/>
      <c r="BL66" s="201"/>
      <c r="BM66" s="201"/>
      <c r="BN66" s="201"/>
      <c r="BO66" s="201"/>
      <c r="BP66" s="201"/>
      <c r="BQ66" s="201"/>
      <c r="BR66" s="201"/>
      <c r="BS66" s="201"/>
      <c r="BT66" s="201"/>
    </row>
    <row r="67" customFormat="false" ht="15.75" hidden="false" customHeight="true" outlineLevel="0" collapsed="false">
      <c r="B67" s="200" t="s">
        <v>1589</v>
      </c>
      <c r="C67" s="201" t="n">
        <f aca="false">C36*C16*01_Supuestos!$I$91</f>
        <v>1.419351</v>
      </c>
      <c r="D67" s="201" t="n">
        <f aca="false">D36*D16*01_Supuestos!$I$91</f>
        <v>2.285035518</v>
      </c>
      <c r="E67" s="201" t="n">
        <f aca="false">E36*E16*01_Supuestos!$I$91</f>
        <v>3.046166157324</v>
      </c>
      <c r="F67" s="201" t="n">
        <f aca="false">F36*F16*01_Supuestos!$I$91</f>
        <v>5.48202762670358</v>
      </c>
      <c r="G67" s="201" t="n">
        <f aca="false">G36*G16*01_Supuestos!$I$91</f>
        <v>5.66342746003117</v>
      </c>
      <c r="H67" s="201" t="n">
        <f aca="false">H36*H16*01_Supuestos!$I$91</f>
        <v>5.85098780712029</v>
      </c>
      <c r="I67" s="201" t="n">
        <f aca="false">I36*I16*01_Supuestos!$I$91</f>
        <v>6.04492089330532</v>
      </c>
      <c r="J67" s="201" t="n">
        <f aca="false">J36*J16*01_Supuestos!$I$91</f>
        <v>6.24544631073967</v>
      </c>
      <c r="K67" s="201" t="n">
        <f aca="false">K36*K16*01_Supuestos!$I$91</f>
        <v>6.45279127513526</v>
      </c>
      <c r="L67" s="201" t="n">
        <f aca="false">L36*L16*01_Supuestos!$I$91</f>
        <v>6.66719089146805</v>
      </c>
      <c r="M67" s="201" t="n">
        <f aca="false">M36*M16*01_Supuestos!$I$91</f>
        <v>6.88888842896314</v>
      </c>
      <c r="N67" s="201" t="n">
        <f aca="false">N36*N16*01_Supuestos!$I$91</f>
        <v>7.11813560568384</v>
      </c>
      <c r="O67" s="201" t="n">
        <f aca="false">O36*O16*01_Supuestos!$I$91</f>
        <v>7.3551928830605</v>
      </c>
      <c r="P67" s="201" t="n">
        <f aca="false">P36*P16*01_Supuestos!$I$91</f>
        <v>7.60032977070653</v>
      </c>
      <c r="Q67" s="201" t="n">
        <f aca="false">Q36*Q16*01_Supuestos!$I$91</f>
        <v>7.85382514188148</v>
      </c>
      <c r="R67" s="201" t="n">
        <f aca="false">R36*R16*01_Supuestos!$I$91</f>
        <v>8.11218610749427</v>
      </c>
      <c r="S67" s="201" t="n">
        <f aca="false">S36*S16*01_Supuestos!$I$91</f>
        <v>8.37537849112951</v>
      </c>
      <c r="T67" s="201" t="n">
        <f aca="false">T36*T16*01_Supuestos!$I$91</f>
        <v>8.643358607418</v>
      </c>
      <c r="U67" s="201" t="n">
        <f aca="false">U36*U16*01_Supuestos!$I$91</f>
        <v>8.91607261746357</v>
      </c>
      <c r="V67" s="201" t="n">
        <f aca="false">V36*V16*01_Supuestos!$I$91</f>
        <v>9.19345585042359</v>
      </c>
      <c r="W67" s="201" t="n">
        <f aca="false">W36*W16*01_Supuestos!$I$91</f>
        <v>9.47543208965686</v>
      </c>
      <c r="X67" s="201" t="n">
        <f aca="false">X36*X16*01_Supuestos!$I$91</f>
        <v>9.76191282178274</v>
      </c>
      <c r="Y67" s="201" t="n">
        <f aca="false">Y36*Y16*01_Supuestos!$I$91</f>
        <v>10.0527964469228</v>
      </c>
      <c r="Z67" s="201" t="n">
        <f aca="false">Z36*Z16*01_Supuestos!$I$91</f>
        <v>10.3479674483205</v>
      </c>
      <c r="AA67" s="201" t="n">
        <f aca="false">AA36*AA16*01_Supuestos!$I$91</f>
        <v>10.6472955194558</v>
      </c>
      <c r="AB67" s="201" t="n">
        <f aca="false">AB36*AB16*01_Supuestos!$I$91</f>
        <v>10.9506346466887</v>
      </c>
      <c r="AC67" s="201" t="n">
        <f aca="false">AC36*AC16*01_Supuestos!$I$91</f>
        <v>11.2578221453814</v>
      </c>
      <c r="AD67" s="201" t="n">
        <f aca="false">AD36*AD16*01_Supuestos!$I$91</f>
        <v>11.5686776473573</v>
      </c>
      <c r="AE67" s="201" t="n">
        <f aca="false">AE36*AE16*01_Supuestos!$I$91</f>
        <v>11.883002037465</v>
      </c>
      <c r="AF67" s="201" t="n">
        <f aca="false">AF36*AF16*01_Supuestos!$I$91</f>
        <v>12.200576336916</v>
      </c>
      <c r="AG67" s="201"/>
      <c r="AH67" s="201"/>
      <c r="AI67" s="201"/>
      <c r="AJ67" s="201"/>
      <c r="AK67" s="201"/>
      <c r="AL67" s="201"/>
      <c r="AM67" s="201"/>
      <c r="AN67" s="201"/>
      <c r="AO67" s="201"/>
      <c r="AP67" s="201"/>
      <c r="AQ67" s="201"/>
      <c r="AR67" s="201"/>
      <c r="AS67" s="201"/>
      <c r="AT67" s="201"/>
      <c r="AU67" s="201"/>
      <c r="AV67" s="201"/>
      <c r="AW67" s="201"/>
      <c r="AX67" s="201"/>
      <c r="AY67" s="201"/>
      <c r="AZ67" s="201"/>
      <c r="BA67" s="201"/>
      <c r="BB67" s="201"/>
      <c r="BC67" s="201"/>
      <c r="BD67" s="201"/>
      <c r="BE67" s="201"/>
      <c r="BF67" s="201"/>
      <c r="BG67" s="201"/>
      <c r="BH67" s="201"/>
      <c r="BI67" s="201"/>
      <c r="BJ67" s="201"/>
      <c r="BK67" s="201"/>
      <c r="BL67" s="201"/>
      <c r="BM67" s="201"/>
      <c r="BN67" s="201"/>
      <c r="BO67" s="201"/>
      <c r="BP67" s="201"/>
      <c r="BQ67" s="201"/>
      <c r="BR67" s="201"/>
      <c r="BS67" s="201"/>
      <c r="BT67" s="201"/>
    </row>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2"/>
    <col collapsed="false" customWidth="true" hidden="false" outlineLevel="0" max="72" min="3" style="1" width="9"/>
  </cols>
  <sheetData>
    <row r="2" customFormat="false" ht="17.25" hidden="false" customHeight="true" outlineLevel="0" collapsed="false">
      <c r="B2" s="18" t="s">
        <v>1590</v>
      </c>
    </row>
    <row r="3" customFormat="false" ht="54" hidden="false" customHeight="true" outlineLevel="0" collapsed="false">
      <c r="B3" s="123" t="s">
        <v>1591</v>
      </c>
      <c r="C3" s="123"/>
      <c r="D3" s="123"/>
      <c r="E3" s="123"/>
      <c r="F3" s="123"/>
      <c r="G3" s="123"/>
      <c r="H3" s="123"/>
      <c r="I3" s="123"/>
      <c r="J3" s="123"/>
      <c r="K3" s="123"/>
      <c r="L3" s="123"/>
      <c r="M3" s="123"/>
      <c r="N3" s="123"/>
      <c r="O3" s="123"/>
      <c r="P3" s="123"/>
    </row>
    <row r="5" customFormat="false" ht="14.25" hidden="false" customHeight="true" outlineLevel="0" collapsed="false">
      <c r="B5" s="1" t="s">
        <v>1592</v>
      </c>
      <c r="C5" s="202" t="str">
        <f aca="false">01_Supuestos!$I$94</f>
        <v>45/30/25</v>
      </c>
      <c r="E5" s="1" t="s">
        <v>1593</v>
      </c>
      <c r="F5" s="202" t="n">
        <f aca="false">01_Supuestos!$I$95</f>
        <v>0.035</v>
      </c>
      <c r="H5" s="1" t="s">
        <v>1594</v>
      </c>
      <c r="I5" s="202" t="str">
        <f aca="false">01_Supuestos!$I$96</f>
        <v>No</v>
      </c>
      <c r="K5" s="1" t="s">
        <v>1595</v>
      </c>
      <c r="L5" s="202" t="str">
        <f aca="false">01_Supuestos!$I$97</f>
        <v>No</v>
      </c>
      <c r="N5" s="81" t="s">
        <v>1596</v>
      </c>
      <c r="Q5" s="202" t="str">
        <f aca="false">IF(MIN(C59:BT59)=999,"no se agota en 70 años",MIN(C59:BT59))</f>
        <v>no se agota en 70 años</v>
      </c>
    </row>
    <row r="6" customFormat="false" ht="14.25" hidden="false" customHeight="true" outlineLevel="0" collapsed="false">
      <c r="B6" s="1" t="s">
        <v>1597</v>
      </c>
      <c r="C6" s="203" t="n">
        <f aca="false">IF(01_Supuestos!$I$94="45/30/25",0.45,0.3)</f>
        <v>0.45</v>
      </c>
      <c r="E6" s="1" t="s">
        <v>1598</v>
      </c>
      <c r="F6" s="203" t="n">
        <v>0.3</v>
      </c>
      <c r="H6" s="1" t="s">
        <v>1599</v>
      </c>
      <c r="I6" s="203" t="n">
        <f aca="false">1-C6-F6</f>
        <v>0.25</v>
      </c>
      <c r="K6" s="1" t="s">
        <v>1600</v>
      </c>
      <c r="L6" s="203" t="n">
        <f aca="false">01_Supuestos!$I$91*I6</f>
        <v>0.025</v>
      </c>
      <c r="N6" s="1" t="s">
        <v>1601</v>
      </c>
      <c r="Q6" s="1" t="str">
        <f aca="false">01_Supuestos!$I$114</f>
        <v>Intocable</v>
      </c>
    </row>
    <row r="7" customFormat="false" ht="14.25" hidden="false" customHeight="true" outlineLevel="0" collapsed="false">
      <c r="B7" s="1" t="s">
        <v>1602</v>
      </c>
      <c r="C7" s="203" t="n">
        <f aca="false">I6-L6</f>
        <v>0.225</v>
      </c>
      <c r="E7" s="1" t="s">
        <v>1603</v>
      </c>
      <c r="F7" s="203" t="n">
        <f aca="false">IF(01_Supuestos!$I$114="Intocable",C6*((1-01_Supuestos!$I$117-01_Supuestos!$I$119)*01_Supuestos!$I$100+01_Supuestos!$I$117*01_Supuestos!$I$118+01_Supuestos!$I$119*01_Supuestos!$I$120)+F6*01_Supuestos!$I$95+I6*01_Supuestos!$I$115,C6*01_Supuestos!$I$100+F6*01_Supuestos!$I$95+C7*01_Supuestos!$I$101)</f>
        <v>0.030325</v>
      </c>
      <c r="H7" s="1" t="s">
        <v>1604</v>
      </c>
      <c r="I7" s="203" t="n">
        <f aca="false">01_Supuestos!$I$98+C6*01_Supuestos!$I$99</f>
        <v>0.0065</v>
      </c>
      <c r="K7" s="1" t="s">
        <v>1605</v>
      </c>
      <c r="L7" s="203" t="n">
        <f aca="false">IF(01_Supuestos!$I$114="Intocable",01_Supuestos!$I$116,01_Supuestos!$I$101-01_Supuestos!$I$102)</f>
        <v>0.01</v>
      </c>
      <c r="N7" s="1" t="s">
        <v>1606</v>
      </c>
      <c r="Q7" s="1" t="str">
        <f aca="false">01_Supuestos!$I$111</f>
        <v>Sí</v>
      </c>
    </row>
    <row r="9" customFormat="false" ht="14.25" hidden="false" customHeight="true" outlineLevel="0" collapsed="false">
      <c r="B9" s="132" t="s">
        <v>1054</v>
      </c>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3"/>
      <c r="AQ9" s="133"/>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row>
    <row r="10" customFormat="false" ht="14.25" hidden="false" customHeight="true" outlineLevel="0" collapsed="false">
      <c r="B10" s="204" t="s">
        <v>784</v>
      </c>
      <c r="C10" s="205" t="n">
        <v>1</v>
      </c>
      <c r="D10" s="205" t="n">
        <v>2</v>
      </c>
      <c r="E10" s="205" t="n">
        <v>3</v>
      </c>
      <c r="F10" s="205" t="n">
        <v>4</v>
      </c>
      <c r="G10" s="205" t="n">
        <v>5</v>
      </c>
      <c r="H10" s="205" t="n">
        <v>6</v>
      </c>
      <c r="I10" s="205" t="n">
        <v>7</v>
      </c>
      <c r="J10" s="205" t="n">
        <v>8</v>
      </c>
      <c r="K10" s="205" t="n">
        <v>9</v>
      </c>
      <c r="L10" s="205" t="n">
        <v>10</v>
      </c>
      <c r="M10" s="205" t="n">
        <v>11</v>
      </c>
      <c r="N10" s="205" t="n">
        <v>12</v>
      </c>
      <c r="O10" s="205" t="n">
        <v>13</v>
      </c>
      <c r="P10" s="205" t="n">
        <v>14</v>
      </c>
      <c r="Q10" s="205" t="n">
        <v>15</v>
      </c>
      <c r="R10" s="205" t="n">
        <v>16</v>
      </c>
      <c r="S10" s="205" t="n">
        <v>17</v>
      </c>
      <c r="T10" s="205" t="n">
        <v>18</v>
      </c>
      <c r="U10" s="205" t="n">
        <v>19</v>
      </c>
      <c r="V10" s="205" t="n">
        <v>20</v>
      </c>
      <c r="W10" s="205" t="n">
        <v>21</v>
      </c>
      <c r="X10" s="205" t="n">
        <v>22</v>
      </c>
      <c r="Y10" s="205" t="n">
        <v>23</v>
      </c>
      <c r="Z10" s="205" t="n">
        <v>24</v>
      </c>
      <c r="AA10" s="205" t="n">
        <v>25</v>
      </c>
      <c r="AB10" s="205" t="n">
        <v>26</v>
      </c>
      <c r="AC10" s="205" t="n">
        <v>27</v>
      </c>
      <c r="AD10" s="205" t="n">
        <v>28</v>
      </c>
      <c r="AE10" s="205" t="n">
        <v>29</v>
      </c>
      <c r="AF10" s="205" t="n">
        <v>30</v>
      </c>
      <c r="AG10" s="205"/>
      <c r="AH10" s="205"/>
      <c r="AI10" s="205"/>
      <c r="AJ10" s="205"/>
      <c r="AK10" s="205"/>
      <c r="AL10" s="205"/>
      <c r="AM10" s="205"/>
      <c r="AN10" s="205"/>
      <c r="AO10" s="205"/>
      <c r="AP10" s="205"/>
      <c r="AQ10" s="205"/>
      <c r="AR10" s="205"/>
      <c r="AS10" s="205"/>
      <c r="AT10" s="205"/>
      <c r="AU10" s="205"/>
      <c r="AV10" s="205"/>
      <c r="AW10" s="205"/>
      <c r="AX10" s="205"/>
      <c r="AY10" s="205"/>
      <c r="AZ10" s="205"/>
      <c r="BA10" s="205"/>
      <c r="BB10" s="205"/>
      <c r="BC10" s="205"/>
      <c r="BD10" s="205"/>
      <c r="BE10" s="205"/>
      <c r="BF10" s="205"/>
      <c r="BG10" s="205"/>
      <c r="BH10" s="205"/>
      <c r="BI10" s="205"/>
      <c r="BJ10" s="205"/>
      <c r="BK10" s="205"/>
      <c r="BL10" s="205"/>
      <c r="BM10" s="205"/>
      <c r="BN10" s="205"/>
      <c r="BO10" s="205"/>
      <c r="BP10" s="205"/>
      <c r="BQ10" s="205"/>
      <c r="BR10" s="205"/>
      <c r="BS10" s="205"/>
      <c r="BT10" s="205"/>
    </row>
    <row r="11" customFormat="false" ht="14.25" hidden="false" customHeight="true" outlineLevel="0" collapsed="false">
      <c r="B11" s="204" t="s">
        <v>1607</v>
      </c>
      <c r="C11" s="206" t="n">
        <f aca="false">01_Supuestos!$I$25*(1+01_Supuestos!$I$9)^(C10-1)</f>
        <v>325</v>
      </c>
      <c r="D11" s="206" t="n">
        <f aca="false">01_Supuestos!$I$25*(1+01_Supuestos!$I$9)^(D10-1)</f>
        <v>332.475</v>
      </c>
      <c r="E11" s="206" t="n">
        <f aca="false">01_Supuestos!$I$25*(1+01_Supuestos!$I$9)^(E10-1)</f>
        <v>340.121925</v>
      </c>
      <c r="F11" s="206" t="n">
        <f aca="false">01_Supuestos!$I$25*(1+01_Supuestos!$I$9)^(F10-1)</f>
        <v>347.944729275</v>
      </c>
      <c r="G11" s="206" t="n">
        <f aca="false">01_Supuestos!$I$25*(1+01_Supuestos!$I$9)^(G10-1)</f>
        <v>355.947458048325</v>
      </c>
      <c r="H11" s="206" t="n">
        <f aca="false">01_Supuestos!$I$25*(1+01_Supuestos!$I$9)^(H10-1)</f>
        <v>364.134249583436</v>
      </c>
      <c r="I11" s="206" t="n">
        <f aca="false">01_Supuestos!$I$25*(1+01_Supuestos!$I$9)^(I10-1)</f>
        <v>372.509337323855</v>
      </c>
      <c r="J11" s="206" t="n">
        <f aca="false">01_Supuestos!$I$25*(1+01_Supuestos!$I$9)^(J10-1)</f>
        <v>381.077052082304</v>
      </c>
      <c r="K11" s="206" t="n">
        <f aca="false">01_Supuestos!$I$25*(1+01_Supuestos!$I$9)^(K10-1)</f>
        <v>389.841824280197</v>
      </c>
      <c r="L11" s="206" t="n">
        <f aca="false">01_Supuestos!$I$25*(1+01_Supuestos!$I$9)^(L10-1)</f>
        <v>398.808186238641</v>
      </c>
      <c r="M11" s="206" t="n">
        <f aca="false">01_Supuestos!$I$25*(1+01_Supuestos!$I$9)^(M10-1)</f>
        <v>407.98077452213</v>
      </c>
      <c r="N11" s="206" t="n">
        <f aca="false">01_Supuestos!$I$25*(1+01_Supuestos!$I$9)^(N10-1)</f>
        <v>417.364332336139</v>
      </c>
      <c r="O11" s="206" t="n">
        <f aca="false">01_Supuestos!$I$25*(1+01_Supuestos!$I$9)^(O10-1)</f>
        <v>426.96371197987</v>
      </c>
      <c r="P11" s="206" t="n">
        <f aca="false">01_Supuestos!$I$25*(1+01_Supuestos!$I$9)^(P10-1)</f>
        <v>436.783877355407</v>
      </c>
      <c r="Q11" s="206" t="n">
        <f aca="false">01_Supuestos!$I$25*(1+01_Supuestos!$I$9)^(Q10-1)</f>
        <v>446.829906534582</v>
      </c>
      <c r="R11" s="206" t="n">
        <f aca="false">01_Supuestos!$I$25*(1+01_Supuestos!$I$9)^(R10-1)</f>
        <v>457.106994384877</v>
      </c>
      <c r="S11" s="206" t="n">
        <f aca="false">01_Supuestos!$I$25*(1+01_Supuestos!$I$9)^(S10-1)</f>
        <v>467.620455255729</v>
      </c>
      <c r="T11" s="206" t="n">
        <f aca="false">01_Supuestos!$I$25*(1+01_Supuestos!$I$9)^(T10-1)</f>
        <v>478.375725726611</v>
      </c>
      <c r="U11" s="206" t="n">
        <f aca="false">01_Supuestos!$I$25*(1+01_Supuestos!$I$9)^(U10-1)</f>
        <v>489.378367418323</v>
      </c>
      <c r="V11" s="206" t="n">
        <f aca="false">01_Supuestos!$I$25*(1+01_Supuestos!$I$9)^(V10-1)</f>
        <v>500.634069868944</v>
      </c>
      <c r="W11" s="206" t="n">
        <f aca="false">01_Supuestos!$I$25*(1+01_Supuestos!$I$9)^(W10-1)</f>
        <v>512.14865347593</v>
      </c>
      <c r="X11" s="206" t="n">
        <f aca="false">01_Supuestos!$I$25*(1+01_Supuestos!$I$9)^(X10-1)</f>
        <v>523.928072505876</v>
      </c>
      <c r="Y11" s="206" t="n">
        <f aca="false">01_Supuestos!$I$25*(1+01_Supuestos!$I$9)^(Y10-1)</f>
        <v>535.978418173511</v>
      </c>
      <c r="Z11" s="206" t="n">
        <f aca="false">01_Supuestos!$I$25*(1+01_Supuestos!$I$9)^(Z10-1)</f>
        <v>548.305921791502</v>
      </c>
      <c r="AA11" s="206" t="n">
        <f aca="false">01_Supuestos!$I$25*(1+01_Supuestos!$I$9)^(AA10-1)</f>
        <v>560.916957992706</v>
      </c>
      <c r="AB11" s="206" t="n">
        <f aca="false">01_Supuestos!$I$25*(1+01_Supuestos!$I$9)^(AB10-1)</f>
        <v>573.818048026539</v>
      </c>
      <c r="AC11" s="206" t="n">
        <f aca="false">01_Supuestos!$I$25*(1+01_Supuestos!$I$9)^(AC10-1)</f>
        <v>587.015863131149</v>
      </c>
      <c r="AD11" s="206" t="n">
        <f aca="false">01_Supuestos!$I$25*(1+01_Supuestos!$I$9)^(AD10-1)</f>
        <v>600.517227983165</v>
      </c>
      <c r="AE11" s="206" t="n">
        <f aca="false">01_Supuestos!$I$25*(1+01_Supuestos!$I$9)^(AE10-1)</f>
        <v>614.329124226778</v>
      </c>
      <c r="AF11" s="206" t="n">
        <f aca="false">01_Supuestos!$I$25*(1+01_Supuestos!$I$9)^(AF10-1)</f>
        <v>628.458694083994</v>
      </c>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6"/>
      <c r="BS11" s="206"/>
      <c r="BT11" s="206"/>
    </row>
    <row r="12" customFormat="false" ht="14.25" hidden="false" customHeight="true" outlineLevel="0" collapsed="false">
      <c r="B12" s="204" t="s">
        <v>1608</v>
      </c>
      <c r="C12" s="207" t="n">
        <f aca="false">(1+01_Supuestos!$C$10)^(C10-1)</f>
        <v>1</v>
      </c>
      <c r="D12" s="207" t="n">
        <f aca="false">(1+01_Supuestos!$C$10)^(D10-1)</f>
        <v>1.035</v>
      </c>
      <c r="E12" s="207" t="n">
        <f aca="false">(1+01_Supuestos!$C$10)^(E10-1)</f>
        <v>1.071225</v>
      </c>
      <c r="F12" s="207" t="n">
        <f aca="false">(1+01_Supuestos!$C$10)^(F10-1)</f>
        <v>1.108717875</v>
      </c>
      <c r="G12" s="207" t="n">
        <f aca="false">(1+01_Supuestos!$C$10)^(G10-1)</f>
        <v>1.147523000625</v>
      </c>
      <c r="H12" s="207" t="n">
        <f aca="false">(1+01_Supuestos!$C$10)^(H10-1)</f>
        <v>1.18768630564687</v>
      </c>
      <c r="I12" s="207" t="n">
        <f aca="false">(1+01_Supuestos!$C$10)^(I10-1)</f>
        <v>1.22925532634452</v>
      </c>
      <c r="J12" s="207" t="n">
        <f aca="false">(1+01_Supuestos!$C$10)^(J10-1)</f>
        <v>1.27227926276657</v>
      </c>
      <c r="K12" s="207" t="n">
        <f aca="false">(1+01_Supuestos!$C$10)^(K10-1)</f>
        <v>1.3168090369634</v>
      </c>
      <c r="L12" s="207" t="n">
        <f aca="false">(1+01_Supuestos!$C$10)^(L10-1)</f>
        <v>1.36289735325712</v>
      </c>
      <c r="M12" s="207" t="n">
        <f aca="false">(1+01_Supuestos!$C$10)^(M10-1)</f>
        <v>1.41059876062112</v>
      </c>
      <c r="N12" s="207" t="n">
        <f aca="false">(1+01_Supuestos!$C$10)^(N10-1)</f>
        <v>1.45996971724286</v>
      </c>
      <c r="O12" s="207" t="n">
        <f aca="false">(1+01_Supuestos!$C$10)^(O10-1)</f>
        <v>1.51106865734636</v>
      </c>
      <c r="P12" s="207" t="n">
        <f aca="false">(1+01_Supuestos!$C$10)^(P10-1)</f>
        <v>1.56395606035348</v>
      </c>
      <c r="Q12" s="207" t="n">
        <f aca="false">(1+01_Supuestos!$C$10)^(Q10-1)</f>
        <v>1.61869452246585</v>
      </c>
      <c r="R12" s="207" t="n">
        <f aca="false">(1+01_Supuestos!$C$10)^(R10-1)</f>
        <v>1.67534883075216</v>
      </c>
      <c r="S12" s="207" t="n">
        <f aca="false">(1+01_Supuestos!$C$10)^(S10-1)</f>
        <v>1.73398603982848</v>
      </c>
      <c r="T12" s="207" t="n">
        <f aca="false">(1+01_Supuestos!$C$10)^(T10-1)</f>
        <v>1.79467555122248</v>
      </c>
      <c r="U12" s="207" t="n">
        <f aca="false">(1+01_Supuestos!$C$10)^(U10-1)</f>
        <v>1.85748919551527</v>
      </c>
      <c r="V12" s="207" t="n">
        <f aca="false">(1+01_Supuestos!$C$10)^(V10-1)</f>
        <v>1.9225013173583</v>
      </c>
      <c r="W12" s="207" t="n">
        <f aca="false">(1+01_Supuestos!$C$10)^(W10-1)</f>
        <v>1.98978886346584</v>
      </c>
      <c r="X12" s="207" t="n">
        <f aca="false">(1+01_Supuestos!$C$10)^(X10-1)</f>
        <v>2.05943147368715</v>
      </c>
      <c r="Y12" s="207" t="n">
        <f aca="false">(1+01_Supuestos!$C$10)^(Y10-1)</f>
        <v>2.1315115752662</v>
      </c>
      <c r="Z12" s="207" t="n">
        <f aca="false">(1+01_Supuestos!$C$10)^(Z10-1)</f>
        <v>2.20611448040051</v>
      </c>
      <c r="AA12" s="207" t="n">
        <f aca="false">(1+01_Supuestos!$C$10)^(AA10-1)</f>
        <v>2.28332848721453</v>
      </c>
      <c r="AB12" s="207" t="n">
        <f aca="false">(1+01_Supuestos!$C$10)^(AB10-1)</f>
        <v>2.36324498426704</v>
      </c>
      <c r="AC12" s="207" t="n">
        <f aca="false">(1+01_Supuestos!$C$10)^(AC10-1)</f>
        <v>2.44595855871639</v>
      </c>
      <c r="AD12" s="207" t="n">
        <f aca="false">(1+01_Supuestos!$C$10)^(AD10-1)</f>
        <v>2.53156710827146</v>
      </c>
      <c r="AE12" s="207" t="n">
        <f aca="false">(1+01_Supuestos!$C$10)^(AE10-1)</f>
        <v>2.62017195706096</v>
      </c>
      <c r="AF12" s="207" t="n">
        <f aca="false">(1+01_Supuestos!$C$10)^(AF10-1)</f>
        <v>2.71187797555809</v>
      </c>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7"/>
      <c r="BP12" s="207"/>
      <c r="BQ12" s="207"/>
      <c r="BR12" s="207"/>
      <c r="BS12" s="207"/>
      <c r="BT12" s="207"/>
    </row>
    <row r="13" customFormat="false" ht="14.25" hidden="false" customHeight="true" outlineLevel="0" collapsed="false">
      <c r="B13" s="204" t="s">
        <v>1609</v>
      </c>
      <c r="C13" s="207" t="n">
        <f aca="false">IF(01_Supuestos!$I$97="Sí",(1+01_Supuestos!$I$104)^C10,1)</f>
        <v>1</v>
      </c>
      <c r="D13" s="207" t="n">
        <f aca="false">IF(01_Supuestos!$I$97="Sí",(1+01_Supuestos!$I$104)^D10,1)</f>
        <v>1</v>
      </c>
      <c r="E13" s="207" t="n">
        <f aca="false">IF(01_Supuestos!$I$97="Sí",(1+01_Supuestos!$I$104)^E10,1)</f>
        <v>1</v>
      </c>
      <c r="F13" s="207" t="n">
        <f aca="false">IF(01_Supuestos!$I$97="Sí",(1+01_Supuestos!$I$104)^F10,1)</f>
        <v>1</v>
      </c>
      <c r="G13" s="207" t="n">
        <f aca="false">IF(01_Supuestos!$I$97="Sí",(1+01_Supuestos!$I$104)^G10,1)</f>
        <v>1</v>
      </c>
      <c r="H13" s="207" t="n">
        <f aca="false">IF(01_Supuestos!$I$97="Sí",(1+01_Supuestos!$I$104)^H10,1)</f>
        <v>1</v>
      </c>
      <c r="I13" s="207" t="n">
        <f aca="false">IF(01_Supuestos!$I$97="Sí",(1+01_Supuestos!$I$104)^I10,1)</f>
        <v>1</v>
      </c>
      <c r="J13" s="207" t="n">
        <f aca="false">IF(01_Supuestos!$I$97="Sí",(1+01_Supuestos!$I$104)^J10,1)</f>
        <v>1</v>
      </c>
      <c r="K13" s="207" t="n">
        <f aca="false">IF(01_Supuestos!$I$97="Sí",(1+01_Supuestos!$I$104)^K10,1)</f>
        <v>1</v>
      </c>
      <c r="L13" s="207" t="n">
        <f aca="false">IF(01_Supuestos!$I$97="Sí",(1+01_Supuestos!$I$104)^L10,1)</f>
        <v>1</v>
      </c>
      <c r="M13" s="207" t="n">
        <f aca="false">IF(01_Supuestos!$I$97="Sí",(1+01_Supuestos!$I$104)^M10,1)</f>
        <v>1</v>
      </c>
      <c r="N13" s="207" t="n">
        <f aca="false">IF(01_Supuestos!$I$97="Sí",(1+01_Supuestos!$I$104)^N10,1)</f>
        <v>1</v>
      </c>
      <c r="O13" s="207" t="n">
        <f aca="false">IF(01_Supuestos!$I$97="Sí",(1+01_Supuestos!$I$104)^O10,1)</f>
        <v>1</v>
      </c>
      <c r="P13" s="207" t="n">
        <f aca="false">IF(01_Supuestos!$I$97="Sí",(1+01_Supuestos!$I$104)^P10,1)</f>
        <v>1</v>
      </c>
      <c r="Q13" s="207" t="n">
        <f aca="false">IF(01_Supuestos!$I$97="Sí",(1+01_Supuestos!$I$104)^Q10,1)</f>
        <v>1</v>
      </c>
      <c r="R13" s="207" t="n">
        <f aca="false">IF(01_Supuestos!$I$97="Sí",(1+01_Supuestos!$I$104)^R10,1)</f>
        <v>1</v>
      </c>
      <c r="S13" s="207" t="n">
        <f aca="false">IF(01_Supuestos!$I$97="Sí",(1+01_Supuestos!$I$104)^S10,1)</f>
        <v>1</v>
      </c>
      <c r="T13" s="207" t="n">
        <f aca="false">IF(01_Supuestos!$I$97="Sí",(1+01_Supuestos!$I$104)^T10,1)</f>
        <v>1</v>
      </c>
      <c r="U13" s="207" t="n">
        <f aca="false">IF(01_Supuestos!$I$97="Sí",(1+01_Supuestos!$I$104)^U10,1)</f>
        <v>1</v>
      </c>
      <c r="V13" s="207" t="n">
        <f aca="false">IF(01_Supuestos!$I$97="Sí",(1+01_Supuestos!$I$104)^V10,1)</f>
        <v>1</v>
      </c>
      <c r="W13" s="207" t="n">
        <f aca="false">IF(01_Supuestos!$I$97="Sí",(1+01_Supuestos!$I$104)^W10,1)</f>
        <v>1</v>
      </c>
      <c r="X13" s="207" t="n">
        <f aca="false">IF(01_Supuestos!$I$97="Sí",(1+01_Supuestos!$I$104)^X10,1)</f>
        <v>1</v>
      </c>
      <c r="Y13" s="207" t="n">
        <f aca="false">IF(01_Supuestos!$I$97="Sí",(1+01_Supuestos!$I$104)^Y10,1)</f>
        <v>1</v>
      </c>
      <c r="Z13" s="207" t="n">
        <f aca="false">IF(01_Supuestos!$I$97="Sí",(1+01_Supuestos!$I$104)^Z10,1)</f>
        <v>1</v>
      </c>
      <c r="AA13" s="207" t="n">
        <f aca="false">IF(01_Supuestos!$I$97="Sí",(1+01_Supuestos!$I$104)^AA10,1)</f>
        <v>1</v>
      </c>
      <c r="AB13" s="207" t="n">
        <f aca="false">IF(01_Supuestos!$I$97="Sí",(1+01_Supuestos!$I$104)^AB10,1)</f>
        <v>1</v>
      </c>
      <c r="AC13" s="207" t="n">
        <f aca="false">IF(01_Supuestos!$I$97="Sí",(1+01_Supuestos!$I$104)^AC10,1)</f>
        <v>1</v>
      </c>
      <c r="AD13" s="207" t="n">
        <f aca="false">IF(01_Supuestos!$I$97="Sí",(1+01_Supuestos!$I$104)^AD10,1)</f>
        <v>1</v>
      </c>
      <c r="AE13" s="207" t="n">
        <f aca="false">IF(01_Supuestos!$I$97="Sí",(1+01_Supuestos!$I$104)^AE10,1)</f>
        <v>1</v>
      </c>
      <c r="AF13" s="207" t="n">
        <f aca="false">IF(01_Supuestos!$I$97="Sí",(1+01_Supuestos!$I$104)^AF10,1)</f>
        <v>1</v>
      </c>
      <c r="AG13" s="207"/>
      <c r="AH13" s="207"/>
      <c r="AI13" s="207"/>
      <c r="AJ13" s="207"/>
      <c r="AK13" s="207"/>
      <c r="AL13" s="207"/>
      <c r="AM13" s="207"/>
      <c r="AN13" s="207"/>
      <c r="AO13" s="207"/>
      <c r="AP13" s="207"/>
      <c r="AQ13" s="207"/>
      <c r="AR13" s="207"/>
      <c r="AS13" s="207"/>
      <c r="AT13" s="207"/>
      <c r="AU13" s="207"/>
      <c r="AV13" s="207"/>
      <c r="AW13" s="207"/>
      <c r="AX13" s="207"/>
      <c r="AY13" s="207"/>
      <c r="AZ13" s="207"/>
      <c r="BA13" s="207"/>
      <c r="BB13" s="207"/>
      <c r="BC13" s="207"/>
      <c r="BD13" s="207"/>
      <c r="BE13" s="207"/>
      <c r="BF13" s="207"/>
      <c r="BG13" s="207"/>
      <c r="BH13" s="207"/>
      <c r="BI13" s="207"/>
      <c r="BJ13" s="207"/>
      <c r="BK13" s="207"/>
      <c r="BL13" s="207"/>
      <c r="BM13" s="207"/>
      <c r="BN13" s="207"/>
      <c r="BO13" s="207"/>
      <c r="BP13" s="207"/>
      <c r="BQ13" s="207"/>
      <c r="BR13" s="207"/>
      <c r="BS13" s="207"/>
      <c r="BT13" s="207"/>
    </row>
    <row r="15" customFormat="false" ht="14.25" hidden="false" customHeight="true" outlineLevel="0" collapsed="false">
      <c r="B15" s="132" t="s">
        <v>1610</v>
      </c>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row>
    <row r="16" customFormat="false" ht="26.25" hidden="false" customHeight="true" outlineLevel="0" collapsed="false">
      <c r="B16" s="204" t="s">
        <v>1611</v>
      </c>
      <c r="C16" s="206" t="n">
        <f aca="false">IF(C10=1,01_Supuestos!$I$55*01_Supuestos!$I$56,IF(C10=2,01_Supuestos!$I$65*307000*240,IF(C10=3,01_Supuestos!$I$57*01_Supuestos!$I$58+01_Supuestos!$I$59*01_Supuestos!$I$60,IF(C10=4,01_Supuestos!$I$61*01_Supuestos!$I$63,0))))/1000000000000</f>
        <v>56.77404</v>
      </c>
      <c r="D16" s="206" t="n">
        <f aca="false">IF(D10=1,01_Supuestos!$I$55*01_Supuestos!$I$56,IF(D10=2,01_Supuestos!$I$65*307000*240,IF(D10=3,01_Supuestos!$I$57*01_Supuestos!$I$58+01_Supuestos!$I$59*01_Supuestos!$I$60,IF(D10=4,01_Supuestos!$I$61*01_Supuestos!$I$63,0))))/1000000000000</f>
        <v>33.605448</v>
      </c>
      <c r="E16" s="206" t="n">
        <f aca="false">IF(E10=1,01_Supuestos!$I$55*01_Supuestos!$I$56,IF(E10=2,01_Supuestos!$I$65*307000*240,IF(E10=3,01_Supuestos!$I$57*01_Supuestos!$I$58+01_Supuestos!$I$59*01_Supuestos!$I$60,IF(E10=4,01_Supuestos!$I$61*01_Supuestos!$I$63,0))))/1000000000000</f>
        <v>28.8</v>
      </c>
      <c r="F16" s="206" t="n">
        <f aca="false">IF(F10=1,01_Supuestos!$I$55*01_Supuestos!$I$56,IF(F10=2,01_Supuestos!$I$65*307000*240,IF(F10=3,01_Supuestos!$I$57*01_Supuestos!$I$58+01_Supuestos!$I$59*01_Supuestos!$I$60,IF(F10=4,01_Supuestos!$I$61*01_Supuestos!$I$63,0))))/1000000000000</f>
        <v>65.644182</v>
      </c>
      <c r="G16" s="206" t="n">
        <f aca="false">IF(G10=1,01_Supuestos!$I$55*01_Supuestos!$I$56,IF(G10=2,01_Supuestos!$I$65*307000*240,IF(G10=3,01_Supuestos!$I$57*01_Supuestos!$I$58+01_Supuestos!$I$59*01_Supuestos!$I$60,IF(G10=4,01_Supuestos!$I$61*01_Supuestos!$I$63,0))))/1000000000000</f>
        <v>0</v>
      </c>
      <c r="H16" s="206" t="n">
        <f aca="false">IF(H10=1,01_Supuestos!$I$55*01_Supuestos!$I$56,IF(H10=2,01_Supuestos!$I$65*307000*240,IF(H10=3,01_Supuestos!$I$57*01_Supuestos!$I$58+01_Supuestos!$I$59*01_Supuestos!$I$60,IF(H10=4,01_Supuestos!$I$61*01_Supuestos!$I$63,0))))/1000000000000</f>
        <v>0</v>
      </c>
      <c r="I16" s="206" t="n">
        <f aca="false">IF(I10=1,01_Supuestos!$I$55*01_Supuestos!$I$56,IF(I10=2,01_Supuestos!$I$65*307000*240,IF(I10=3,01_Supuestos!$I$57*01_Supuestos!$I$58+01_Supuestos!$I$59*01_Supuestos!$I$60,IF(I10=4,01_Supuestos!$I$61*01_Supuestos!$I$63,0))))/1000000000000</f>
        <v>0</v>
      </c>
      <c r="J16" s="206" t="n">
        <f aca="false">IF(J10=1,01_Supuestos!$I$55*01_Supuestos!$I$56,IF(J10=2,01_Supuestos!$I$65*307000*240,IF(J10=3,01_Supuestos!$I$57*01_Supuestos!$I$58+01_Supuestos!$I$59*01_Supuestos!$I$60,IF(J10=4,01_Supuestos!$I$61*01_Supuestos!$I$63,0))))/1000000000000</f>
        <v>0</v>
      </c>
      <c r="K16" s="206" t="n">
        <f aca="false">IF(K10=1,01_Supuestos!$I$55*01_Supuestos!$I$56,IF(K10=2,01_Supuestos!$I$65*307000*240,IF(K10=3,01_Supuestos!$I$57*01_Supuestos!$I$58+01_Supuestos!$I$59*01_Supuestos!$I$60,IF(K10=4,01_Supuestos!$I$61*01_Supuestos!$I$63,0))))/1000000000000</f>
        <v>0</v>
      </c>
      <c r="L16" s="206" t="n">
        <f aca="false">IF(L10=1,01_Supuestos!$I$55*01_Supuestos!$I$56,IF(L10=2,01_Supuestos!$I$65*307000*240,IF(L10=3,01_Supuestos!$I$57*01_Supuestos!$I$58+01_Supuestos!$I$59*01_Supuestos!$I$60,IF(L10=4,01_Supuestos!$I$61*01_Supuestos!$I$63,0))))/1000000000000</f>
        <v>0</v>
      </c>
      <c r="M16" s="206" t="n">
        <f aca="false">IF(M10=1,01_Supuestos!$I$55*01_Supuestos!$I$56,IF(M10=2,01_Supuestos!$I$65*307000*240,IF(M10=3,01_Supuestos!$I$57*01_Supuestos!$I$58+01_Supuestos!$I$59*01_Supuestos!$I$60,IF(M10=4,01_Supuestos!$I$61*01_Supuestos!$I$63,0))))/1000000000000</f>
        <v>0</v>
      </c>
      <c r="N16" s="206" t="n">
        <f aca="false">IF(N10=1,01_Supuestos!$I$55*01_Supuestos!$I$56,IF(N10=2,01_Supuestos!$I$65*307000*240,IF(N10=3,01_Supuestos!$I$57*01_Supuestos!$I$58+01_Supuestos!$I$59*01_Supuestos!$I$60,IF(N10=4,01_Supuestos!$I$61*01_Supuestos!$I$63,0))))/1000000000000</f>
        <v>0</v>
      </c>
      <c r="O16" s="206" t="n">
        <f aca="false">IF(O10=1,01_Supuestos!$I$55*01_Supuestos!$I$56,IF(O10=2,01_Supuestos!$I$65*307000*240,IF(O10=3,01_Supuestos!$I$57*01_Supuestos!$I$58+01_Supuestos!$I$59*01_Supuestos!$I$60,IF(O10=4,01_Supuestos!$I$61*01_Supuestos!$I$63,0))))/1000000000000</f>
        <v>0</v>
      </c>
      <c r="P16" s="206" t="n">
        <f aca="false">IF(P10=1,01_Supuestos!$I$55*01_Supuestos!$I$56,IF(P10=2,01_Supuestos!$I$65*307000*240,IF(P10=3,01_Supuestos!$I$57*01_Supuestos!$I$58+01_Supuestos!$I$59*01_Supuestos!$I$60,IF(P10=4,01_Supuestos!$I$61*01_Supuestos!$I$63,0))))/1000000000000</f>
        <v>0</v>
      </c>
      <c r="Q16" s="206" t="n">
        <f aca="false">IF(Q10=1,01_Supuestos!$I$55*01_Supuestos!$I$56,IF(Q10=2,01_Supuestos!$I$65*307000*240,IF(Q10=3,01_Supuestos!$I$57*01_Supuestos!$I$58+01_Supuestos!$I$59*01_Supuestos!$I$60,IF(Q10=4,01_Supuestos!$I$61*01_Supuestos!$I$63,0))))/1000000000000</f>
        <v>0</v>
      </c>
      <c r="R16" s="206" t="n">
        <f aca="false">IF(R10=1,01_Supuestos!$I$55*01_Supuestos!$I$56,IF(R10=2,01_Supuestos!$I$65*307000*240,IF(R10=3,01_Supuestos!$I$57*01_Supuestos!$I$58+01_Supuestos!$I$59*01_Supuestos!$I$60,IF(R10=4,01_Supuestos!$I$61*01_Supuestos!$I$63,0))))/1000000000000</f>
        <v>0</v>
      </c>
      <c r="S16" s="206" t="n">
        <f aca="false">IF(S10=1,01_Supuestos!$I$55*01_Supuestos!$I$56,IF(S10=2,01_Supuestos!$I$65*307000*240,IF(S10=3,01_Supuestos!$I$57*01_Supuestos!$I$58+01_Supuestos!$I$59*01_Supuestos!$I$60,IF(S10=4,01_Supuestos!$I$61*01_Supuestos!$I$63,0))))/1000000000000</f>
        <v>0</v>
      </c>
      <c r="T16" s="206" t="n">
        <f aca="false">IF(T10=1,01_Supuestos!$I$55*01_Supuestos!$I$56,IF(T10=2,01_Supuestos!$I$65*307000*240,IF(T10=3,01_Supuestos!$I$57*01_Supuestos!$I$58+01_Supuestos!$I$59*01_Supuestos!$I$60,IF(T10=4,01_Supuestos!$I$61*01_Supuestos!$I$63,0))))/1000000000000</f>
        <v>0</v>
      </c>
      <c r="U16" s="206" t="n">
        <f aca="false">IF(U10=1,01_Supuestos!$I$55*01_Supuestos!$I$56,IF(U10=2,01_Supuestos!$I$65*307000*240,IF(U10=3,01_Supuestos!$I$57*01_Supuestos!$I$58+01_Supuestos!$I$59*01_Supuestos!$I$60,IF(U10=4,01_Supuestos!$I$61*01_Supuestos!$I$63,0))))/1000000000000</f>
        <v>0</v>
      </c>
      <c r="V16" s="206" t="n">
        <f aca="false">IF(V10=1,01_Supuestos!$I$55*01_Supuestos!$I$56,IF(V10=2,01_Supuestos!$I$65*307000*240,IF(V10=3,01_Supuestos!$I$57*01_Supuestos!$I$58+01_Supuestos!$I$59*01_Supuestos!$I$60,IF(V10=4,01_Supuestos!$I$61*01_Supuestos!$I$63,0))))/1000000000000</f>
        <v>0</v>
      </c>
      <c r="W16" s="206" t="n">
        <f aca="false">IF(W10=1,01_Supuestos!$I$55*01_Supuestos!$I$56,IF(W10=2,01_Supuestos!$I$65*307000*240,IF(W10=3,01_Supuestos!$I$57*01_Supuestos!$I$58+01_Supuestos!$I$59*01_Supuestos!$I$60,IF(W10=4,01_Supuestos!$I$61*01_Supuestos!$I$63,0))))/1000000000000</f>
        <v>0</v>
      </c>
      <c r="X16" s="206" t="n">
        <f aca="false">IF(X10=1,01_Supuestos!$I$55*01_Supuestos!$I$56,IF(X10=2,01_Supuestos!$I$65*307000*240,IF(X10=3,01_Supuestos!$I$57*01_Supuestos!$I$58+01_Supuestos!$I$59*01_Supuestos!$I$60,IF(X10=4,01_Supuestos!$I$61*01_Supuestos!$I$63,0))))/1000000000000</f>
        <v>0</v>
      </c>
      <c r="Y16" s="206" t="n">
        <f aca="false">IF(Y10=1,01_Supuestos!$I$55*01_Supuestos!$I$56,IF(Y10=2,01_Supuestos!$I$65*307000*240,IF(Y10=3,01_Supuestos!$I$57*01_Supuestos!$I$58+01_Supuestos!$I$59*01_Supuestos!$I$60,IF(Y10=4,01_Supuestos!$I$61*01_Supuestos!$I$63,0))))/1000000000000</f>
        <v>0</v>
      </c>
      <c r="Z16" s="206" t="n">
        <f aca="false">IF(Z10=1,01_Supuestos!$I$55*01_Supuestos!$I$56,IF(Z10=2,01_Supuestos!$I$65*307000*240,IF(Z10=3,01_Supuestos!$I$57*01_Supuestos!$I$58+01_Supuestos!$I$59*01_Supuestos!$I$60,IF(Z10=4,01_Supuestos!$I$61*01_Supuestos!$I$63,0))))/1000000000000</f>
        <v>0</v>
      </c>
      <c r="AA16" s="206" t="n">
        <f aca="false">IF(AA10=1,01_Supuestos!$I$55*01_Supuestos!$I$56,IF(AA10=2,01_Supuestos!$I$65*307000*240,IF(AA10=3,01_Supuestos!$I$57*01_Supuestos!$I$58+01_Supuestos!$I$59*01_Supuestos!$I$60,IF(AA10=4,01_Supuestos!$I$61*01_Supuestos!$I$63,0))))/1000000000000</f>
        <v>0</v>
      </c>
      <c r="AB16" s="206" t="n">
        <f aca="false">IF(AB10=1,01_Supuestos!$I$55*01_Supuestos!$I$56,IF(AB10=2,01_Supuestos!$I$65*307000*240,IF(AB10=3,01_Supuestos!$I$57*01_Supuestos!$I$58+01_Supuestos!$I$59*01_Supuestos!$I$60,IF(AB10=4,01_Supuestos!$I$61*01_Supuestos!$I$63,0))))/1000000000000</f>
        <v>0</v>
      </c>
      <c r="AC16" s="206" t="n">
        <f aca="false">IF(AC10=1,01_Supuestos!$I$55*01_Supuestos!$I$56,IF(AC10=2,01_Supuestos!$I$65*307000*240,IF(AC10=3,01_Supuestos!$I$57*01_Supuestos!$I$58+01_Supuestos!$I$59*01_Supuestos!$I$60,IF(AC10=4,01_Supuestos!$I$61*01_Supuestos!$I$63,0))))/1000000000000</f>
        <v>0</v>
      </c>
      <c r="AD16" s="206" t="n">
        <f aca="false">IF(AD10=1,01_Supuestos!$I$55*01_Supuestos!$I$56,IF(AD10=2,01_Supuestos!$I$65*307000*240,IF(AD10=3,01_Supuestos!$I$57*01_Supuestos!$I$58+01_Supuestos!$I$59*01_Supuestos!$I$60,IF(AD10=4,01_Supuestos!$I$61*01_Supuestos!$I$63,0))))/1000000000000</f>
        <v>0</v>
      </c>
      <c r="AE16" s="206" t="n">
        <f aca="false">IF(AE10=1,01_Supuestos!$I$55*01_Supuestos!$I$56,IF(AE10=2,01_Supuestos!$I$65*307000*240,IF(AE10=3,01_Supuestos!$I$57*01_Supuestos!$I$58+01_Supuestos!$I$59*01_Supuestos!$I$60,IF(AE10=4,01_Supuestos!$I$61*01_Supuestos!$I$63,0))))/1000000000000</f>
        <v>0</v>
      </c>
      <c r="AF16" s="206" t="n">
        <f aca="false">IF(AF10=1,01_Supuestos!$I$55*01_Supuestos!$I$56,IF(AF10=2,01_Supuestos!$I$65*307000*240,IF(AF10=3,01_Supuestos!$I$57*01_Supuestos!$I$58+01_Supuestos!$I$59*01_Supuestos!$I$60,IF(AF10=4,01_Supuestos!$I$61*01_Supuestos!$I$63,0))))/1000000000000</f>
        <v>0</v>
      </c>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c r="BP16" s="206"/>
      <c r="BQ16" s="206"/>
      <c r="BR16" s="206"/>
      <c r="BS16" s="206"/>
      <c r="BT16" s="206"/>
    </row>
    <row r="17" customFormat="false" ht="14.25" hidden="false" customHeight="true" outlineLevel="0" collapsed="false">
      <c r="B17" s="204" t="s">
        <v>1612</v>
      </c>
      <c r="C17" s="206" t="n">
        <f aca="false">IF(C10=4,01_Supuestos!$I$67,0)</f>
        <v>0</v>
      </c>
      <c r="D17" s="206" t="n">
        <f aca="false">IF(D10=4,01_Supuestos!$I$67,0)</f>
        <v>0</v>
      </c>
      <c r="E17" s="206" t="n">
        <f aca="false">IF(E10=4,01_Supuestos!$I$67,0)</f>
        <v>0</v>
      </c>
      <c r="F17" s="206" t="n">
        <f aca="false">IF(F10=4,01_Supuestos!$I$67,0)</f>
        <v>26.4</v>
      </c>
      <c r="G17" s="206" t="n">
        <f aca="false">IF(G10=4,01_Supuestos!$I$67,0)</f>
        <v>0</v>
      </c>
      <c r="H17" s="206" t="n">
        <f aca="false">IF(H10=4,01_Supuestos!$I$67,0)</f>
        <v>0</v>
      </c>
      <c r="I17" s="206" t="n">
        <f aca="false">IF(I10=4,01_Supuestos!$I$67,0)</f>
        <v>0</v>
      </c>
      <c r="J17" s="206" t="n">
        <f aca="false">IF(J10=4,01_Supuestos!$I$67,0)</f>
        <v>0</v>
      </c>
      <c r="K17" s="206" t="n">
        <f aca="false">IF(K10=4,01_Supuestos!$I$67,0)</f>
        <v>0</v>
      </c>
      <c r="L17" s="206" t="n">
        <f aca="false">IF(L10=4,01_Supuestos!$I$67,0)</f>
        <v>0</v>
      </c>
      <c r="M17" s="206" t="n">
        <f aca="false">IF(M10=4,01_Supuestos!$I$67,0)</f>
        <v>0</v>
      </c>
      <c r="N17" s="206" t="n">
        <f aca="false">IF(N10=4,01_Supuestos!$I$67,0)</f>
        <v>0</v>
      </c>
      <c r="O17" s="206" t="n">
        <f aca="false">IF(O10=4,01_Supuestos!$I$67,0)</f>
        <v>0</v>
      </c>
      <c r="P17" s="206" t="n">
        <f aca="false">IF(P10=4,01_Supuestos!$I$67,0)</f>
        <v>0</v>
      </c>
      <c r="Q17" s="206" t="n">
        <f aca="false">IF(Q10=4,01_Supuestos!$I$67,0)</f>
        <v>0</v>
      </c>
      <c r="R17" s="206" t="n">
        <f aca="false">IF(R10=4,01_Supuestos!$I$67,0)</f>
        <v>0</v>
      </c>
      <c r="S17" s="206" t="n">
        <f aca="false">IF(S10=4,01_Supuestos!$I$67,0)</f>
        <v>0</v>
      </c>
      <c r="T17" s="206" t="n">
        <f aca="false">IF(T10=4,01_Supuestos!$I$67,0)</f>
        <v>0</v>
      </c>
      <c r="U17" s="206" t="n">
        <f aca="false">IF(U10=4,01_Supuestos!$I$67,0)</f>
        <v>0</v>
      </c>
      <c r="V17" s="206" t="n">
        <f aca="false">IF(V10=4,01_Supuestos!$I$67,0)</f>
        <v>0</v>
      </c>
      <c r="W17" s="206" t="n">
        <f aca="false">IF(W10=4,01_Supuestos!$I$67,0)</f>
        <v>0</v>
      </c>
      <c r="X17" s="206" t="n">
        <f aca="false">IF(X10=4,01_Supuestos!$I$67,0)</f>
        <v>0</v>
      </c>
      <c r="Y17" s="206" t="n">
        <f aca="false">IF(Y10=4,01_Supuestos!$I$67,0)</f>
        <v>0</v>
      </c>
      <c r="Z17" s="206" t="n">
        <f aca="false">IF(Z10=4,01_Supuestos!$I$67,0)</f>
        <v>0</v>
      </c>
      <c r="AA17" s="206" t="n">
        <f aca="false">IF(AA10=4,01_Supuestos!$I$67,0)</f>
        <v>0</v>
      </c>
      <c r="AB17" s="206" t="n">
        <f aca="false">IF(AB10=4,01_Supuestos!$I$67,0)</f>
        <v>0</v>
      </c>
      <c r="AC17" s="206" t="n">
        <f aca="false">IF(AC10=4,01_Supuestos!$I$67,0)</f>
        <v>0</v>
      </c>
      <c r="AD17" s="206" t="n">
        <f aca="false">IF(AD10=4,01_Supuestos!$I$67,0)</f>
        <v>0</v>
      </c>
      <c r="AE17" s="206" t="n">
        <f aca="false">IF(AE10=4,01_Supuestos!$I$67,0)</f>
        <v>0</v>
      </c>
      <c r="AF17" s="206" t="n">
        <f aca="false">IF(AF10=4,01_Supuestos!$I$67,0)</f>
        <v>0</v>
      </c>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206"/>
      <c r="BQ17" s="206"/>
      <c r="BR17" s="206"/>
      <c r="BS17" s="206"/>
      <c r="BT17" s="206"/>
    </row>
    <row r="18" customFormat="false" ht="26.25" hidden="false" customHeight="true" outlineLevel="0" collapsed="false">
      <c r="B18" s="204" t="s">
        <v>1613</v>
      </c>
      <c r="C18" s="206" t="n">
        <f aca="false">IF(OR(C10&lt;4,C10&gt;01_Supuestos!$I$122),0,(10_Motor!C35-10_Motor!C62)/(1+10_Motor!C8)^(C10-4)*IF(01_Supuestos!$I$97="Sí",MAX(0,01_Supuestos!$I$63-01_Supuestos!$I$64*(C13-1))/01_Supuestos!$I$63,1)+10_Motor!C62/(1+10_Motor!C8)^(C10-4))</f>
        <v>0</v>
      </c>
      <c r="D18" s="206" t="n">
        <f aca="false">IF(OR(D10&lt;4,D10&gt;01_Supuestos!$I$122),0,(10_Motor!D35-10_Motor!D62)/(1+10_Motor!D8)^(D10-4)*IF(01_Supuestos!$I$97="Sí",MAX(0,01_Supuestos!$I$63-01_Supuestos!$I$64*(D13-1))/01_Supuestos!$I$63,1)+10_Motor!D62/(1+10_Motor!D8)^(D10-4))</f>
        <v>0</v>
      </c>
      <c r="E18" s="206" t="n">
        <f aca="false">IF(OR(E10&lt;4,E10&gt;01_Supuestos!$I$122),0,(10_Motor!E35-10_Motor!E62)/(1+10_Motor!E8)^(E10-4)*IF(01_Supuestos!$I$97="Sí",MAX(0,01_Supuestos!$I$63-01_Supuestos!$I$64*(E13-1))/01_Supuestos!$I$63,1)+10_Motor!E62/(1+10_Motor!E8)^(E10-4))</f>
        <v>0</v>
      </c>
      <c r="F18" s="206" t="n">
        <f aca="false">IF(OR(F10&lt;4,F10&gt;01_Supuestos!$I$122),0,(10_Motor!F35-10_Motor!F62)/(1+10_Motor!F8)^(F10-4)*IF(01_Supuestos!$I$97="Sí",MAX(0,01_Supuestos!$I$63-01_Supuestos!$I$64*(F13-1))/01_Supuestos!$I$63,1)+10_Motor!F62/(1+10_Motor!F8)^(F10-4))</f>
        <v>3.19703714191</v>
      </c>
      <c r="G18" s="206" t="n">
        <f aca="false">IF(OR(G10&lt;4,G10&gt;01_Supuestos!$I$122),0,(10_Motor!G35-10_Motor!G62)/(1+10_Motor!G8)^(G10-4)*IF(01_Supuestos!$I$97="Sí",MAX(0,01_Supuestos!$I$63-01_Supuestos!$I$64*(G13-1))/01_Supuestos!$I$63,1)+10_Motor!G62/(1+10_Motor!G8)^(G10-4))</f>
        <v>3.19703714191</v>
      </c>
      <c r="H18" s="206" t="n">
        <f aca="false">IF(OR(H10&lt;4,H10&gt;01_Supuestos!$I$122),0,(10_Motor!H35-10_Motor!H62)/(1+10_Motor!H8)^(H10-4)*IF(01_Supuestos!$I$97="Sí",MAX(0,01_Supuestos!$I$63-01_Supuestos!$I$64*(H13-1))/01_Supuestos!$I$63,1)+10_Motor!H62/(1+10_Motor!H8)^(H10-4))</f>
        <v>3.19703714191</v>
      </c>
      <c r="I18" s="206" t="n">
        <f aca="false">IF(OR(I10&lt;4,I10&gt;01_Supuestos!$I$122),0,(10_Motor!I35-10_Motor!I62)/(1+10_Motor!I8)^(I10-4)*IF(01_Supuestos!$I$97="Sí",MAX(0,01_Supuestos!$I$63-01_Supuestos!$I$64*(I13-1))/01_Supuestos!$I$63,1)+10_Motor!I62/(1+10_Motor!I8)^(I10-4))</f>
        <v>3.19703714191</v>
      </c>
      <c r="J18" s="206" t="n">
        <f aca="false">IF(OR(J10&lt;4,J10&gt;01_Supuestos!$I$122),0,(10_Motor!J35-10_Motor!J62)/(1+10_Motor!J8)^(J10-4)*IF(01_Supuestos!$I$97="Sí",MAX(0,01_Supuestos!$I$63-01_Supuestos!$I$64*(J13-1))/01_Supuestos!$I$63,1)+10_Motor!J62/(1+10_Motor!J8)^(J10-4))</f>
        <v>3.19703714191</v>
      </c>
      <c r="K18" s="206" t="n">
        <f aca="false">IF(OR(K10&lt;4,K10&gt;01_Supuestos!$I$122),0,(10_Motor!K35-10_Motor!K62)/(1+10_Motor!K8)^(K10-4)*IF(01_Supuestos!$I$97="Sí",MAX(0,01_Supuestos!$I$63-01_Supuestos!$I$64*(K13-1))/01_Supuestos!$I$63,1)+10_Motor!K62/(1+10_Motor!K8)^(K10-4))</f>
        <v>3.19703714191</v>
      </c>
      <c r="L18" s="206" t="n">
        <f aca="false">IF(OR(L10&lt;4,L10&gt;01_Supuestos!$I$122),0,(10_Motor!L35-10_Motor!L62)/(1+10_Motor!L8)^(L10-4)*IF(01_Supuestos!$I$97="Sí",MAX(0,01_Supuestos!$I$63-01_Supuestos!$I$64*(L13-1))/01_Supuestos!$I$63,1)+10_Motor!L62/(1+10_Motor!L8)^(L10-4))</f>
        <v>3.19703714191</v>
      </c>
      <c r="M18" s="206" t="n">
        <f aca="false">IF(OR(M10&lt;4,M10&gt;01_Supuestos!$I$122),0,(10_Motor!M35-10_Motor!M62)/(1+10_Motor!M8)^(M10-4)*IF(01_Supuestos!$I$97="Sí",MAX(0,01_Supuestos!$I$63-01_Supuestos!$I$64*(M13-1))/01_Supuestos!$I$63,1)+10_Motor!M62/(1+10_Motor!M8)^(M10-4))</f>
        <v>3.19703714191</v>
      </c>
      <c r="N18" s="206" t="n">
        <f aca="false">IF(OR(N10&lt;4,N10&gt;01_Supuestos!$I$122),0,(10_Motor!N35-10_Motor!N62)/(1+10_Motor!N8)^(N10-4)*IF(01_Supuestos!$I$97="Sí",MAX(0,01_Supuestos!$I$63-01_Supuestos!$I$64*(N13-1))/01_Supuestos!$I$63,1)+10_Motor!N62/(1+10_Motor!N8)^(N10-4))</f>
        <v>3.19703714191</v>
      </c>
      <c r="O18" s="206" t="n">
        <f aca="false">IF(OR(O10&lt;4,O10&gt;01_Supuestos!$I$122),0,(10_Motor!O35-10_Motor!O62)/(1+10_Motor!O8)^(O10-4)*IF(01_Supuestos!$I$97="Sí",MAX(0,01_Supuestos!$I$63-01_Supuestos!$I$64*(O13-1))/01_Supuestos!$I$63,1)+10_Motor!O62/(1+10_Motor!O8)^(O10-4))</f>
        <v>3.19703714191</v>
      </c>
      <c r="P18" s="206" t="n">
        <f aca="false">IF(OR(P10&lt;4,P10&gt;01_Supuestos!$I$122),0,(10_Motor!P35-10_Motor!P62)/(1+10_Motor!P8)^(P10-4)*IF(01_Supuestos!$I$97="Sí",MAX(0,01_Supuestos!$I$63-01_Supuestos!$I$64*(P13-1))/01_Supuestos!$I$63,1)+10_Motor!P62/(1+10_Motor!P8)^(P10-4))</f>
        <v>3.19703714191</v>
      </c>
      <c r="Q18" s="206" t="n">
        <f aca="false">IF(OR(Q10&lt;4,Q10&gt;01_Supuestos!$I$122),0,(10_Motor!Q35-10_Motor!Q62)/(1+10_Motor!Q8)^(Q10-4)*IF(01_Supuestos!$I$97="Sí",MAX(0,01_Supuestos!$I$63-01_Supuestos!$I$64*(Q13-1))/01_Supuestos!$I$63,1)+10_Motor!Q62/(1+10_Motor!Q8)^(Q10-4))</f>
        <v>3.19703714191</v>
      </c>
      <c r="R18" s="206" t="n">
        <f aca="false">IF(OR(R10&lt;4,R10&gt;01_Supuestos!$I$122),0,(10_Motor!R35-10_Motor!R62)/(1+10_Motor!R8)^(R10-4)*IF(01_Supuestos!$I$97="Sí",MAX(0,01_Supuestos!$I$63-01_Supuestos!$I$64*(R13-1))/01_Supuestos!$I$63,1)+10_Motor!R62/(1+10_Motor!R8)^(R10-4))</f>
        <v>3.096937058158</v>
      </c>
      <c r="S18" s="206" t="n">
        <f aca="false">IF(OR(S10&lt;4,S10&gt;01_Supuestos!$I$122),0,(10_Motor!S35-10_Motor!S62)/(1+10_Motor!S8)^(S10-4)*IF(01_Supuestos!$I$97="Sí",MAX(0,01_Supuestos!$I$63-01_Supuestos!$I$64*(S13-1))/01_Supuestos!$I$63,1)+10_Motor!S62/(1+10_Motor!S8)^(S10-4))</f>
        <v>2.996836974406</v>
      </c>
      <c r="T18" s="206" t="n">
        <f aca="false">IF(OR(T10&lt;4,T10&gt;01_Supuestos!$I$122),0,(10_Motor!T35-10_Motor!T62)/(1+10_Motor!T8)^(T10-4)*IF(01_Supuestos!$I$97="Sí",MAX(0,01_Supuestos!$I$63-01_Supuestos!$I$64*(T13-1))/01_Supuestos!$I$63,1)+10_Motor!T62/(1+10_Motor!T8)^(T10-4))</f>
        <v>2.896736890654</v>
      </c>
      <c r="U18" s="206" t="n">
        <f aca="false">IF(OR(U10&lt;4,U10&gt;01_Supuestos!$I$122),0,(10_Motor!U35-10_Motor!U62)/(1+10_Motor!U8)^(U10-4)*IF(01_Supuestos!$I$97="Sí",MAX(0,01_Supuestos!$I$63-01_Supuestos!$I$64*(U13-1))/01_Supuestos!$I$63,1)+10_Motor!U62/(1+10_Motor!U8)^(U10-4))</f>
        <v>2.796636806902</v>
      </c>
      <c r="V18" s="206" t="n">
        <f aca="false">IF(OR(V10&lt;4,V10&gt;01_Supuestos!$I$122),0,(10_Motor!V35-10_Motor!V62)/(1+10_Motor!V8)^(V10-4)*IF(01_Supuestos!$I$97="Sí",MAX(0,01_Supuestos!$I$63-01_Supuestos!$I$64*(V13-1))/01_Supuestos!$I$63,1)+10_Motor!V62/(1+10_Motor!V8)^(V10-4))</f>
        <v>2.69653672315</v>
      </c>
      <c r="W18" s="206" t="n">
        <f aca="false">IF(OR(W10&lt;4,W10&gt;01_Supuestos!$I$122),0,(10_Motor!W35-10_Motor!W62)/(1+10_Motor!W8)^(W10-4)*IF(01_Supuestos!$I$97="Sí",MAX(0,01_Supuestos!$I$63-01_Supuestos!$I$64*(W13-1))/01_Supuestos!$I$63,1)+10_Motor!W62/(1+10_Motor!W8)^(W10-4))</f>
        <v>2.596436639398</v>
      </c>
      <c r="X18" s="206" t="n">
        <f aca="false">IF(OR(X10&lt;4,X10&gt;01_Supuestos!$I$122),0,(10_Motor!X35-10_Motor!X62)/(1+10_Motor!X8)^(X10-4)*IF(01_Supuestos!$I$97="Sí",MAX(0,01_Supuestos!$I$63-01_Supuestos!$I$64*(X13-1))/01_Supuestos!$I$63,1)+10_Motor!X62/(1+10_Motor!X8)^(X10-4))</f>
        <v>2.496336555646</v>
      </c>
      <c r="Y18" s="206" t="n">
        <f aca="false">IF(OR(Y10&lt;4,Y10&gt;01_Supuestos!$I$122),0,(10_Motor!Y35-10_Motor!Y62)/(1+10_Motor!Y8)^(Y10-4)*IF(01_Supuestos!$I$97="Sí",MAX(0,01_Supuestos!$I$63-01_Supuestos!$I$64*(Y13-1))/01_Supuestos!$I$63,1)+10_Motor!Y62/(1+10_Motor!Y8)^(Y10-4))</f>
        <v>2.396236471894</v>
      </c>
      <c r="Z18" s="206" t="n">
        <f aca="false">IF(OR(Z10&lt;4,Z10&gt;01_Supuestos!$I$122),0,(10_Motor!Z35-10_Motor!Z62)/(1+10_Motor!Z8)^(Z10-4)*IF(01_Supuestos!$I$97="Sí",MAX(0,01_Supuestos!$I$63-01_Supuestos!$I$64*(Z13-1))/01_Supuestos!$I$63,1)+10_Motor!Z62/(1+10_Motor!Z8)^(Z10-4))</f>
        <v>2.296136388142</v>
      </c>
      <c r="AA18" s="206" t="n">
        <f aca="false">IF(OR(AA10&lt;4,AA10&gt;01_Supuestos!$I$122),0,(10_Motor!AA35-10_Motor!AA62)/(1+10_Motor!AA8)^(AA10-4)*IF(01_Supuestos!$I$97="Sí",MAX(0,01_Supuestos!$I$63-01_Supuestos!$I$64*(AA13-1))/01_Supuestos!$I$63,1)+10_Motor!AA62/(1+10_Motor!AA8)^(AA10-4))</f>
        <v>2.19603630439</v>
      </c>
      <c r="AB18" s="206" t="n">
        <f aca="false">IF(OR(AB10&lt;4,AB10&gt;01_Supuestos!$I$122),0,(10_Motor!AB35-10_Motor!AB62)/(1+10_Motor!AB8)^(AB10-4)*IF(01_Supuestos!$I$97="Sí",MAX(0,01_Supuestos!$I$63-01_Supuestos!$I$64*(AB13-1))/01_Supuestos!$I$63,1)+10_Motor!AB62/(1+10_Motor!AB8)^(AB10-4))</f>
        <v>2.095936220638</v>
      </c>
      <c r="AC18" s="206" t="n">
        <f aca="false">IF(OR(AC10&lt;4,AC10&gt;01_Supuestos!$I$122),0,(10_Motor!AC35-10_Motor!AC62)/(1+10_Motor!AC8)^(AC10-4)*IF(01_Supuestos!$I$97="Sí",MAX(0,01_Supuestos!$I$63-01_Supuestos!$I$64*(AC13-1))/01_Supuestos!$I$63,1)+10_Motor!AC62/(1+10_Motor!AC8)^(AC10-4))</f>
        <v>1.995836136886</v>
      </c>
      <c r="AD18" s="206" t="n">
        <f aca="false">IF(OR(AD10&lt;4,AD10&gt;01_Supuestos!$I$122),0,(10_Motor!AD35-10_Motor!AD62)/(1+10_Motor!AD8)^(AD10-4)*IF(01_Supuestos!$I$97="Sí",MAX(0,01_Supuestos!$I$63-01_Supuestos!$I$64*(AD13-1))/01_Supuestos!$I$63,1)+10_Motor!AD62/(1+10_Motor!AD8)^(AD10-4))</f>
        <v>1.895736053134</v>
      </c>
      <c r="AE18" s="206" t="n">
        <f aca="false">IF(OR(AE10&lt;4,AE10&gt;01_Supuestos!$I$122),0,(10_Motor!AE35-10_Motor!AE62)/(1+10_Motor!AE8)^(AE10-4)*IF(01_Supuestos!$I$97="Sí",MAX(0,01_Supuestos!$I$63-01_Supuestos!$I$64*(AE13-1))/01_Supuestos!$I$63,1)+10_Motor!AE62/(1+10_Motor!AE8)^(AE10-4))</f>
        <v>1.795635969382</v>
      </c>
      <c r="AF18" s="206" t="n">
        <f aca="false">IF(OR(AF10&lt;4,AF10&gt;01_Supuestos!$I$122),0,(10_Motor!AF35-10_Motor!AF62)/(1+10_Motor!AF8)^(AF10-4)*IF(01_Supuestos!$I$97="Sí",MAX(0,01_Supuestos!$I$63-01_Supuestos!$I$64*(AF13-1))/01_Supuestos!$I$63,1)+10_Motor!AF62/(1+10_Motor!AF8)^(AF10-4))</f>
        <v>1.69553588563</v>
      </c>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row>
    <row r="19" customFormat="false" ht="14.25" hidden="false" customHeight="true" outlineLevel="0" collapsed="false">
      <c r="B19" s="204" t="s">
        <v>1614</v>
      </c>
      <c r="C19" s="206" t="n">
        <f aca="false">IF(C10&lt;4,0,01_Supuestos!$I$21*01_Supuestos!$I$64/1000000000000*C13)</f>
        <v>0</v>
      </c>
      <c r="D19" s="206" t="n">
        <f aca="false">IF(D10&lt;4,0,01_Supuestos!$I$21*01_Supuestos!$I$64/1000000000000*D13)</f>
        <v>0</v>
      </c>
      <c r="E19" s="206" t="n">
        <f aca="false">IF(E10&lt;4,0,01_Supuestos!$I$21*01_Supuestos!$I$64/1000000000000*E13)</f>
        <v>0</v>
      </c>
      <c r="F19" s="206" t="n">
        <f aca="false">IF(F10&lt;4,0,01_Supuestos!$I$21*01_Supuestos!$I$64/1000000000000*F13)</f>
        <v>1.32</v>
      </c>
      <c r="G19" s="206" t="n">
        <f aca="false">IF(G10&lt;4,0,01_Supuestos!$I$21*01_Supuestos!$I$64/1000000000000*G13)</f>
        <v>1.32</v>
      </c>
      <c r="H19" s="206" t="n">
        <f aca="false">IF(H10&lt;4,0,01_Supuestos!$I$21*01_Supuestos!$I$64/1000000000000*H13)</f>
        <v>1.32</v>
      </c>
      <c r="I19" s="206" t="n">
        <f aca="false">IF(I10&lt;4,0,01_Supuestos!$I$21*01_Supuestos!$I$64/1000000000000*I13)</f>
        <v>1.32</v>
      </c>
      <c r="J19" s="206" t="n">
        <f aca="false">IF(J10&lt;4,0,01_Supuestos!$I$21*01_Supuestos!$I$64/1000000000000*J13)</f>
        <v>1.32</v>
      </c>
      <c r="K19" s="206" t="n">
        <f aca="false">IF(K10&lt;4,0,01_Supuestos!$I$21*01_Supuestos!$I$64/1000000000000*K13)</f>
        <v>1.32</v>
      </c>
      <c r="L19" s="206" t="n">
        <f aca="false">IF(L10&lt;4,0,01_Supuestos!$I$21*01_Supuestos!$I$64/1000000000000*L13)</f>
        <v>1.32</v>
      </c>
      <c r="M19" s="206" t="n">
        <f aca="false">IF(M10&lt;4,0,01_Supuestos!$I$21*01_Supuestos!$I$64/1000000000000*M13)</f>
        <v>1.32</v>
      </c>
      <c r="N19" s="206" t="n">
        <f aca="false">IF(N10&lt;4,0,01_Supuestos!$I$21*01_Supuestos!$I$64/1000000000000*N13)</f>
        <v>1.32</v>
      </c>
      <c r="O19" s="206" t="n">
        <f aca="false">IF(O10&lt;4,0,01_Supuestos!$I$21*01_Supuestos!$I$64/1000000000000*O13)</f>
        <v>1.32</v>
      </c>
      <c r="P19" s="206" t="n">
        <f aca="false">IF(P10&lt;4,0,01_Supuestos!$I$21*01_Supuestos!$I$64/1000000000000*P13)</f>
        <v>1.32</v>
      </c>
      <c r="Q19" s="206" t="n">
        <f aca="false">IF(Q10&lt;4,0,01_Supuestos!$I$21*01_Supuestos!$I$64/1000000000000*Q13)</f>
        <v>1.32</v>
      </c>
      <c r="R19" s="206" t="n">
        <f aca="false">IF(R10&lt;4,0,01_Supuestos!$I$21*01_Supuestos!$I$64/1000000000000*R13)</f>
        <v>1.32</v>
      </c>
      <c r="S19" s="206" t="n">
        <f aca="false">IF(S10&lt;4,0,01_Supuestos!$I$21*01_Supuestos!$I$64/1000000000000*S13)</f>
        <v>1.32</v>
      </c>
      <c r="T19" s="206" t="n">
        <f aca="false">IF(T10&lt;4,0,01_Supuestos!$I$21*01_Supuestos!$I$64/1000000000000*T13)</f>
        <v>1.32</v>
      </c>
      <c r="U19" s="206" t="n">
        <f aca="false">IF(U10&lt;4,0,01_Supuestos!$I$21*01_Supuestos!$I$64/1000000000000*U13)</f>
        <v>1.32</v>
      </c>
      <c r="V19" s="206" t="n">
        <f aca="false">IF(V10&lt;4,0,01_Supuestos!$I$21*01_Supuestos!$I$64/1000000000000*V13)</f>
        <v>1.32</v>
      </c>
      <c r="W19" s="206" t="n">
        <f aca="false">IF(W10&lt;4,0,01_Supuestos!$I$21*01_Supuestos!$I$64/1000000000000*W13)</f>
        <v>1.32</v>
      </c>
      <c r="X19" s="206" t="n">
        <f aca="false">IF(X10&lt;4,0,01_Supuestos!$I$21*01_Supuestos!$I$64/1000000000000*X13)</f>
        <v>1.32</v>
      </c>
      <c r="Y19" s="206" t="n">
        <f aca="false">IF(Y10&lt;4,0,01_Supuestos!$I$21*01_Supuestos!$I$64/1000000000000*Y13)</f>
        <v>1.32</v>
      </c>
      <c r="Z19" s="206" t="n">
        <f aca="false">IF(Z10&lt;4,0,01_Supuestos!$I$21*01_Supuestos!$I$64/1000000000000*Z13)</f>
        <v>1.32</v>
      </c>
      <c r="AA19" s="206" t="n">
        <f aca="false">IF(AA10&lt;4,0,01_Supuestos!$I$21*01_Supuestos!$I$64/1000000000000*AA13)</f>
        <v>1.32</v>
      </c>
      <c r="AB19" s="206" t="n">
        <f aca="false">IF(AB10&lt;4,0,01_Supuestos!$I$21*01_Supuestos!$I$64/1000000000000*AB13)</f>
        <v>1.32</v>
      </c>
      <c r="AC19" s="206" t="n">
        <f aca="false">IF(AC10&lt;4,0,01_Supuestos!$I$21*01_Supuestos!$I$64/1000000000000*AC13)</f>
        <v>1.32</v>
      </c>
      <c r="AD19" s="206" t="n">
        <f aca="false">IF(AD10&lt;4,0,01_Supuestos!$I$21*01_Supuestos!$I$64/1000000000000*AD13)</f>
        <v>1.32</v>
      </c>
      <c r="AE19" s="206" t="n">
        <f aca="false">IF(AE10&lt;4,0,01_Supuestos!$I$21*01_Supuestos!$I$64/1000000000000*AE13)</f>
        <v>1.32</v>
      </c>
      <c r="AF19" s="206" t="n">
        <f aca="false">IF(AF10&lt;4,0,01_Supuestos!$I$21*01_Supuestos!$I$64/1000000000000*AF13)</f>
        <v>1.32</v>
      </c>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row>
    <row r="20" customFormat="false" ht="26.25" hidden="false" customHeight="true" outlineLevel="0" collapsed="false">
      <c r="B20" s="204" t="s">
        <v>1615</v>
      </c>
      <c r="C20" s="206" t="n">
        <f aca="false">IF(C10&lt;=01_Supuestos!$I$29,MIN(C18,C24+C25),0)</f>
        <v>0</v>
      </c>
      <c r="D20" s="206" t="n">
        <f aca="false">IF(D10&lt;=01_Supuestos!$I$29,MIN(D18,D24+D25),0)</f>
        <v>0</v>
      </c>
      <c r="E20" s="206" t="n">
        <f aca="false">IF(E10&lt;=01_Supuestos!$I$29,MIN(E18,E24+E25),0)</f>
        <v>0</v>
      </c>
      <c r="F20" s="206" t="n">
        <f aca="false">IF(F10&lt;=01_Supuestos!$I$29,MIN(F18,F24+F25),0)</f>
        <v>3.19703714191</v>
      </c>
      <c r="G20" s="206" t="n">
        <f aca="false">IF(G10&lt;=01_Supuestos!$I$29,MIN(G18,G24+G25),0)</f>
        <v>3.19703714191</v>
      </c>
      <c r="H20" s="206" t="n">
        <f aca="false">IF(H10&lt;=01_Supuestos!$I$29,MIN(H18,H24+H25),0)</f>
        <v>3.19703714191</v>
      </c>
      <c r="I20" s="206" t="n">
        <f aca="false">IF(I10&lt;=01_Supuestos!$I$29,MIN(I18,I24+I25),0)</f>
        <v>3.19703714191</v>
      </c>
      <c r="J20" s="206" t="n">
        <f aca="false">IF(J10&lt;=01_Supuestos!$I$29,MIN(J18,J24+J25),0)</f>
        <v>3.19703714191</v>
      </c>
      <c r="K20" s="206" t="n">
        <f aca="false">IF(K10&lt;=01_Supuestos!$I$29,MIN(K18,K24+K25),0)</f>
        <v>3.19703714191</v>
      </c>
      <c r="L20" s="206" t="n">
        <f aca="false">IF(L10&lt;=01_Supuestos!$I$29,MIN(L18,L24+L25),0)</f>
        <v>3.19703714191</v>
      </c>
      <c r="M20" s="206" t="n">
        <f aca="false">IF(M10&lt;=01_Supuestos!$I$29,MIN(M18,M24+M25),0)</f>
        <v>0</v>
      </c>
      <c r="N20" s="206" t="n">
        <f aca="false">IF(N10&lt;=01_Supuestos!$I$29,MIN(N18,N24+N25),0)</f>
        <v>0</v>
      </c>
      <c r="O20" s="206" t="n">
        <f aca="false">IF(O10&lt;=01_Supuestos!$I$29,MIN(O18,O24+O25),0)</f>
        <v>0</v>
      </c>
      <c r="P20" s="206" t="n">
        <f aca="false">IF(P10&lt;=01_Supuestos!$I$29,MIN(P18,P24+P25),0)</f>
        <v>0</v>
      </c>
      <c r="Q20" s="206" t="n">
        <f aca="false">IF(Q10&lt;=01_Supuestos!$I$29,MIN(Q18,Q24+Q25),0)</f>
        <v>0</v>
      </c>
      <c r="R20" s="206" t="n">
        <f aca="false">IF(R10&lt;=01_Supuestos!$I$29,MIN(R18,R24+R25),0)</f>
        <v>0</v>
      </c>
      <c r="S20" s="206" t="n">
        <f aca="false">IF(S10&lt;=01_Supuestos!$I$29,MIN(S18,S24+S25),0)</f>
        <v>0</v>
      </c>
      <c r="T20" s="206" t="n">
        <f aca="false">IF(T10&lt;=01_Supuestos!$I$29,MIN(T18,T24+T25),0)</f>
        <v>0</v>
      </c>
      <c r="U20" s="206" t="n">
        <f aca="false">IF(U10&lt;=01_Supuestos!$I$29,MIN(U18,U24+U25),0)</f>
        <v>0</v>
      </c>
      <c r="V20" s="206" t="n">
        <f aca="false">IF(V10&lt;=01_Supuestos!$I$29,MIN(V18,V24+V25),0)</f>
        <v>0</v>
      </c>
      <c r="W20" s="206" t="n">
        <f aca="false">IF(W10&lt;=01_Supuestos!$I$29,MIN(W18,W24+W25),0)</f>
        <v>0</v>
      </c>
      <c r="X20" s="206" t="n">
        <f aca="false">IF(X10&lt;=01_Supuestos!$I$29,MIN(X18,X24+X25),0)</f>
        <v>0</v>
      </c>
      <c r="Y20" s="206" t="n">
        <f aca="false">IF(Y10&lt;=01_Supuestos!$I$29,MIN(Y18,Y24+Y25),0)</f>
        <v>0</v>
      </c>
      <c r="Z20" s="206" t="n">
        <f aca="false">IF(Z10&lt;=01_Supuestos!$I$29,MIN(Z18,Z24+Z25),0)</f>
        <v>0</v>
      </c>
      <c r="AA20" s="206" t="n">
        <f aca="false">IF(AA10&lt;=01_Supuestos!$I$29,MIN(AA18,AA24+AA25),0)</f>
        <v>0</v>
      </c>
      <c r="AB20" s="206" t="n">
        <f aca="false">IF(AB10&lt;=01_Supuestos!$I$29,MIN(AB18,AB24+AB25),0)</f>
        <v>0</v>
      </c>
      <c r="AC20" s="206" t="n">
        <f aca="false">IF(AC10&lt;=01_Supuestos!$I$29,MIN(AC18,AC24+AC25),0)</f>
        <v>0</v>
      </c>
      <c r="AD20" s="206" t="n">
        <f aca="false">IF(AD10&lt;=01_Supuestos!$I$29,MIN(AD18,AD24+AD25),0)</f>
        <v>0</v>
      </c>
      <c r="AE20" s="206" t="n">
        <f aca="false">IF(AE10&lt;=01_Supuestos!$I$29,MIN(AE18,AE24+AE25),0)</f>
        <v>0</v>
      </c>
      <c r="AF20" s="206" t="n">
        <f aca="false">IF(AF10&lt;=01_Supuestos!$I$29,MIN(AF18,AF24+AF25),0)</f>
        <v>0</v>
      </c>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row>
    <row r="21" customFormat="false" ht="26.25" hidden="false" customHeight="true" outlineLevel="0" collapsed="false">
      <c r="B21" s="204" t="s">
        <v>1616</v>
      </c>
      <c r="C21" s="206" t="n">
        <f aca="false">C18-C20</f>
        <v>0</v>
      </c>
      <c r="D21" s="206" t="n">
        <f aca="false">D18-D20</f>
        <v>0</v>
      </c>
      <c r="E21" s="206" t="n">
        <f aca="false">E18-E20</f>
        <v>0</v>
      </c>
      <c r="F21" s="206" t="n">
        <f aca="false">F18-F20</f>
        <v>0</v>
      </c>
      <c r="G21" s="206" t="n">
        <f aca="false">G18-G20</f>
        <v>0</v>
      </c>
      <c r="H21" s="206" t="n">
        <f aca="false">H18-H20</f>
        <v>0</v>
      </c>
      <c r="I21" s="206" t="n">
        <f aca="false">I18-I20</f>
        <v>0</v>
      </c>
      <c r="J21" s="206" t="n">
        <f aca="false">J18-J20</f>
        <v>0</v>
      </c>
      <c r="K21" s="206" t="n">
        <f aca="false">K18-K20</f>
        <v>0</v>
      </c>
      <c r="L21" s="206" t="n">
        <f aca="false">L18-L20</f>
        <v>0</v>
      </c>
      <c r="M21" s="206" t="n">
        <f aca="false">M18-M20</f>
        <v>3.19703714191</v>
      </c>
      <c r="N21" s="206" t="n">
        <f aca="false">N18-N20</f>
        <v>3.19703714191</v>
      </c>
      <c r="O21" s="206" t="n">
        <f aca="false">O18-O20</f>
        <v>3.19703714191</v>
      </c>
      <c r="P21" s="206" t="n">
        <f aca="false">P18-P20</f>
        <v>3.19703714191</v>
      </c>
      <c r="Q21" s="206" t="n">
        <f aca="false">Q18-Q20</f>
        <v>3.19703714191</v>
      </c>
      <c r="R21" s="206" t="n">
        <f aca="false">R18-R20</f>
        <v>3.096937058158</v>
      </c>
      <c r="S21" s="206" t="n">
        <f aca="false">S18-S20</f>
        <v>2.996836974406</v>
      </c>
      <c r="T21" s="206" t="n">
        <f aca="false">T18-T20</f>
        <v>2.896736890654</v>
      </c>
      <c r="U21" s="206" t="n">
        <f aca="false">U18-U20</f>
        <v>2.796636806902</v>
      </c>
      <c r="V21" s="206" t="n">
        <f aca="false">V18-V20</f>
        <v>2.69653672315</v>
      </c>
      <c r="W21" s="206" t="n">
        <f aca="false">W18-W20</f>
        <v>2.596436639398</v>
      </c>
      <c r="X21" s="206" t="n">
        <f aca="false">X18-X20</f>
        <v>2.496336555646</v>
      </c>
      <c r="Y21" s="206" t="n">
        <f aca="false">Y18-Y20</f>
        <v>2.396236471894</v>
      </c>
      <c r="Z21" s="206" t="n">
        <f aca="false">Z18-Z20</f>
        <v>2.296136388142</v>
      </c>
      <c r="AA21" s="206" t="n">
        <f aca="false">AA18-AA20</f>
        <v>2.19603630439</v>
      </c>
      <c r="AB21" s="206" t="n">
        <f aca="false">AB18-AB20</f>
        <v>2.095936220638</v>
      </c>
      <c r="AC21" s="206" t="n">
        <f aca="false">AC18-AC20</f>
        <v>1.995836136886</v>
      </c>
      <c r="AD21" s="206" t="n">
        <f aca="false">AD18-AD20</f>
        <v>1.895736053134</v>
      </c>
      <c r="AE21" s="206" t="n">
        <f aca="false">AE18-AE20</f>
        <v>1.795635969382</v>
      </c>
      <c r="AF21" s="206" t="n">
        <f aca="false">AF18-AF20</f>
        <v>1.69553588563</v>
      </c>
      <c r="AG21" s="206"/>
      <c r="AH21" s="206"/>
      <c r="AI21" s="206"/>
      <c r="AJ21" s="206"/>
      <c r="AK21" s="206"/>
      <c r="AL21" s="206"/>
      <c r="AM21" s="206"/>
      <c r="AN21" s="206"/>
      <c r="AO21" s="206"/>
      <c r="AP21" s="206"/>
      <c r="AQ21" s="206"/>
      <c r="AR21" s="206"/>
      <c r="AS21" s="206"/>
      <c r="AT21" s="206"/>
      <c r="AU21" s="206"/>
      <c r="AV21" s="206"/>
      <c r="AW21" s="206"/>
      <c r="AX21" s="206"/>
      <c r="AY21" s="206"/>
      <c r="AZ21" s="206"/>
      <c r="BA21" s="206"/>
      <c r="BB21" s="206"/>
      <c r="BC21" s="206"/>
      <c r="BD21" s="206"/>
      <c r="BE21" s="206"/>
      <c r="BF21" s="206"/>
      <c r="BG21" s="206"/>
      <c r="BH21" s="206"/>
      <c r="BI21" s="206"/>
      <c r="BJ21" s="206"/>
      <c r="BK21" s="206"/>
      <c r="BL21" s="206"/>
      <c r="BM21" s="206"/>
      <c r="BN21" s="206"/>
      <c r="BO21" s="206"/>
      <c r="BP21" s="206"/>
      <c r="BQ21" s="206"/>
      <c r="BR21" s="206"/>
      <c r="BS21" s="206"/>
      <c r="BT21" s="206"/>
    </row>
    <row r="22" customFormat="false" ht="14.25" hidden="false" customHeight="true" outlineLevel="0" collapsed="false">
      <c r="B22" s="208" t="s">
        <v>1617</v>
      </c>
      <c r="C22" s="138" t="n">
        <f aca="false">C16+C17+C18+C19</f>
        <v>56.77404</v>
      </c>
      <c r="D22" s="138" t="n">
        <f aca="false">C22+D16+D17+D18+D19</f>
        <v>90.379488</v>
      </c>
      <c r="E22" s="138" t="n">
        <f aca="false">D22+E16+E17+E18+E19</f>
        <v>119.179488</v>
      </c>
      <c r="F22" s="138" t="n">
        <f aca="false">E22+F16+F17+F18+F19</f>
        <v>215.74070714191</v>
      </c>
      <c r="G22" s="138" t="n">
        <f aca="false">F22+G16+G17+G18+G19</f>
        <v>220.25774428382</v>
      </c>
      <c r="H22" s="138" t="n">
        <f aca="false">G22+H16+H17+H18+H19</f>
        <v>224.77478142573</v>
      </c>
      <c r="I22" s="138" t="n">
        <f aca="false">H22+I16+I17+I18+I19</f>
        <v>229.29181856764</v>
      </c>
      <c r="J22" s="138" t="n">
        <f aca="false">I22+J16+J17+J18+J19</f>
        <v>233.80885570955</v>
      </c>
      <c r="K22" s="138" t="n">
        <f aca="false">J22+K16+K17+K18+K19</f>
        <v>238.32589285146</v>
      </c>
      <c r="L22" s="138" t="n">
        <f aca="false">K22+L16+L17+L18+L19</f>
        <v>242.84292999337</v>
      </c>
      <c r="M22" s="138" t="n">
        <f aca="false">L22+M16+M17+M18+M19</f>
        <v>247.35996713528</v>
      </c>
      <c r="N22" s="138" t="n">
        <f aca="false">M22+N16+N17+N18+N19</f>
        <v>251.87700427719</v>
      </c>
      <c r="O22" s="138" t="n">
        <f aca="false">N22+O16+O17+O18+O19</f>
        <v>256.3940414191</v>
      </c>
      <c r="P22" s="138" t="n">
        <f aca="false">O22+P16+P17+P18+P19</f>
        <v>260.91107856101</v>
      </c>
      <c r="Q22" s="138" t="n">
        <f aca="false">P22+Q16+Q17+Q18+Q19</f>
        <v>265.42811570292</v>
      </c>
      <c r="R22" s="138" t="n">
        <f aca="false">Q22+R16+R17+R18+R19</f>
        <v>269.845052761078</v>
      </c>
      <c r="S22" s="138" t="n">
        <f aca="false">R22+S16+S17+S18+S19</f>
        <v>274.161889735484</v>
      </c>
      <c r="T22" s="138" t="n">
        <f aca="false">S22+T16+T17+T18+T19</f>
        <v>278.378626626138</v>
      </c>
      <c r="U22" s="138" t="n">
        <f aca="false">T22+U16+U17+U18+U19</f>
        <v>282.49526343304</v>
      </c>
      <c r="V22" s="138" t="n">
        <f aca="false">U22+V16+V17+V18+V19</f>
        <v>286.51180015619</v>
      </c>
      <c r="W22" s="138" t="n">
        <f aca="false">V22+W16+W17+W18+W19</f>
        <v>290.428236795588</v>
      </c>
      <c r="X22" s="138" t="n">
        <f aca="false">W22+X16+X17+X18+X19</f>
        <v>294.244573351234</v>
      </c>
      <c r="Y22" s="138" t="n">
        <f aca="false">X22+Y16+Y17+Y18+Y19</f>
        <v>297.960809823128</v>
      </c>
      <c r="Z22" s="138" t="n">
        <f aca="false">Y22+Z16+Z17+Z18+Z19</f>
        <v>301.57694621127</v>
      </c>
      <c r="AA22" s="138" t="n">
        <f aca="false">Z22+AA16+AA17+AA18+AA19</f>
        <v>305.09298251566</v>
      </c>
      <c r="AB22" s="138" t="n">
        <f aca="false">AA22+AB16+AB17+AB18+AB19</f>
        <v>308.508918736298</v>
      </c>
      <c r="AC22" s="138" t="n">
        <f aca="false">AB22+AC16+AC17+AC18+AC19</f>
        <v>311.824754873184</v>
      </c>
      <c r="AD22" s="138" t="n">
        <f aca="false">AC22+AD16+AD17+AD18+AD19</f>
        <v>315.040490926318</v>
      </c>
      <c r="AE22" s="138" t="n">
        <f aca="false">AD22+AE16+AE17+AE18+AE19</f>
        <v>318.1561268957</v>
      </c>
      <c r="AF22" s="138" t="n">
        <f aca="false">AE22+AF16+AF17+AF18+AF19</f>
        <v>321.17166278133</v>
      </c>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c r="BR22" s="138"/>
      <c r="BS22" s="138"/>
      <c r="BT22" s="138"/>
    </row>
    <row r="23" customFormat="false" ht="14.25" hidden="false" customHeight="true" outlineLevel="0" collapsed="false">
      <c r="B23" s="132" t="s">
        <v>1066</v>
      </c>
      <c r="C23" s="133"/>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row>
    <row r="24" customFormat="false" ht="26.25" hidden="false" customHeight="true" outlineLevel="0" collapsed="false">
      <c r="B24" s="204" t="s">
        <v>1618</v>
      </c>
      <c r="C24" s="206" t="n">
        <f aca="false">IF(C10&lt;=01_Supuestos!$I$29,01_Supuestos!$I$28/IF(01_Supuestos!$I$111="Sí",1,C12),0)</f>
        <v>20.6</v>
      </c>
      <c r="D24" s="206" t="n">
        <f aca="false">IF(D10&lt;=01_Supuestos!$I$29,01_Supuestos!$I$28/IF(01_Supuestos!$I$111="Sí",1,D12),0)</f>
        <v>20.6</v>
      </c>
      <c r="E24" s="206" t="n">
        <f aca="false">IF(E10&lt;=01_Supuestos!$I$29,01_Supuestos!$I$28/IF(01_Supuestos!$I$111="Sí",1,E12),0)</f>
        <v>20.6</v>
      </c>
      <c r="F24" s="206" t="n">
        <f aca="false">IF(F10&lt;=01_Supuestos!$I$29,01_Supuestos!$I$28/IF(01_Supuestos!$I$111="Sí",1,F12),0)</f>
        <v>20.6</v>
      </c>
      <c r="G24" s="206" t="n">
        <f aca="false">IF(G10&lt;=01_Supuestos!$I$29,01_Supuestos!$I$28/IF(01_Supuestos!$I$111="Sí",1,G12),0)</f>
        <v>20.6</v>
      </c>
      <c r="H24" s="206" t="n">
        <f aca="false">IF(H10&lt;=01_Supuestos!$I$29,01_Supuestos!$I$28/IF(01_Supuestos!$I$111="Sí",1,H12),0)</f>
        <v>20.6</v>
      </c>
      <c r="I24" s="206" t="n">
        <f aca="false">IF(I10&lt;=01_Supuestos!$I$29,01_Supuestos!$I$28/IF(01_Supuestos!$I$111="Sí",1,I12),0)</f>
        <v>20.6</v>
      </c>
      <c r="J24" s="206" t="n">
        <f aca="false">IF(J10&lt;=01_Supuestos!$I$29,01_Supuestos!$I$28/IF(01_Supuestos!$I$111="Sí",1,J12),0)</f>
        <v>20.6</v>
      </c>
      <c r="K24" s="206" t="n">
        <f aca="false">IF(K10&lt;=01_Supuestos!$I$29,01_Supuestos!$I$28/IF(01_Supuestos!$I$111="Sí",1,K12),0)</f>
        <v>20.6</v>
      </c>
      <c r="L24" s="206" t="n">
        <f aca="false">IF(L10&lt;=01_Supuestos!$I$29,01_Supuestos!$I$28/IF(01_Supuestos!$I$111="Sí",1,L12),0)</f>
        <v>20.6</v>
      </c>
      <c r="M24" s="206" t="n">
        <f aca="false">IF(M10&lt;=01_Supuestos!$I$29,01_Supuestos!$I$28/IF(01_Supuestos!$I$111="Sí",1,M12),0)</f>
        <v>0</v>
      </c>
      <c r="N24" s="206" t="n">
        <f aca="false">IF(N10&lt;=01_Supuestos!$I$29,01_Supuestos!$I$28/IF(01_Supuestos!$I$111="Sí",1,N12),0)</f>
        <v>0</v>
      </c>
      <c r="O24" s="206" t="n">
        <f aca="false">IF(O10&lt;=01_Supuestos!$I$29,01_Supuestos!$I$28/IF(01_Supuestos!$I$111="Sí",1,O12),0)</f>
        <v>0</v>
      </c>
      <c r="P24" s="206" t="n">
        <f aca="false">IF(P10&lt;=01_Supuestos!$I$29,01_Supuestos!$I$28/IF(01_Supuestos!$I$111="Sí",1,P12),0)</f>
        <v>0</v>
      </c>
      <c r="Q24" s="206" t="n">
        <f aca="false">IF(Q10&lt;=01_Supuestos!$I$29,01_Supuestos!$I$28/IF(01_Supuestos!$I$111="Sí",1,Q12),0)</f>
        <v>0</v>
      </c>
      <c r="R24" s="206" t="n">
        <f aca="false">IF(R10&lt;=01_Supuestos!$I$29,01_Supuestos!$I$28/IF(01_Supuestos!$I$111="Sí",1,R12),0)</f>
        <v>0</v>
      </c>
      <c r="S24" s="206" t="n">
        <f aca="false">IF(S10&lt;=01_Supuestos!$I$29,01_Supuestos!$I$28/IF(01_Supuestos!$I$111="Sí",1,S12),0)</f>
        <v>0</v>
      </c>
      <c r="T24" s="206" t="n">
        <f aca="false">IF(T10&lt;=01_Supuestos!$I$29,01_Supuestos!$I$28/IF(01_Supuestos!$I$111="Sí",1,T12),0)</f>
        <v>0</v>
      </c>
      <c r="U24" s="206" t="n">
        <f aca="false">IF(U10&lt;=01_Supuestos!$I$29,01_Supuestos!$I$28/IF(01_Supuestos!$I$111="Sí",1,U12),0)</f>
        <v>0</v>
      </c>
      <c r="V24" s="206" t="n">
        <f aca="false">IF(V10&lt;=01_Supuestos!$I$29,01_Supuestos!$I$28/IF(01_Supuestos!$I$111="Sí",1,V12),0)</f>
        <v>0</v>
      </c>
      <c r="W24" s="206" t="n">
        <f aca="false">IF(W10&lt;=01_Supuestos!$I$29,01_Supuestos!$I$28/IF(01_Supuestos!$I$111="Sí",1,W12),0)</f>
        <v>0</v>
      </c>
      <c r="X24" s="206" t="n">
        <f aca="false">IF(X10&lt;=01_Supuestos!$I$29,01_Supuestos!$I$28/IF(01_Supuestos!$I$111="Sí",1,X12),0)</f>
        <v>0</v>
      </c>
      <c r="Y24" s="206" t="n">
        <f aca="false">IF(Y10&lt;=01_Supuestos!$I$29,01_Supuestos!$I$28/IF(01_Supuestos!$I$111="Sí",1,Y12),0)</f>
        <v>0</v>
      </c>
      <c r="Z24" s="206" t="n">
        <f aca="false">IF(Z10&lt;=01_Supuestos!$I$29,01_Supuestos!$I$28/IF(01_Supuestos!$I$111="Sí",1,Z12),0)</f>
        <v>0</v>
      </c>
      <c r="AA24" s="206" t="n">
        <f aca="false">IF(AA10&lt;=01_Supuestos!$I$29,01_Supuestos!$I$28/IF(01_Supuestos!$I$111="Sí",1,AA12),0)</f>
        <v>0</v>
      </c>
      <c r="AB24" s="206" t="n">
        <f aca="false">IF(AB10&lt;=01_Supuestos!$I$29,01_Supuestos!$I$28/IF(01_Supuestos!$I$111="Sí",1,AB12),0)</f>
        <v>0</v>
      </c>
      <c r="AC24" s="206" t="n">
        <f aca="false">IF(AC10&lt;=01_Supuestos!$I$29,01_Supuestos!$I$28/IF(01_Supuestos!$I$111="Sí",1,AC12),0)</f>
        <v>0</v>
      </c>
      <c r="AD24" s="206" t="n">
        <f aca="false">IF(AD10&lt;=01_Supuestos!$I$29,01_Supuestos!$I$28/IF(01_Supuestos!$I$111="Sí",1,AD12),0)</f>
        <v>0</v>
      </c>
      <c r="AE24" s="206" t="n">
        <f aca="false">IF(AE10&lt;=01_Supuestos!$I$29,01_Supuestos!$I$28/IF(01_Supuestos!$I$111="Sí",1,AE12),0)</f>
        <v>0</v>
      </c>
      <c r="AF24" s="206" t="n">
        <f aca="false">IF(AF10&lt;=01_Supuestos!$I$29,01_Supuestos!$I$28/IF(01_Supuestos!$I$111="Sí",1,AF12),0)</f>
        <v>0</v>
      </c>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6"/>
      <c r="BP24" s="206"/>
      <c r="BQ24" s="206"/>
      <c r="BR24" s="206"/>
      <c r="BS24" s="206"/>
      <c r="BT24" s="206"/>
    </row>
    <row r="25" customFormat="false" ht="14.25" hidden="false" customHeight="true" outlineLevel="0" collapsed="false">
      <c r="B25" s="204" t="s">
        <v>1619</v>
      </c>
      <c r="C25" s="206" t="n">
        <f aca="false">IF(C10&lt;=20,01_Supuestos!$I$26+(01_Supuestos!$I$27-01_Supuestos!$I$26)*(C10-1)/19,01_Supuestos!$I$27*IF(01_Supuestos!$I$97="Sí",(1+01_Supuestos!$I$9)^(C10-20),1))</f>
        <v>1.1</v>
      </c>
      <c r="D25" s="206" t="n">
        <f aca="false">IF(D10&lt;=20,01_Supuestos!$I$26+(01_Supuestos!$I$27-01_Supuestos!$I$26)*(D10-1)/19,01_Supuestos!$I$27*IF(01_Supuestos!$I$97="Sí",(1+01_Supuestos!$I$9)^(D10-20),1))</f>
        <v>1.17368421052632</v>
      </c>
      <c r="E25" s="206" t="n">
        <f aca="false">IF(E10&lt;=20,01_Supuestos!$I$26+(01_Supuestos!$I$27-01_Supuestos!$I$26)*(E10-1)/19,01_Supuestos!$I$27*IF(01_Supuestos!$I$97="Sí",(1+01_Supuestos!$I$9)^(E10-20),1))</f>
        <v>1.24736842105263</v>
      </c>
      <c r="F25" s="206" t="n">
        <f aca="false">IF(F10&lt;=20,01_Supuestos!$I$26+(01_Supuestos!$I$27-01_Supuestos!$I$26)*(F10-1)/19,01_Supuestos!$I$27*IF(01_Supuestos!$I$97="Sí",(1+01_Supuestos!$I$9)^(F10-20),1))</f>
        <v>1.32105263157895</v>
      </c>
      <c r="G25" s="206" t="n">
        <f aca="false">IF(G10&lt;=20,01_Supuestos!$I$26+(01_Supuestos!$I$27-01_Supuestos!$I$26)*(G10-1)/19,01_Supuestos!$I$27*IF(01_Supuestos!$I$97="Sí",(1+01_Supuestos!$I$9)^(G10-20),1))</f>
        <v>1.39473684210526</v>
      </c>
      <c r="H25" s="206" t="n">
        <f aca="false">IF(H10&lt;=20,01_Supuestos!$I$26+(01_Supuestos!$I$27-01_Supuestos!$I$26)*(H10-1)/19,01_Supuestos!$I$27*IF(01_Supuestos!$I$97="Sí",(1+01_Supuestos!$I$9)^(H10-20),1))</f>
        <v>1.46842105263158</v>
      </c>
      <c r="I25" s="206" t="n">
        <f aca="false">IF(I10&lt;=20,01_Supuestos!$I$26+(01_Supuestos!$I$27-01_Supuestos!$I$26)*(I10-1)/19,01_Supuestos!$I$27*IF(01_Supuestos!$I$97="Sí",(1+01_Supuestos!$I$9)^(I10-20),1))</f>
        <v>1.54210526315789</v>
      </c>
      <c r="J25" s="206" t="n">
        <f aca="false">IF(J10&lt;=20,01_Supuestos!$I$26+(01_Supuestos!$I$27-01_Supuestos!$I$26)*(J10-1)/19,01_Supuestos!$I$27*IF(01_Supuestos!$I$97="Sí",(1+01_Supuestos!$I$9)^(J10-20),1))</f>
        <v>1.61578947368421</v>
      </c>
      <c r="K25" s="206" t="n">
        <f aca="false">IF(K10&lt;=20,01_Supuestos!$I$26+(01_Supuestos!$I$27-01_Supuestos!$I$26)*(K10-1)/19,01_Supuestos!$I$27*IF(01_Supuestos!$I$97="Sí",(1+01_Supuestos!$I$9)^(K10-20),1))</f>
        <v>1.68947368421053</v>
      </c>
      <c r="L25" s="206" t="n">
        <f aca="false">IF(L10&lt;=20,01_Supuestos!$I$26+(01_Supuestos!$I$27-01_Supuestos!$I$26)*(L10-1)/19,01_Supuestos!$I$27*IF(01_Supuestos!$I$97="Sí",(1+01_Supuestos!$I$9)^(L10-20),1))</f>
        <v>1.76315789473684</v>
      </c>
      <c r="M25" s="206" t="n">
        <f aca="false">IF(M10&lt;=20,01_Supuestos!$I$26+(01_Supuestos!$I$27-01_Supuestos!$I$26)*(M10-1)/19,01_Supuestos!$I$27*IF(01_Supuestos!$I$97="Sí",(1+01_Supuestos!$I$9)^(M10-20),1))</f>
        <v>1.83684210526316</v>
      </c>
      <c r="N25" s="206" t="n">
        <f aca="false">IF(N10&lt;=20,01_Supuestos!$I$26+(01_Supuestos!$I$27-01_Supuestos!$I$26)*(N10-1)/19,01_Supuestos!$I$27*IF(01_Supuestos!$I$97="Sí",(1+01_Supuestos!$I$9)^(N10-20),1))</f>
        <v>1.91052631578947</v>
      </c>
      <c r="O25" s="206" t="n">
        <f aca="false">IF(O10&lt;=20,01_Supuestos!$I$26+(01_Supuestos!$I$27-01_Supuestos!$I$26)*(O10-1)/19,01_Supuestos!$I$27*IF(01_Supuestos!$I$97="Sí",(1+01_Supuestos!$I$9)^(O10-20),1))</f>
        <v>1.98421052631579</v>
      </c>
      <c r="P25" s="206" t="n">
        <f aca="false">IF(P10&lt;=20,01_Supuestos!$I$26+(01_Supuestos!$I$27-01_Supuestos!$I$26)*(P10-1)/19,01_Supuestos!$I$27*IF(01_Supuestos!$I$97="Sí",(1+01_Supuestos!$I$9)^(P10-20),1))</f>
        <v>2.05789473684211</v>
      </c>
      <c r="Q25" s="206" t="n">
        <f aca="false">IF(Q10&lt;=20,01_Supuestos!$I$26+(01_Supuestos!$I$27-01_Supuestos!$I$26)*(Q10-1)/19,01_Supuestos!$I$27*IF(01_Supuestos!$I$97="Sí",(1+01_Supuestos!$I$9)^(Q10-20),1))</f>
        <v>2.13157894736842</v>
      </c>
      <c r="R25" s="206" t="n">
        <f aca="false">IF(R10&lt;=20,01_Supuestos!$I$26+(01_Supuestos!$I$27-01_Supuestos!$I$26)*(R10-1)/19,01_Supuestos!$I$27*IF(01_Supuestos!$I$97="Sí",(1+01_Supuestos!$I$9)^(R10-20),1))</f>
        <v>2.20526315789474</v>
      </c>
      <c r="S25" s="206" t="n">
        <f aca="false">IF(S10&lt;=20,01_Supuestos!$I$26+(01_Supuestos!$I$27-01_Supuestos!$I$26)*(S10-1)/19,01_Supuestos!$I$27*IF(01_Supuestos!$I$97="Sí",(1+01_Supuestos!$I$9)^(S10-20),1))</f>
        <v>2.27894736842105</v>
      </c>
      <c r="T25" s="206" t="n">
        <f aca="false">IF(T10&lt;=20,01_Supuestos!$I$26+(01_Supuestos!$I$27-01_Supuestos!$I$26)*(T10-1)/19,01_Supuestos!$I$27*IF(01_Supuestos!$I$97="Sí",(1+01_Supuestos!$I$9)^(T10-20),1))</f>
        <v>2.35263157894737</v>
      </c>
      <c r="U25" s="206" t="n">
        <f aca="false">IF(U10&lt;=20,01_Supuestos!$I$26+(01_Supuestos!$I$27-01_Supuestos!$I$26)*(U10-1)/19,01_Supuestos!$I$27*IF(01_Supuestos!$I$97="Sí",(1+01_Supuestos!$I$9)^(U10-20),1))</f>
        <v>2.42631578947368</v>
      </c>
      <c r="V25" s="206" t="n">
        <f aca="false">IF(V10&lt;=20,01_Supuestos!$I$26+(01_Supuestos!$I$27-01_Supuestos!$I$26)*(V10-1)/19,01_Supuestos!$I$27*IF(01_Supuestos!$I$97="Sí",(1+01_Supuestos!$I$9)^(V10-20),1))</f>
        <v>2.5</v>
      </c>
      <c r="W25" s="206" t="n">
        <f aca="false">IF(W10&lt;=20,01_Supuestos!$I$26+(01_Supuestos!$I$27-01_Supuestos!$I$26)*(W10-1)/19,01_Supuestos!$I$27*IF(01_Supuestos!$I$97="Sí",(1+01_Supuestos!$I$9)^(W10-20),1))</f>
        <v>2.5</v>
      </c>
      <c r="X25" s="206" t="n">
        <f aca="false">IF(X10&lt;=20,01_Supuestos!$I$26+(01_Supuestos!$I$27-01_Supuestos!$I$26)*(X10-1)/19,01_Supuestos!$I$27*IF(01_Supuestos!$I$97="Sí",(1+01_Supuestos!$I$9)^(X10-20),1))</f>
        <v>2.5</v>
      </c>
      <c r="Y25" s="206" t="n">
        <f aca="false">IF(Y10&lt;=20,01_Supuestos!$I$26+(01_Supuestos!$I$27-01_Supuestos!$I$26)*(Y10-1)/19,01_Supuestos!$I$27*IF(01_Supuestos!$I$97="Sí",(1+01_Supuestos!$I$9)^(Y10-20),1))</f>
        <v>2.5</v>
      </c>
      <c r="Z25" s="206" t="n">
        <f aca="false">IF(Z10&lt;=20,01_Supuestos!$I$26+(01_Supuestos!$I$27-01_Supuestos!$I$26)*(Z10-1)/19,01_Supuestos!$I$27*IF(01_Supuestos!$I$97="Sí",(1+01_Supuestos!$I$9)^(Z10-20),1))</f>
        <v>2.5</v>
      </c>
      <c r="AA25" s="206" t="n">
        <f aca="false">IF(AA10&lt;=20,01_Supuestos!$I$26+(01_Supuestos!$I$27-01_Supuestos!$I$26)*(AA10-1)/19,01_Supuestos!$I$27*IF(01_Supuestos!$I$97="Sí",(1+01_Supuestos!$I$9)^(AA10-20),1))</f>
        <v>2.5</v>
      </c>
      <c r="AB25" s="206" t="n">
        <f aca="false">IF(AB10&lt;=20,01_Supuestos!$I$26+(01_Supuestos!$I$27-01_Supuestos!$I$26)*(AB10-1)/19,01_Supuestos!$I$27*IF(01_Supuestos!$I$97="Sí",(1+01_Supuestos!$I$9)^(AB10-20),1))</f>
        <v>2.5</v>
      </c>
      <c r="AC25" s="206" t="n">
        <f aca="false">IF(AC10&lt;=20,01_Supuestos!$I$26+(01_Supuestos!$I$27-01_Supuestos!$I$26)*(AC10-1)/19,01_Supuestos!$I$27*IF(01_Supuestos!$I$97="Sí",(1+01_Supuestos!$I$9)^(AC10-20),1))</f>
        <v>2.5</v>
      </c>
      <c r="AD25" s="206" t="n">
        <f aca="false">IF(AD10&lt;=20,01_Supuestos!$I$26+(01_Supuestos!$I$27-01_Supuestos!$I$26)*(AD10-1)/19,01_Supuestos!$I$27*IF(01_Supuestos!$I$97="Sí",(1+01_Supuestos!$I$9)^(AD10-20),1))</f>
        <v>2.5</v>
      </c>
      <c r="AE25" s="206" t="n">
        <f aca="false">IF(AE10&lt;=20,01_Supuestos!$I$26+(01_Supuestos!$I$27-01_Supuestos!$I$26)*(AE10-1)/19,01_Supuestos!$I$27*IF(01_Supuestos!$I$97="Sí",(1+01_Supuestos!$I$9)^(AE10-20),1))</f>
        <v>2.5</v>
      </c>
      <c r="AF25" s="206" t="n">
        <f aca="false">IF(AF10&lt;=20,01_Supuestos!$I$26+(01_Supuestos!$I$27-01_Supuestos!$I$26)*(AF10-1)/19,01_Supuestos!$I$27*IF(01_Supuestos!$I$97="Sí",(1+01_Supuestos!$I$9)^(AF10-20),1))</f>
        <v>2.5</v>
      </c>
      <c r="AG25" s="206"/>
      <c r="AH25" s="206"/>
      <c r="AI25" s="206"/>
      <c r="AJ25" s="206"/>
      <c r="AK25" s="206"/>
      <c r="AL25" s="206"/>
      <c r="AM25" s="206"/>
      <c r="AN25" s="206"/>
      <c r="AO25" s="206"/>
      <c r="AP25" s="206"/>
      <c r="AQ25" s="206"/>
      <c r="AR25" s="206"/>
      <c r="AS25" s="206"/>
      <c r="AT25" s="206"/>
      <c r="AU25" s="206"/>
      <c r="AV25" s="206"/>
      <c r="AW25" s="206"/>
      <c r="AX25" s="206"/>
      <c r="AY25" s="206"/>
      <c r="AZ25" s="206"/>
      <c r="BA25" s="206"/>
      <c r="BB25" s="206"/>
      <c r="BC25" s="206"/>
      <c r="BD25" s="206"/>
      <c r="BE25" s="206"/>
      <c r="BF25" s="206"/>
      <c r="BG25" s="206"/>
      <c r="BH25" s="206"/>
      <c r="BI25" s="206"/>
      <c r="BJ25" s="206"/>
      <c r="BK25" s="206"/>
      <c r="BL25" s="206"/>
      <c r="BM25" s="206"/>
      <c r="BN25" s="206"/>
      <c r="BO25" s="206"/>
      <c r="BP25" s="206"/>
      <c r="BQ25" s="206"/>
      <c r="BR25" s="206"/>
      <c r="BS25" s="206"/>
      <c r="BT25" s="206"/>
    </row>
    <row r="26" customFormat="false" ht="14.25" hidden="false" customHeight="true" outlineLevel="0" collapsed="false">
      <c r="B26" s="204" t="s">
        <v>1620</v>
      </c>
      <c r="C26" s="206" t="n">
        <f aca="false">IF(01_Supuestos!$I$96="Sí",01_Supuestos!$I$62*01_Supuestos!$I$30*12/1000000000000*IF(C10&lt;5,0,IF(C10&gt;=30,01_Supuestos!$I$105,(C10-5)/25*01_Supuestos!$I$105)),0)</f>
        <v>0</v>
      </c>
      <c r="D26" s="206" t="n">
        <f aca="false">IF(01_Supuestos!$I$96="Sí",01_Supuestos!$I$62*01_Supuestos!$I$30*12/1000000000000*IF(D10&lt;5,0,IF(D10&gt;=30,01_Supuestos!$I$105,(D10-5)/25*01_Supuestos!$I$105)),0)</f>
        <v>0</v>
      </c>
      <c r="E26" s="206" t="n">
        <f aca="false">IF(01_Supuestos!$I$96="Sí",01_Supuestos!$I$62*01_Supuestos!$I$30*12/1000000000000*IF(E10&lt;5,0,IF(E10&gt;=30,01_Supuestos!$I$105,(E10-5)/25*01_Supuestos!$I$105)),0)</f>
        <v>0</v>
      </c>
      <c r="F26" s="206" t="n">
        <f aca="false">IF(01_Supuestos!$I$96="Sí",01_Supuestos!$I$62*01_Supuestos!$I$30*12/1000000000000*IF(F10&lt;5,0,IF(F10&gt;=30,01_Supuestos!$I$105,(F10-5)/25*01_Supuestos!$I$105)),0)</f>
        <v>0</v>
      </c>
      <c r="G26" s="206" t="n">
        <f aca="false">IF(01_Supuestos!$I$96="Sí",01_Supuestos!$I$62*01_Supuestos!$I$30*12/1000000000000*IF(G10&lt;5,0,IF(G10&gt;=30,01_Supuestos!$I$105,(G10-5)/25*01_Supuestos!$I$105)),0)</f>
        <v>0</v>
      </c>
      <c r="H26" s="206" t="n">
        <f aca="false">IF(01_Supuestos!$I$96="Sí",01_Supuestos!$I$62*01_Supuestos!$I$30*12/1000000000000*IF(H10&lt;5,0,IF(H10&gt;=30,01_Supuestos!$I$105,(H10-5)/25*01_Supuestos!$I$105)),0)</f>
        <v>0</v>
      </c>
      <c r="I26" s="206" t="n">
        <f aca="false">IF(01_Supuestos!$I$96="Sí",01_Supuestos!$I$62*01_Supuestos!$I$30*12/1000000000000*IF(I10&lt;5,0,IF(I10&gt;=30,01_Supuestos!$I$105,(I10-5)/25*01_Supuestos!$I$105)),0)</f>
        <v>0</v>
      </c>
      <c r="J26" s="206" t="n">
        <f aca="false">IF(01_Supuestos!$I$96="Sí",01_Supuestos!$I$62*01_Supuestos!$I$30*12/1000000000000*IF(J10&lt;5,0,IF(J10&gt;=30,01_Supuestos!$I$105,(J10-5)/25*01_Supuestos!$I$105)),0)</f>
        <v>0</v>
      </c>
      <c r="K26" s="206" t="n">
        <f aca="false">IF(01_Supuestos!$I$96="Sí",01_Supuestos!$I$62*01_Supuestos!$I$30*12/1000000000000*IF(K10&lt;5,0,IF(K10&gt;=30,01_Supuestos!$I$105,(K10-5)/25*01_Supuestos!$I$105)),0)</f>
        <v>0</v>
      </c>
      <c r="L26" s="206" t="n">
        <f aca="false">IF(01_Supuestos!$I$96="Sí",01_Supuestos!$I$62*01_Supuestos!$I$30*12/1000000000000*IF(L10&lt;5,0,IF(L10&gt;=30,01_Supuestos!$I$105,(L10-5)/25*01_Supuestos!$I$105)),0)</f>
        <v>0</v>
      </c>
      <c r="M26" s="206" t="n">
        <f aca="false">IF(01_Supuestos!$I$96="Sí",01_Supuestos!$I$62*01_Supuestos!$I$30*12/1000000000000*IF(M10&lt;5,0,IF(M10&gt;=30,01_Supuestos!$I$105,(M10-5)/25*01_Supuestos!$I$105)),0)</f>
        <v>0</v>
      </c>
      <c r="N26" s="206" t="n">
        <f aca="false">IF(01_Supuestos!$I$96="Sí",01_Supuestos!$I$62*01_Supuestos!$I$30*12/1000000000000*IF(N10&lt;5,0,IF(N10&gt;=30,01_Supuestos!$I$105,(N10-5)/25*01_Supuestos!$I$105)),0)</f>
        <v>0</v>
      </c>
      <c r="O26" s="206" t="n">
        <f aca="false">IF(01_Supuestos!$I$96="Sí",01_Supuestos!$I$62*01_Supuestos!$I$30*12/1000000000000*IF(O10&lt;5,0,IF(O10&gt;=30,01_Supuestos!$I$105,(O10-5)/25*01_Supuestos!$I$105)),0)</f>
        <v>0</v>
      </c>
      <c r="P26" s="206" t="n">
        <f aca="false">IF(01_Supuestos!$I$96="Sí",01_Supuestos!$I$62*01_Supuestos!$I$30*12/1000000000000*IF(P10&lt;5,0,IF(P10&gt;=30,01_Supuestos!$I$105,(P10-5)/25*01_Supuestos!$I$105)),0)</f>
        <v>0</v>
      </c>
      <c r="Q26" s="206" t="n">
        <f aca="false">IF(01_Supuestos!$I$96="Sí",01_Supuestos!$I$62*01_Supuestos!$I$30*12/1000000000000*IF(Q10&lt;5,0,IF(Q10&gt;=30,01_Supuestos!$I$105,(Q10-5)/25*01_Supuestos!$I$105)),0)</f>
        <v>0</v>
      </c>
      <c r="R26" s="206" t="n">
        <f aca="false">IF(01_Supuestos!$I$96="Sí",01_Supuestos!$I$62*01_Supuestos!$I$30*12/1000000000000*IF(R10&lt;5,0,IF(R10&gt;=30,01_Supuestos!$I$105,(R10-5)/25*01_Supuestos!$I$105)),0)</f>
        <v>0</v>
      </c>
      <c r="S26" s="206" t="n">
        <f aca="false">IF(01_Supuestos!$I$96="Sí",01_Supuestos!$I$62*01_Supuestos!$I$30*12/1000000000000*IF(S10&lt;5,0,IF(S10&gt;=30,01_Supuestos!$I$105,(S10-5)/25*01_Supuestos!$I$105)),0)</f>
        <v>0</v>
      </c>
      <c r="T26" s="206" t="n">
        <f aca="false">IF(01_Supuestos!$I$96="Sí",01_Supuestos!$I$62*01_Supuestos!$I$30*12/1000000000000*IF(T10&lt;5,0,IF(T10&gt;=30,01_Supuestos!$I$105,(T10-5)/25*01_Supuestos!$I$105)),0)</f>
        <v>0</v>
      </c>
      <c r="U26" s="206" t="n">
        <f aca="false">IF(01_Supuestos!$I$96="Sí",01_Supuestos!$I$62*01_Supuestos!$I$30*12/1000000000000*IF(U10&lt;5,0,IF(U10&gt;=30,01_Supuestos!$I$105,(U10-5)/25*01_Supuestos!$I$105)),0)</f>
        <v>0</v>
      </c>
      <c r="V26" s="206" t="n">
        <f aca="false">IF(01_Supuestos!$I$96="Sí",01_Supuestos!$I$62*01_Supuestos!$I$30*12/1000000000000*IF(V10&lt;5,0,IF(V10&gt;=30,01_Supuestos!$I$105,(V10-5)/25*01_Supuestos!$I$105)),0)</f>
        <v>0</v>
      </c>
      <c r="W26" s="206" t="n">
        <f aca="false">IF(01_Supuestos!$I$96="Sí",01_Supuestos!$I$62*01_Supuestos!$I$30*12/1000000000000*IF(W10&lt;5,0,IF(W10&gt;=30,01_Supuestos!$I$105,(W10-5)/25*01_Supuestos!$I$105)),0)</f>
        <v>0</v>
      </c>
      <c r="X26" s="206" t="n">
        <f aca="false">IF(01_Supuestos!$I$96="Sí",01_Supuestos!$I$62*01_Supuestos!$I$30*12/1000000000000*IF(X10&lt;5,0,IF(X10&gt;=30,01_Supuestos!$I$105,(X10-5)/25*01_Supuestos!$I$105)),0)</f>
        <v>0</v>
      </c>
      <c r="Y26" s="206" t="n">
        <f aca="false">IF(01_Supuestos!$I$96="Sí",01_Supuestos!$I$62*01_Supuestos!$I$30*12/1000000000000*IF(Y10&lt;5,0,IF(Y10&gt;=30,01_Supuestos!$I$105,(Y10-5)/25*01_Supuestos!$I$105)),0)</f>
        <v>0</v>
      </c>
      <c r="Z26" s="206" t="n">
        <f aca="false">IF(01_Supuestos!$I$96="Sí",01_Supuestos!$I$62*01_Supuestos!$I$30*12/1000000000000*IF(Z10&lt;5,0,IF(Z10&gt;=30,01_Supuestos!$I$105,(Z10-5)/25*01_Supuestos!$I$105)),0)</f>
        <v>0</v>
      </c>
      <c r="AA26" s="206" t="n">
        <f aca="false">IF(01_Supuestos!$I$96="Sí",01_Supuestos!$I$62*01_Supuestos!$I$30*12/1000000000000*IF(AA10&lt;5,0,IF(AA10&gt;=30,01_Supuestos!$I$105,(AA10-5)/25*01_Supuestos!$I$105)),0)</f>
        <v>0</v>
      </c>
      <c r="AB26" s="206" t="n">
        <f aca="false">IF(01_Supuestos!$I$96="Sí",01_Supuestos!$I$62*01_Supuestos!$I$30*12/1000000000000*IF(AB10&lt;5,0,IF(AB10&gt;=30,01_Supuestos!$I$105,(AB10-5)/25*01_Supuestos!$I$105)),0)</f>
        <v>0</v>
      </c>
      <c r="AC26" s="206" t="n">
        <f aca="false">IF(01_Supuestos!$I$96="Sí",01_Supuestos!$I$62*01_Supuestos!$I$30*12/1000000000000*IF(AC10&lt;5,0,IF(AC10&gt;=30,01_Supuestos!$I$105,(AC10-5)/25*01_Supuestos!$I$105)),0)</f>
        <v>0</v>
      </c>
      <c r="AD26" s="206" t="n">
        <f aca="false">IF(01_Supuestos!$I$96="Sí",01_Supuestos!$I$62*01_Supuestos!$I$30*12/1000000000000*IF(AD10&lt;5,0,IF(AD10&gt;=30,01_Supuestos!$I$105,(AD10-5)/25*01_Supuestos!$I$105)),0)</f>
        <v>0</v>
      </c>
      <c r="AE26" s="206" t="n">
        <f aca="false">IF(01_Supuestos!$I$96="Sí",01_Supuestos!$I$62*01_Supuestos!$I$30*12/1000000000000*IF(AE10&lt;5,0,IF(AE10&gt;=30,01_Supuestos!$I$105,(AE10-5)/25*01_Supuestos!$I$105)),0)</f>
        <v>0</v>
      </c>
      <c r="AF26" s="206" t="n">
        <f aca="false">IF(01_Supuestos!$I$96="Sí",01_Supuestos!$I$62*01_Supuestos!$I$30*12/1000000000000*IF(AF10&lt;5,0,IF(AF10&gt;=30,01_Supuestos!$I$105,(AF10-5)/25*01_Supuestos!$I$105)),0)</f>
        <v>0</v>
      </c>
      <c r="AG26" s="206"/>
      <c r="AH26" s="206"/>
      <c r="AI26" s="206"/>
      <c r="AJ26" s="206"/>
      <c r="AK26" s="206"/>
      <c r="AL26" s="206"/>
      <c r="AM26" s="206"/>
      <c r="AN26" s="206"/>
      <c r="AO26" s="206"/>
      <c r="AP26" s="206"/>
      <c r="AQ26" s="206"/>
      <c r="AR26" s="206"/>
      <c r="AS26" s="206"/>
      <c r="AT26" s="206"/>
      <c r="AU26" s="206"/>
      <c r="AV26" s="206"/>
      <c r="AW26" s="206"/>
      <c r="AX26" s="206"/>
      <c r="AY26" s="206"/>
      <c r="AZ26" s="206"/>
      <c r="BA26" s="206"/>
      <c r="BB26" s="206"/>
      <c r="BC26" s="206"/>
      <c r="BD26" s="206"/>
      <c r="BE26" s="206"/>
      <c r="BF26" s="206"/>
      <c r="BG26" s="206"/>
      <c r="BH26" s="206"/>
      <c r="BI26" s="206"/>
      <c r="BJ26" s="206"/>
      <c r="BK26" s="206"/>
      <c r="BL26" s="206"/>
      <c r="BM26" s="206"/>
      <c r="BN26" s="206"/>
      <c r="BO26" s="206"/>
      <c r="BP26" s="206"/>
      <c r="BQ26" s="206"/>
      <c r="BR26" s="206"/>
      <c r="BS26" s="206"/>
      <c r="BT26" s="206"/>
    </row>
    <row r="27" customFormat="false" ht="26.25" hidden="false" customHeight="true" outlineLevel="0" collapsed="false">
      <c r="B27" s="204" t="s">
        <v>1621</v>
      </c>
      <c r="C27" s="206" t="n">
        <f aca="false">(01_Supuestos!$I$110-1)*(C16+C21)</f>
        <v>0</v>
      </c>
      <c r="D27" s="206" t="n">
        <f aca="false">(01_Supuestos!$I$110-1)*(D16+D21)</f>
        <v>0</v>
      </c>
      <c r="E27" s="206" t="n">
        <f aca="false">(01_Supuestos!$I$110-1)*(E16+E21)</f>
        <v>0</v>
      </c>
      <c r="F27" s="206" t="n">
        <f aca="false">(01_Supuestos!$I$110-1)*(F16+F21)</f>
        <v>0</v>
      </c>
      <c r="G27" s="206" t="n">
        <f aca="false">(01_Supuestos!$I$110-1)*(G16+G21)</f>
        <v>0</v>
      </c>
      <c r="H27" s="206" t="n">
        <f aca="false">(01_Supuestos!$I$110-1)*(H16+H21)</f>
        <v>0</v>
      </c>
      <c r="I27" s="206" t="n">
        <f aca="false">(01_Supuestos!$I$110-1)*(I16+I21)</f>
        <v>0</v>
      </c>
      <c r="J27" s="206" t="n">
        <f aca="false">(01_Supuestos!$I$110-1)*(J16+J21)</f>
        <v>0</v>
      </c>
      <c r="K27" s="206" t="n">
        <f aca="false">(01_Supuestos!$I$110-1)*(K16+K21)</f>
        <v>0</v>
      </c>
      <c r="L27" s="206" t="n">
        <f aca="false">(01_Supuestos!$I$110-1)*(L16+L21)</f>
        <v>0</v>
      </c>
      <c r="M27" s="206" t="n">
        <f aca="false">(01_Supuestos!$I$110-1)*(M16+M21)</f>
        <v>0</v>
      </c>
      <c r="N27" s="206" t="n">
        <f aca="false">(01_Supuestos!$I$110-1)*(N16+N21)</f>
        <v>0</v>
      </c>
      <c r="O27" s="206" t="n">
        <f aca="false">(01_Supuestos!$I$110-1)*(O16+O21)</f>
        <v>0</v>
      </c>
      <c r="P27" s="206" t="n">
        <f aca="false">(01_Supuestos!$I$110-1)*(P16+P21)</f>
        <v>0</v>
      </c>
      <c r="Q27" s="206" t="n">
        <f aca="false">(01_Supuestos!$I$110-1)*(Q16+Q21)</f>
        <v>0</v>
      </c>
      <c r="R27" s="206" t="n">
        <f aca="false">(01_Supuestos!$I$110-1)*(R16+R21)</f>
        <v>0</v>
      </c>
      <c r="S27" s="206" t="n">
        <f aca="false">(01_Supuestos!$I$110-1)*(S16+S21)</f>
        <v>0</v>
      </c>
      <c r="T27" s="206" t="n">
        <f aca="false">(01_Supuestos!$I$110-1)*(T16+T21)</f>
        <v>0</v>
      </c>
      <c r="U27" s="206" t="n">
        <f aca="false">(01_Supuestos!$I$110-1)*(U16+U21)</f>
        <v>0</v>
      </c>
      <c r="V27" s="206" t="n">
        <f aca="false">(01_Supuestos!$I$110-1)*(V16+V21)</f>
        <v>0</v>
      </c>
      <c r="W27" s="206" t="n">
        <f aca="false">(01_Supuestos!$I$110-1)*(W16+W21)</f>
        <v>0</v>
      </c>
      <c r="X27" s="206" t="n">
        <f aca="false">(01_Supuestos!$I$110-1)*(X16+X21)</f>
        <v>0</v>
      </c>
      <c r="Y27" s="206" t="n">
        <f aca="false">(01_Supuestos!$I$110-1)*(Y16+Y21)</f>
        <v>0</v>
      </c>
      <c r="Z27" s="206" t="n">
        <f aca="false">(01_Supuestos!$I$110-1)*(Z16+Z21)</f>
        <v>0</v>
      </c>
      <c r="AA27" s="206" t="n">
        <f aca="false">(01_Supuestos!$I$110-1)*(AA16+AA21)</f>
        <v>0</v>
      </c>
      <c r="AB27" s="206" t="n">
        <f aca="false">(01_Supuestos!$I$110-1)*(AB16+AB21)</f>
        <v>0</v>
      </c>
      <c r="AC27" s="206" t="n">
        <f aca="false">(01_Supuestos!$I$110-1)*(AC16+AC21)</f>
        <v>0</v>
      </c>
      <c r="AD27" s="206" t="n">
        <f aca="false">(01_Supuestos!$I$110-1)*(AD16+AD21)</f>
        <v>0</v>
      </c>
      <c r="AE27" s="206" t="n">
        <f aca="false">(01_Supuestos!$I$110-1)*(AE16+AE21)</f>
        <v>0</v>
      </c>
      <c r="AF27" s="206" t="n">
        <f aca="false">(01_Supuestos!$I$110-1)*(AF16+AF21)</f>
        <v>0</v>
      </c>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6"/>
      <c r="BC27" s="206"/>
      <c r="BD27" s="206"/>
      <c r="BE27" s="206"/>
      <c r="BF27" s="206"/>
      <c r="BG27" s="206"/>
      <c r="BH27" s="206"/>
      <c r="BI27" s="206"/>
      <c r="BJ27" s="206"/>
      <c r="BK27" s="206"/>
      <c r="BL27" s="206"/>
      <c r="BM27" s="206"/>
      <c r="BN27" s="206"/>
      <c r="BO27" s="206"/>
      <c r="BP27" s="206"/>
      <c r="BQ27" s="206"/>
      <c r="BR27" s="206"/>
      <c r="BS27" s="206"/>
      <c r="BT27" s="206"/>
    </row>
    <row r="28" customFormat="false" ht="14.25" hidden="false" customHeight="true" outlineLevel="0" collapsed="false">
      <c r="B28" s="132" t="s">
        <v>1622</v>
      </c>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row>
    <row r="29" customFormat="false" ht="14.25" hidden="false" customHeight="true" outlineLevel="0" collapsed="false">
      <c r="B29" s="204" t="s">
        <v>1623</v>
      </c>
      <c r="C29" s="206" t="n">
        <f aca="false">C16+C21+C27</f>
        <v>56.77404</v>
      </c>
      <c r="D29" s="206" t="n">
        <f aca="false">D16+D21+D27</f>
        <v>33.605448</v>
      </c>
      <c r="E29" s="206" t="n">
        <f aca="false">E16+E21+E27</f>
        <v>28.8</v>
      </c>
      <c r="F29" s="206" t="n">
        <f aca="false">F16+F21+F27</f>
        <v>65.644182</v>
      </c>
      <c r="G29" s="206" t="n">
        <f aca="false">G16+G21+G27</f>
        <v>0</v>
      </c>
      <c r="H29" s="206" t="n">
        <f aca="false">H16+H21+H27</f>
        <v>0</v>
      </c>
      <c r="I29" s="206" t="n">
        <f aca="false">I16+I21+I27</f>
        <v>0</v>
      </c>
      <c r="J29" s="206" t="n">
        <f aca="false">J16+J21+J27</f>
        <v>0</v>
      </c>
      <c r="K29" s="206" t="n">
        <f aca="false">K16+K21+K27</f>
        <v>0</v>
      </c>
      <c r="L29" s="206" t="n">
        <f aca="false">L16+L21+L27</f>
        <v>0</v>
      </c>
      <c r="M29" s="206" t="n">
        <f aca="false">M16+M21+M27</f>
        <v>3.19703714191</v>
      </c>
      <c r="N29" s="206" t="n">
        <f aca="false">N16+N21+N27</f>
        <v>3.19703714191</v>
      </c>
      <c r="O29" s="206" t="n">
        <f aca="false">O16+O21+O27</f>
        <v>3.19703714191</v>
      </c>
      <c r="P29" s="206" t="n">
        <f aca="false">P16+P21+P27</f>
        <v>3.19703714191</v>
      </c>
      <c r="Q29" s="206" t="n">
        <f aca="false">Q16+Q21+Q27</f>
        <v>3.19703714191</v>
      </c>
      <c r="R29" s="206" t="n">
        <f aca="false">R16+R21+R27</f>
        <v>3.096937058158</v>
      </c>
      <c r="S29" s="206" t="n">
        <f aca="false">S16+S21+S27</f>
        <v>2.996836974406</v>
      </c>
      <c r="T29" s="206" t="n">
        <f aca="false">T16+T21+T27</f>
        <v>2.896736890654</v>
      </c>
      <c r="U29" s="206" t="n">
        <f aca="false">U16+U21+U27</f>
        <v>2.796636806902</v>
      </c>
      <c r="V29" s="206" t="n">
        <f aca="false">V16+V21+V27</f>
        <v>2.69653672315</v>
      </c>
      <c r="W29" s="206" t="n">
        <f aca="false">W16+W21+W27</f>
        <v>2.596436639398</v>
      </c>
      <c r="X29" s="206" t="n">
        <f aca="false">X16+X21+X27</f>
        <v>2.496336555646</v>
      </c>
      <c r="Y29" s="206" t="n">
        <f aca="false">Y16+Y21+Y27</f>
        <v>2.396236471894</v>
      </c>
      <c r="Z29" s="206" t="n">
        <f aca="false">Z16+Z21+Z27</f>
        <v>2.296136388142</v>
      </c>
      <c r="AA29" s="206" t="n">
        <f aca="false">AA16+AA21+AA27</f>
        <v>2.19603630439</v>
      </c>
      <c r="AB29" s="206" t="n">
        <f aca="false">AB16+AB21+AB27</f>
        <v>2.095936220638</v>
      </c>
      <c r="AC29" s="206" t="n">
        <f aca="false">AC16+AC21+AC27</f>
        <v>1.995836136886</v>
      </c>
      <c r="AD29" s="206" t="n">
        <f aca="false">AD16+AD21+AD27</f>
        <v>1.895736053134</v>
      </c>
      <c r="AE29" s="206" t="n">
        <f aca="false">AE16+AE21+AE27</f>
        <v>1.795635969382</v>
      </c>
      <c r="AF29" s="206" t="n">
        <f aca="false">AF16+AF21+AF27</f>
        <v>1.69553588563</v>
      </c>
      <c r="AG29" s="206"/>
      <c r="AH29" s="206"/>
      <c r="AI29" s="206"/>
      <c r="AJ29" s="206"/>
      <c r="AK29" s="206"/>
      <c r="AL29" s="206"/>
      <c r="AM29" s="206"/>
      <c r="AN29" s="206"/>
      <c r="AO29" s="206"/>
      <c r="AP29" s="206"/>
      <c r="AQ29" s="206"/>
      <c r="AR29" s="206"/>
      <c r="AS29" s="206"/>
      <c r="AT29" s="206"/>
      <c r="AU29" s="206"/>
      <c r="AV29" s="206"/>
      <c r="AW29" s="206"/>
      <c r="AX29" s="206"/>
      <c r="AY29" s="206"/>
      <c r="AZ29" s="206"/>
      <c r="BA29" s="206"/>
      <c r="BB29" s="206"/>
      <c r="BC29" s="206"/>
      <c r="BD29" s="206"/>
      <c r="BE29" s="206"/>
      <c r="BF29" s="206"/>
      <c r="BG29" s="206"/>
      <c r="BH29" s="206"/>
      <c r="BI29" s="206"/>
      <c r="BJ29" s="206"/>
      <c r="BK29" s="206"/>
      <c r="BL29" s="206"/>
      <c r="BM29" s="206"/>
      <c r="BN29" s="206"/>
      <c r="BO29" s="206"/>
      <c r="BP29" s="206"/>
      <c r="BQ29" s="206"/>
      <c r="BR29" s="206"/>
      <c r="BS29" s="206"/>
      <c r="BT29" s="206"/>
    </row>
    <row r="30" customFormat="false" ht="14.25" hidden="false" customHeight="true" outlineLevel="0" collapsed="false">
      <c r="B30" s="204" t="s">
        <v>1624</v>
      </c>
      <c r="C30" s="206" t="n">
        <f aca="false">MIN(C29,01_Supuestos!$I$103*C11)</f>
        <v>16.25</v>
      </c>
      <c r="D30" s="206" t="n">
        <f aca="false">MIN(D29+C31,01_Supuestos!$I$103*D11)</f>
        <v>16.62375</v>
      </c>
      <c r="E30" s="206" t="n">
        <f aca="false">MIN(E29+D31,01_Supuestos!$I$103*E11)</f>
        <v>17.00609625</v>
      </c>
      <c r="F30" s="206" t="n">
        <f aca="false">MIN(F29+E31,01_Supuestos!$I$103*F11)</f>
        <v>17.39723646375</v>
      </c>
      <c r="G30" s="206" t="n">
        <f aca="false">MIN(G29+F31,01_Supuestos!$I$103*G11)</f>
        <v>17.7973729024162</v>
      </c>
      <c r="H30" s="206" t="n">
        <f aca="false">MIN(H29+G31,01_Supuestos!$I$103*H11)</f>
        <v>18.2067124791718</v>
      </c>
      <c r="I30" s="206" t="n">
        <f aca="false">MIN(I29+H31,01_Supuestos!$I$103*I11)</f>
        <v>18.6254668661928</v>
      </c>
      <c r="J30" s="206" t="n">
        <f aca="false">MIN(J29+I31,01_Supuestos!$I$103*J11)</f>
        <v>19.0538526041152</v>
      </c>
      <c r="K30" s="206" t="n">
        <f aca="false">MIN(K29+J31,01_Supuestos!$I$103*K11)</f>
        <v>19.4920912140098</v>
      </c>
      <c r="L30" s="206" t="n">
        <f aca="false">MIN(L29+K31,01_Supuestos!$I$103*L11)</f>
        <v>19.9404093119321</v>
      </c>
      <c r="M30" s="206" t="n">
        <f aca="false">MIN(M29+L31,01_Supuestos!$I$103*M11)</f>
        <v>7.62771905032205</v>
      </c>
      <c r="N30" s="206" t="n">
        <f aca="false">MIN(N29+M31,01_Supuestos!$I$103*N11)</f>
        <v>3.19703714191</v>
      </c>
      <c r="O30" s="206" t="n">
        <f aca="false">MIN(O29+N31,01_Supuestos!$I$103*O11)</f>
        <v>3.19703714191</v>
      </c>
      <c r="P30" s="206" t="n">
        <f aca="false">MIN(P29+O31,01_Supuestos!$I$103*P11)</f>
        <v>3.19703714191</v>
      </c>
      <c r="Q30" s="206" t="n">
        <f aca="false">MIN(Q29+P31,01_Supuestos!$I$103*Q11)</f>
        <v>3.19703714191</v>
      </c>
      <c r="R30" s="206" t="n">
        <f aca="false">MIN(R29+Q31,01_Supuestos!$I$103*R11)</f>
        <v>3.096937058158</v>
      </c>
      <c r="S30" s="206" t="n">
        <f aca="false">MIN(S29+R31,01_Supuestos!$I$103*S11)</f>
        <v>2.996836974406</v>
      </c>
      <c r="T30" s="206" t="n">
        <f aca="false">MIN(T29+S31,01_Supuestos!$I$103*T11)</f>
        <v>2.896736890654</v>
      </c>
      <c r="U30" s="206" t="n">
        <f aca="false">MIN(U29+T31,01_Supuestos!$I$103*U11)</f>
        <v>2.796636806902</v>
      </c>
      <c r="V30" s="206" t="n">
        <f aca="false">MIN(V29+U31,01_Supuestos!$I$103*V11)</f>
        <v>2.69653672315</v>
      </c>
      <c r="W30" s="206" t="n">
        <f aca="false">MIN(W29+V31,01_Supuestos!$I$103*W11)</f>
        <v>2.596436639398</v>
      </c>
      <c r="X30" s="206" t="n">
        <f aca="false">MIN(X29+W31,01_Supuestos!$I$103*X11)</f>
        <v>2.496336555646</v>
      </c>
      <c r="Y30" s="206" t="n">
        <f aca="false">MIN(Y29+X31,01_Supuestos!$I$103*Y11)</f>
        <v>2.396236471894</v>
      </c>
      <c r="Z30" s="206" t="n">
        <f aca="false">MIN(Z29+Y31,01_Supuestos!$I$103*Z11)</f>
        <v>2.296136388142</v>
      </c>
      <c r="AA30" s="206" t="n">
        <f aca="false">MIN(AA29+Z31,01_Supuestos!$I$103*AA11)</f>
        <v>2.19603630439</v>
      </c>
      <c r="AB30" s="206" t="n">
        <f aca="false">MIN(AB29+AA31,01_Supuestos!$I$103*AB11)</f>
        <v>2.095936220638</v>
      </c>
      <c r="AC30" s="206" t="n">
        <f aca="false">MIN(AC29+AB31,01_Supuestos!$I$103*AC11)</f>
        <v>1.995836136886</v>
      </c>
      <c r="AD30" s="206" t="n">
        <f aca="false">MIN(AD29+AC31,01_Supuestos!$I$103*AD11)</f>
        <v>1.895736053134</v>
      </c>
      <c r="AE30" s="206" t="n">
        <f aca="false">MIN(AE29+AD31,01_Supuestos!$I$103*AE11)</f>
        <v>1.795635969382</v>
      </c>
      <c r="AF30" s="206" t="n">
        <f aca="false">MIN(AF29+AE31,01_Supuestos!$I$103*AF11)</f>
        <v>1.69553588563</v>
      </c>
      <c r="AG30" s="206"/>
      <c r="AH30" s="206"/>
      <c r="AI30" s="206"/>
      <c r="AJ30" s="206"/>
      <c r="AK30" s="206"/>
      <c r="AL30" s="206"/>
      <c r="AM30" s="206"/>
      <c r="AN30" s="206"/>
      <c r="AO30" s="206"/>
      <c r="AP30" s="206"/>
      <c r="AQ30" s="206"/>
      <c r="AR30" s="206"/>
      <c r="AS30" s="206"/>
      <c r="AT30" s="206"/>
      <c r="AU30" s="206"/>
      <c r="AV30" s="206"/>
      <c r="AW30" s="206"/>
      <c r="AX30" s="206"/>
      <c r="AY30" s="206"/>
      <c r="AZ30" s="206"/>
      <c r="BA30" s="206"/>
      <c r="BB30" s="206"/>
      <c r="BC30" s="206"/>
      <c r="BD30" s="206"/>
      <c r="BE30" s="206"/>
      <c r="BF30" s="206"/>
      <c r="BG30" s="206"/>
      <c r="BH30" s="206"/>
      <c r="BI30" s="206"/>
      <c r="BJ30" s="206"/>
      <c r="BK30" s="206"/>
      <c r="BL30" s="206"/>
      <c r="BM30" s="206"/>
      <c r="BN30" s="206"/>
      <c r="BO30" s="206"/>
      <c r="BP30" s="206"/>
      <c r="BQ30" s="206"/>
      <c r="BR30" s="206"/>
      <c r="BS30" s="206"/>
      <c r="BT30" s="206"/>
    </row>
    <row r="31" customFormat="false" ht="14.25" hidden="false" customHeight="true" outlineLevel="0" collapsed="false">
      <c r="B31" s="204" t="s">
        <v>1625</v>
      </c>
      <c r="C31" s="206" t="n">
        <f aca="false">C29-C30</f>
        <v>40.52404</v>
      </c>
      <c r="D31" s="206" t="n">
        <f aca="false">C31+D29-D30</f>
        <v>57.505738</v>
      </c>
      <c r="E31" s="206" t="n">
        <f aca="false">D31+E29-E30</f>
        <v>69.29964175</v>
      </c>
      <c r="F31" s="206" t="n">
        <f aca="false">E31+F29-F30</f>
        <v>117.54658728625</v>
      </c>
      <c r="G31" s="206" t="n">
        <f aca="false">F31+G29-G30</f>
        <v>99.7492143838338</v>
      </c>
      <c r="H31" s="206" t="n">
        <f aca="false">G31+H29-H30</f>
        <v>81.5425019046619</v>
      </c>
      <c r="I31" s="206" t="n">
        <f aca="false">H31+I29-I30</f>
        <v>62.9170350384692</v>
      </c>
      <c r="J31" s="206" t="n">
        <f aca="false">I31+J29-J30</f>
        <v>43.863182434354</v>
      </c>
      <c r="K31" s="206" t="n">
        <f aca="false">J31+K29-K30</f>
        <v>24.3710912203441</v>
      </c>
      <c r="L31" s="206" t="n">
        <f aca="false">K31+L29-L30</f>
        <v>4.43068190841205</v>
      </c>
      <c r="M31" s="206" t="n">
        <f aca="false">L31+M29-M30</f>
        <v>0</v>
      </c>
      <c r="N31" s="206" t="n">
        <f aca="false">M31+N29-N30</f>
        <v>0</v>
      </c>
      <c r="O31" s="206" t="n">
        <f aca="false">N31+O29-O30</f>
        <v>0</v>
      </c>
      <c r="P31" s="206" t="n">
        <f aca="false">O31+P29-P30</f>
        <v>0</v>
      </c>
      <c r="Q31" s="206" t="n">
        <f aca="false">P31+Q29-Q30</f>
        <v>0</v>
      </c>
      <c r="R31" s="206" t="n">
        <f aca="false">Q31+R29-R30</f>
        <v>0</v>
      </c>
      <c r="S31" s="206" t="n">
        <f aca="false">R31+S29-S30</f>
        <v>0</v>
      </c>
      <c r="T31" s="206" t="n">
        <f aca="false">S31+T29-T30</f>
        <v>0</v>
      </c>
      <c r="U31" s="206" t="n">
        <f aca="false">T31+U29-U30</f>
        <v>0</v>
      </c>
      <c r="V31" s="206" t="n">
        <f aca="false">U31+V29-V30</f>
        <v>0</v>
      </c>
      <c r="W31" s="206" t="n">
        <f aca="false">V31+W29-W30</f>
        <v>0</v>
      </c>
      <c r="X31" s="206" t="n">
        <f aca="false">W31+X29-X30</f>
        <v>0</v>
      </c>
      <c r="Y31" s="206" t="n">
        <f aca="false">X31+Y29-Y30</f>
        <v>0</v>
      </c>
      <c r="Z31" s="206" t="n">
        <f aca="false">Y31+Z29-Z30</f>
        <v>0</v>
      </c>
      <c r="AA31" s="206" t="n">
        <f aca="false">Z31+AA29-AA30</f>
        <v>0</v>
      </c>
      <c r="AB31" s="206" t="n">
        <f aca="false">AA31+AB29-AB30</f>
        <v>0</v>
      </c>
      <c r="AC31" s="206" t="n">
        <f aca="false">AB31+AC29-AC30</f>
        <v>0</v>
      </c>
      <c r="AD31" s="206" t="n">
        <f aca="false">AC31+AD29-AD30</f>
        <v>0</v>
      </c>
      <c r="AE31" s="206" t="n">
        <f aca="false">AD31+AE29-AE30</f>
        <v>0</v>
      </c>
      <c r="AF31" s="206" t="n">
        <f aca="false">AE31+AF29-AF30</f>
        <v>0</v>
      </c>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6"/>
      <c r="BF31" s="206"/>
      <c r="BG31" s="206"/>
      <c r="BH31" s="206"/>
      <c r="BI31" s="206"/>
      <c r="BJ31" s="206"/>
      <c r="BK31" s="206"/>
      <c r="BL31" s="206"/>
      <c r="BM31" s="206"/>
      <c r="BN31" s="206"/>
      <c r="BO31" s="206"/>
      <c r="BP31" s="206"/>
      <c r="BQ31" s="206"/>
      <c r="BR31" s="206"/>
      <c r="BS31" s="206"/>
      <c r="BT31" s="206"/>
    </row>
    <row r="32" customFormat="false" ht="14.25" hidden="false" customHeight="true" outlineLevel="0" collapsed="false">
      <c r="B32" s="204" t="s">
        <v>1626</v>
      </c>
      <c r="C32" s="206" t="n">
        <f aca="false">C30</f>
        <v>16.25</v>
      </c>
      <c r="D32" s="206" t="n">
        <f aca="false">C32+D30</f>
        <v>32.87375</v>
      </c>
      <c r="E32" s="206" t="n">
        <f aca="false">D32+E30</f>
        <v>49.87984625</v>
      </c>
      <c r="F32" s="206" t="n">
        <f aca="false">E32+F30</f>
        <v>67.27708271375</v>
      </c>
      <c r="G32" s="206" t="n">
        <f aca="false">F32+G30</f>
        <v>85.0744556161662</v>
      </c>
      <c r="H32" s="206" t="n">
        <f aca="false">G32+H30</f>
        <v>103.281168095338</v>
      </c>
      <c r="I32" s="206" t="n">
        <f aca="false">H32+I30</f>
        <v>121.906634961531</v>
      </c>
      <c r="J32" s="206" t="n">
        <f aca="false">I32+J30</f>
        <v>140.960487565646</v>
      </c>
      <c r="K32" s="206" t="n">
        <f aca="false">J32+K30</f>
        <v>160.452578779656</v>
      </c>
      <c r="L32" s="206" t="n">
        <f aca="false">K32+L30</f>
        <v>180.392988091588</v>
      </c>
      <c r="M32" s="206" t="n">
        <f aca="false">L32+M30</f>
        <v>188.02070714191</v>
      </c>
      <c r="N32" s="206" t="n">
        <f aca="false">M32+N30</f>
        <v>191.21774428382</v>
      </c>
      <c r="O32" s="206" t="n">
        <f aca="false">N32+O30</f>
        <v>194.41478142573</v>
      </c>
      <c r="P32" s="206" t="n">
        <f aca="false">O32+P30</f>
        <v>197.61181856764</v>
      </c>
      <c r="Q32" s="206" t="n">
        <f aca="false">P32+Q30</f>
        <v>200.80885570955</v>
      </c>
      <c r="R32" s="206" t="n">
        <f aca="false">Q32+R30</f>
        <v>203.905792767708</v>
      </c>
      <c r="S32" s="206" t="n">
        <f aca="false">R32+S30</f>
        <v>206.902629742114</v>
      </c>
      <c r="T32" s="206" t="n">
        <f aca="false">S32+T30</f>
        <v>209.799366632768</v>
      </c>
      <c r="U32" s="206" t="n">
        <f aca="false">T32+U30</f>
        <v>212.59600343967</v>
      </c>
      <c r="V32" s="206" t="n">
        <f aca="false">U32+V30</f>
        <v>215.29254016282</v>
      </c>
      <c r="W32" s="206" t="n">
        <f aca="false">V32+W30</f>
        <v>217.888976802218</v>
      </c>
      <c r="X32" s="206" t="n">
        <f aca="false">W32+X30</f>
        <v>220.385313357864</v>
      </c>
      <c r="Y32" s="206" t="n">
        <f aca="false">X32+Y30</f>
        <v>222.781549829758</v>
      </c>
      <c r="Z32" s="206" t="n">
        <f aca="false">Y32+Z30</f>
        <v>225.0776862179</v>
      </c>
      <c r="AA32" s="206" t="n">
        <f aca="false">Z32+AA30</f>
        <v>227.27372252229</v>
      </c>
      <c r="AB32" s="206" t="n">
        <f aca="false">AA32+AB30</f>
        <v>229.369658742928</v>
      </c>
      <c r="AC32" s="206" t="n">
        <f aca="false">AB32+AC30</f>
        <v>231.365494879814</v>
      </c>
      <c r="AD32" s="206" t="n">
        <f aca="false">AC32+AD30</f>
        <v>233.261230932948</v>
      </c>
      <c r="AE32" s="206" t="n">
        <f aca="false">AD32+AE30</f>
        <v>235.05686690233</v>
      </c>
      <c r="AF32" s="206" t="n">
        <f aca="false">AE32+AF30</f>
        <v>236.75240278796</v>
      </c>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row>
    <row r="33" customFormat="false" ht="14.25" hidden="false" customHeight="true" outlineLevel="0" collapsed="false">
      <c r="B33" s="204" t="s">
        <v>1627</v>
      </c>
      <c r="C33" s="206" t="n">
        <f aca="false">C27</f>
        <v>0</v>
      </c>
      <c r="D33" s="206" t="n">
        <f aca="false">C33+D27</f>
        <v>0</v>
      </c>
      <c r="E33" s="206" t="n">
        <f aca="false">D33+E27</f>
        <v>0</v>
      </c>
      <c r="F33" s="206" t="n">
        <f aca="false">E33+F27</f>
        <v>0</v>
      </c>
      <c r="G33" s="206" t="n">
        <f aca="false">F33+G27</f>
        <v>0</v>
      </c>
      <c r="H33" s="206" t="n">
        <f aca="false">G33+H27</f>
        <v>0</v>
      </c>
      <c r="I33" s="206" t="n">
        <f aca="false">H33+I27</f>
        <v>0</v>
      </c>
      <c r="J33" s="206" t="n">
        <f aca="false">I33+J27</f>
        <v>0</v>
      </c>
      <c r="K33" s="206" t="n">
        <f aca="false">J33+K27</f>
        <v>0</v>
      </c>
      <c r="L33" s="206" t="n">
        <f aca="false">K33+L27</f>
        <v>0</v>
      </c>
      <c r="M33" s="206" t="n">
        <f aca="false">L33+M27</f>
        <v>0</v>
      </c>
      <c r="N33" s="206" t="n">
        <f aca="false">M33+N27</f>
        <v>0</v>
      </c>
      <c r="O33" s="206" t="n">
        <f aca="false">N33+O27</f>
        <v>0</v>
      </c>
      <c r="P33" s="206" t="n">
        <f aca="false">O33+P27</f>
        <v>0</v>
      </c>
      <c r="Q33" s="206" t="n">
        <f aca="false">P33+Q27</f>
        <v>0</v>
      </c>
      <c r="R33" s="206" t="n">
        <f aca="false">Q33+R27</f>
        <v>0</v>
      </c>
      <c r="S33" s="206" t="n">
        <f aca="false">R33+S27</f>
        <v>0</v>
      </c>
      <c r="T33" s="206" t="n">
        <f aca="false">S33+T27</f>
        <v>0</v>
      </c>
      <c r="U33" s="206" t="n">
        <f aca="false">T33+U27</f>
        <v>0</v>
      </c>
      <c r="V33" s="206" t="n">
        <f aca="false">U33+V27</f>
        <v>0</v>
      </c>
      <c r="W33" s="206" t="n">
        <f aca="false">V33+W27</f>
        <v>0</v>
      </c>
      <c r="X33" s="206" t="n">
        <f aca="false">W33+X27</f>
        <v>0</v>
      </c>
      <c r="Y33" s="206" t="n">
        <f aca="false">X33+Y27</f>
        <v>0</v>
      </c>
      <c r="Z33" s="206" t="n">
        <f aca="false">Y33+Z27</f>
        <v>0</v>
      </c>
      <c r="AA33" s="206" t="n">
        <f aca="false">Z33+AA27</f>
        <v>0</v>
      </c>
      <c r="AB33" s="206" t="n">
        <f aca="false">AA33+AB27</f>
        <v>0</v>
      </c>
      <c r="AC33" s="206" t="n">
        <f aca="false">AB33+AC27</f>
        <v>0</v>
      </c>
      <c r="AD33" s="206" t="n">
        <f aca="false">AC33+AD27</f>
        <v>0</v>
      </c>
      <c r="AE33" s="206" t="n">
        <f aca="false">AD33+AE27</f>
        <v>0</v>
      </c>
      <c r="AF33" s="206" t="n">
        <f aca="false">AE33+AF27</f>
        <v>0</v>
      </c>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c r="BS33" s="206"/>
      <c r="BT33" s="206"/>
    </row>
    <row r="34" customFormat="false" ht="14.25" hidden="false" customHeight="true" outlineLevel="0" collapsed="false">
      <c r="B34" s="132" t="s">
        <v>1628</v>
      </c>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33"/>
      <c r="BI34" s="133"/>
      <c r="BJ34" s="133"/>
      <c r="BK34" s="133"/>
      <c r="BL34" s="133"/>
      <c r="BM34" s="133"/>
      <c r="BN34" s="133"/>
      <c r="BO34" s="133"/>
      <c r="BP34" s="133"/>
      <c r="BQ34" s="133"/>
      <c r="BR34" s="133"/>
      <c r="BS34" s="133"/>
      <c r="BT34" s="133"/>
    </row>
    <row r="35" customFormat="false" ht="14.25" hidden="false" customHeight="true" outlineLevel="0" collapsed="false">
      <c r="B35" s="204" t="s">
        <v>1629</v>
      </c>
      <c r="C35" s="206" t="n">
        <f aca="false">C22+C33</f>
        <v>56.77404</v>
      </c>
      <c r="D35" s="206" t="n">
        <f aca="false">D22+D33+C52</f>
        <v>90.379488</v>
      </c>
      <c r="E35" s="206" t="n">
        <f aca="false">E22+E33+D52</f>
        <v>119.179488</v>
      </c>
      <c r="F35" s="206" t="n">
        <f aca="false">F22+F33+E52</f>
        <v>215.74070714191</v>
      </c>
      <c r="G35" s="206" t="n">
        <f aca="false">G22+G33+F52</f>
        <v>220.25774428382</v>
      </c>
      <c r="H35" s="206" t="n">
        <f aca="false">H22+H33+G52</f>
        <v>224.77478142573</v>
      </c>
      <c r="I35" s="206" t="n">
        <f aca="false">I22+I33+H52</f>
        <v>229.29181856764</v>
      </c>
      <c r="J35" s="206" t="n">
        <f aca="false">J22+J33+I52</f>
        <v>233.80885570955</v>
      </c>
      <c r="K35" s="206" t="n">
        <f aca="false">K22+K33+J52</f>
        <v>238.32589285146</v>
      </c>
      <c r="L35" s="206" t="n">
        <f aca="false">L22+L33+K52</f>
        <v>242.84292999337</v>
      </c>
      <c r="M35" s="206" t="n">
        <f aca="false">M22+M33+L52</f>
        <v>247.35996713528</v>
      </c>
      <c r="N35" s="206" t="n">
        <f aca="false">N22+N33+M52</f>
        <v>251.87700427719</v>
      </c>
      <c r="O35" s="206" t="n">
        <f aca="false">O22+O33+N52</f>
        <v>256.3940414191</v>
      </c>
      <c r="P35" s="206" t="n">
        <f aca="false">P22+P33+O52</f>
        <v>260.91107856101</v>
      </c>
      <c r="Q35" s="206" t="n">
        <f aca="false">Q22+Q33+P52</f>
        <v>265.42811570292</v>
      </c>
      <c r="R35" s="206" t="n">
        <f aca="false">R22+R33+Q52</f>
        <v>269.845052761078</v>
      </c>
      <c r="S35" s="206" t="n">
        <f aca="false">S22+S33+R52</f>
        <v>274.161889735484</v>
      </c>
      <c r="T35" s="206" t="n">
        <f aca="false">T22+T33+S52</f>
        <v>278.378626626138</v>
      </c>
      <c r="U35" s="206" t="n">
        <f aca="false">U22+U33+T52</f>
        <v>282.49526343304</v>
      </c>
      <c r="V35" s="206" t="n">
        <f aca="false">V22+V33+U52</f>
        <v>286.51180015619</v>
      </c>
      <c r="W35" s="206" t="n">
        <f aca="false">W22+W33+V52</f>
        <v>290.428236795588</v>
      </c>
      <c r="X35" s="206" t="n">
        <f aca="false">X22+X33+W52</f>
        <v>294.244573351234</v>
      </c>
      <c r="Y35" s="206" t="n">
        <f aca="false">Y22+Y33+X52</f>
        <v>297.960809823128</v>
      </c>
      <c r="Z35" s="206" t="n">
        <f aca="false">Z22+Z33+Y52</f>
        <v>301.57694621127</v>
      </c>
      <c r="AA35" s="206" t="n">
        <f aca="false">AA22+AA33+Z52</f>
        <v>305.09298251566</v>
      </c>
      <c r="AB35" s="206" t="n">
        <f aca="false">AB22+AB33+AA52</f>
        <v>308.508918736298</v>
      </c>
      <c r="AC35" s="206" t="n">
        <f aca="false">AC22+AC33+AB52</f>
        <v>311.824754873184</v>
      </c>
      <c r="AD35" s="206" t="n">
        <f aca="false">AD22+AD33+AC52</f>
        <v>315.040490926318</v>
      </c>
      <c r="AE35" s="206" t="n">
        <f aca="false">AE22+AE33+AD52</f>
        <v>318.1561268957</v>
      </c>
      <c r="AF35" s="206" t="n">
        <f aca="false">AF22+AF33+AE52</f>
        <v>321.17166278133</v>
      </c>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row>
    <row r="36" customFormat="false" ht="14.25" hidden="false" customHeight="true" outlineLevel="0" collapsed="false">
      <c r="B36" s="204" t="s">
        <v>1630</v>
      </c>
      <c r="C36" s="206" t="n">
        <f aca="false">C35-C31</f>
        <v>16.25</v>
      </c>
      <c r="D36" s="206" t="n">
        <f aca="false">D35-D31</f>
        <v>32.87375</v>
      </c>
      <c r="E36" s="206" t="n">
        <f aca="false">E35-E31</f>
        <v>49.87984625</v>
      </c>
      <c r="F36" s="206" t="n">
        <f aca="false">F35-F31</f>
        <v>98.19411985566</v>
      </c>
      <c r="G36" s="206" t="n">
        <f aca="false">G35-G31</f>
        <v>120.508529899986</v>
      </c>
      <c r="H36" s="206" t="n">
        <f aca="false">H35-H31</f>
        <v>143.232279521068</v>
      </c>
      <c r="I36" s="206" t="n">
        <f aca="false">I35-I31</f>
        <v>166.374783529171</v>
      </c>
      <c r="J36" s="206" t="n">
        <f aca="false">J35-J31</f>
        <v>189.945673275196</v>
      </c>
      <c r="K36" s="206" t="n">
        <f aca="false">K35-K31</f>
        <v>213.954801631116</v>
      </c>
      <c r="L36" s="206" t="n">
        <f aca="false">L35-L31</f>
        <v>238.412248084958</v>
      </c>
      <c r="M36" s="206" t="n">
        <f aca="false">M35-M31</f>
        <v>247.35996713528</v>
      </c>
      <c r="N36" s="206" t="n">
        <f aca="false">N35-N31</f>
        <v>251.87700427719</v>
      </c>
      <c r="O36" s="206" t="n">
        <f aca="false">O35-O31</f>
        <v>256.3940414191</v>
      </c>
      <c r="P36" s="206" t="n">
        <f aca="false">P35-P31</f>
        <v>260.91107856101</v>
      </c>
      <c r="Q36" s="206" t="n">
        <f aca="false">Q35-Q31</f>
        <v>265.42811570292</v>
      </c>
      <c r="R36" s="206" t="n">
        <f aca="false">R35-R31</f>
        <v>269.845052761078</v>
      </c>
      <c r="S36" s="206" t="n">
        <f aca="false">S35-S31</f>
        <v>274.161889735484</v>
      </c>
      <c r="T36" s="206" t="n">
        <f aca="false">T35-T31</f>
        <v>278.378626626138</v>
      </c>
      <c r="U36" s="206" t="n">
        <f aca="false">U35-U31</f>
        <v>282.49526343304</v>
      </c>
      <c r="V36" s="206" t="n">
        <f aca="false">V35-V31</f>
        <v>286.51180015619</v>
      </c>
      <c r="W36" s="206" t="n">
        <f aca="false">W35-W31</f>
        <v>290.428236795588</v>
      </c>
      <c r="X36" s="206" t="n">
        <f aca="false">X35-X31</f>
        <v>294.244573351234</v>
      </c>
      <c r="Y36" s="206" t="n">
        <f aca="false">Y35-Y31</f>
        <v>297.960809823128</v>
      </c>
      <c r="Z36" s="206" t="n">
        <f aca="false">Z35-Z31</f>
        <v>301.57694621127</v>
      </c>
      <c r="AA36" s="206" t="n">
        <f aca="false">AA35-AA31</f>
        <v>305.09298251566</v>
      </c>
      <c r="AB36" s="206" t="n">
        <f aca="false">AB35-AB31</f>
        <v>308.508918736298</v>
      </c>
      <c r="AC36" s="206" t="n">
        <f aca="false">AC35-AC31</f>
        <v>311.824754873184</v>
      </c>
      <c r="AD36" s="206" t="n">
        <f aca="false">AD35-AD31</f>
        <v>315.040490926318</v>
      </c>
      <c r="AE36" s="206" t="n">
        <f aca="false">AE35-AE31</f>
        <v>318.1561268957</v>
      </c>
      <c r="AF36" s="206" t="n">
        <f aca="false">AF35-AF31</f>
        <v>321.17166278133</v>
      </c>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row>
    <row r="37" customFormat="false" ht="23.25" hidden="false" customHeight="true" outlineLevel="0" collapsed="false">
      <c r="B37" s="204" t="s">
        <v>1631</v>
      </c>
      <c r="C37" s="206" t="n">
        <f aca="false">IF(01_Supuestos!$I$114="Intocable",C36*$C$6*((1-01_Supuestos!$I$117-01_Supuestos!$I$119)*01_Supuestos!$I$100+01_Supuestos!$I$117*01_Supuestos!$I$118+01_Supuestos!$I$119*01_Supuestos!$I$120),C36*$C$6*01_Supuestos!$I$100)</f>
        <v>0.28153125</v>
      </c>
      <c r="D37" s="206" t="n">
        <f aca="false">IF(01_Supuestos!$I$114="Intocable",D36*$C$6*((1-01_Supuestos!$I$117-01_Supuestos!$I$119)*01_Supuestos!$I$100+01_Supuestos!$I$117*01_Supuestos!$I$118+01_Supuestos!$I$119*01_Supuestos!$I$120),D36*$C$6*01_Supuestos!$I$100)</f>
        <v>0.56953771875</v>
      </c>
      <c r="E37" s="206" t="n">
        <f aca="false">IF(01_Supuestos!$I$114="Intocable",E36*$C$6*((1-01_Supuestos!$I$117-01_Supuestos!$I$119)*01_Supuestos!$I$100+01_Supuestos!$I$117*01_Supuestos!$I$118+01_Supuestos!$I$119*01_Supuestos!$I$120),E36*$C$6*01_Supuestos!$I$100)</f>
        <v>0.86416833628125</v>
      </c>
      <c r="F37" s="206" t="n">
        <f aca="false">IF(01_Supuestos!$I$114="Intocable",F36*$C$6*((1-01_Supuestos!$I$117-01_Supuestos!$I$119)*01_Supuestos!$I$100+01_Supuestos!$I$117*01_Supuestos!$I$118+01_Supuestos!$I$119*01_Supuestos!$I$120),F36*$C$6*01_Supuestos!$I$100)</f>
        <v>1.70121312649931</v>
      </c>
      <c r="G37" s="206" t="n">
        <f aca="false">IF(01_Supuestos!$I$114="Intocable",G36*$C$6*((1-01_Supuestos!$I$117-01_Supuestos!$I$119)*01_Supuestos!$I$100+01_Supuestos!$I$117*01_Supuestos!$I$118+01_Supuestos!$I$119*01_Supuestos!$I$120),G36*$C$6*01_Supuestos!$I$100)</f>
        <v>2.08781028051726</v>
      </c>
      <c r="H37" s="206" t="n">
        <f aca="false">IF(01_Supuestos!$I$114="Intocable",H36*$C$6*((1-01_Supuestos!$I$117-01_Supuestos!$I$119)*01_Supuestos!$I$100+01_Supuestos!$I$117*01_Supuestos!$I$118+01_Supuestos!$I$119*01_Supuestos!$I$120),H36*$C$6*01_Supuestos!$I$100)</f>
        <v>2.4814992427025</v>
      </c>
      <c r="I37" s="206" t="n">
        <f aca="false">IF(01_Supuestos!$I$114="Intocable",I36*$C$6*((1-01_Supuestos!$I$117-01_Supuestos!$I$119)*01_Supuestos!$I$100+01_Supuestos!$I$117*01_Supuestos!$I$118+01_Supuestos!$I$119*01_Supuestos!$I$120),I36*$C$6*01_Supuestos!$I$100)</f>
        <v>2.88244312464288</v>
      </c>
      <c r="J37" s="206" t="n">
        <f aca="false">IF(01_Supuestos!$I$114="Intocable",J36*$C$6*((1-01_Supuestos!$I$117-01_Supuestos!$I$119)*01_Supuestos!$I$100+01_Supuestos!$I$117*01_Supuestos!$I$118+01_Supuestos!$I$119*01_Supuestos!$I$120),J36*$C$6*01_Supuestos!$I$100)</f>
        <v>3.29080878949277</v>
      </c>
      <c r="K37" s="206" t="n">
        <f aca="false">IF(01_Supuestos!$I$114="Intocable",K36*$C$6*((1-01_Supuestos!$I$117-01_Supuestos!$I$119)*01_Supuestos!$I$100+01_Supuestos!$I$117*01_Supuestos!$I$118+01_Supuestos!$I$119*01_Supuestos!$I$120),K36*$C$6*01_Supuestos!$I$100)</f>
        <v>3.70676693825908</v>
      </c>
      <c r="L37" s="206" t="n">
        <f aca="false">IF(01_Supuestos!$I$114="Intocable",L36*$C$6*((1-01_Supuestos!$I$117-01_Supuestos!$I$119)*01_Supuestos!$I$100+01_Supuestos!$I$117*01_Supuestos!$I$118+01_Supuestos!$I$119*01_Supuestos!$I$120),L36*$C$6*01_Supuestos!$I$100)</f>
        <v>4.13049219807189</v>
      </c>
      <c r="M37" s="206" t="n">
        <f aca="false">IF(01_Supuestos!$I$114="Intocable",M36*$C$6*((1-01_Supuestos!$I$117-01_Supuestos!$I$119)*01_Supuestos!$I$100+01_Supuestos!$I$117*01_Supuestos!$I$118+01_Supuestos!$I$119*01_Supuestos!$I$120),M36*$C$6*01_Supuestos!$I$100)</f>
        <v>4.28551143061872</v>
      </c>
      <c r="N37" s="206" t="n">
        <f aca="false">IF(01_Supuestos!$I$114="Intocable",N36*$C$6*((1-01_Supuestos!$I$117-01_Supuestos!$I$119)*01_Supuestos!$I$100+01_Supuestos!$I$117*01_Supuestos!$I$118+01_Supuestos!$I$119*01_Supuestos!$I$120),N36*$C$6*01_Supuestos!$I$100)</f>
        <v>4.36376909910231</v>
      </c>
      <c r="O37" s="206" t="n">
        <f aca="false">IF(01_Supuestos!$I$114="Intocable",O36*$C$6*((1-01_Supuestos!$I$117-01_Supuestos!$I$119)*01_Supuestos!$I$100+01_Supuestos!$I$117*01_Supuestos!$I$118+01_Supuestos!$I$119*01_Supuestos!$I$120),O36*$C$6*01_Supuestos!$I$100)</f>
        <v>4.4420267675859</v>
      </c>
      <c r="P37" s="206" t="n">
        <f aca="false">IF(01_Supuestos!$I$114="Intocable",P36*$C$6*((1-01_Supuestos!$I$117-01_Supuestos!$I$119)*01_Supuestos!$I$100+01_Supuestos!$I$117*01_Supuestos!$I$118+01_Supuestos!$I$119*01_Supuestos!$I$120),P36*$C$6*01_Supuestos!$I$100)</f>
        <v>4.5202844360695</v>
      </c>
      <c r="Q37" s="206" t="n">
        <f aca="false">IF(01_Supuestos!$I$114="Intocable",Q36*$C$6*((1-01_Supuestos!$I$117-01_Supuestos!$I$119)*01_Supuestos!$I$100+01_Supuestos!$I$117*01_Supuestos!$I$118+01_Supuestos!$I$119*01_Supuestos!$I$120),Q36*$C$6*01_Supuestos!$I$100)</f>
        <v>4.59854210455309</v>
      </c>
      <c r="R37" s="206" t="n">
        <f aca="false">IF(01_Supuestos!$I$114="Intocable",R36*$C$6*((1-01_Supuestos!$I$117-01_Supuestos!$I$119)*01_Supuestos!$I$100+01_Supuestos!$I$117*01_Supuestos!$I$118+01_Supuestos!$I$119*01_Supuestos!$I$120),R36*$C$6*01_Supuestos!$I$100)</f>
        <v>4.67506553908567</v>
      </c>
      <c r="S37" s="206" t="n">
        <f aca="false">IF(01_Supuestos!$I$114="Intocable",S36*$C$6*((1-01_Supuestos!$I$117-01_Supuestos!$I$119)*01_Supuestos!$I$100+01_Supuestos!$I$117*01_Supuestos!$I$118+01_Supuestos!$I$119*01_Supuestos!$I$120),S36*$C$6*01_Supuestos!$I$100)</f>
        <v>4.74985473966726</v>
      </c>
      <c r="T37" s="206" t="n">
        <f aca="false">IF(01_Supuestos!$I$114="Intocable",T36*$C$6*((1-01_Supuestos!$I$117-01_Supuestos!$I$119)*01_Supuestos!$I$100+01_Supuestos!$I$117*01_Supuestos!$I$118+01_Supuestos!$I$119*01_Supuestos!$I$120),T36*$C$6*01_Supuestos!$I$100)</f>
        <v>4.82290970629784</v>
      </c>
      <c r="U37" s="206" t="n">
        <f aca="false">IF(01_Supuestos!$I$114="Intocable",U36*$C$6*((1-01_Supuestos!$I$117-01_Supuestos!$I$119)*01_Supuestos!$I$100+01_Supuestos!$I$117*01_Supuestos!$I$118+01_Supuestos!$I$119*01_Supuestos!$I$120),U36*$C$6*01_Supuestos!$I$100)</f>
        <v>4.89423043897741</v>
      </c>
      <c r="V37" s="206" t="n">
        <f aca="false">IF(01_Supuestos!$I$114="Intocable",V36*$C$6*((1-01_Supuestos!$I$117-01_Supuestos!$I$119)*01_Supuestos!$I$100+01_Supuestos!$I$117*01_Supuestos!$I$118+01_Supuestos!$I$119*01_Supuestos!$I$120),V36*$C$6*01_Supuestos!$I$100)</f>
        <v>4.96381693770599</v>
      </c>
      <c r="W37" s="206" t="n">
        <f aca="false">IF(01_Supuestos!$I$114="Intocable",W36*$C$6*((1-01_Supuestos!$I$117-01_Supuestos!$I$119)*01_Supuestos!$I$100+01_Supuestos!$I$117*01_Supuestos!$I$118+01_Supuestos!$I$119*01_Supuestos!$I$120),W36*$C$6*01_Supuestos!$I$100)</f>
        <v>5.03166920248356</v>
      </c>
      <c r="X37" s="206" t="n">
        <f aca="false">IF(01_Supuestos!$I$114="Intocable",X36*$C$6*((1-01_Supuestos!$I$117-01_Supuestos!$I$119)*01_Supuestos!$I$100+01_Supuestos!$I$117*01_Supuestos!$I$118+01_Supuestos!$I$119*01_Supuestos!$I$120),X36*$C$6*01_Supuestos!$I$100)</f>
        <v>5.09778723331013</v>
      </c>
      <c r="Y37" s="206" t="n">
        <f aca="false">IF(01_Supuestos!$I$114="Intocable",Y36*$C$6*((1-01_Supuestos!$I$117-01_Supuestos!$I$119)*01_Supuestos!$I$100+01_Supuestos!$I$117*01_Supuestos!$I$118+01_Supuestos!$I$119*01_Supuestos!$I$120),Y36*$C$6*01_Supuestos!$I$100)</f>
        <v>5.16217103018569</v>
      </c>
      <c r="Z37" s="206" t="n">
        <f aca="false">IF(01_Supuestos!$I$114="Intocable",Z36*$C$6*((1-01_Supuestos!$I$117-01_Supuestos!$I$119)*01_Supuestos!$I$100+01_Supuestos!$I$117*01_Supuestos!$I$118+01_Supuestos!$I$119*01_Supuestos!$I$120),Z36*$C$6*01_Supuestos!$I$100)</f>
        <v>5.22482059311025</v>
      </c>
      <c r="AA37" s="206" t="n">
        <f aca="false">IF(01_Supuestos!$I$114="Intocable",AA36*$C$6*((1-01_Supuestos!$I$117-01_Supuestos!$I$119)*01_Supuestos!$I$100+01_Supuestos!$I$117*01_Supuestos!$I$118+01_Supuestos!$I$119*01_Supuestos!$I$120),AA36*$C$6*01_Supuestos!$I$100)</f>
        <v>5.28573592208381</v>
      </c>
      <c r="AB37" s="206" t="n">
        <f aca="false">IF(01_Supuestos!$I$114="Intocable",AB36*$C$6*((1-01_Supuestos!$I$117-01_Supuestos!$I$119)*01_Supuestos!$I$100+01_Supuestos!$I$117*01_Supuestos!$I$118+01_Supuestos!$I$119*01_Supuestos!$I$120),AB36*$C$6*01_Supuestos!$I$100)</f>
        <v>5.34491701710636</v>
      </c>
      <c r="AC37" s="206" t="n">
        <f aca="false">IF(01_Supuestos!$I$114="Intocable",AC36*$C$6*((1-01_Supuestos!$I$117-01_Supuestos!$I$119)*01_Supuestos!$I$100+01_Supuestos!$I$117*01_Supuestos!$I$118+01_Supuestos!$I$119*01_Supuestos!$I$120),AC36*$C$6*01_Supuestos!$I$100)</f>
        <v>5.40236387817791</v>
      </c>
      <c r="AD37" s="206" t="n">
        <f aca="false">IF(01_Supuestos!$I$114="Intocable",AD36*$C$6*((1-01_Supuestos!$I$117-01_Supuestos!$I$119)*01_Supuestos!$I$100+01_Supuestos!$I$117*01_Supuestos!$I$118+01_Supuestos!$I$119*01_Supuestos!$I$120),AD36*$C$6*01_Supuestos!$I$100)</f>
        <v>5.45807650529846</v>
      </c>
      <c r="AE37" s="206" t="n">
        <f aca="false">IF(01_Supuestos!$I$114="Intocable",AE36*$C$6*((1-01_Supuestos!$I$117-01_Supuestos!$I$119)*01_Supuestos!$I$100+01_Supuestos!$I$117*01_Supuestos!$I$118+01_Supuestos!$I$119*01_Supuestos!$I$120),AE36*$C$6*01_Supuestos!$I$100)</f>
        <v>5.512054898468</v>
      </c>
      <c r="AF37" s="206" t="n">
        <f aca="false">IF(01_Supuestos!$I$114="Intocable",AF36*$C$6*((1-01_Supuestos!$I$117-01_Supuestos!$I$119)*01_Supuestos!$I$100+01_Supuestos!$I$117*01_Supuestos!$I$118+01_Supuestos!$I$119*01_Supuestos!$I$120),AF36*$C$6*01_Supuestos!$I$100)</f>
        <v>5.56429905768654</v>
      </c>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c r="BP37" s="206"/>
      <c r="BQ37" s="206"/>
      <c r="BR37" s="206"/>
      <c r="BS37" s="206"/>
      <c r="BT37" s="206"/>
    </row>
    <row r="38" customFormat="false" ht="14.25" hidden="false" customHeight="true" outlineLevel="0" collapsed="false">
      <c r="B38" s="204" t="s">
        <v>1632</v>
      </c>
      <c r="C38" s="206" t="n">
        <f aca="false">C36*$F$6*01_Supuestos!$I$95</f>
        <v>0.170625</v>
      </c>
      <c r="D38" s="206" t="n">
        <f aca="false">D36*$F$6*01_Supuestos!$I$95</f>
        <v>0.345174375</v>
      </c>
      <c r="E38" s="206" t="n">
        <f aca="false">E36*$F$6*01_Supuestos!$I$95</f>
        <v>0.523738385625</v>
      </c>
      <c r="F38" s="206" t="n">
        <f aca="false">F36*$F$6*01_Supuestos!$I$95</f>
        <v>1.03103825848443</v>
      </c>
      <c r="G38" s="206" t="n">
        <f aca="false">G36*$F$6*01_Supuestos!$I$95</f>
        <v>1.26533956394986</v>
      </c>
      <c r="H38" s="206" t="n">
        <f aca="false">H36*$F$6*01_Supuestos!$I$95</f>
        <v>1.50393893497121</v>
      </c>
      <c r="I38" s="206" t="n">
        <f aca="false">I36*$F$6*01_Supuestos!$I$95</f>
        <v>1.74693522705629</v>
      </c>
      <c r="J38" s="206" t="n">
        <f aca="false">J36*$F$6*01_Supuestos!$I$95</f>
        <v>1.99442956938956</v>
      </c>
      <c r="K38" s="206" t="n">
        <f aca="false">K36*$F$6*01_Supuestos!$I$95</f>
        <v>2.24652541712672</v>
      </c>
      <c r="L38" s="206" t="n">
        <f aca="false">L36*$F$6*01_Supuestos!$I$95</f>
        <v>2.50332860489206</v>
      </c>
      <c r="M38" s="206" t="n">
        <f aca="false">M36*$F$6*01_Supuestos!$I$95</f>
        <v>2.59727965492044</v>
      </c>
      <c r="N38" s="206" t="n">
        <f aca="false">N36*$F$6*01_Supuestos!$I$95</f>
        <v>2.64470854491049</v>
      </c>
      <c r="O38" s="206" t="n">
        <f aca="false">O36*$F$6*01_Supuestos!$I$95</f>
        <v>2.69213743490055</v>
      </c>
      <c r="P38" s="206" t="n">
        <f aca="false">P36*$F$6*01_Supuestos!$I$95</f>
        <v>2.7395663248906</v>
      </c>
      <c r="Q38" s="206" t="n">
        <f aca="false">Q36*$F$6*01_Supuestos!$I$95</f>
        <v>2.78699521488066</v>
      </c>
      <c r="R38" s="206" t="n">
        <f aca="false">R36*$F$6*01_Supuestos!$I$95</f>
        <v>2.83337305399132</v>
      </c>
      <c r="S38" s="206" t="n">
        <f aca="false">S36*$F$6*01_Supuestos!$I$95</f>
        <v>2.87869984222258</v>
      </c>
      <c r="T38" s="206" t="n">
        <f aca="false">T36*$F$6*01_Supuestos!$I$95</f>
        <v>2.92297557957445</v>
      </c>
      <c r="U38" s="206" t="n">
        <f aca="false">U36*$F$6*01_Supuestos!$I$95</f>
        <v>2.96620026604692</v>
      </c>
      <c r="V38" s="206" t="n">
        <f aca="false">V36*$F$6*01_Supuestos!$I$95</f>
        <v>3.00837390163999</v>
      </c>
      <c r="W38" s="206" t="n">
        <f aca="false">W36*$F$6*01_Supuestos!$I$95</f>
        <v>3.04949648635367</v>
      </c>
      <c r="X38" s="206" t="n">
        <f aca="false">X36*$F$6*01_Supuestos!$I$95</f>
        <v>3.08956802018796</v>
      </c>
      <c r="Y38" s="206" t="n">
        <f aca="false">Y36*$F$6*01_Supuestos!$I$95</f>
        <v>3.12858850314284</v>
      </c>
      <c r="Z38" s="206" t="n">
        <f aca="false">Z36*$F$6*01_Supuestos!$I$95</f>
        <v>3.16655793521833</v>
      </c>
      <c r="AA38" s="206" t="n">
        <f aca="false">AA36*$F$6*01_Supuestos!$I$95</f>
        <v>3.20347631641443</v>
      </c>
      <c r="AB38" s="206" t="n">
        <f aca="false">AB36*$F$6*01_Supuestos!$I$95</f>
        <v>3.23934364673113</v>
      </c>
      <c r="AC38" s="206" t="n">
        <f aca="false">AC36*$F$6*01_Supuestos!$I$95</f>
        <v>3.27415992616843</v>
      </c>
      <c r="AD38" s="206" t="n">
        <f aca="false">AD36*$F$6*01_Supuestos!$I$95</f>
        <v>3.30792515472634</v>
      </c>
      <c r="AE38" s="206" t="n">
        <f aca="false">AE36*$F$6*01_Supuestos!$I$95</f>
        <v>3.34063933240485</v>
      </c>
      <c r="AF38" s="206" t="n">
        <f aca="false">AF36*$F$6*01_Supuestos!$I$95</f>
        <v>3.37230245920396</v>
      </c>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c r="BK38" s="206"/>
      <c r="BL38" s="206"/>
      <c r="BM38" s="206"/>
      <c r="BN38" s="206"/>
      <c r="BO38" s="206"/>
      <c r="BP38" s="206"/>
      <c r="BQ38" s="206"/>
      <c r="BR38" s="206"/>
      <c r="BS38" s="206"/>
      <c r="BT38" s="206"/>
    </row>
    <row r="39" customFormat="false" ht="14.25" hidden="false" customHeight="true" outlineLevel="0" collapsed="false">
      <c r="B39" s="204" t="s">
        <v>1633</v>
      </c>
      <c r="C39" s="206" t="n">
        <f aca="false">IF(01_Supuestos!$I$114="Intocable",C36*$I$6*01_Supuestos!$I$115,C36*$C$7*01_Supuestos!$I$101)</f>
        <v>0.040625</v>
      </c>
      <c r="D39" s="206" t="n">
        <f aca="false">IF(01_Supuestos!$I$114="Intocable",D36*$I$6*01_Supuestos!$I$115,D36*$C$7*01_Supuestos!$I$101)</f>
        <v>0.082184375</v>
      </c>
      <c r="E39" s="206" t="n">
        <f aca="false">IF(01_Supuestos!$I$114="Intocable",E36*$I$6*01_Supuestos!$I$115,E36*$C$7*01_Supuestos!$I$101)</f>
        <v>0.124699615625</v>
      </c>
      <c r="F39" s="206" t="n">
        <f aca="false">IF(01_Supuestos!$I$114="Intocable",F36*$I$6*01_Supuestos!$I$115,F36*$C$7*01_Supuestos!$I$101)</f>
        <v>0.24548529963915</v>
      </c>
      <c r="G39" s="206" t="n">
        <f aca="false">IF(01_Supuestos!$I$114="Intocable",G36*$I$6*01_Supuestos!$I$115,G36*$C$7*01_Supuestos!$I$101)</f>
        <v>0.301271324749966</v>
      </c>
      <c r="H39" s="206" t="n">
        <f aca="false">IF(01_Supuestos!$I$114="Intocable",H36*$I$6*01_Supuestos!$I$115,H36*$C$7*01_Supuestos!$I$101)</f>
        <v>0.35808069880267</v>
      </c>
      <c r="I39" s="206" t="n">
        <f aca="false">IF(01_Supuestos!$I$114="Intocable",I36*$I$6*01_Supuestos!$I$115,I36*$C$7*01_Supuestos!$I$101)</f>
        <v>0.415936958822927</v>
      </c>
      <c r="J39" s="206" t="n">
        <f aca="false">IF(01_Supuestos!$I$114="Intocable",J36*$I$6*01_Supuestos!$I$115,J36*$C$7*01_Supuestos!$I$101)</f>
        <v>0.47486418318799</v>
      </c>
      <c r="K39" s="206" t="n">
        <f aca="false">IF(01_Supuestos!$I$114="Intocable",K36*$I$6*01_Supuestos!$I$115,K36*$C$7*01_Supuestos!$I$101)</f>
        <v>0.53488700407779</v>
      </c>
      <c r="L39" s="206" t="n">
        <f aca="false">IF(01_Supuestos!$I$114="Intocable",L36*$I$6*01_Supuestos!$I$115,L36*$C$7*01_Supuestos!$I$101)</f>
        <v>0.596030620212395</v>
      </c>
      <c r="M39" s="206" t="n">
        <f aca="false">IF(01_Supuestos!$I$114="Intocable",M36*$I$6*01_Supuestos!$I$115,M36*$C$7*01_Supuestos!$I$101)</f>
        <v>0.6183999178382</v>
      </c>
      <c r="N39" s="206" t="n">
        <f aca="false">IF(01_Supuestos!$I$114="Intocable",N36*$I$6*01_Supuestos!$I$115,N36*$C$7*01_Supuestos!$I$101)</f>
        <v>0.629692510692975</v>
      </c>
      <c r="O39" s="206" t="n">
        <f aca="false">IF(01_Supuestos!$I$114="Intocable",O36*$I$6*01_Supuestos!$I$115,O36*$C$7*01_Supuestos!$I$101)</f>
        <v>0.64098510354775</v>
      </c>
      <c r="P39" s="206" t="n">
        <f aca="false">IF(01_Supuestos!$I$114="Intocable",P36*$I$6*01_Supuestos!$I$115,P36*$C$7*01_Supuestos!$I$101)</f>
        <v>0.652277696402525</v>
      </c>
      <c r="Q39" s="206" t="n">
        <f aca="false">IF(01_Supuestos!$I$114="Intocable",Q36*$I$6*01_Supuestos!$I$115,Q36*$C$7*01_Supuestos!$I$101)</f>
        <v>0.6635702892573</v>
      </c>
      <c r="R39" s="206" t="n">
        <f aca="false">IF(01_Supuestos!$I$114="Intocable",R36*$I$6*01_Supuestos!$I$115,R36*$C$7*01_Supuestos!$I$101)</f>
        <v>0.674612631902695</v>
      </c>
      <c r="S39" s="206" t="n">
        <f aca="false">IF(01_Supuestos!$I$114="Intocable",S36*$I$6*01_Supuestos!$I$115,S36*$C$7*01_Supuestos!$I$101)</f>
        <v>0.68540472433871</v>
      </c>
      <c r="T39" s="206" t="n">
        <f aca="false">IF(01_Supuestos!$I$114="Intocable",T36*$I$6*01_Supuestos!$I$115,T36*$C$7*01_Supuestos!$I$101)</f>
        <v>0.695946566565345</v>
      </c>
      <c r="U39" s="206" t="n">
        <f aca="false">IF(01_Supuestos!$I$114="Intocable",U36*$I$6*01_Supuestos!$I$115,U36*$C$7*01_Supuestos!$I$101)</f>
        <v>0.7062381585826</v>
      </c>
      <c r="V39" s="206" t="n">
        <f aca="false">IF(01_Supuestos!$I$114="Intocable",V36*$I$6*01_Supuestos!$I$115,V36*$C$7*01_Supuestos!$I$101)</f>
        <v>0.716279500390475</v>
      </c>
      <c r="W39" s="206" t="n">
        <f aca="false">IF(01_Supuestos!$I$114="Intocable",W36*$I$6*01_Supuestos!$I$115,W36*$C$7*01_Supuestos!$I$101)</f>
        <v>0.72607059198897</v>
      </c>
      <c r="X39" s="206" t="n">
        <f aca="false">IF(01_Supuestos!$I$114="Intocable",X36*$I$6*01_Supuestos!$I$115,X36*$C$7*01_Supuestos!$I$101)</f>
        <v>0.735611433378085</v>
      </c>
      <c r="Y39" s="206" t="n">
        <f aca="false">IF(01_Supuestos!$I$114="Intocable",Y36*$I$6*01_Supuestos!$I$115,Y36*$C$7*01_Supuestos!$I$101)</f>
        <v>0.74490202455782</v>
      </c>
      <c r="Z39" s="206" t="n">
        <f aca="false">IF(01_Supuestos!$I$114="Intocable",Z36*$I$6*01_Supuestos!$I$115,Z36*$C$7*01_Supuestos!$I$101)</f>
        <v>0.753942365528175</v>
      </c>
      <c r="AA39" s="206" t="n">
        <f aca="false">IF(01_Supuestos!$I$114="Intocable",AA36*$I$6*01_Supuestos!$I$115,AA36*$C$7*01_Supuestos!$I$101)</f>
        <v>0.76273245628915</v>
      </c>
      <c r="AB39" s="206" t="n">
        <f aca="false">IF(01_Supuestos!$I$114="Intocable",AB36*$I$6*01_Supuestos!$I$115,AB36*$C$7*01_Supuestos!$I$101)</f>
        <v>0.771272296840745</v>
      </c>
      <c r="AC39" s="206" t="n">
        <f aca="false">IF(01_Supuestos!$I$114="Intocable",AC36*$I$6*01_Supuestos!$I$115,AC36*$C$7*01_Supuestos!$I$101)</f>
        <v>0.77956188718296</v>
      </c>
      <c r="AD39" s="206" t="n">
        <f aca="false">IF(01_Supuestos!$I$114="Intocable",AD36*$I$6*01_Supuestos!$I$115,AD36*$C$7*01_Supuestos!$I$101)</f>
        <v>0.787601227315794</v>
      </c>
      <c r="AE39" s="206" t="n">
        <f aca="false">IF(01_Supuestos!$I$114="Intocable",AE36*$I$6*01_Supuestos!$I$115,AE36*$C$7*01_Supuestos!$I$101)</f>
        <v>0.795390317239249</v>
      </c>
      <c r="AF39" s="206" t="n">
        <f aca="false">IF(01_Supuestos!$I$114="Intocable",AF36*$I$6*01_Supuestos!$I$115,AF36*$C$7*01_Supuestos!$I$101)</f>
        <v>0.802929156953325</v>
      </c>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c r="BK39" s="206"/>
      <c r="BL39" s="206"/>
      <c r="BM39" s="206"/>
      <c r="BN39" s="206"/>
      <c r="BO39" s="206"/>
      <c r="BP39" s="206"/>
      <c r="BQ39" s="206"/>
      <c r="BR39" s="206"/>
      <c r="BS39" s="206"/>
      <c r="BT39" s="206"/>
    </row>
    <row r="40" customFormat="false" ht="14.25" hidden="false" customHeight="true" outlineLevel="0" collapsed="false">
      <c r="B40" s="204" t="s">
        <v>1634</v>
      </c>
      <c r="C40" s="206" t="n">
        <f aca="false">0</f>
        <v>0</v>
      </c>
      <c r="D40" s="206" t="n">
        <f aca="false">0</f>
        <v>0</v>
      </c>
      <c r="E40" s="206" t="n">
        <f aca="false">0</f>
        <v>0</v>
      </c>
      <c r="F40" s="206" t="n">
        <f aca="false">0</f>
        <v>0</v>
      </c>
      <c r="G40" s="206" t="n">
        <f aca="false">0</f>
        <v>0</v>
      </c>
      <c r="H40" s="206" t="n">
        <f aca="false">0</f>
        <v>0</v>
      </c>
      <c r="I40" s="206" t="n">
        <f aca="false">0</f>
        <v>0</v>
      </c>
      <c r="J40" s="206" t="n">
        <f aca="false">0</f>
        <v>0</v>
      </c>
      <c r="K40" s="206" t="n">
        <f aca="false">0</f>
        <v>0</v>
      </c>
      <c r="L40" s="206" t="n">
        <f aca="false">0</f>
        <v>0</v>
      </c>
      <c r="M40" s="206" t="n">
        <f aca="false">0</f>
        <v>0</v>
      </c>
      <c r="N40" s="206" t="n">
        <f aca="false">0</f>
        <v>0</v>
      </c>
      <c r="O40" s="206" t="n">
        <f aca="false">0</f>
        <v>0</v>
      </c>
      <c r="P40" s="206" t="n">
        <f aca="false">0</f>
        <v>0</v>
      </c>
      <c r="Q40" s="206" t="n">
        <f aca="false">0</f>
        <v>0</v>
      </c>
      <c r="R40" s="206" t="n">
        <f aca="false">0</f>
        <v>0</v>
      </c>
      <c r="S40" s="206" t="n">
        <f aca="false">0</f>
        <v>0</v>
      </c>
      <c r="T40" s="206" t="n">
        <f aca="false">0</f>
        <v>0</v>
      </c>
      <c r="U40" s="206" t="n">
        <f aca="false">0</f>
        <v>0</v>
      </c>
      <c r="V40" s="206" t="n">
        <f aca="false">0</f>
        <v>0</v>
      </c>
      <c r="W40" s="206" t="n">
        <f aca="false">0</f>
        <v>0</v>
      </c>
      <c r="X40" s="206" t="n">
        <f aca="false">0</f>
        <v>0</v>
      </c>
      <c r="Y40" s="206" t="n">
        <f aca="false">0</f>
        <v>0</v>
      </c>
      <c r="Z40" s="206" t="n">
        <f aca="false">0</f>
        <v>0</v>
      </c>
      <c r="AA40" s="206" t="n">
        <f aca="false">0</f>
        <v>0</v>
      </c>
      <c r="AB40" s="206" t="n">
        <f aca="false">0</f>
        <v>0</v>
      </c>
      <c r="AC40" s="206" t="n">
        <f aca="false">0</f>
        <v>0</v>
      </c>
      <c r="AD40" s="206" t="n">
        <f aca="false">0</f>
        <v>0</v>
      </c>
      <c r="AE40" s="206" t="n">
        <f aca="false">0</f>
        <v>0</v>
      </c>
      <c r="AF40" s="206" t="n">
        <f aca="false">0</f>
        <v>0</v>
      </c>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6"/>
      <c r="BD40" s="206"/>
      <c r="BE40" s="206"/>
      <c r="BF40" s="206"/>
      <c r="BG40" s="206"/>
      <c r="BH40" s="206"/>
      <c r="BI40" s="206"/>
      <c r="BJ40" s="206"/>
      <c r="BK40" s="206"/>
      <c r="BL40" s="206"/>
      <c r="BM40" s="206"/>
      <c r="BN40" s="206"/>
      <c r="BO40" s="206"/>
      <c r="BP40" s="206"/>
      <c r="BQ40" s="206"/>
      <c r="BR40" s="206"/>
      <c r="BS40" s="206"/>
      <c r="BT40" s="206"/>
    </row>
    <row r="41" customFormat="false" ht="14.25" hidden="false" customHeight="true" outlineLevel="0" collapsed="false">
      <c r="B41" s="208" t="s">
        <v>1635</v>
      </c>
      <c r="C41" s="138" t="n">
        <f aca="false">SUM(C37:C40)</f>
        <v>0.49278125</v>
      </c>
      <c r="D41" s="138" t="n">
        <f aca="false">SUM(D37:D40)</f>
        <v>0.99689646875</v>
      </c>
      <c r="E41" s="138" t="n">
        <f aca="false">SUM(E37:E40)</f>
        <v>1.51260633753125</v>
      </c>
      <c r="F41" s="138" t="n">
        <f aca="false">SUM(F37:F40)</f>
        <v>2.97773668462289</v>
      </c>
      <c r="G41" s="138" t="n">
        <f aca="false">SUM(G37:G40)</f>
        <v>3.65442116921708</v>
      </c>
      <c r="H41" s="138" t="n">
        <f aca="false">SUM(H37:H40)</f>
        <v>4.34351887647639</v>
      </c>
      <c r="I41" s="138" t="n">
        <f aca="false">SUM(I37:I40)</f>
        <v>5.0453153105221</v>
      </c>
      <c r="J41" s="138" t="n">
        <f aca="false">SUM(J37:J40)</f>
        <v>5.76010254207032</v>
      </c>
      <c r="K41" s="138" t="n">
        <f aca="false">SUM(K37:K40)</f>
        <v>6.48817935946359</v>
      </c>
      <c r="L41" s="138" t="n">
        <f aca="false">SUM(L37:L40)</f>
        <v>7.22985142317635</v>
      </c>
      <c r="M41" s="138" t="n">
        <f aca="false">SUM(M37:M40)</f>
        <v>7.50119100337736</v>
      </c>
      <c r="N41" s="138" t="n">
        <f aca="false">SUM(N37:N40)</f>
        <v>7.63817015470578</v>
      </c>
      <c r="O41" s="138" t="n">
        <f aca="false">SUM(O37:O40)</f>
        <v>7.7751493060342</v>
      </c>
      <c r="P41" s="138" t="n">
        <f aca="false">SUM(P37:P40)</f>
        <v>7.91212845736262</v>
      </c>
      <c r="Q41" s="138" t="n">
        <f aca="false">SUM(Q37:Q40)</f>
        <v>8.04910760869104</v>
      </c>
      <c r="R41" s="138" t="n">
        <f aca="false">SUM(R37:R40)</f>
        <v>8.18305122497969</v>
      </c>
      <c r="S41" s="138" t="n">
        <f aca="false">SUM(S37:S40)</f>
        <v>8.31395930622855</v>
      </c>
      <c r="T41" s="138" t="n">
        <f aca="false">SUM(T37:T40)</f>
        <v>8.44183185243763</v>
      </c>
      <c r="U41" s="138" t="n">
        <f aca="false">SUM(U37:U40)</f>
        <v>8.56666886360693</v>
      </c>
      <c r="V41" s="138" t="n">
        <f aca="false">SUM(V37:V40)</f>
        <v>8.68847033973646</v>
      </c>
      <c r="W41" s="138" t="n">
        <f aca="false">SUM(W37:W40)</f>
        <v>8.8072362808262</v>
      </c>
      <c r="X41" s="138" t="n">
        <f aca="false">SUM(X37:X40)</f>
        <v>8.92296668687617</v>
      </c>
      <c r="Y41" s="138" t="n">
        <f aca="false">SUM(Y37:Y40)</f>
        <v>9.03566155788635</v>
      </c>
      <c r="Z41" s="138" t="n">
        <f aca="false">SUM(Z37:Z40)</f>
        <v>9.14532089385676</v>
      </c>
      <c r="AA41" s="138" t="n">
        <f aca="false">SUM(AA37:AA40)</f>
        <v>9.25194469478738</v>
      </c>
      <c r="AB41" s="138" t="n">
        <f aca="false">SUM(AB37:AB40)</f>
        <v>9.35553296067823</v>
      </c>
      <c r="AC41" s="138" t="n">
        <f aca="false">SUM(AC37:AC40)</f>
        <v>9.4560856915293</v>
      </c>
      <c r="AD41" s="138" t="n">
        <f aca="false">SUM(AD37:AD40)</f>
        <v>9.55360288734059</v>
      </c>
      <c r="AE41" s="138" t="n">
        <f aca="false">SUM(AE37:AE40)</f>
        <v>9.6480845481121</v>
      </c>
      <c r="AF41" s="138" t="n">
        <f aca="false">SUM(AF37:AF40)</f>
        <v>9.73953067384382</v>
      </c>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c r="BN41" s="138"/>
      <c r="BO41" s="138"/>
      <c r="BP41" s="138"/>
      <c r="BQ41" s="138"/>
      <c r="BR41" s="138"/>
      <c r="BS41" s="138"/>
      <c r="BT41" s="138"/>
    </row>
    <row r="42" customFormat="false" ht="26.25" hidden="false" customHeight="true" outlineLevel="0" collapsed="false">
      <c r="B42" s="204" t="s">
        <v>1636</v>
      </c>
      <c r="C42" s="206" t="n">
        <f aca="false">0</f>
        <v>0</v>
      </c>
      <c r="D42" s="206" t="n">
        <f aca="false">IF(C51&gt;=0,C51*$L$7,C51*01_Supuestos!$I$101)</f>
        <v>0.1926934367</v>
      </c>
      <c r="E42" s="206" t="n">
        <f aca="false">IF(D51&gt;=0,D51*$L$7,D51*01_Supuestos!$I$101)</f>
        <v>0.375093320974763</v>
      </c>
      <c r="F42" s="206" t="n">
        <f aca="false">IF(E51&gt;=0,E51*$L$7,E51*01_Supuestos!$I$101)</f>
        <v>0.549699452853475</v>
      </c>
      <c r="G42" s="206" t="n">
        <f aca="false">IF(F51&gt;=0,F51*$L$7,F51*01_Supuestos!$I$101)</f>
        <v>0.657735686635681</v>
      </c>
      <c r="H42" s="206" t="n">
        <f aca="false">IF(G51&gt;=0,G51*$L$7,G51*01_Supuestos!$I$101)</f>
        <v>0.771304206476726</v>
      </c>
      <c r="I42" s="206" t="n">
        <f aca="false">IF(H51&gt;=0,H51*$L$7,H51*01_Supuestos!$I$101)</f>
        <v>0.890571573267179</v>
      </c>
      <c r="J42" s="206" t="n">
        <f aca="false">IF(I51&gt;=0,I51*$L$7,I51*01_Supuestos!$I$101)</f>
        <v>1.01570857198121</v>
      </c>
      <c r="K42" s="206" t="n">
        <f aca="false">IF(J51&gt;=0,J51*$L$7,J51*01_Supuestos!$I$101)</f>
        <v>1.14689031276233</v>
      </c>
      <c r="L42" s="206" t="n">
        <f aca="false">IF(K51&gt;=0,K51*$L$7,K51*01_Supuestos!$I$101)</f>
        <v>1.28429633437346</v>
      </c>
      <c r="M42" s="206" t="n">
        <f aca="false">IF(L51&gt;=0,L51*$L$7,L51*01_Supuestos!$I$101)</f>
        <v>1.428110710066</v>
      </c>
      <c r="N42" s="206" t="n">
        <f aca="false">IF(M51&gt;=0,M51*$L$7,M51*01_Supuestos!$I$101)</f>
        <v>1.40015312637795</v>
      </c>
      <c r="O42" s="206" t="n">
        <f aca="false">IF(N51&gt;=0,N51*$L$7,N51*01_Supuestos!$I$101)</f>
        <v>1.37153145448782</v>
      </c>
      <c r="P42" s="206" t="n">
        <f aca="false">IF(O51&gt;=0,O51*$L$7,O51*01_Supuestos!$I$101)</f>
        <v>1.34223905351356</v>
      </c>
      <c r="Q42" s="206" t="n">
        <f aca="false">IF(P51&gt;=0,P51*$L$7,P51*01_Supuestos!$I$101)</f>
        <v>1.31226921616435</v>
      </c>
      <c r="R42" s="206" t="n">
        <f aca="false">IF(Q51&gt;=0,Q51*$L$7,Q51*01_Supuestos!$I$101)</f>
        <v>1.28161516807643</v>
      </c>
      <c r="S42" s="206" t="n">
        <f aca="false">IF(R51&gt;=0,R51*$L$7,R51*01_Supuestos!$I$101)</f>
        <v>1.2502949169882</v>
      </c>
      <c r="T42" s="206" t="n">
        <f aca="false">IF(S51&gt;=0,S51*$L$7,S51*01_Supuestos!$I$101)</f>
        <v>1.21832665071546</v>
      </c>
      <c r="U42" s="206" t="n">
        <f aca="false">IF(T51&gt;=0,T51*$L$7,T51*01_Supuestos!$I$101)</f>
        <v>1.18572873895215</v>
      </c>
      <c r="V42" s="206" t="n">
        <f aca="false">IF(U51&gt;=0,U51*$L$7,U51*01_Supuestos!$I$101)</f>
        <v>1.15251973508915</v>
      </c>
      <c r="W42" s="206" t="n">
        <f aca="false">IF(V51&gt;=0,V51*$L$7,V51*01_Supuestos!$I$101)</f>
        <v>1.11871837805127</v>
      </c>
      <c r="X42" s="206" t="n">
        <f aca="false">IF(W51&gt;=0,W51*$L$7,W51*01_Supuestos!$I$101)</f>
        <v>1.08360675204728</v>
      </c>
      <c r="Y42" s="206" t="n">
        <f aca="false">IF(X51&gt;=0,X51*$L$7,X51*01_Supuestos!$I$101)</f>
        <v>1.04719660423331</v>
      </c>
      <c r="Z42" s="206" t="n">
        <f aca="false">IF(Y51&gt;=0,Y51*$L$7,Y51*01_Supuestos!$I$101)</f>
        <v>1.00949979923705</v>
      </c>
      <c r="AA42" s="206" t="n">
        <f aca="false">IF(Z51&gt;=0,Z51*$L$7,Z51*01_Supuestos!$I$101)</f>
        <v>0.970528320332473</v>
      </c>
      <c r="AB42" s="206" t="n">
        <f aca="false">IF(AA51&gt;=0,AA51*$L$7,AA51*01_Supuestos!$I$101)</f>
        <v>0.930294270626285</v>
      </c>
      <c r="AC42" s="206" t="n">
        <f aca="false">IF(AB51&gt;=0,AB51*$L$7,AB51*01_Supuestos!$I$101)</f>
        <v>0.888809874256262</v>
      </c>
      <c r="AD42" s="206" t="n">
        <f aca="false">IF(AC51&gt;=0,AC51*$L$7,AC51*01_Supuestos!$I$101)</f>
        <v>0.846087477601556</v>
      </c>
      <c r="AE42" s="206" t="n">
        <f aca="false">IF(AD51&gt;=0,AD51*$L$7,AD51*01_Supuestos!$I$101)</f>
        <v>0.802139550505114</v>
      </c>
      <c r="AF42" s="206" t="n">
        <f aca="false">IF(AE51&gt;=0,AE51*$L$7,AE51*01_Supuestos!$I$101)</f>
        <v>0.756978687508307</v>
      </c>
      <c r="AG42" s="206"/>
      <c r="AH42" s="206"/>
      <c r="AI42" s="206"/>
      <c r="AJ42" s="206"/>
      <c r="AK42" s="206"/>
      <c r="AL42" s="206"/>
      <c r="AM42" s="206"/>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06"/>
      <c r="BJ42" s="206"/>
      <c r="BK42" s="206"/>
      <c r="BL42" s="206"/>
      <c r="BM42" s="206"/>
      <c r="BN42" s="206"/>
      <c r="BO42" s="206"/>
      <c r="BP42" s="206"/>
      <c r="BQ42" s="206"/>
      <c r="BR42" s="206"/>
      <c r="BS42" s="206"/>
      <c r="BT42" s="206"/>
    </row>
    <row r="43" customFormat="false" ht="14.25" hidden="false" customHeight="true" outlineLevel="0" collapsed="false">
      <c r="B43" s="132" t="s">
        <v>1637</v>
      </c>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c r="BH43" s="133"/>
      <c r="BI43" s="133"/>
      <c r="BJ43" s="133"/>
      <c r="BK43" s="133"/>
      <c r="BL43" s="133"/>
      <c r="BM43" s="133"/>
      <c r="BN43" s="133"/>
      <c r="BO43" s="133"/>
      <c r="BP43" s="133"/>
      <c r="BQ43" s="133"/>
      <c r="BR43" s="133"/>
      <c r="BS43" s="133"/>
      <c r="BT43" s="133"/>
    </row>
    <row r="44" customFormat="false" ht="14.25" hidden="false" customHeight="true" outlineLevel="0" collapsed="false">
      <c r="B44" s="208" t="s">
        <v>1638</v>
      </c>
      <c r="C44" s="138" t="n">
        <f aca="false">C22*01_Supuestos!$I$107</f>
        <v>2.838702</v>
      </c>
      <c r="D44" s="138" t="n">
        <f aca="false">D22*01_Supuestos!$I$107</f>
        <v>4.5189744</v>
      </c>
      <c r="E44" s="138" t="n">
        <f aca="false">E22*01_Supuestos!$I$107</f>
        <v>5.9589744</v>
      </c>
      <c r="F44" s="138" t="n">
        <f aca="false">F22*01_Supuestos!$I$107</f>
        <v>10.7870353570955</v>
      </c>
      <c r="G44" s="138" t="n">
        <f aca="false">G22*01_Supuestos!$I$107</f>
        <v>11.012887214191</v>
      </c>
      <c r="H44" s="138" t="n">
        <f aca="false">H22*01_Supuestos!$I$107</f>
        <v>11.2387390712865</v>
      </c>
      <c r="I44" s="138" t="n">
        <f aca="false">I22*01_Supuestos!$I$107</f>
        <v>11.464590928382</v>
      </c>
      <c r="J44" s="138" t="n">
        <f aca="false">J22*01_Supuestos!$I$107</f>
        <v>11.6904427854775</v>
      </c>
      <c r="K44" s="138" t="n">
        <f aca="false">K22*01_Supuestos!$I$107</f>
        <v>11.916294642573</v>
      </c>
      <c r="L44" s="138" t="n">
        <f aca="false">L22*01_Supuestos!$I$107</f>
        <v>12.1421464996685</v>
      </c>
      <c r="M44" s="138" t="n">
        <f aca="false">M22*01_Supuestos!$I$107</f>
        <v>12.367998356764</v>
      </c>
      <c r="N44" s="138" t="n">
        <f aca="false">N22*01_Supuestos!$I$107</f>
        <v>12.5938502138595</v>
      </c>
      <c r="O44" s="138" t="n">
        <f aca="false">O22*01_Supuestos!$I$107</f>
        <v>12.819702070955</v>
      </c>
      <c r="P44" s="138" t="n">
        <f aca="false">P22*01_Supuestos!$I$107</f>
        <v>13.0455539280505</v>
      </c>
      <c r="Q44" s="138" t="n">
        <f aca="false">Q22*01_Supuestos!$I$107</f>
        <v>13.271405785146</v>
      </c>
      <c r="R44" s="138" t="n">
        <f aca="false">R22*01_Supuestos!$I$107</f>
        <v>13.4922526380539</v>
      </c>
      <c r="S44" s="138" t="n">
        <f aca="false">S22*01_Supuestos!$I$107</f>
        <v>13.7080944867742</v>
      </c>
      <c r="T44" s="138" t="n">
        <f aca="false">T22*01_Supuestos!$I$107</f>
        <v>13.9189313313069</v>
      </c>
      <c r="U44" s="138" t="n">
        <f aca="false">U22*01_Supuestos!$I$107</f>
        <v>14.124763171652</v>
      </c>
      <c r="V44" s="138" t="n">
        <f aca="false">V22*01_Supuestos!$I$107</f>
        <v>14.3255900078095</v>
      </c>
      <c r="W44" s="138" t="n">
        <f aca="false">W22*01_Supuestos!$I$107</f>
        <v>14.5214118397794</v>
      </c>
      <c r="X44" s="138" t="n">
        <f aca="false">X22*01_Supuestos!$I$107</f>
        <v>14.7122286675617</v>
      </c>
      <c r="Y44" s="138" t="n">
        <f aca="false">Y22*01_Supuestos!$I$107</f>
        <v>14.8980404911564</v>
      </c>
      <c r="Z44" s="138" t="n">
        <f aca="false">Z22*01_Supuestos!$I$107</f>
        <v>15.0788473105635</v>
      </c>
      <c r="AA44" s="138" t="n">
        <f aca="false">AA22*01_Supuestos!$I$107</f>
        <v>15.254649125783</v>
      </c>
      <c r="AB44" s="138" t="n">
        <f aca="false">AB22*01_Supuestos!$I$107</f>
        <v>15.4254459368149</v>
      </c>
      <c r="AC44" s="138" t="n">
        <f aca="false">AC22*01_Supuestos!$I$107</f>
        <v>15.5912377436592</v>
      </c>
      <c r="AD44" s="138" t="n">
        <f aca="false">AD22*01_Supuestos!$I$107</f>
        <v>15.7520245463159</v>
      </c>
      <c r="AE44" s="138" t="n">
        <f aca="false">AE22*01_Supuestos!$I$107</f>
        <v>15.907806344785</v>
      </c>
      <c r="AF44" s="138" t="n">
        <f aca="false">AF22*01_Supuestos!$I$107</f>
        <v>16.0585831390665</v>
      </c>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c r="BN44" s="138"/>
      <c r="BO44" s="138"/>
      <c r="BP44" s="138"/>
      <c r="BQ44" s="138"/>
      <c r="BR44" s="138"/>
      <c r="BS44" s="138"/>
      <c r="BT44" s="138"/>
    </row>
    <row r="45" customFormat="false" ht="14.25" hidden="false" customHeight="true" outlineLevel="0" collapsed="false">
      <c r="B45" s="204" t="s">
        <v>1639</v>
      </c>
      <c r="C45" s="206" t="n">
        <f aca="false">C35*01_Supuestos!$I$98</f>
        <v>0.11354808</v>
      </c>
      <c r="D45" s="206" t="n">
        <f aca="false">D35*01_Supuestos!$I$98</f>
        <v>0.180758976</v>
      </c>
      <c r="E45" s="206" t="n">
        <f aca="false">E35*01_Supuestos!$I$98</f>
        <v>0.238358976</v>
      </c>
      <c r="F45" s="206" t="n">
        <f aca="false">F35*01_Supuestos!$I$98</f>
        <v>0.43148141428382</v>
      </c>
      <c r="G45" s="206" t="n">
        <f aca="false">G35*01_Supuestos!$I$98</f>
        <v>0.44051548856764</v>
      </c>
      <c r="H45" s="206" t="n">
        <f aca="false">H35*01_Supuestos!$I$98</f>
        <v>0.44954956285146</v>
      </c>
      <c r="I45" s="206" t="n">
        <f aca="false">I35*01_Supuestos!$I$98</f>
        <v>0.45858363713528</v>
      </c>
      <c r="J45" s="206" t="n">
        <f aca="false">J35*01_Supuestos!$I$98</f>
        <v>0.4676177114191</v>
      </c>
      <c r="K45" s="206" t="n">
        <f aca="false">K35*01_Supuestos!$I$98</f>
        <v>0.47665178570292</v>
      </c>
      <c r="L45" s="206" t="n">
        <f aca="false">L35*01_Supuestos!$I$98</f>
        <v>0.48568585998674</v>
      </c>
      <c r="M45" s="206" t="n">
        <f aca="false">M35*01_Supuestos!$I$98</f>
        <v>0.49471993427056</v>
      </c>
      <c r="N45" s="206" t="n">
        <f aca="false">N35*01_Supuestos!$I$98</f>
        <v>0.50375400855438</v>
      </c>
      <c r="O45" s="206" t="n">
        <f aca="false">O35*01_Supuestos!$I$98</f>
        <v>0.5127880828382</v>
      </c>
      <c r="P45" s="206" t="n">
        <f aca="false">P35*01_Supuestos!$I$98</f>
        <v>0.52182215712202</v>
      </c>
      <c r="Q45" s="206" t="n">
        <f aca="false">Q35*01_Supuestos!$I$98</f>
        <v>0.53085623140584</v>
      </c>
      <c r="R45" s="206" t="n">
        <f aca="false">R35*01_Supuestos!$I$98</f>
        <v>0.539690105522156</v>
      </c>
      <c r="S45" s="206" t="n">
        <f aca="false">S35*01_Supuestos!$I$98</f>
        <v>0.548323779470968</v>
      </c>
      <c r="T45" s="206" t="n">
        <f aca="false">T35*01_Supuestos!$I$98</f>
        <v>0.556757253252276</v>
      </c>
      <c r="U45" s="206" t="n">
        <f aca="false">U35*01_Supuestos!$I$98</f>
        <v>0.56499052686608</v>
      </c>
      <c r="V45" s="206" t="n">
        <f aca="false">V35*01_Supuestos!$I$98</f>
        <v>0.57302360031238</v>
      </c>
      <c r="W45" s="206" t="n">
        <f aca="false">W35*01_Supuestos!$I$98</f>
        <v>0.580856473591176</v>
      </c>
      <c r="X45" s="206" t="n">
        <f aca="false">X35*01_Supuestos!$I$98</f>
        <v>0.588489146702468</v>
      </c>
      <c r="Y45" s="206" t="n">
        <f aca="false">Y35*01_Supuestos!$I$98</f>
        <v>0.595921619646256</v>
      </c>
      <c r="Z45" s="206" t="n">
        <f aca="false">Z35*01_Supuestos!$I$98</f>
        <v>0.60315389242254</v>
      </c>
      <c r="AA45" s="206" t="n">
        <f aca="false">AA35*01_Supuestos!$I$98</f>
        <v>0.61018596503132</v>
      </c>
      <c r="AB45" s="206" t="n">
        <f aca="false">AB35*01_Supuestos!$I$98</f>
        <v>0.617017837472596</v>
      </c>
      <c r="AC45" s="206" t="n">
        <f aca="false">AC35*01_Supuestos!$I$98</f>
        <v>0.623649509746368</v>
      </c>
      <c r="AD45" s="206" t="n">
        <f aca="false">AD35*01_Supuestos!$I$98</f>
        <v>0.630080981852635</v>
      </c>
      <c r="AE45" s="206" t="n">
        <f aca="false">AE35*01_Supuestos!$I$98</f>
        <v>0.636312253791399</v>
      </c>
      <c r="AF45" s="206" t="n">
        <f aca="false">AF35*01_Supuestos!$I$98</f>
        <v>0.642343325562659</v>
      </c>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206"/>
      <c r="BO45" s="206"/>
      <c r="BP45" s="206"/>
      <c r="BQ45" s="206"/>
      <c r="BR45" s="206"/>
      <c r="BS45" s="206"/>
      <c r="BT45" s="206"/>
    </row>
    <row r="46" customFormat="false" ht="14.25" hidden="false" customHeight="true" outlineLevel="0" collapsed="false">
      <c r="B46" s="204" t="s">
        <v>1640</v>
      </c>
      <c r="C46" s="206" t="n">
        <f aca="false">C36*$C$6*01_Supuestos!$I$99*IF(01_Supuestos!$I$114="Intocable",1-01_Supuestos!$I$117-01_Supuestos!$I$119,1)</f>
        <v>0.0511875</v>
      </c>
      <c r="D46" s="206" t="n">
        <f aca="false">D36*$C$6*01_Supuestos!$I$99*IF(01_Supuestos!$I$114="Intocable",1-01_Supuestos!$I$117-01_Supuestos!$I$119,1)</f>
        <v>0.1035523125</v>
      </c>
      <c r="E46" s="206" t="n">
        <f aca="false">E36*$C$6*01_Supuestos!$I$99*IF(01_Supuestos!$I$114="Intocable",1-01_Supuestos!$I$117-01_Supuestos!$I$119,1)</f>
        <v>0.1571215156875</v>
      </c>
      <c r="F46" s="206" t="n">
        <f aca="false">F36*$C$6*01_Supuestos!$I$99*IF(01_Supuestos!$I$114="Intocable",1-01_Supuestos!$I$117-01_Supuestos!$I$119,1)</f>
        <v>0.309311477545329</v>
      </c>
      <c r="G46" s="206" t="n">
        <f aca="false">G36*$C$6*01_Supuestos!$I$99*IF(01_Supuestos!$I$114="Intocable",1-01_Supuestos!$I$117-01_Supuestos!$I$119,1)</f>
        <v>0.379601869184957</v>
      </c>
      <c r="H46" s="206" t="n">
        <f aca="false">H36*$C$6*01_Supuestos!$I$99*IF(01_Supuestos!$I$114="Intocable",1-01_Supuestos!$I$117-01_Supuestos!$I$119,1)</f>
        <v>0.451181680491364</v>
      </c>
      <c r="I46" s="206" t="n">
        <f aca="false">I36*$C$6*01_Supuestos!$I$99*IF(01_Supuestos!$I$114="Intocable",1-01_Supuestos!$I$117-01_Supuestos!$I$119,1)</f>
        <v>0.524080568116888</v>
      </c>
      <c r="J46" s="206" t="n">
        <f aca="false">J36*$C$6*01_Supuestos!$I$99*IF(01_Supuestos!$I$114="Intocable",1-01_Supuestos!$I$117-01_Supuestos!$I$119,1)</f>
        <v>0.598328870816867</v>
      </c>
      <c r="K46" s="206" t="n">
        <f aca="false">K36*$C$6*01_Supuestos!$I$99*IF(01_Supuestos!$I$114="Intocable",1-01_Supuestos!$I$117-01_Supuestos!$I$119,1)</f>
        <v>0.673957625138015</v>
      </c>
      <c r="L46" s="206" t="n">
        <f aca="false">L36*$C$6*01_Supuestos!$I$99*IF(01_Supuestos!$I$114="Intocable",1-01_Supuestos!$I$117-01_Supuestos!$I$119,1)</f>
        <v>0.750998581467617</v>
      </c>
      <c r="M46" s="206" t="n">
        <f aca="false">M36*$C$6*01_Supuestos!$I$99*IF(01_Supuestos!$I$114="Intocable",1-01_Supuestos!$I$117-01_Supuestos!$I$119,1)</f>
        <v>0.779183896476132</v>
      </c>
      <c r="N46" s="206" t="n">
        <f aca="false">N36*$C$6*01_Supuestos!$I$99*IF(01_Supuestos!$I$114="Intocable",1-01_Supuestos!$I$117-01_Supuestos!$I$119,1)</f>
        <v>0.793412563473148</v>
      </c>
      <c r="O46" s="206" t="n">
        <f aca="false">O36*$C$6*01_Supuestos!$I$99*IF(01_Supuestos!$I$114="Intocable",1-01_Supuestos!$I$117-01_Supuestos!$I$119,1)</f>
        <v>0.807641230470165</v>
      </c>
      <c r="P46" s="206" t="n">
        <f aca="false">P36*$C$6*01_Supuestos!$I$99*IF(01_Supuestos!$I$114="Intocable",1-01_Supuestos!$I$117-01_Supuestos!$I$119,1)</f>
        <v>0.821869897467181</v>
      </c>
      <c r="Q46" s="206" t="n">
        <f aca="false">Q36*$C$6*01_Supuestos!$I$99*IF(01_Supuestos!$I$114="Intocable",1-01_Supuestos!$I$117-01_Supuestos!$I$119,1)</f>
        <v>0.836098564464198</v>
      </c>
      <c r="R46" s="206" t="n">
        <f aca="false">R36*$C$6*01_Supuestos!$I$99*IF(01_Supuestos!$I$114="Intocable",1-01_Supuestos!$I$117-01_Supuestos!$I$119,1)</f>
        <v>0.850011916197395</v>
      </c>
      <c r="S46" s="206" t="n">
        <f aca="false">S36*$C$6*01_Supuestos!$I$99*IF(01_Supuestos!$I$114="Intocable",1-01_Supuestos!$I$117-01_Supuestos!$I$119,1)</f>
        <v>0.863609952666774</v>
      </c>
      <c r="T46" s="206" t="n">
        <f aca="false">T36*$C$6*01_Supuestos!$I$99*IF(01_Supuestos!$I$114="Intocable",1-01_Supuestos!$I$117-01_Supuestos!$I$119,1)</f>
        <v>0.876892673872334</v>
      </c>
      <c r="U46" s="206" t="n">
        <f aca="false">U36*$C$6*01_Supuestos!$I$99*IF(01_Supuestos!$I$114="Intocable",1-01_Supuestos!$I$117-01_Supuestos!$I$119,1)</f>
        <v>0.889860079814075</v>
      </c>
      <c r="V46" s="206" t="n">
        <f aca="false">V36*$C$6*01_Supuestos!$I$99*IF(01_Supuestos!$I$114="Intocable",1-01_Supuestos!$I$117-01_Supuestos!$I$119,1)</f>
        <v>0.902512170491998</v>
      </c>
      <c r="W46" s="206" t="n">
        <f aca="false">W36*$C$6*01_Supuestos!$I$99*IF(01_Supuestos!$I$114="Intocable",1-01_Supuestos!$I$117-01_Supuestos!$I$119,1)</f>
        <v>0.914848945906102</v>
      </c>
      <c r="X46" s="206" t="n">
        <f aca="false">X36*$C$6*01_Supuestos!$I$99*IF(01_Supuestos!$I$114="Intocable",1-01_Supuestos!$I$117-01_Supuestos!$I$119,1)</f>
        <v>0.926870406056386</v>
      </c>
      <c r="Y46" s="206" t="n">
        <f aca="false">Y36*$C$6*01_Supuestos!$I$99*IF(01_Supuestos!$I$114="Intocable",1-01_Supuestos!$I$117-01_Supuestos!$I$119,1)</f>
        <v>0.938576550942852</v>
      </c>
      <c r="Z46" s="206" t="n">
        <f aca="false">Z36*$C$6*01_Supuestos!$I$99*IF(01_Supuestos!$I$114="Intocable",1-01_Supuestos!$I$117-01_Supuestos!$I$119,1)</f>
        <v>0.9499673805655</v>
      </c>
      <c r="AA46" s="206" t="n">
        <f aca="false">AA36*$C$6*01_Supuestos!$I$99*IF(01_Supuestos!$I$114="Intocable",1-01_Supuestos!$I$117-01_Supuestos!$I$119,1)</f>
        <v>0.961042894924328</v>
      </c>
      <c r="AB46" s="206" t="n">
        <f aca="false">AB36*$C$6*01_Supuestos!$I$99*IF(01_Supuestos!$I$114="Intocable",1-01_Supuestos!$I$117-01_Supuestos!$I$119,1)</f>
        <v>0.971803094019338</v>
      </c>
      <c r="AC46" s="206" t="n">
        <f aca="false">AC36*$C$6*01_Supuestos!$I$99*IF(01_Supuestos!$I$114="Intocable",1-01_Supuestos!$I$117-01_Supuestos!$I$119,1)</f>
        <v>0.982247977850529</v>
      </c>
      <c r="AD46" s="206" t="n">
        <f aca="false">AD36*$C$6*01_Supuestos!$I$99*IF(01_Supuestos!$I$114="Intocable",1-01_Supuestos!$I$117-01_Supuestos!$I$119,1)</f>
        <v>0.992377546417901</v>
      </c>
      <c r="AE46" s="206" t="n">
        <f aca="false">AE36*$C$6*01_Supuestos!$I$99*IF(01_Supuestos!$I$114="Intocable",1-01_Supuestos!$I$117-01_Supuestos!$I$119,1)</f>
        <v>1.00219179972145</v>
      </c>
      <c r="AF46" s="206" t="n">
        <f aca="false">AF36*$C$6*01_Supuestos!$I$99*IF(01_Supuestos!$I$114="Intocable",1-01_Supuestos!$I$117-01_Supuestos!$I$119,1)</f>
        <v>1.01169073776119</v>
      </c>
      <c r="AG46" s="206"/>
      <c r="AH46" s="206"/>
      <c r="AI46" s="206"/>
      <c r="AJ46" s="206"/>
      <c r="AK46" s="206"/>
      <c r="AL46" s="206"/>
      <c r="AM46" s="206"/>
      <c r="AN46" s="206"/>
      <c r="AO46" s="206"/>
      <c r="AP46" s="206"/>
      <c r="AQ46" s="206"/>
      <c r="AR46" s="206"/>
      <c r="AS46" s="206"/>
      <c r="AT46" s="206"/>
      <c r="AU46" s="206"/>
      <c r="AV46" s="206"/>
      <c r="AW46" s="206"/>
      <c r="AX46" s="206"/>
      <c r="AY46" s="206"/>
      <c r="AZ46" s="206"/>
      <c r="BA46" s="206"/>
      <c r="BB46" s="206"/>
      <c r="BC46" s="206"/>
      <c r="BD46" s="206"/>
      <c r="BE46" s="206"/>
      <c r="BF46" s="206"/>
      <c r="BG46" s="206"/>
      <c r="BH46" s="206"/>
      <c r="BI46" s="206"/>
      <c r="BJ46" s="206"/>
      <c r="BK46" s="206"/>
      <c r="BL46" s="206"/>
      <c r="BM46" s="206"/>
      <c r="BN46" s="206"/>
      <c r="BO46" s="206"/>
      <c r="BP46" s="206"/>
      <c r="BQ46" s="206"/>
      <c r="BR46" s="206"/>
      <c r="BS46" s="206"/>
      <c r="BT46" s="206"/>
    </row>
    <row r="47" customFormat="false" ht="14.25" hidden="false" customHeight="true" outlineLevel="0" collapsed="false">
      <c r="B47" s="132" t="s">
        <v>1641</v>
      </c>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row>
    <row r="48" customFormat="false" ht="14.25" hidden="false" customHeight="true" outlineLevel="0" collapsed="false">
      <c r="B48" s="208" t="s">
        <v>1642</v>
      </c>
      <c r="C48" s="138" t="n">
        <f aca="false">C41+C42+C26-C44-C45-C46</f>
        <v>-2.51065633</v>
      </c>
      <c r="D48" s="138" t="n">
        <f aca="false">D41+D42+D26-D44-D45-D46</f>
        <v>-3.61369578305</v>
      </c>
      <c r="E48" s="138" t="n">
        <f aca="false">E41+E42+E26-E44-E45-E46</f>
        <v>-4.46675523318149</v>
      </c>
      <c r="F48" s="138" t="n">
        <f aca="false">F41+F42+F26-F44-F45-F46</f>
        <v>-8.00039211144829</v>
      </c>
      <c r="G48" s="138" t="n">
        <f aca="false">G41+G42+G26-G44-G45-G46</f>
        <v>-7.52084771609083</v>
      </c>
      <c r="H48" s="138" t="n">
        <f aca="false">H41+H42+H26-H44-H45-H46</f>
        <v>-7.02464723167621</v>
      </c>
      <c r="I48" s="138" t="n">
        <f aca="false">I41+I42+I26-I44-I45-I46</f>
        <v>-6.51136824984488</v>
      </c>
      <c r="J48" s="138" t="n">
        <f aca="false">J41+J42+J26-J44-J45-J46</f>
        <v>-5.98057825366194</v>
      </c>
      <c r="K48" s="138" t="n">
        <f aca="false">K41+K42+K26-K44-K45-K46</f>
        <v>-5.43183438118801</v>
      </c>
      <c r="L48" s="138" t="n">
        <f aca="false">L41+L42+L26-L44-L45-L46</f>
        <v>-4.86468318357305</v>
      </c>
      <c r="M48" s="138" t="n">
        <f aca="false">M41+M42+M26-M44-M45-M46</f>
        <v>-4.71260047406733</v>
      </c>
      <c r="N48" s="138" t="n">
        <f aca="false">N41+N42+N26-N44-N45-N46</f>
        <v>-4.85269350480328</v>
      </c>
      <c r="O48" s="138" t="n">
        <f aca="false">O41+O42+O26-O44-O45-O46</f>
        <v>-4.99345062374134</v>
      </c>
      <c r="P48" s="138" t="n">
        <f aca="false">P41+P42+P26-P44-P45-P46</f>
        <v>-5.13487847176351</v>
      </c>
      <c r="Q48" s="138" t="n">
        <f aca="false">Q41+Q42+Q26-Q44-Q45-Q46</f>
        <v>-5.27698375616064</v>
      </c>
      <c r="R48" s="138" t="n">
        <f aca="false">R41+R42+R26-R44-R45-R46</f>
        <v>-5.41728826671733</v>
      </c>
      <c r="S48" s="138" t="n">
        <f aca="false">S41+S42+S26-S44-S45-S46</f>
        <v>-5.55577399569519</v>
      </c>
      <c r="T48" s="138" t="n">
        <f aca="false">T41+T42+T26-T44-T45-T46</f>
        <v>-5.69242275527841</v>
      </c>
      <c r="U48" s="138" t="n">
        <f aca="false">U41+U42+U26-U44-U45-U46</f>
        <v>-5.82721617577307</v>
      </c>
      <c r="V48" s="138" t="n">
        <f aca="false">V41+V42+V26-V44-V45-V46</f>
        <v>-5.96013570378826</v>
      </c>
      <c r="W48" s="138" t="n">
        <f aca="false">W41+W42+W26-W44-W45-W46</f>
        <v>-6.0911626003992</v>
      </c>
      <c r="X48" s="138" t="n">
        <f aca="false">X41+X42+X26-X44-X45-X46</f>
        <v>-6.2210147813971</v>
      </c>
      <c r="Y48" s="138" t="n">
        <f aca="false">Y41+Y42+Y26-Y44-Y45-Y46</f>
        <v>-6.34968049962584</v>
      </c>
      <c r="Z48" s="138" t="n">
        <f aca="false">Z41+Z42+Z26-Z44-Z45-Z46</f>
        <v>-6.47714789045772</v>
      </c>
      <c r="AA48" s="138" t="n">
        <f aca="false">AA41+AA42+AA26-AA44-AA45-AA46</f>
        <v>-6.60340497061878</v>
      </c>
      <c r="AB48" s="138" t="n">
        <f aca="false">AB41+AB42+AB26-AB44-AB45-AB46</f>
        <v>-6.72843963700231</v>
      </c>
      <c r="AC48" s="138" t="n">
        <f aca="false">AC41+AC42+AC26-AC44-AC45-AC46</f>
        <v>-6.85223966547052</v>
      </c>
      <c r="AD48" s="138" t="n">
        <f aca="false">AD41+AD42+AD26-AD44-AD45-AD46</f>
        <v>-6.97479270964428</v>
      </c>
      <c r="AE48" s="138" t="n">
        <f aca="false">AE41+AE42+AE26-AE44-AE45-AE46</f>
        <v>-7.09608629968063</v>
      </c>
      <c r="AF48" s="138" t="n">
        <f aca="false">AF41+AF42+AF26-AF44-AF45-AF46</f>
        <v>-7.2161078410382</v>
      </c>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c r="BL48" s="138"/>
      <c r="BM48" s="138"/>
      <c r="BN48" s="138"/>
      <c r="BO48" s="138"/>
      <c r="BP48" s="138"/>
      <c r="BQ48" s="138"/>
      <c r="BR48" s="138"/>
      <c r="BS48" s="138"/>
      <c r="BT48" s="138"/>
    </row>
    <row r="49" customFormat="false" ht="14.25" hidden="false" customHeight="true" outlineLevel="0" collapsed="false">
      <c r="B49" s="204" t="s">
        <v>1643</v>
      </c>
      <c r="C49" s="206" t="n">
        <f aca="false">IF(C48&gt;0,MIN(C48,01_Supuestos!$I$106*C35),0)</f>
        <v>0</v>
      </c>
      <c r="D49" s="206" t="n">
        <f aca="false">IF(D48&gt;0,MIN(D48,01_Supuestos!$I$106*D35),0)</f>
        <v>0</v>
      </c>
      <c r="E49" s="206" t="n">
        <f aca="false">IF(E48&gt;0,MIN(E48,01_Supuestos!$I$106*E35),0)</f>
        <v>0</v>
      </c>
      <c r="F49" s="206" t="n">
        <f aca="false">IF(F48&gt;0,MIN(F48,01_Supuestos!$I$106*F35),0)</f>
        <v>0</v>
      </c>
      <c r="G49" s="206" t="n">
        <f aca="false">IF(G48&gt;0,MIN(G48,01_Supuestos!$I$106*G35),0)</f>
        <v>0</v>
      </c>
      <c r="H49" s="206" t="n">
        <f aca="false">IF(H48&gt;0,MIN(H48,01_Supuestos!$I$106*H35),0)</f>
        <v>0</v>
      </c>
      <c r="I49" s="206" t="n">
        <f aca="false">IF(I48&gt;0,MIN(I48,01_Supuestos!$I$106*I35),0)</f>
        <v>0</v>
      </c>
      <c r="J49" s="206" t="n">
        <f aca="false">IF(J48&gt;0,MIN(J48,01_Supuestos!$I$106*J35),0)</f>
        <v>0</v>
      </c>
      <c r="K49" s="206" t="n">
        <f aca="false">IF(K48&gt;0,MIN(K48,01_Supuestos!$I$106*K35),0)</f>
        <v>0</v>
      </c>
      <c r="L49" s="206" t="n">
        <f aca="false">IF(L48&gt;0,MIN(L48,01_Supuestos!$I$106*L35),0)</f>
        <v>0</v>
      </c>
      <c r="M49" s="206" t="n">
        <f aca="false">IF(M48&gt;0,MIN(M48,01_Supuestos!$I$106*M35),0)</f>
        <v>0</v>
      </c>
      <c r="N49" s="206" t="n">
        <f aca="false">IF(N48&gt;0,MIN(N48,01_Supuestos!$I$106*N35),0)</f>
        <v>0</v>
      </c>
      <c r="O49" s="206" t="n">
        <f aca="false">IF(O48&gt;0,MIN(O48,01_Supuestos!$I$106*O35),0)</f>
        <v>0</v>
      </c>
      <c r="P49" s="206" t="n">
        <f aca="false">IF(P48&gt;0,MIN(P48,01_Supuestos!$I$106*P35),0)</f>
        <v>0</v>
      </c>
      <c r="Q49" s="206" t="n">
        <f aca="false">IF(Q48&gt;0,MIN(Q48,01_Supuestos!$I$106*Q35),0)</f>
        <v>0</v>
      </c>
      <c r="R49" s="206" t="n">
        <f aca="false">IF(R48&gt;0,MIN(R48,01_Supuestos!$I$106*R35),0)</f>
        <v>0</v>
      </c>
      <c r="S49" s="206" t="n">
        <f aca="false">IF(S48&gt;0,MIN(S48,01_Supuestos!$I$106*S35),0)</f>
        <v>0</v>
      </c>
      <c r="T49" s="206" t="n">
        <f aca="false">IF(T48&gt;0,MIN(T48,01_Supuestos!$I$106*T35),0)</f>
        <v>0</v>
      </c>
      <c r="U49" s="206" t="n">
        <f aca="false">IF(U48&gt;0,MIN(U48,01_Supuestos!$I$106*U35),0)</f>
        <v>0</v>
      </c>
      <c r="V49" s="206" t="n">
        <f aca="false">IF(V48&gt;0,MIN(V48,01_Supuestos!$I$106*V35),0)</f>
        <v>0</v>
      </c>
      <c r="W49" s="206" t="n">
        <f aca="false">IF(W48&gt;0,MIN(W48,01_Supuestos!$I$106*W35),0)</f>
        <v>0</v>
      </c>
      <c r="X49" s="206" t="n">
        <f aca="false">IF(X48&gt;0,MIN(X48,01_Supuestos!$I$106*X35),0)</f>
        <v>0</v>
      </c>
      <c r="Y49" s="206" t="n">
        <f aca="false">IF(Y48&gt;0,MIN(Y48,01_Supuestos!$I$106*Y35),0)</f>
        <v>0</v>
      </c>
      <c r="Z49" s="206" t="n">
        <f aca="false">IF(Z48&gt;0,MIN(Z48,01_Supuestos!$I$106*Z35),0)</f>
        <v>0</v>
      </c>
      <c r="AA49" s="206" t="n">
        <f aca="false">IF(AA48&gt;0,MIN(AA48,01_Supuestos!$I$106*AA35),0)</f>
        <v>0</v>
      </c>
      <c r="AB49" s="206" t="n">
        <f aca="false">IF(AB48&gt;0,MIN(AB48,01_Supuestos!$I$106*AB35),0)</f>
        <v>0</v>
      </c>
      <c r="AC49" s="206" t="n">
        <f aca="false">IF(AC48&gt;0,MIN(AC48,01_Supuestos!$I$106*AC35),0)</f>
        <v>0</v>
      </c>
      <c r="AD49" s="206" t="n">
        <f aca="false">IF(AD48&gt;0,MIN(AD48,01_Supuestos!$I$106*AD35),0)</f>
        <v>0</v>
      </c>
      <c r="AE49" s="206" t="n">
        <f aca="false">IF(AE48&gt;0,MIN(AE48,01_Supuestos!$I$106*AE35),0)</f>
        <v>0</v>
      </c>
      <c r="AF49" s="206" t="n">
        <f aca="false">IF(AF48&gt;0,MIN(AF48,01_Supuestos!$I$106*AF35),0)</f>
        <v>0</v>
      </c>
      <c r="AG49" s="206"/>
      <c r="AH49" s="206"/>
      <c r="AI49" s="206"/>
      <c r="AJ49" s="206"/>
      <c r="AK49" s="206"/>
      <c r="AL49" s="206"/>
      <c r="AM49" s="206"/>
      <c r="AN49" s="206"/>
      <c r="AO49" s="206"/>
      <c r="AP49" s="206"/>
      <c r="AQ49" s="206"/>
      <c r="AR49" s="206"/>
      <c r="AS49" s="206"/>
      <c r="AT49" s="206"/>
      <c r="AU49" s="206"/>
      <c r="AV49" s="206"/>
      <c r="AW49" s="206"/>
      <c r="AX49" s="206"/>
      <c r="AY49" s="206"/>
      <c r="AZ49" s="206"/>
      <c r="BA49" s="206"/>
      <c r="BB49" s="206"/>
      <c r="BC49" s="206"/>
      <c r="BD49" s="206"/>
      <c r="BE49" s="206"/>
      <c r="BF49" s="206"/>
      <c r="BG49" s="206"/>
      <c r="BH49" s="206"/>
      <c r="BI49" s="206"/>
      <c r="BJ49" s="206"/>
      <c r="BK49" s="206"/>
      <c r="BL49" s="206"/>
      <c r="BM49" s="206"/>
      <c r="BN49" s="206"/>
      <c r="BO49" s="206"/>
      <c r="BP49" s="206"/>
      <c r="BQ49" s="206"/>
      <c r="BR49" s="206"/>
      <c r="BS49" s="206"/>
      <c r="BT49" s="206"/>
    </row>
    <row r="50" customFormat="false" ht="14.25" hidden="false" customHeight="true" outlineLevel="0" collapsed="false">
      <c r="B50" s="204" t="s">
        <v>1644</v>
      </c>
      <c r="C50" s="209" t="n">
        <f aca="false">IF(C35&gt;0,C49/C35,0)</f>
        <v>0</v>
      </c>
      <c r="D50" s="209" t="n">
        <f aca="false">IF(D35&gt;0,D49/D35,0)</f>
        <v>0</v>
      </c>
      <c r="E50" s="209" t="n">
        <f aca="false">IF(E35&gt;0,E49/E35,0)</f>
        <v>0</v>
      </c>
      <c r="F50" s="209" t="n">
        <f aca="false">IF(F35&gt;0,F49/F35,0)</f>
        <v>0</v>
      </c>
      <c r="G50" s="209" t="n">
        <f aca="false">IF(G35&gt;0,G49/G35,0)</f>
        <v>0</v>
      </c>
      <c r="H50" s="209" t="n">
        <f aca="false">IF(H35&gt;0,H49/H35,0)</f>
        <v>0</v>
      </c>
      <c r="I50" s="209" t="n">
        <f aca="false">IF(I35&gt;0,I49/I35,0)</f>
        <v>0</v>
      </c>
      <c r="J50" s="209" t="n">
        <f aca="false">IF(J35&gt;0,J49/J35,0)</f>
        <v>0</v>
      </c>
      <c r="K50" s="209" t="n">
        <f aca="false">IF(K35&gt;0,K49/K35,0)</f>
        <v>0</v>
      </c>
      <c r="L50" s="209" t="n">
        <f aca="false">IF(L35&gt;0,L49/L35,0)</f>
        <v>0</v>
      </c>
      <c r="M50" s="209" t="n">
        <f aca="false">IF(M35&gt;0,M49/M35,0)</f>
        <v>0</v>
      </c>
      <c r="N50" s="209" t="n">
        <f aca="false">IF(N35&gt;0,N49/N35,0)</f>
        <v>0</v>
      </c>
      <c r="O50" s="209" t="n">
        <f aca="false">IF(O35&gt;0,O49/O35,0)</f>
        <v>0</v>
      </c>
      <c r="P50" s="209" t="n">
        <f aca="false">IF(P35&gt;0,P49/P35,0)</f>
        <v>0</v>
      </c>
      <c r="Q50" s="209" t="n">
        <f aca="false">IF(Q35&gt;0,Q49/Q35,0)</f>
        <v>0</v>
      </c>
      <c r="R50" s="209" t="n">
        <f aca="false">IF(R35&gt;0,R49/R35,0)</f>
        <v>0</v>
      </c>
      <c r="S50" s="209" t="n">
        <f aca="false">IF(S35&gt;0,S49/S35,0)</f>
        <v>0</v>
      </c>
      <c r="T50" s="209" t="n">
        <f aca="false">IF(T35&gt;0,T49/T35,0)</f>
        <v>0</v>
      </c>
      <c r="U50" s="209" t="n">
        <f aca="false">IF(U35&gt;0,U49/U35,0)</f>
        <v>0</v>
      </c>
      <c r="V50" s="209" t="n">
        <f aca="false">IF(V35&gt;0,V49/V35,0)</f>
        <v>0</v>
      </c>
      <c r="W50" s="209" t="n">
        <f aca="false">IF(W35&gt;0,W49/W35,0)</f>
        <v>0</v>
      </c>
      <c r="X50" s="209" t="n">
        <f aca="false">IF(X35&gt;0,X49/X35,0)</f>
        <v>0</v>
      </c>
      <c r="Y50" s="209" t="n">
        <f aca="false">IF(Y35&gt;0,Y49/Y35,0)</f>
        <v>0</v>
      </c>
      <c r="Z50" s="209" t="n">
        <f aca="false">IF(Z35&gt;0,Z49/Z35,0)</f>
        <v>0</v>
      </c>
      <c r="AA50" s="209" t="n">
        <f aca="false">IF(AA35&gt;0,AA49/AA35,0)</f>
        <v>0</v>
      </c>
      <c r="AB50" s="209" t="n">
        <f aca="false">IF(AB35&gt;0,AB49/AB35,0)</f>
        <v>0</v>
      </c>
      <c r="AC50" s="209" t="n">
        <f aca="false">IF(AC35&gt;0,AC49/AC35,0)</f>
        <v>0</v>
      </c>
      <c r="AD50" s="209" t="n">
        <f aca="false">IF(AD35&gt;0,AD49/AD35,0)</f>
        <v>0</v>
      </c>
      <c r="AE50" s="209" t="n">
        <f aca="false">IF(AE35&gt;0,AE49/AE35,0)</f>
        <v>0</v>
      </c>
      <c r="AF50" s="209" t="n">
        <f aca="false">IF(AF35&gt;0,AF49/AF35,0)</f>
        <v>0</v>
      </c>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c r="BS50" s="209"/>
      <c r="BT50" s="209"/>
    </row>
    <row r="51" customFormat="false" ht="14.25" hidden="false" customHeight="true" outlineLevel="0" collapsed="false">
      <c r="B51" s="208" t="s">
        <v>1645</v>
      </c>
      <c r="C51" s="138" t="n">
        <f aca="false">C24+C25-C20+C48-C49+01_Supuestos!$I$121</f>
        <v>19.26934367</v>
      </c>
      <c r="D51" s="138" t="n">
        <f aca="false">C51+D24+D25-D20+D48-D49+01_Supuestos!$I$121</f>
        <v>37.5093320974763</v>
      </c>
      <c r="E51" s="138" t="n">
        <f aca="false">D51+E24+E25-E20+E48-E49+01_Supuestos!$I$121</f>
        <v>54.9699452853475</v>
      </c>
      <c r="F51" s="138" t="n">
        <f aca="false">E51+F24+F25-F20+F48-F49+01_Supuestos!$I$121</f>
        <v>65.7735686635681</v>
      </c>
      <c r="G51" s="138" t="n">
        <f aca="false">F51+G24+G25-G20+G48-G49+01_Supuestos!$I$121</f>
        <v>77.1304206476726</v>
      </c>
      <c r="H51" s="138" t="n">
        <f aca="false">G51+H24+H25-H20+H48-H49+01_Supuestos!$I$121</f>
        <v>89.0571573267179</v>
      </c>
      <c r="I51" s="138" t="n">
        <f aca="false">H51+I24+I25-I20+I48-I49+01_Supuestos!$I$121</f>
        <v>101.570857198121</v>
      </c>
      <c r="J51" s="138" t="n">
        <f aca="false">I51+J24+J25-J20+J48-J49+01_Supuestos!$I$121</f>
        <v>114.689031276233</v>
      </c>
      <c r="K51" s="138" t="n">
        <f aca="false">J51+K24+K25-K20+K48-K49+01_Supuestos!$I$121</f>
        <v>128.429633437346</v>
      </c>
      <c r="L51" s="138" t="n">
        <f aca="false">K51+L24+L25-L20+L48-L49+01_Supuestos!$I$121</f>
        <v>142.8110710066</v>
      </c>
      <c r="M51" s="138" t="n">
        <f aca="false">L51+M24+M25-M20+M48-M49+01_Supuestos!$I$121</f>
        <v>140.015312637795</v>
      </c>
      <c r="N51" s="138" t="n">
        <f aca="false">M51+N24+N25-N20+N48-N49+01_Supuestos!$I$121</f>
        <v>137.153145448782</v>
      </c>
      <c r="O51" s="138" t="n">
        <f aca="false">N51+O24+O25-O20+O48-O49+01_Supuestos!$I$121</f>
        <v>134.223905351356</v>
      </c>
      <c r="P51" s="138" t="n">
        <f aca="false">O51+P24+P25-P20+P48-P49+01_Supuestos!$I$121</f>
        <v>131.226921616435</v>
      </c>
      <c r="Q51" s="138" t="n">
        <f aca="false">P51+Q24+Q25-Q20+Q48-Q49+01_Supuestos!$I$121</f>
        <v>128.161516807643</v>
      </c>
      <c r="R51" s="138" t="n">
        <f aca="false">Q51+R24+R25-R20+R48-R49+01_Supuestos!$I$121</f>
        <v>125.02949169882</v>
      </c>
      <c r="S51" s="138" t="n">
        <f aca="false">R51+S24+S25-S20+S48-S49+01_Supuestos!$I$121</f>
        <v>121.832665071546</v>
      </c>
      <c r="T51" s="138" t="n">
        <f aca="false">S51+T24+T25-T20+T48-T49+01_Supuestos!$I$121</f>
        <v>118.572873895215</v>
      </c>
      <c r="U51" s="138" t="n">
        <f aca="false">T51+U24+U25-U20+U48-U49+01_Supuestos!$I$121</f>
        <v>115.251973508915</v>
      </c>
      <c r="V51" s="138" t="n">
        <f aca="false">U51+V24+V25-V20+V48-V49+01_Supuestos!$I$121</f>
        <v>111.871837805127</v>
      </c>
      <c r="W51" s="138" t="n">
        <f aca="false">V51+W24+W25-W20+W48-W49+01_Supuestos!$I$121</f>
        <v>108.360675204728</v>
      </c>
      <c r="X51" s="138" t="n">
        <f aca="false">W51+X24+X25-X20+X48-X49+01_Supuestos!$I$121</f>
        <v>104.719660423331</v>
      </c>
      <c r="Y51" s="138" t="n">
        <f aca="false">X51+Y24+Y25-Y20+Y48-Y49+01_Supuestos!$I$121</f>
        <v>100.949979923705</v>
      </c>
      <c r="Z51" s="138" t="n">
        <f aca="false">Y51+Z24+Z25-Z20+Z48-Z49+01_Supuestos!$I$121</f>
        <v>97.0528320332473</v>
      </c>
      <c r="AA51" s="138" t="n">
        <f aca="false">Z51+AA24+AA25-AA20+AA48-AA49+01_Supuestos!$I$121</f>
        <v>93.0294270626285</v>
      </c>
      <c r="AB51" s="138" t="n">
        <f aca="false">AA51+AB24+AB25-AB20+AB48-AB49+01_Supuestos!$I$121</f>
        <v>88.8809874256262</v>
      </c>
      <c r="AC51" s="138" t="n">
        <f aca="false">AB51+AC24+AC25-AC20+AC48-AC49+01_Supuestos!$I$121</f>
        <v>84.6087477601556</v>
      </c>
      <c r="AD51" s="138" t="n">
        <f aca="false">AC51+AD24+AD25-AD20+AD48-AD49+01_Supuestos!$I$121</f>
        <v>80.2139550505114</v>
      </c>
      <c r="AE51" s="138" t="n">
        <f aca="false">AD51+AE24+AE25-AE20+AE48-AE49+01_Supuestos!$I$121</f>
        <v>75.6978687508307</v>
      </c>
      <c r="AF51" s="138" t="n">
        <f aca="false">AE51+AF24+AF25-AF20+AF48-AF49+01_Supuestos!$I$121</f>
        <v>71.0617609097925</v>
      </c>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c r="BN51" s="138"/>
      <c r="BO51" s="138"/>
      <c r="BP51" s="138"/>
      <c r="BQ51" s="138"/>
      <c r="BR51" s="138"/>
      <c r="BS51" s="138"/>
      <c r="BT51" s="138"/>
    </row>
    <row r="52" customFormat="false" ht="14.25" hidden="false" customHeight="true" outlineLevel="0" collapsed="false">
      <c r="B52" s="204" t="s">
        <v>1129</v>
      </c>
      <c r="C52" s="206" t="n">
        <f aca="false">C49</f>
        <v>0</v>
      </c>
      <c r="D52" s="206" t="n">
        <f aca="false">C52+D49</f>
        <v>0</v>
      </c>
      <c r="E52" s="206" t="n">
        <f aca="false">D52+E49</f>
        <v>0</v>
      </c>
      <c r="F52" s="206" t="n">
        <f aca="false">E52+F49</f>
        <v>0</v>
      </c>
      <c r="G52" s="206" t="n">
        <f aca="false">F52+G49</f>
        <v>0</v>
      </c>
      <c r="H52" s="206" t="n">
        <f aca="false">G52+H49</f>
        <v>0</v>
      </c>
      <c r="I52" s="206" t="n">
        <f aca="false">H52+I49</f>
        <v>0</v>
      </c>
      <c r="J52" s="206" t="n">
        <f aca="false">I52+J49</f>
        <v>0</v>
      </c>
      <c r="K52" s="206" t="n">
        <f aca="false">J52+K49</f>
        <v>0</v>
      </c>
      <c r="L52" s="206" t="n">
        <f aca="false">K52+L49</f>
        <v>0</v>
      </c>
      <c r="M52" s="206" t="n">
        <f aca="false">L52+M49</f>
        <v>0</v>
      </c>
      <c r="N52" s="206" t="n">
        <f aca="false">M52+N49</f>
        <v>0</v>
      </c>
      <c r="O52" s="206" t="n">
        <f aca="false">N52+O49</f>
        <v>0</v>
      </c>
      <c r="P52" s="206" t="n">
        <f aca="false">O52+P49</f>
        <v>0</v>
      </c>
      <c r="Q52" s="206" t="n">
        <f aca="false">P52+Q49</f>
        <v>0</v>
      </c>
      <c r="R52" s="206" t="n">
        <f aca="false">Q52+R49</f>
        <v>0</v>
      </c>
      <c r="S52" s="206" t="n">
        <f aca="false">R52+S49</f>
        <v>0</v>
      </c>
      <c r="T52" s="206" t="n">
        <f aca="false">S52+T49</f>
        <v>0</v>
      </c>
      <c r="U52" s="206" t="n">
        <f aca="false">T52+U49</f>
        <v>0</v>
      </c>
      <c r="V52" s="206" t="n">
        <f aca="false">U52+V49</f>
        <v>0</v>
      </c>
      <c r="W52" s="206" t="n">
        <f aca="false">V52+W49</f>
        <v>0</v>
      </c>
      <c r="X52" s="206" t="n">
        <f aca="false">W52+X49</f>
        <v>0</v>
      </c>
      <c r="Y52" s="206" t="n">
        <f aca="false">X52+Y49</f>
        <v>0</v>
      </c>
      <c r="Z52" s="206" t="n">
        <f aca="false">Y52+Z49</f>
        <v>0</v>
      </c>
      <c r="AA52" s="206" t="n">
        <f aca="false">Z52+AA49</f>
        <v>0</v>
      </c>
      <c r="AB52" s="206" t="n">
        <f aca="false">AA52+AB49</f>
        <v>0</v>
      </c>
      <c r="AC52" s="206" t="n">
        <f aca="false">AB52+AC49</f>
        <v>0</v>
      </c>
      <c r="AD52" s="206" t="n">
        <f aca="false">AC52+AD49</f>
        <v>0</v>
      </c>
      <c r="AE52" s="206" t="n">
        <f aca="false">AD52+AE49</f>
        <v>0</v>
      </c>
      <c r="AF52" s="206" t="n">
        <f aca="false">AE52+AF49</f>
        <v>0</v>
      </c>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6"/>
      <c r="BF52" s="206"/>
      <c r="BG52" s="206"/>
      <c r="BH52" s="206"/>
      <c r="BI52" s="206"/>
      <c r="BJ52" s="206"/>
      <c r="BK52" s="206"/>
      <c r="BL52" s="206"/>
      <c r="BM52" s="206"/>
      <c r="BN52" s="206"/>
      <c r="BO52" s="206"/>
      <c r="BP52" s="206"/>
      <c r="BQ52" s="206"/>
      <c r="BR52" s="206"/>
      <c r="BS52" s="206"/>
      <c r="BT52" s="206"/>
    </row>
    <row r="53" customFormat="false" ht="14.25" hidden="false" customHeight="true" outlineLevel="0" collapsed="false">
      <c r="B53" s="204" t="s">
        <v>1646</v>
      </c>
      <c r="C53" s="206" t="n">
        <f aca="false">C35+C49</f>
        <v>56.77404</v>
      </c>
      <c r="D53" s="206" t="n">
        <f aca="false">D35+D49</f>
        <v>90.379488</v>
      </c>
      <c r="E53" s="206" t="n">
        <f aca="false">E35+E49</f>
        <v>119.179488</v>
      </c>
      <c r="F53" s="206" t="n">
        <f aca="false">F35+F49</f>
        <v>215.74070714191</v>
      </c>
      <c r="G53" s="206" t="n">
        <f aca="false">G35+G49</f>
        <v>220.25774428382</v>
      </c>
      <c r="H53" s="206" t="n">
        <f aca="false">H35+H49</f>
        <v>224.77478142573</v>
      </c>
      <c r="I53" s="206" t="n">
        <f aca="false">I35+I49</f>
        <v>229.29181856764</v>
      </c>
      <c r="J53" s="206" t="n">
        <f aca="false">J35+J49</f>
        <v>233.80885570955</v>
      </c>
      <c r="K53" s="206" t="n">
        <f aca="false">K35+K49</f>
        <v>238.32589285146</v>
      </c>
      <c r="L53" s="206" t="n">
        <f aca="false">L35+L49</f>
        <v>242.84292999337</v>
      </c>
      <c r="M53" s="206" t="n">
        <f aca="false">M35+M49</f>
        <v>247.35996713528</v>
      </c>
      <c r="N53" s="206" t="n">
        <f aca="false">N35+N49</f>
        <v>251.87700427719</v>
      </c>
      <c r="O53" s="206" t="n">
        <f aca="false">O35+O49</f>
        <v>256.3940414191</v>
      </c>
      <c r="P53" s="206" t="n">
        <f aca="false">P35+P49</f>
        <v>260.91107856101</v>
      </c>
      <c r="Q53" s="206" t="n">
        <f aca="false">Q35+Q49</f>
        <v>265.42811570292</v>
      </c>
      <c r="R53" s="206" t="n">
        <f aca="false">R35+R49</f>
        <v>269.845052761078</v>
      </c>
      <c r="S53" s="206" t="n">
        <f aca="false">S35+S49</f>
        <v>274.161889735484</v>
      </c>
      <c r="T53" s="206" t="n">
        <f aca="false">T35+T49</f>
        <v>278.378626626138</v>
      </c>
      <c r="U53" s="206" t="n">
        <f aca="false">U35+U49</f>
        <v>282.49526343304</v>
      </c>
      <c r="V53" s="206" t="n">
        <f aca="false">V35+V49</f>
        <v>286.51180015619</v>
      </c>
      <c r="W53" s="206" t="n">
        <f aca="false">W35+W49</f>
        <v>290.428236795588</v>
      </c>
      <c r="X53" s="206" t="n">
        <f aca="false">X35+X49</f>
        <v>294.244573351234</v>
      </c>
      <c r="Y53" s="206" t="n">
        <f aca="false">Y35+Y49</f>
        <v>297.960809823128</v>
      </c>
      <c r="Z53" s="206" t="n">
        <f aca="false">Z35+Z49</f>
        <v>301.57694621127</v>
      </c>
      <c r="AA53" s="206" t="n">
        <f aca="false">AA35+AA49</f>
        <v>305.09298251566</v>
      </c>
      <c r="AB53" s="206" t="n">
        <f aca="false">AB35+AB49</f>
        <v>308.508918736298</v>
      </c>
      <c r="AC53" s="206" t="n">
        <f aca="false">AC35+AC49</f>
        <v>311.824754873184</v>
      </c>
      <c r="AD53" s="206" t="n">
        <f aca="false">AD35+AD49</f>
        <v>315.040490926318</v>
      </c>
      <c r="AE53" s="206" t="n">
        <f aca="false">AE35+AE49</f>
        <v>318.1561268957</v>
      </c>
      <c r="AF53" s="206" t="n">
        <f aca="false">AF35+AF49</f>
        <v>321.17166278133</v>
      </c>
      <c r="AG53" s="206"/>
      <c r="AH53" s="206"/>
      <c r="AI53" s="206"/>
      <c r="AJ53" s="206"/>
      <c r="AK53" s="206"/>
      <c r="AL53" s="206"/>
      <c r="AM53" s="206"/>
      <c r="AN53" s="206"/>
      <c r="AO53" s="206"/>
      <c r="AP53" s="206"/>
      <c r="AQ53" s="206"/>
      <c r="AR53" s="206"/>
      <c r="AS53" s="206"/>
      <c r="AT53" s="206"/>
      <c r="AU53" s="206"/>
      <c r="AV53" s="206"/>
      <c r="AW53" s="206"/>
      <c r="AX53" s="206"/>
      <c r="AY53" s="206"/>
      <c r="AZ53" s="206"/>
      <c r="BA53" s="206"/>
      <c r="BB53" s="206"/>
      <c r="BC53" s="206"/>
      <c r="BD53" s="206"/>
      <c r="BE53" s="206"/>
      <c r="BF53" s="206"/>
      <c r="BG53" s="206"/>
      <c r="BH53" s="206"/>
      <c r="BI53" s="206"/>
      <c r="BJ53" s="206"/>
      <c r="BK53" s="206"/>
      <c r="BL53" s="206"/>
      <c r="BM53" s="206"/>
      <c r="BN53" s="206"/>
      <c r="BO53" s="206"/>
      <c r="BP53" s="206"/>
      <c r="BQ53" s="206"/>
      <c r="BR53" s="206"/>
      <c r="BS53" s="206"/>
      <c r="BT53" s="206"/>
    </row>
    <row r="54" customFormat="false" ht="14.25" hidden="false" customHeight="true" outlineLevel="0" collapsed="false">
      <c r="B54" s="204" t="s">
        <v>1647</v>
      </c>
      <c r="C54" s="206" t="n">
        <f aca="false">C53-C31</f>
        <v>16.25</v>
      </c>
      <c r="D54" s="206" t="n">
        <f aca="false">D53-D31</f>
        <v>32.87375</v>
      </c>
      <c r="E54" s="206" t="n">
        <f aca="false">E53-E31</f>
        <v>49.87984625</v>
      </c>
      <c r="F54" s="206" t="n">
        <f aca="false">F53-F31</f>
        <v>98.19411985566</v>
      </c>
      <c r="G54" s="206" t="n">
        <f aca="false">G53-G31</f>
        <v>120.508529899986</v>
      </c>
      <c r="H54" s="206" t="n">
        <f aca="false">H53-H31</f>
        <v>143.232279521068</v>
      </c>
      <c r="I54" s="206" t="n">
        <f aca="false">I53-I31</f>
        <v>166.374783529171</v>
      </c>
      <c r="J54" s="206" t="n">
        <f aca="false">J53-J31</f>
        <v>189.945673275196</v>
      </c>
      <c r="K54" s="206" t="n">
        <f aca="false">K53-K31</f>
        <v>213.954801631116</v>
      </c>
      <c r="L54" s="206" t="n">
        <f aca="false">L53-L31</f>
        <v>238.412248084958</v>
      </c>
      <c r="M54" s="206" t="n">
        <f aca="false">M53-M31</f>
        <v>247.35996713528</v>
      </c>
      <c r="N54" s="206" t="n">
        <f aca="false">N53-N31</f>
        <v>251.87700427719</v>
      </c>
      <c r="O54" s="206" t="n">
        <f aca="false">O53-O31</f>
        <v>256.3940414191</v>
      </c>
      <c r="P54" s="206" t="n">
        <f aca="false">P53-P31</f>
        <v>260.91107856101</v>
      </c>
      <c r="Q54" s="206" t="n">
        <f aca="false">Q53-Q31</f>
        <v>265.42811570292</v>
      </c>
      <c r="R54" s="206" t="n">
        <f aca="false">R53-R31</f>
        <v>269.845052761078</v>
      </c>
      <c r="S54" s="206" t="n">
        <f aca="false">S53-S31</f>
        <v>274.161889735484</v>
      </c>
      <c r="T54" s="206" t="n">
        <f aca="false">T53-T31</f>
        <v>278.378626626138</v>
      </c>
      <c r="U54" s="206" t="n">
        <f aca="false">U53-U31</f>
        <v>282.49526343304</v>
      </c>
      <c r="V54" s="206" t="n">
        <f aca="false">V53-V31</f>
        <v>286.51180015619</v>
      </c>
      <c r="W54" s="206" t="n">
        <f aca="false">W53-W31</f>
        <v>290.428236795588</v>
      </c>
      <c r="X54" s="206" t="n">
        <f aca="false">X53-X31</f>
        <v>294.244573351234</v>
      </c>
      <c r="Y54" s="206" t="n">
        <f aca="false">Y53-Y31</f>
        <v>297.960809823128</v>
      </c>
      <c r="Z54" s="206" t="n">
        <f aca="false">Z53-Z31</f>
        <v>301.57694621127</v>
      </c>
      <c r="AA54" s="206" t="n">
        <f aca="false">AA53-AA31</f>
        <v>305.09298251566</v>
      </c>
      <c r="AB54" s="206" t="n">
        <f aca="false">AB53-AB31</f>
        <v>308.508918736298</v>
      </c>
      <c r="AC54" s="206" t="n">
        <f aca="false">AC53-AC31</f>
        <v>311.824754873184</v>
      </c>
      <c r="AD54" s="206" t="n">
        <f aca="false">AD53-AD31</f>
        <v>315.040490926318</v>
      </c>
      <c r="AE54" s="206" t="n">
        <f aca="false">AE53-AE31</f>
        <v>318.1561268957</v>
      </c>
      <c r="AF54" s="206" t="n">
        <f aca="false">AF53-AF31</f>
        <v>321.17166278133</v>
      </c>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c r="BP54" s="206"/>
      <c r="BQ54" s="206"/>
      <c r="BR54" s="206"/>
      <c r="BS54" s="206"/>
      <c r="BT54" s="206"/>
    </row>
    <row r="55" customFormat="false" ht="14.25" hidden="false" customHeight="true" outlineLevel="0" collapsed="false">
      <c r="B55" s="132" t="s">
        <v>1648</v>
      </c>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c r="AV55" s="133"/>
      <c r="AW55" s="133"/>
      <c r="AX55" s="133"/>
      <c r="AY55" s="133"/>
      <c r="AZ55" s="133"/>
      <c r="BA55" s="133"/>
      <c r="BB55" s="133"/>
      <c r="BC55" s="133"/>
      <c r="BD55" s="133"/>
      <c r="BE55" s="133"/>
      <c r="BF55" s="133"/>
      <c r="BG55" s="133"/>
      <c r="BH55" s="133"/>
      <c r="BI55" s="133"/>
      <c r="BJ55" s="133"/>
      <c r="BK55" s="133"/>
      <c r="BL55" s="133"/>
      <c r="BM55" s="133"/>
      <c r="BN55" s="133"/>
      <c r="BO55" s="133"/>
      <c r="BP55" s="133"/>
      <c r="BQ55" s="133"/>
      <c r="BR55" s="133"/>
      <c r="BS55" s="133"/>
      <c r="BT55" s="133"/>
    </row>
    <row r="56" customFormat="false" ht="14.25" hidden="false" customHeight="true" outlineLevel="0" collapsed="false">
      <c r="B56" s="204" t="s">
        <v>1649</v>
      </c>
      <c r="C56" s="210" t="n">
        <f aca="false">IF(C53&gt;0,C51/C53,0)</f>
        <v>0.339404130303216</v>
      </c>
      <c r="D56" s="210" t="n">
        <f aca="false">IF(D53&gt;0,D51/D53,0)</f>
        <v>0.415020409249014</v>
      </c>
      <c r="E56" s="210" t="n">
        <f aca="false">IF(E53&gt;0,E51/E53,0)</f>
        <v>0.461236628952018</v>
      </c>
      <c r="F56" s="210" t="n">
        <f aca="false">IF(F53&gt;0,F51/F53,0)</f>
        <v>0.304873241285445</v>
      </c>
      <c r="G56" s="210" t="n">
        <f aca="false">IF(G53&gt;0,G51/G53,0)</f>
        <v>0.350182559521193</v>
      </c>
      <c r="H56" s="210" t="n">
        <f aca="false">IF(H53&gt;0,H51/H53,0)</f>
        <v>0.396206179188942</v>
      </c>
      <c r="I56" s="210" t="n">
        <f aca="false">IF(I53&gt;0,I51/I53,0)</f>
        <v>0.442976368858787</v>
      </c>
      <c r="J56" s="210" t="n">
        <f aca="false">IF(J53&gt;0,J51/J53,0)</f>
        <v>0.49052475334256</v>
      </c>
      <c r="K56" s="210" t="n">
        <f aca="false">IF(K53&gt;0,K51/K53,0)</f>
        <v>0.538882418107173</v>
      </c>
      <c r="L56" s="210" t="n">
        <f aca="false">IF(L53&gt;0,L51/L53,0)</f>
        <v>0.588080003031172</v>
      </c>
      <c r="M56" s="210" t="n">
        <f aca="false">IF(M53&gt;0,M51/M53,0)</f>
        <v>0.566038693566052</v>
      </c>
      <c r="N56" s="210" t="n">
        <f aca="false">IF(N53&gt;0,N51/N53,0)</f>
        <v>0.544524284153567</v>
      </c>
      <c r="O56" s="210" t="n">
        <f aca="false">IF(O53&gt;0,O51/O53,0)</f>
        <v>0.523506336607701</v>
      </c>
      <c r="P56" s="210" t="n">
        <f aca="false">IF(P53&gt;0,P51/P53,0)</f>
        <v>0.502956495140736</v>
      </c>
      <c r="Q56" s="210" t="n">
        <f aca="false">IF(Q53&gt;0,Q51/Q53,0)</f>
        <v>0.482848308922508</v>
      </c>
      <c r="R56" s="210" t="n">
        <f aca="false">IF(R53&gt;0,R51/R53,0)</f>
        <v>0.463338091321325</v>
      </c>
      <c r="S56" s="210" t="n">
        <f aca="false">IF(S53&gt;0,S51/S53,0)</f>
        <v>0.444382204941365</v>
      </c>
      <c r="T56" s="210" t="n">
        <f aca="false">IF(T53&gt;0,T51/T53,0)</f>
        <v>0.425941011823648</v>
      </c>
      <c r="U56" s="210" t="n">
        <f aca="false">IF(U53&gt;0,U51/U53,0)</f>
        <v>0.407978428056843</v>
      </c>
      <c r="V56" s="210" t="n">
        <f aca="false">IF(V53&gt;0,V51/V53,0)</f>
        <v>0.390461536816777</v>
      </c>
      <c r="W56" s="210" t="n">
        <f aca="false">IF(W53&gt;0,W51/W53,0)</f>
        <v>0.373106542257444</v>
      </c>
      <c r="X56" s="210" t="n">
        <f aca="false">IF(X53&gt;0,X51/X53,0)</f>
        <v>0.355893259918609</v>
      </c>
      <c r="Y56" s="210" t="n">
        <f aca="false">IF(Y53&gt;0,Y51/Y53,0)</f>
        <v>0.338802878081952</v>
      </c>
      <c r="Z56" s="210" t="n">
        <f aca="false">IF(Z53&gt;0,Z51/Z53,0)</f>
        <v>0.321817808862806</v>
      </c>
      <c r="AA56" s="210" t="n">
        <f aca="false">IF(AA53&gt;0,AA51/AA53,0)</f>
        <v>0.304921556358162</v>
      </c>
      <c r="AB56" s="210" t="n">
        <f aca="false">IF(AB53&gt;0,AB51/AB53,0)</f>
        <v>0.28809859951439</v>
      </c>
      <c r="AC56" s="210" t="n">
        <f aca="false">IF(AC53&gt;0,AC51/AC53,0)</f>
        <v>0.271334287730188</v>
      </c>
      <c r="AD56" s="210" t="n">
        <f aca="false">IF(AD53&gt;0,AD51/AD53,0)</f>
        <v>0.254614747503272</v>
      </c>
      <c r="AE56" s="210" t="n">
        <f aca="false">IF(AE53&gt;0,AE51/AE53,0)</f>
        <v>0.237926798674057</v>
      </c>
      <c r="AF56" s="210" t="n">
        <f aca="false">IF(AF53&gt;0,AF51/AF53,0)</f>
        <v>0.221257879024573</v>
      </c>
      <c r="AG56" s="210"/>
      <c r="AH56" s="210"/>
      <c r="AI56" s="210"/>
      <c r="AJ56" s="210"/>
      <c r="AK56" s="210"/>
      <c r="AL56" s="210"/>
      <c r="AM56" s="210"/>
      <c r="AN56" s="210"/>
      <c r="AO56" s="210"/>
      <c r="AP56" s="210"/>
      <c r="AQ56" s="210"/>
      <c r="AR56" s="210"/>
      <c r="AS56" s="210"/>
      <c r="AT56" s="210"/>
      <c r="AU56" s="210"/>
      <c r="AV56" s="210"/>
      <c r="AW56" s="210"/>
      <c r="AX56" s="210"/>
      <c r="AY56" s="210"/>
      <c r="AZ56" s="210"/>
      <c r="BA56" s="210"/>
      <c r="BB56" s="210"/>
      <c r="BC56" s="210"/>
      <c r="BD56" s="210"/>
      <c r="BE56" s="210"/>
      <c r="BF56" s="210"/>
      <c r="BG56" s="210"/>
      <c r="BH56" s="210"/>
      <c r="BI56" s="210"/>
      <c r="BJ56" s="210"/>
      <c r="BK56" s="210"/>
      <c r="BL56" s="210"/>
      <c r="BM56" s="210"/>
      <c r="BN56" s="210"/>
      <c r="BO56" s="210"/>
      <c r="BP56" s="210"/>
      <c r="BQ56" s="210"/>
      <c r="BR56" s="210"/>
      <c r="BS56" s="210"/>
      <c r="BT56" s="210"/>
    </row>
    <row r="57" customFormat="false" ht="14.25" hidden="false" customHeight="true" outlineLevel="0" collapsed="false">
      <c r="B57" s="204" t="s">
        <v>1650</v>
      </c>
      <c r="C57" s="211" t="str">
        <f aca="false">IF(C56&gt;=01_Supuestos!$I$109,"Verde",IF(C56&gt;=0.1,"Amarillo","Rojo"))</f>
        <v>Verde</v>
      </c>
      <c r="D57" s="211" t="str">
        <f aca="false">IF(D56&gt;=01_Supuestos!$I$109,"Verde",IF(D56&gt;=0.1,"Amarillo","Rojo"))</f>
        <v>Verde</v>
      </c>
      <c r="E57" s="211" t="str">
        <f aca="false">IF(E56&gt;=01_Supuestos!$I$109,"Verde",IF(E56&gt;=0.1,"Amarillo","Rojo"))</f>
        <v>Verde</v>
      </c>
      <c r="F57" s="211" t="str">
        <f aca="false">IF(F56&gt;=01_Supuestos!$I$109,"Verde",IF(F56&gt;=0.1,"Amarillo","Rojo"))</f>
        <v>Verde</v>
      </c>
      <c r="G57" s="211" t="str">
        <f aca="false">IF(G56&gt;=01_Supuestos!$I$109,"Verde",IF(G56&gt;=0.1,"Amarillo","Rojo"))</f>
        <v>Verde</v>
      </c>
      <c r="H57" s="211" t="str">
        <f aca="false">IF(H56&gt;=01_Supuestos!$I$109,"Verde",IF(H56&gt;=0.1,"Amarillo","Rojo"))</f>
        <v>Verde</v>
      </c>
      <c r="I57" s="211" t="str">
        <f aca="false">IF(I56&gt;=01_Supuestos!$I$109,"Verde",IF(I56&gt;=0.1,"Amarillo","Rojo"))</f>
        <v>Verde</v>
      </c>
      <c r="J57" s="211" t="str">
        <f aca="false">IF(J56&gt;=01_Supuestos!$I$109,"Verde",IF(J56&gt;=0.1,"Amarillo","Rojo"))</f>
        <v>Verde</v>
      </c>
      <c r="K57" s="211" t="str">
        <f aca="false">IF(K56&gt;=01_Supuestos!$I$109,"Verde",IF(K56&gt;=0.1,"Amarillo","Rojo"))</f>
        <v>Verde</v>
      </c>
      <c r="L57" s="211" t="str">
        <f aca="false">IF(L56&gt;=01_Supuestos!$I$109,"Verde",IF(L56&gt;=0.1,"Amarillo","Rojo"))</f>
        <v>Verde</v>
      </c>
      <c r="M57" s="211" t="str">
        <f aca="false">IF(M56&gt;=01_Supuestos!$I$109,"Verde",IF(M56&gt;=0.1,"Amarillo","Rojo"))</f>
        <v>Verde</v>
      </c>
      <c r="N57" s="211" t="str">
        <f aca="false">IF(N56&gt;=01_Supuestos!$I$109,"Verde",IF(N56&gt;=0.1,"Amarillo","Rojo"))</f>
        <v>Verde</v>
      </c>
      <c r="O57" s="211" t="str">
        <f aca="false">IF(O56&gt;=01_Supuestos!$I$109,"Verde",IF(O56&gt;=0.1,"Amarillo","Rojo"))</f>
        <v>Verde</v>
      </c>
      <c r="P57" s="211" t="str">
        <f aca="false">IF(P56&gt;=01_Supuestos!$I$109,"Verde",IF(P56&gt;=0.1,"Amarillo","Rojo"))</f>
        <v>Verde</v>
      </c>
      <c r="Q57" s="211" t="str">
        <f aca="false">IF(Q56&gt;=01_Supuestos!$I$109,"Verde",IF(Q56&gt;=0.1,"Amarillo","Rojo"))</f>
        <v>Verde</v>
      </c>
      <c r="R57" s="211" t="str">
        <f aca="false">IF(R56&gt;=01_Supuestos!$I$109,"Verde",IF(R56&gt;=0.1,"Amarillo","Rojo"))</f>
        <v>Verde</v>
      </c>
      <c r="S57" s="211" t="str">
        <f aca="false">IF(S56&gt;=01_Supuestos!$I$109,"Verde",IF(S56&gt;=0.1,"Amarillo","Rojo"))</f>
        <v>Verde</v>
      </c>
      <c r="T57" s="211" t="str">
        <f aca="false">IF(T56&gt;=01_Supuestos!$I$109,"Verde",IF(T56&gt;=0.1,"Amarillo","Rojo"))</f>
        <v>Verde</v>
      </c>
      <c r="U57" s="211" t="str">
        <f aca="false">IF(U56&gt;=01_Supuestos!$I$109,"Verde",IF(U56&gt;=0.1,"Amarillo","Rojo"))</f>
        <v>Verde</v>
      </c>
      <c r="V57" s="211" t="str">
        <f aca="false">IF(V56&gt;=01_Supuestos!$I$109,"Verde",IF(V56&gt;=0.1,"Amarillo","Rojo"))</f>
        <v>Verde</v>
      </c>
      <c r="W57" s="211" t="str">
        <f aca="false">IF(W56&gt;=01_Supuestos!$I$109,"Verde",IF(W56&gt;=0.1,"Amarillo","Rojo"))</f>
        <v>Verde</v>
      </c>
      <c r="X57" s="211" t="str">
        <f aca="false">IF(X56&gt;=01_Supuestos!$I$109,"Verde",IF(X56&gt;=0.1,"Amarillo","Rojo"))</f>
        <v>Verde</v>
      </c>
      <c r="Y57" s="211" t="str">
        <f aca="false">IF(Y56&gt;=01_Supuestos!$I$109,"Verde",IF(Y56&gt;=0.1,"Amarillo","Rojo"))</f>
        <v>Verde</v>
      </c>
      <c r="Z57" s="211" t="str">
        <f aca="false">IF(Z56&gt;=01_Supuestos!$I$109,"Verde",IF(Z56&gt;=0.1,"Amarillo","Rojo"))</f>
        <v>Verde</v>
      </c>
      <c r="AA57" s="211" t="str">
        <f aca="false">IF(AA56&gt;=01_Supuestos!$I$109,"Verde",IF(AA56&gt;=0.1,"Amarillo","Rojo"))</f>
        <v>Verde</v>
      </c>
      <c r="AB57" s="211" t="str">
        <f aca="false">IF(AB56&gt;=01_Supuestos!$I$109,"Verde",IF(AB56&gt;=0.1,"Amarillo","Rojo"))</f>
        <v>Verde</v>
      </c>
      <c r="AC57" s="211" t="str">
        <f aca="false">IF(AC56&gt;=01_Supuestos!$I$109,"Verde",IF(AC56&gt;=0.1,"Amarillo","Rojo"))</f>
        <v>Verde</v>
      </c>
      <c r="AD57" s="211" t="str">
        <f aca="false">IF(AD56&gt;=01_Supuestos!$I$109,"Verde",IF(AD56&gt;=0.1,"Amarillo","Rojo"))</f>
        <v>Verde</v>
      </c>
      <c r="AE57" s="211" t="str">
        <f aca="false">IF(AE56&gt;=01_Supuestos!$I$109,"Verde",IF(AE56&gt;=0.1,"Amarillo","Rojo"))</f>
        <v>Verde</v>
      </c>
      <c r="AF57" s="211" t="str">
        <f aca="false">IF(AF56&gt;=01_Supuestos!$I$109,"Verde",IF(AF56&gt;=0.1,"Amarillo","Rojo"))</f>
        <v>Verde</v>
      </c>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211"/>
      <c r="BC57" s="211"/>
      <c r="BD57" s="211"/>
      <c r="BE57" s="211"/>
      <c r="BF57" s="211"/>
      <c r="BG57" s="211"/>
      <c r="BH57" s="211"/>
      <c r="BI57" s="211"/>
      <c r="BJ57" s="211"/>
      <c r="BK57" s="211"/>
      <c r="BL57" s="211"/>
      <c r="BM57" s="211"/>
      <c r="BN57" s="211"/>
      <c r="BO57" s="211"/>
      <c r="BP57" s="211"/>
      <c r="BQ57" s="211"/>
      <c r="BR57" s="211"/>
      <c r="BS57" s="211"/>
      <c r="BT57" s="211"/>
    </row>
    <row r="58" customFormat="false" ht="14.25" hidden="false" customHeight="true" outlineLevel="0" collapsed="false">
      <c r="B58" s="204" t="s">
        <v>1651</v>
      </c>
      <c r="C58" s="206" t="n">
        <f aca="false">IF(C51&lt;0,MIN(C44,-C51),0)</f>
        <v>0</v>
      </c>
      <c r="D58" s="206" t="n">
        <f aca="false">IF(D51&lt;0,MIN(D44,-D51+MIN(0,C51)),0)</f>
        <v>0</v>
      </c>
      <c r="E58" s="206" t="n">
        <f aca="false">IF(E51&lt;0,MIN(E44,-E51+MIN(0,D51)),0)</f>
        <v>0</v>
      </c>
      <c r="F58" s="206" t="n">
        <f aca="false">IF(F51&lt;0,MIN(F44,-F51+MIN(0,E51)),0)</f>
        <v>0</v>
      </c>
      <c r="G58" s="206" t="n">
        <f aca="false">IF(G51&lt;0,MIN(G44,-G51+MIN(0,F51)),0)</f>
        <v>0</v>
      </c>
      <c r="H58" s="206" t="n">
        <f aca="false">IF(H51&lt;0,MIN(H44,-H51+MIN(0,G51)),0)</f>
        <v>0</v>
      </c>
      <c r="I58" s="206" t="n">
        <f aca="false">IF(I51&lt;0,MIN(I44,-I51+MIN(0,H51)),0)</f>
        <v>0</v>
      </c>
      <c r="J58" s="206" t="n">
        <f aca="false">IF(J51&lt;0,MIN(J44,-J51+MIN(0,I51)),0)</f>
        <v>0</v>
      </c>
      <c r="K58" s="206" t="n">
        <f aca="false">IF(K51&lt;0,MIN(K44,-K51+MIN(0,J51)),0)</f>
        <v>0</v>
      </c>
      <c r="L58" s="206" t="n">
        <f aca="false">IF(L51&lt;0,MIN(L44,-L51+MIN(0,K51)),0)</f>
        <v>0</v>
      </c>
      <c r="M58" s="206" t="n">
        <f aca="false">IF(M51&lt;0,MIN(M44,-M51+MIN(0,L51)),0)</f>
        <v>0</v>
      </c>
      <c r="N58" s="206" t="n">
        <f aca="false">IF(N51&lt;0,MIN(N44,-N51+MIN(0,M51)),0)</f>
        <v>0</v>
      </c>
      <c r="O58" s="206" t="n">
        <f aca="false">IF(O51&lt;0,MIN(O44,-O51+MIN(0,N51)),0)</f>
        <v>0</v>
      </c>
      <c r="P58" s="206" t="n">
        <f aca="false">IF(P51&lt;0,MIN(P44,-P51+MIN(0,O51)),0)</f>
        <v>0</v>
      </c>
      <c r="Q58" s="206" t="n">
        <f aca="false">IF(Q51&lt;0,MIN(Q44,-Q51+MIN(0,P51)),0)</f>
        <v>0</v>
      </c>
      <c r="R58" s="206" t="n">
        <f aca="false">IF(R51&lt;0,MIN(R44,-R51+MIN(0,Q51)),0)</f>
        <v>0</v>
      </c>
      <c r="S58" s="206" t="n">
        <f aca="false">IF(S51&lt;0,MIN(S44,-S51+MIN(0,R51)),0)</f>
        <v>0</v>
      </c>
      <c r="T58" s="206" t="n">
        <f aca="false">IF(T51&lt;0,MIN(T44,-T51+MIN(0,S51)),0)</f>
        <v>0</v>
      </c>
      <c r="U58" s="206" t="n">
        <f aca="false">IF(U51&lt;0,MIN(U44,-U51+MIN(0,T51)),0)</f>
        <v>0</v>
      </c>
      <c r="V58" s="206" t="n">
        <f aca="false">IF(V51&lt;0,MIN(V44,-V51+MIN(0,U51)),0)</f>
        <v>0</v>
      </c>
      <c r="W58" s="206" t="n">
        <f aca="false">IF(W51&lt;0,MIN(W44,-W51+MIN(0,V51)),0)</f>
        <v>0</v>
      </c>
      <c r="X58" s="206" t="n">
        <f aca="false">IF(X51&lt;0,MIN(X44,-X51+MIN(0,W51)),0)</f>
        <v>0</v>
      </c>
      <c r="Y58" s="206" t="n">
        <f aca="false">IF(Y51&lt;0,MIN(Y44,-Y51+MIN(0,X51)),0)</f>
        <v>0</v>
      </c>
      <c r="Z58" s="206" t="n">
        <f aca="false">IF(Z51&lt;0,MIN(Z44,-Z51+MIN(0,Y51)),0)</f>
        <v>0</v>
      </c>
      <c r="AA58" s="206" t="n">
        <f aca="false">IF(AA51&lt;0,MIN(AA44,-AA51+MIN(0,Z51)),0)</f>
        <v>0</v>
      </c>
      <c r="AB58" s="206" t="n">
        <f aca="false">IF(AB51&lt;0,MIN(AB44,-AB51+MIN(0,AA51)),0)</f>
        <v>0</v>
      </c>
      <c r="AC58" s="206" t="n">
        <f aca="false">IF(AC51&lt;0,MIN(AC44,-AC51+MIN(0,AB51)),0)</f>
        <v>0</v>
      </c>
      <c r="AD58" s="206" t="n">
        <f aca="false">IF(AD51&lt;0,MIN(AD44,-AD51+MIN(0,AC51)),0)</f>
        <v>0</v>
      </c>
      <c r="AE58" s="206" t="n">
        <f aca="false">IF(AE51&lt;0,MIN(AE44,-AE51+MIN(0,AD51)),0)</f>
        <v>0</v>
      </c>
      <c r="AF58" s="206" t="n">
        <f aca="false">IF(AF51&lt;0,MIN(AF44,-AF51+MIN(0,AE51)),0)</f>
        <v>0</v>
      </c>
      <c r="AG58" s="206"/>
      <c r="AH58" s="206"/>
      <c r="AI58" s="206"/>
      <c r="AJ58" s="206"/>
      <c r="AK58" s="206"/>
      <c r="AL58" s="206"/>
      <c r="AM58" s="206"/>
      <c r="AN58" s="206"/>
      <c r="AO58" s="206"/>
      <c r="AP58" s="206"/>
      <c r="AQ58" s="206"/>
      <c r="AR58" s="206"/>
      <c r="AS58" s="206"/>
      <c r="AT58" s="206"/>
      <c r="AU58" s="206"/>
      <c r="AV58" s="206"/>
      <c r="AW58" s="206"/>
      <c r="AX58" s="206"/>
      <c r="AY58" s="206"/>
      <c r="AZ58" s="206"/>
      <c r="BA58" s="206"/>
      <c r="BB58" s="206"/>
      <c r="BC58" s="206"/>
      <c r="BD58" s="206"/>
      <c r="BE58" s="206"/>
      <c r="BF58" s="206"/>
      <c r="BG58" s="206"/>
      <c r="BH58" s="206"/>
      <c r="BI58" s="206"/>
      <c r="BJ58" s="206"/>
      <c r="BK58" s="206"/>
      <c r="BL58" s="206"/>
      <c r="BM58" s="206"/>
      <c r="BN58" s="206"/>
      <c r="BO58" s="206"/>
      <c r="BP58" s="206"/>
      <c r="BQ58" s="206"/>
      <c r="BR58" s="206"/>
      <c r="BS58" s="206"/>
      <c r="BT58" s="206"/>
    </row>
    <row r="59" customFormat="false" ht="14.25" hidden="false" customHeight="true" outlineLevel="0" collapsed="false">
      <c r="B59" s="204" t="s">
        <v>1652</v>
      </c>
      <c r="C59" s="212" t="n">
        <f aca="false">IF(C51&lt;0,C10,999)</f>
        <v>999</v>
      </c>
      <c r="D59" s="212" t="n">
        <f aca="false">IF(D51&lt;0,D10,999)</f>
        <v>999</v>
      </c>
      <c r="E59" s="212" t="n">
        <f aca="false">IF(E51&lt;0,E10,999)</f>
        <v>999</v>
      </c>
      <c r="F59" s="212" t="n">
        <f aca="false">IF(F51&lt;0,F10,999)</f>
        <v>999</v>
      </c>
      <c r="G59" s="212" t="n">
        <f aca="false">IF(G51&lt;0,G10,999)</f>
        <v>999</v>
      </c>
      <c r="H59" s="212" t="n">
        <f aca="false">IF(H51&lt;0,H10,999)</f>
        <v>999</v>
      </c>
      <c r="I59" s="212" t="n">
        <f aca="false">IF(I51&lt;0,I10,999)</f>
        <v>999</v>
      </c>
      <c r="J59" s="212" t="n">
        <f aca="false">IF(J51&lt;0,J10,999)</f>
        <v>999</v>
      </c>
      <c r="K59" s="212" t="n">
        <f aca="false">IF(K51&lt;0,K10,999)</f>
        <v>999</v>
      </c>
      <c r="L59" s="212" t="n">
        <f aca="false">IF(L51&lt;0,L10,999)</f>
        <v>999</v>
      </c>
      <c r="M59" s="212" t="n">
        <f aca="false">IF(M51&lt;0,M10,999)</f>
        <v>999</v>
      </c>
      <c r="N59" s="212" t="n">
        <f aca="false">IF(N51&lt;0,N10,999)</f>
        <v>999</v>
      </c>
      <c r="O59" s="212" t="n">
        <f aca="false">IF(O51&lt;0,O10,999)</f>
        <v>999</v>
      </c>
      <c r="P59" s="212" t="n">
        <f aca="false">IF(P51&lt;0,P10,999)</f>
        <v>999</v>
      </c>
      <c r="Q59" s="212" t="n">
        <f aca="false">IF(Q51&lt;0,Q10,999)</f>
        <v>999</v>
      </c>
      <c r="R59" s="212" t="n">
        <f aca="false">IF(R51&lt;0,R10,999)</f>
        <v>999</v>
      </c>
      <c r="S59" s="212" t="n">
        <f aca="false">IF(S51&lt;0,S10,999)</f>
        <v>999</v>
      </c>
      <c r="T59" s="212" t="n">
        <f aca="false">IF(T51&lt;0,T10,999)</f>
        <v>999</v>
      </c>
      <c r="U59" s="212" t="n">
        <f aca="false">IF(U51&lt;0,U10,999)</f>
        <v>999</v>
      </c>
      <c r="V59" s="212" t="n">
        <f aca="false">IF(V51&lt;0,V10,999)</f>
        <v>999</v>
      </c>
      <c r="W59" s="212" t="n">
        <f aca="false">IF(W51&lt;0,W10,999)</f>
        <v>999</v>
      </c>
      <c r="X59" s="212" t="n">
        <f aca="false">IF(X51&lt;0,X10,999)</f>
        <v>999</v>
      </c>
      <c r="Y59" s="212" t="n">
        <f aca="false">IF(Y51&lt;0,Y10,999)</f>
        <v>999</v>
      </c>
      <c r="Z59" s="212" t="n">
        <f aca="false">IF(Z51&lt;0,Z10,999)</f>
        <v>999</v>
      </c>
      <c r="AA59" s="212" t="n">
        <f aca="false">IF(AA51&lt;0,AA10,999)</f>
        <v>999</v>
      </c>
      <c r="AB59" s="212" t="n">
        <f aca="false">IF(AB51&lt;0,AB10,999)</f>
        <v>999</v>
      </c>
      <c r="AC59" s="212" t="n">
        <f aca="false">IF(AC51&lt;0,AC10,999)</f>
        <v>999</v>
      </c>
      <c r="AD59" s="212" t="n">
        <f aca="false">IF(AD51&lt;0,AD10,999)</f>
        <v>999</v>
      </c>
      <c r="AE59" s="212" t="n">
        <f aca="false">IF(AE51&lt;0,AE10,999)</f>
        <v>999</v>
      </c>
      <c r="AF59" s="212" t="n">
        <f aca="false">IF(AF51&lt;0,AF10,999)</f>
        <v>999</v>
      </c>
      <c r="AG59" s="212"/>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c r="BD59" s="212"/>
      <c r="BE59" s="212"/>
      <c r="BF59" s="212"/>
      <c r="BG59" s="212"/>
      <c r="BH59" s="212"/>
      <c r="BI59" s="212"/>
      <c r="BJ59" s="212"/>
      <c r="BK59" s="212"/>
      <c r="BL59" s="212"/>
      <c r="BM59" s="212"/>
      <c r="BN59" s="212"/>
      <c r="BO59" s="212"/>
      <c r="BP59" s="212"/>
      <c r="BQ59" s="212"/>
      <c r="BR59" s="212"/>
      <c r="BS59" s="212"/>
      <c r="BT59" s="212"/>
    </row>
    <row r="61" customFormat="false" ht="14.25" hidden="false" customHeight="true" outlineLevel="0" collapsed="false">
      <c r="B61" s="132" t="s">
        <v>1653</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26.25" hidden="false" customHeight="true" outlineLevel="0" collapsed="false">
      <c r="B62" s="204" t="s">
        <v>1654</v>
      </c>
      <c r="C62" s="206" t="n">
        <f aca="false">C24+C25+C17+C19+C26+01_Supuestos!$I$121</f>
        <v>21.78</v>
      </c>
      <c r="D62" s="206" t="n">
        <f aca="false">C62+D24+D25+D17+D19+D26+01_Supuestos!$I$121</f>
        <v>43.6336842105263</v>
      </c>
      <c r="E62" s="206" t="n">
        <f aca="false">D62+E24+E25+E17+E19+E26+01_Supuestos!$I$121</f>
        <v>65.561052631579</v>
      </c>
      <c r="F62" s="206" t="n">
        <f aca="false">E62+F24+F25+F17+F19+F26+01_Supuestos!$I$121</f>
        <v>115.282105263158</v>
      </c>
      <c r="G62" s="206" t="n">
        <f aca="false">F62+G24+G25+G17+G19+G26+01_Supuestos!$I$121</f>
        <v>138.676842105263</v>
      </c>
      <c r="H62" s="206" t="n">
        <f aca="false">G62+H24+H25+H17+H19+H26+01_Supuestos!$I$121</f>
        <v>162.145263157895</v>
      </c>
      <c r="I62" s="206" t="n">
        <f aca="false">H62+I24+I25+I17+I19+I26+01_Supuestos!$I$121</f>
        <v>185.687368421053</v>
      </c>
      <c r="J62" s="206" t="n">
        <f aca="false">I62+J24+J25+J17+J19+J26+01_Supuestos!$I$121</f>
        <v>209.303157894737</v>
      </c>
      <c r="K62" s="206" t="n">
        <f aca="false">J62+K24+K25+K17+K19+K26+01_Supuestos!$I$121</f>
        <v>232.992631578947</v>
      </c>
      <c r="L62" s="206" t="n">
        <f aca="false">K62+L24+L25+L17+L19+L26+01_Supuestos!$I$121</f>
        <v>256.755789473684</v>
      </c>
      <c r="M62" s="206" t="n">
        <f aca="false">L62+M24+M25+M17+M19+M26+01_Supuestos!$I$121</f>
        <v>259.992631578947</v>
      </c>
      <c r="N62" s="206" t="n">
        <f aca="false">M62+N24+N25+N17+N19+N26+01_Supuestos!$I$121</f>
        <v>263.303157894737</v>
      </c>
      <c r="O62" s="206" t="n">
        <f aca="false">N62+O24+O25+O17+O19+O26+01_Supuestos!$I$121</f>
        <v>266.687368421053</v>
      </c>
      <c r="P62" s="206" t="n">
        <f aca="false">O62+P24+P25+P17+P19+P26+01_Supuestos!$I$121</f>
        <v>270.145263157895</v>
      </c>
      <c r="Q62" s="206" t="n">
        <f aca="false">P62+Q24+Q25+Q17+Q19+Q26+01_Supuestos!$I$121</f>
        <v>273.676842105263</v>
      </c>
      <c r="R62" s="206" t="n">
        <f aca="false">Q62+R24+R25+R17+R19+R26+01_Supuestos!$I$121</f>
        <v>277.282105263158</v>
      </c>
      <c r="S62" s="206" t="n">
        <f aca="false">R62+S24+S25+S17+S19+S26+01_Supuestos!$I$121</f>
        <v>280.961052631579</v>
      </c>
      <c r="T62" s="206" t="n">
        <f aca="false">S62+T24+T25+T17+T19+T26+01_Supuestos!$I$121</f>
        <v>284.713684210526</v>
      </c>
      <c r="U62" s="206" t="n">
        <f aca="false">T62+U24+U25+U17+U19+U26+01_Supuestos!$I$121</f>
        <v>288.54</v>
      </c>
      <c r="V62" s="206" t="n">
        <f aca="false">U62+V24+V25+V17+V19+V26+01_Supuestos!$I$121</f>
        <v>292.44</v>
      </c>
      <c r="W62" s="206" t="n">
        <f aca="false">V62+W24+W25+W17+W19+W26+01_Supuestos!$I$121</f>
        <v>296.34</v>
      </c>
      <c r="X62" s="206" t="n">
        <f aca="false">W62+X24+X25+X17+X19+X26+01_Supuestos!$I$121</f>
        <v>300.24</v>
      </c>
      <c r="Y62" s="206" t="n">
        <f aca="false">X62+Y24+Y25+Y17+Y19+Y26+01_Supuestos!$I$121</f>
        <v>304.14</v>
      </c>
      <c r="Z62" s="206" t="n">
        <f aca="false">Y62+Z24+Z25+Z17+Z19+Z26+01_Supuestos!$I$121</f>
        <v>308.04</v>
      </c>
      <c r="AA62" s="206" t="n">
        <f aca="false">Z62+AA24+AA25+AA17+AA19+AA26+01_Supuestos!$I$121</f>
        <v>311.94</v>
      </c>
      <c r="AB62" s="206" t="n">
        <f aca="false">AA62+AB24+AB25+AB17+AB19+AB26+01_Supuestos!$I$121</f>
        <v>315.84</v>
      </c>
      <c r="AC62" s="206" t="n">
        <f aca="false">AB62+AC24+AC25+AC17+AC19+AC26+01_Supuestos!$I$121</f>
        <v>319.74</v>
      </c>
      <c r="AD62" s="206" t="n">
        <f aca="false">AC62+AD24+AD25+AD17+AD19+AD26+01_Supuestos!$I$121</f>
        <v>323.64</v>
      </c>
      <c r="AE62" s="206" t="n">
        <f aca="false">AD62+AE24+AE25+AE17+AE19+AE26+01_Supuestos!$I$121</f>
        <v>327.54</v>
      </c>
      <c r="AF62" s="206" t="n">
        <f aca="false">AE62+AF24+AF25+AF17+AF19+AF26+01_Supuestos!$I$121</f>
        <v>331.44</v>
      </c>
      <c r="AG62" s="206"/>
      <c r="AH62" s="206"/>
      <c r="AI62" s="206"/>
      <c r="AJ62" s="206"/>
      <c r="AK62" s="206"/>
      <c r="AL62" s="206"/>
      <c r="AM62" s="206"/>
      <c r="AN62" s="206"/>
      <c r="AO62" s="206"/>
      <c r="AP62" s="206"/>
      <c r="AQ62" s="206"/>
      <c r="AR62" s="206"/>
      <c r="AS62" s="206"/>
      <c r="AT62" s="206"/>
      <c r="AU62" s="206"/>
      <c r="AV62" s="206"/>
      <c r="AW62" s="206"/>
      <c r="AX62" s="206"/>
      <c r="AY62" s="206"/>
      <c r="AZ62" s="206"/>
      <c r="BA62" s="206"/>
      <c r="BB62" s="206"/>
      <c r="BC62" s="206"/>
      <c r="BD62" s="206"/>
      <c r="BE62" s="206"/>
      <c r="BF62" s="206"/>
      <c r="BG62" s="206"/>
      <c r="BH62" s="206"/>
      <c r="BI62" s="206"/>
      <c r="BJ62" s="206"/>
      <c r="BK62" s="206"/>
      <c r="BL62" s="206"/>
      <c r="BM62" s="206"/>
      <c r="BN62" s="206"/>
      <c r="BO62" s="206"/>
      <c r="BP62" s="206"/>
      <c r="BQ62" s="206"/>
      <c r="BR62" s="206"/>
      <c r="BS62" s="206"/>
      <c r="BT62" s="206"/>
    </row>
    <row r="63" customFormat="false" ht="14.25" hidden="false" customHeight="true" outlineLevel="0" collapsed="false">
      <c r="B63" s="204" t="s">
        <v>1655</v>
      </c>
      <c r="C63" s="206" t="n">
        <f aca="false">C32</f>
        <v>16.25</v>
      </c>
      <c r="D63" s="206" t="n">
        <f aca="false">D32</f>
        <v>32.87375</v>
      </c>
      <c r="E63" s="206" t="n">
        <f aca="false">E32</f>
        <v>49.87984625</v>
      </c>
      <c r="F63" s="206" t="n">
        <f aca="false">F32</f>
        <v>67.27708271375</v>
      </c>
      <c r="G63" s="206" t="n">
        <f aca="false">G32</f>
        <v>85.0744556161662</v>
      </c>
      <c r="H63" s="206" t="n">
        <f aca="false">H32</f>
        <v>103.281168095338</v>
      </c>
      <c r="I63" s="206" t="n">
        <f aca="false">I32</f>
        <v>121.906634961531</v>
      </c>
      <c r="J63" s="206" t="n">
        <f aca="false">J32</f>
        <v>140.960487565646</v>
      </c>
      <c r="K63" s="206" t="n">
        <f aca="false">K32</f>
        <v>160.452578779656</v>
      </c>
      <c r="L63" s="206" t="n">
        <f aca="false">L32</f>
        <v>180.392988091588</v>
      </c>
      <c r="M63" s="206" t="n">
        <f aca="false">M32</f>
        <v>188.02070714191</v>
      </c>
      <c r="N63" s="206" t="n">
        <f aca="false">N32</f>
        <v>191.21774428382</v>
      </c>
      <c r="O63" s="206" t="n">
        <f aca="false">O32</f>
        <v>194.41478142573</v>
      </c>
      <c r="P63" s="206" t="n">
        <f aca="false">P32</f>
        <v>197.61181856764</v>
      </c>
      <c r="Q63" s="206" t="n">
        <f aca="false">Q32</f>
        <v>200.80885570955</v>
      </c>
      <c r="R63" s="206" t="n">
        <f aca="false">R32</f>
        <v>203.905792767708</v>
      </c>
      <c r="S63" s="206" t="n">
        <f aca="false">S32</f>
        <v>206.902629742114</v>
      </c>
      <c r="T63" s="206" t="n">
        <f aca="false">T32</f>
        <v>209.799366632768</v>
      </c>
      <c r="U63" s="206" t="n">
        <f aca="false">U32</f>
        <v>212.59600343967</v>
      </c>
      <c r="V63" s="206" t="n">
        <f aca="false">V32</f>
        <v>215.29254016282</v>
      </c>
      <c r="W63" s="206" t="n">
        <f aca="false">W32</f>
        <v>217.888976802218</v>
      </c>
      <c r="X63" s="206" t="n">
        <f aca="false">X32</f>
        <v>220.385313357864</v>
      </c>
      <c r="Y63" s="206" t="n">
        <f aca="false">Y32</f>
        <v>222.781549829758</v>
      </c>
      <c r="Z63" s="206" t="n">
        <f aca="false">Z32</f>
        <v>225.0776862179</v>
      </c>
      <c r="AA63" s="206" t="n">
        <f aca="false">AA32</f>
        <v>227.27372252229</v>
      </c>
      <c r="AB63" s="206" t="n">
        <f aca="false">AB32</f>
        <v>229.369658742928</v>
      </c>
      <c r="AC63" s="206" t="n">
        <f aca="false">AC32</f>
        <v>231.365494879814</v>
      </c>
      <c r="AD63" s="206" t="n">
        <f aca="false">AD32</f>
        <v>233.261230932948</v>
      </c>
      <c r="AE63" s="206" t="n">
        <f aca="false">AE32</f>
        <v>235.05686690233</v>
      </c>
      <c r="AF63" s="206" t="n">
        <f aca="false">AF32</f>
        <v>236.75240278796</v>
      </c>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6"/>
      <c r="BF63" s="206"/>
      <c r="BG63" s="206"/>
      <c r="BH63" s="206"/>
      <c r="BI63" s="206"/>
      <c r="BJ63" s="206"/>
      <c r="BK63" s="206"/>
      <c r="BL63" s="206"/>
      <c r="BM63" s="206"/>
      <c r="BN63" s="206"/>
      <c r="BO63" s="206"/>
      <c r="BP63" s="206"/>
      <c r="BQ63" s="206"/>
      <c r="BR63" s="206"/>
      <c r="BS63" s="206"/>
      <c r="BT63" s="206"/>
    </row>
    <row r="64" customFormat="false" ht="14.25" hidden="false" customHeight="true" outlineLevel="0" collapsed="false">
      <c r="B64" s="204" t="s">
        <v>1656</v>
      </c>
      <c r="C64" s="206" t="n">
        <f aca="false">01_Supuestos!$I$109*C53</f>
        <v>8.516106</v>
      </c>
      <c r="D64" s="206" t="n">
        <f aca="false">01_Supuestos!$I$109*D53</f>
        <v>13.5569232</v>
      </c>
      <c r="E64" s="206" t="n">
        <f aca="false">01_Supuestos!$I$109*E53</f>
        <v>17.8769232</v>
      </c>
      <c r="F64" s="206" t="n">
        <f aca="false">01_Supuestos!$I$109*F53</f>
        <v>32.3611060712865</v>
      </c>
      <c r="G64" s="206" t="n">
        <f aca="false">01_Supuestos!$I$109*G53</f>
        <v>33.038661642573</v>
      </c>
      <c r="H64" s="206" t="n">
        <f aca="false">01_Supuestos!$I$109*H53</f>
        <v>33.7162172138595</v>
      </c>
      <c r="I64" s="206" t="n">
        <f aca="false">01_Supuestos!$I$109*I53</f>
        <v>34.393772785146</v>
      </c>
      <c r="J64" s="206" t="n">
        <f aca="false">01_Supuestos!$I$109*J53</f>
        <v>35.0713283564325</v>
      </c>
      <c r="K64" s="206" t="n">
        <f aca="false">01_Supuestos!$I$109*K53</f>
        <v>35.748883927719</v>
      </c>
      <c r="L64" s="206" t="n">
        <f aca="false">01_Supuestos!$I$109*L53</f>
        <v>36.4264394990055</v>
      </c>
      <c r="M64" s="206" t="n">
        <f aca="false">01_Supuestos!$I$109*M53</f>
        <v>37.103995070292</v>
      </c>
      <c r="N64" s="206" t="n">
        <f aca="false">01_Supuestos!$I$109*N53</f>
        <v>37.7815506415785</v>
      </c>
      <c r="O64" s="206" t="n">
        <f aca="false">01_Supuestos!$I$109*O53</f>
        <v>38.459106212865</v>
      </c>
      <c r="P64" s="206" t="n">
        <f aca="false">01_Supuestos!$I$109*P53</f>
        <v>39.1366617841515</v>
      </c>
      <c r="Q64" s="206" t="n">
        <f aca="false">01_Supuestos!$I$109*Q53</f>
        <v>39.814217355438</v>
      </c>
      <c r="R64" s="206" t="n">
        <f aca="false">01_Supuestos!$I$109*R53</f>
        <v>40.4767579141617</v>
      </c>
      <c r="S64" s="206" t="n">
        <f aca="false">01_Supuestos!$I$109*S53</f>
        <v>41.1242834603226</v>
      </c>
      <c r="T64" s="206" t="n">
        <f aca="false">01_Supuestos!$I$109*T53</f>
        <v>41.7567939939207</v>
      </c>
      <c r="U64" s="206" t="n">
        <f aca="false">01_Supuestos!$I$109*U53</f>
        <v>42.374289514956</v>
      </c>
      <c r="V64" s="206" t="n">
        <f aca="false">01_Supuestos!$I$109*V53</f>
        <v>42.9767700234285</v>
      </c>
      <c r="W64" s="206" t="n">
        <f aca="false">01_Supuestos!$I$109*W53</f>
        <v>43.5642355193382</v>
      </c>
      <c r="X64" s="206" t="n">
        <f aca="false">01_Supuestos!$I$109*X53</f>
        <v>44.1366860026851</v>
      </c>
      <c r="Y64" s="206" t="n">
        <f aca="false">01_Supuestos!$I$109*Y53</f>
        <v>44.6941214734692</v>
      </c>
      <c r="Z64" s="206" t="n">
        <f aca="false">01_Supuestos!$I$109*Z53</f>
        <v>45.2365419316905</v>
      </c>
      <c r="AA64" s="206" t="n">
        <f aca="false">01_Supuestos!$I$109*AA53</f>
        <v>45.763947377349</v>
      </c>
      <c r="AB64" s="206" t="n">
        <f aca="false">01_Supuestos!$I$109*AB53</f>
        <v>46.2763378104447</v>
      </c>
      <c r="AC64" s="206" t="n">
        <f aca="false">01_Supuestos!$I$109*AC53</f>
        <v>46.7737132309776</v>
      </c>
      <c r="AD64" s="206" t="n">
        <f aca="false">01_Supuestos!$I$109*AD53</f>
        <v>47.2560736389477</v>
      </c>
      <c r="AE64" s="206" t="n">
        <f aca="false">01_Supuestos!$I$109*AE53</f>
        <v>47.723419034355</v>
      </c>
      <c r="AF64" s="206" t="n">
        <f aca="false">01_Supuestos!$I$109*AF53</f>
        <v>48.1757494171995</v>
      </c>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row>
    <row r="65" customFormat="false" ht="26.25" hidden="false" customHeight="true" outlineLevel="0" collapsed="false">
      <c r="B65" s="204" t="s">
        <v>1657</v>
      </c>
      <c r="C65" s="206" t="n">
        <f aca="false">MAX(0,C63-MAX(0,C51-C64))</f>
        <v>5.49676233</v>
      </c>
      <c r="D65" s="206" t="n">
        <f aca="false">MAX(0,D63-MAX(0,D51-D64))</f>
        <v>8.92134110252368</v>
      </c>
      <c r="E65" s="206" t="n">
        <f aca="false">MAX(0,E63-MAX(0,E51-E64))</f>
        <v>12.7868241646525</v>
      </c>
      <c r="F65" s="206" t="n">
        <f aca="false">MAX(0,F63-MAX(0,F51-F64))</f>
        <v>33.8646201214684</v>
      </c>
      <c r="G65" s="206" t="n">
        <f aca="false">MAX(0,G63-MAX(0,G51-G64))</f>
        <v>40.9826966110667</v>
      </c>
      <c r="H65" s="206" t="n">
        <f aca="false">MAX(0,H63-MAX(0,H51-H64))</f>
        <v>47.9402279824796</v>
      </c>
      <c r="I65" s="206" t="n">
        <f aca="false">MAX(0,I63-MAX(0,I51-I64))</f>
        <v>54.7295505485559</v>
      </c>
      <c r="J65" s="206" t="n">
        <f aca="false">MAX(0,J63-MAX(0,J51-J64))</f>
        <v>61.3427846458453</v>
      </c>
      <c r="K65" s="206" t="n">
        <f aca="false">MAX(0,K63-MAX(0,K51-K64))</f>
        <v>67.7718292700291</v>
      </c>
      <c r="L65" s="206" t="n">
        <f aca="false">MAX(0,L63-MAX(0,L51-L64))</f>
        <v>74.0083565839938</v>
      </c>
      <c r="M65" s="206" t="n">
        <f aca="false">MAX(0,M63-MAX(0,M51-M64))</f>
        <v>85.1093895744065</v>
      </c>
      <c r="N65" s="206" t="n">
        <f aca="false">MAX(0,N63-MAX(0,N51-N64))</f>
        <v>91.8461494766168</v>
      </c>
      <c r="O65" s="206" t="n">
        <f aca="false">MAX(0,O63-MAX(0,O51-O64))</f>
        <v>98.6499822872388</v>
      </c>
      <c r="P65" s="206" t="n">
        <f aca="false">MAX(0,P63-MAX(0,P51-P64))</f>
        <v>105.521558735357</v>
      </c>
      <c r="Q65" s="206" t="n">
        <f aca="false">MAX(0,Q63-MAX(0,Q51-Q64))</f>
        <v>112.461556257345</v>
      </c>
      <c r="R65" s="206" t="n">
        <f aca="false">MAX(0,R63-MAX(0,R51-R64))</f>
        <v>119.35305898305</v>
      </c>
      <c r="S65" s="206" t="n">
        <f aca="false">MAX(0,S63-MAX(0,S51-S64))</f>
        <v>126.194248130891</v>
      </c>
      <c r="T65" s="206" t="n">
        <f aca="false">MAX(0,T63-MAX(0,T51-T64))</f>
        <v>132.983286731474</v>
      </c>
      <c r="U65" s="206" t="n">
        <f aca="false">MAX(0,U63-MAX(0,U51-U64))</f>
        <v>139.718319445711</v>
      </c>
      <c r="V65" s="206" t="n">
        <f aca="false">MAX(0,V63-MAX(0,V51-V64))</f>
        <v>146.397472381121</v>
      </c>
      <c r="W65" s="206" t="n">
        <f aca="false">MAX(0,W63-MAX(0,W51-W64))</f>
        <v>153.092537116828</v>
      </c>
      <c r="X65" s="206" t="n">
        <f aca="false">MAX(0,X63-MAX(0,X51-X64))</f>
        <v>159.802338937218</v>
      </c>
      <c r="Y65" s="206" t="n">
        <f aca="false">MAX(0,Y63-MAX(0,Y51-Y64))</f>
        <v>166.525691379522</v>
      </c>
      <c r="Z65" s="206" t="n">
        <f aca="false">MAX(0,Z63-MAX(0,Z51-Z64))</f>
        <v>173.261396116343</v>
      </c>
      <c r="AA65" s="206" t="n">
        <f aca="false">MAX(0,AA63-MAX(0,AA51-AA64))</f>
        <v>180.00824283701</v>
      </c>
      <c r="AB65" s="206" t="n">
        <f aca="false">MAX(0,AB63-MAX(0,AB51-AB64))</f>
        <v>186.765009127746</v>
      </c>
      <c r="AC65" s="206" t="n">
        <f aca="false">MAX(0,AC63-MAX(0,AC51-AC64))</f>
        <v>193.530460350636</v>
      </c>
      <c r="AD65" s="206" t="n">
        <f aca="false">MAX(0,AD63-MAX(0,AD51-AD64))</f>
        <v>200.303349521384</v>
      </c>
      <c r="AE65" s="206" t="n">
        <f aca="false">MAX(0,AE63-MAX(0,AE51-AE64))</f>
        <v>207.082417185854</v>
      </c>
      <c r="AF65" s="206" t="n">
        <f aca="false">MAX(0,AF63-MAX(0,AF51-AF64))</f>
        <v>213.866391295367</v>
      </c>
      <c r="AG65" s="206"/>
      <c r="AH65" s="206"/>
      <c r="AI65" s="206"/>
      <c r="AJ65" s="206"/>
      <c r="AK65" s="206"/>
      <c r="AL65" s="206"/>
      <c r="AM65" s="206"/>
      <c r="AN65" s="206"/>
      <c r="AO65" s="206"/>
      <c r="AP65" s="206"/>
      <c r="AQ65" s="206"/>
      <c r="AR65" s="206"/>
      <c r="AS65" s="206"/>
      <c r="AT65" s="206"/>
      <c r="AU65" s="206"/>
      <c r="AV65" s="206"/>
      <c r="AW65" s="206"/>
      <c r="AX65" s="206"/>
      <c r="AY65" s="206"/>
      <c r="AZ65" s="206"/>
      <c r="BA65" s="206"/>
      <c r="BB65" s="206"/>
      <c r="BC65" s="206"/>
      <c r="BD65" s="206"/>
      <c r="BE65" s="206"/>
      <c r="BF65" s="206"/>
      <c r="BG65" s="206"/>
      <c r="BH65" s="206"/>
      <c r="BI65" s="206"/>
      <c r="BJ65" s="206"/>
      <c r="BK65" s="206"/>
      <c r="BL65" s="206"/>
      <c r="BM65" s="206"/>
      <c r="BN65" s="206"/>
      <c r="BO65" s="206"/>
      <c r="BP65" s="206"/>
      <c r="BQ65" s="206"/>
      <c r="BR65" s="206"/>
      <c r="BS65" s="206"/>
      <c r="BT65" s="206"/>
    </row>
    <row r="66" customFormat="false" ht="14.25" hidden="false" customHeight="true" outlineLevel="0" collapsed="false">
      <c r="B66" s="204" t="s">
        <v>1658</v>
      </c>
      <c r="C66" s="206" t="n">
        <f aca="false">C36*($F$6*01_Supuestos!$I$108+$L$6)</f>
        <v>2.84375</v>
      </c>
      <c r="D66" s="206" t="n">
        <f aca="false">D36*($F$6*01_Supuestos!$I$108+$L$6)</f>
        <v>5.75290625</v>
      </c>
      <c r="E66" s="206" t="n">
        <f aca="false">E36*($F$6*01_Supuestos!$I$108+$L$6)</f>
        <v>8.72897309375</v>
      </c>
      <c r="F66" s="206" t="n">
        <f aca="false">F36*($F$6*01_Supuestos!$I$108+$L$6)</f>
        <v>17.1839709747405</v>
      </c>
      <c r="G66" s="206" t="n">
        <f aca="false">G36*($F$6*01_Supuestos!$I$108+$L$6)</f>
        <v>21.0889927324976</v>
      </c>
      <c r="H66" s="206" t="n">
        <f aca="false">H36*($F$6*01_Supuestos!$I$108+$L$6)</f>
        <v>25.0656489161869</v>
      </c>
      <c r="I66" s="206" t="n">
        <f aca="false">I36*($F$6*01_Supuestos!$I$108+$L$6)</f>
        <v>29.1155871176049</v>
      </c>
      <c r="J66" s="206" t="n">
        <f aca="false">J36*($F$6*01_Supuestos!$I$108+$L$6)</f>
        <v>33.2404928231593</v>
      </c>
      <c r="K66" s="206" t="n">
        <f aca="false">K36*($F$6*01_Supuestos!$I$108+$L$6)</f>
        <v>37.4420902854453</v>
      </c>
      <c r="L66" s="206" t="n">
        <f aca="false">L36*($F$6*01_Supuestos!$I$108+$L$6)</f>
        <v>41.7221434148676</v>
      </c>
      <c r="M66" s="206" t="n">
        <f aca="false">M36*($F$6*01_Supuestos!$I$108+$L$6)</f>
        <v>43.287994248674</v>
      </c>
      <c r="N66" s="206" t="n">
        <f aca="false">N36*($F$6*01_Supuestos!$I$108+$L$6)</f>
        <v>44.0784757485082</v>
      </c>
      <c r="O66" s="206" t="n">
        <f aca="false">O36*($F$6*01_Supuestos!$I$108+$L$6)</f>
        <v>44.8689572483425</v>
      </c>
      <c r="P66" s="206" t="n">
        <f aca="false">P36*($F$6*01_Supuestos!$I$108+$L$6)</f>
        <v>45.6594387481767</v>
      </c>
      <c r="Q66" s="206" t="n">
        <f aca="false">Q36*($F$6*01_Supuestos!$I$108+$L$6)</f>
        <v>46.449920248011</v>
      </c>
      <c r="R66" s="206" t="n">
        <f aca="false">R36*($F$6*01_Supuestos!$I$108+$L$6)</f>
        <v>47.2228842331886</v>
      </c>
      <c r="S66" s="206" t="n">
        <f aca="false">S36*($F$6*01_Supuestos!$I$108+$L$6)</f>
        <v>47.9783307037097</v>
      </c>
      <c r="T66" s="206" t="n">
        <f aca="false">T36*($F$6*01_Supuestos!$I$108+$L$6)</f>
        <v>48.7162596595741</v>
      </c>
      <c r="U66" s="206" t="n">
        <f aca="false">U36*($F$6*01_Supuestos!$I$108+$L$6)</f>
        <v>49.436671100782</v>
      </c>
      <c r="V66" s="206" t="n">
        <f aca="false">V36*($F$6*01_Supuestos!$I$108+$L$6)</f>
        <v>50.1395650273332</v>
      </c>
      <c r="W66" s="206" t="n">
        <f aca="false">W36*($F$6*01_Supuestos!$I$108+$L$6)</f>
        <v>50.8249414392279</v>
      </c>
      <c r="X66" s="206" t="n">
        <f aca="false">X36*($F$6*01_Supuestos!$I$108+$L$6)</f>
        <v>51.4928003364659</v>
      </c>
      <c r="Y66" s="206" t="n">
        <f aca="false">Y36*($F$6*01_Supuestos!$I$108+$L$6)</f>
        <v>52.1431417190474</v>
      </c>
      <c r="Z66" s="206" t="n">
        <f aca="false">Z36*($F$6*01_Supuestos!$I$108+$L$6)</f>
        <v>52.7759655869722</v>
      </c>
      <c r="AA66" s="206" t="n">
        <f aca="false">AA36*($F$6*01_Supuestos!$I$108+$L$6)</f>
        <v>53.3912719402405</v>
      </c>
      <c r="AB66" s="206" t="n">
        <f aca="false">AB36*($F$6*01_Supuestos!$I$108+$L$6)</f>
        <v>53.9890607788521</v>
      </c>
      <c r="AC66" s="206" t="n">
        <f aca="false">AC36*($F$6*01_Supuestos!$I$108+$L$6)</f>
        <v>54.5693321028072</v>
      </c>
      <c r="AD66" s="206" t="n">
        <f aca="false">AD36*($F$6*01_Supuestos!$I$108+$L$6)</f>
        <v>55.1320859121056</v>
      </c>
      <c r="AE66" s="206" t="n">
        <f aca="false">AE36*($F$6*01_Supuestos!$I$108+$L$6)</f>
        <v>55.6773222067474</v>
      </c>
      <c r="AF66" s="206" t="n">
        <f aca="false">AF36*($F$6*01_Supuestos!$I$108+$L$6)</f>
        <v>56.2050409867327</v>
      </c>
      <c r="AG66" s="206"/>
      <c r="AH66" s="206"/>
      <c r="AI66" s="206"/>
      <c r="AJ66" s="206"/>
      <c r="AK66" s="206"/>
      <c r="AL66" s="206"/>
      <c r="AM66" s="206"/>
      <c r="AN66" s="206"/>
      <c r="AO66" s="206"/>
      <c r="AP66" s="206"/>
      <c r="AQ66" s="206"/>
      <c r="AR66" s="206"/>
      <c r="AS66" s="206"/>
      <c r="AT66" s="206"/>
      <c r="AU66" s="206"/>
      <c r="AV66" s="206"/>
      <c r="AW66" s="206"/>
      <c r="AX66" s="206"/>
      <c r="AY66" s="206"/>
      <c r="AZ66" s="206"/>
      <c r="BA66" s="206"/>
      <c r="BB66" s="206"/>
      <c r="BC66" s="206"/>
      <c r="BD66" s="206"/>
      <c r="BE66" s="206"/>
      <c r="BF66" s="206"/>
      <c r="BG66" s="206"/>
      <c r="BH66" s="206"/>
      <c r="BI66" s="206"/>
      <c r="BJ66" s="206"/>
      <c r="BK66" s="206"/>
      <c r="BL66" s="206"/>
      <c r="BM66" s="206"/>
      <c r="BN66" s="206"/>
      <c r="BO66" s="206"/>
      <c r="BP66" s="206"/>
      <c r="BQ66" s="206"/>
      <c r="BR66" s="206"/>
      <c r="BS66" s="206"/>
      <c r="BT66" s="206"/>
    </row>
    <row r="67" customFormat="false" ht="26.25" hidden="false" customHeight="true" outlineLevel="0" collapsed="false">
      <c r="B67" s="204" t="s">
        <v>1659</v>
      </c>
      <c r="C67" s="211" t="str">
        <f aca="false">IF(MAX(0,C51)+(C53-C32-C31)&gt;=C66,"Sí","No")</f>
        <v>Sí</v>
      </c>
      <c r="D67" s="211" t="str">
        <f aca="false">IF(MAX(0,D51)+(D53-D32-D31)&gt;=D66,"Sí","No")</f>
        <v>Sí</v>
      </c>
      <c r="E67" s="211" t="str">
        <f aca="false">IF(MAX(0,E51)+(E53-E32-E31)&gt;=E66,"Sí","No")</f>
        <v>Sí</v>
      </c>
      <c r="F67" s="211" t="str">
        <f aca="false">IF(MAX(0,F51)+(F53-F32-F31)&gt;=F66,"Sí","No")</f>
        <v>Sí</v>
      </c>
      <c r="G67" s="211" t="str">
        <f aca="false">IF(MAX(0,G51)+(G53-G32-G31)&gt;=G66,"Sí","No")</f>
        <v>Sí</v>
      </c>
      <c r="H67" s="211" t="str">
        <f aca="false">IF(MAX(0,H51)+(H53-H32-H31)&gt;=H66,"Sí","No")</f>
        <v>Sí</v>
      </c>
      <c r="I67" s="211" t="str">
        <f aca="false">IF(MAX(0,I51)+(I53-I32-I31)&gt;=I66,"Sí","No")</f>
        <v>Sí</v>
      </c>
      <c r="J67" s="211" t="str">
        <f aca="false">IF(MAX(0,J51)+(J53-J32-J31)&gt;=J66,"Sí","No")</f>
        <v>Sí</v>
      </c>
      <c r="K67" s="211" t="str">
        <f aca="false">IF(MAX(0,K51)+(K53-K32-K31)&gt;=K66,"Sí","No")</f>
        <v>Sí</v>
      </c>
      <c r="L67" s="211" t="str">
        <f aca="false">IF(MAX(0,L51)+(L53-L32-L31)&gt;=L66,"Sí","No")</f>
        <v>Sí</v>
      </c>
      <c r="M67" s="211" t="str">
        <f aca="false">IF(MAX(0,M51)+(M53-M32-M31)&gt;=M66,"Sí","No")</f>
        <v>Sí</v>
      </c>
      <c r="N67" s="211" t="str">
        <f aca="false">IF(MAX(0,N51)+(N53-N32-N31)&gt;=N66,"Sí","No")</f>
        <v>Sí</v>
      </c>
      <c r="O67" s="211" t="str">
        <f aca="false">IF(MAX(0,O51)+(O53-O32-O31)&gt;=O66,"Sí","No")</f>
        <v>Sí</v>
      </c>
      <c r="P67" s="211" t="str">
        <f aca="false">IF(MAX(0,P51)+(P53-P32-P31)&gt;=P66,"Sí","No")</f>
        <v>Sí</v>
      </c>
      <c r="Q67" s="211" t="str">
        <f aca="false">IF(MAX(0,Q51)+(Q53-Q32-Q31)&gt;=Q66,"Sí","No")</f>
        <v>Sí</v>
      </c>
      <c r="R67" s="211" t="str">
        <f aca="false">IF(MAX(0,R51)+(R53-R32-R31)&gt;=R66,"Sí","No")</f>
        <v>Sí</v>
      </c>
      <c r="S67" s="211" t="str">
        <f aca="false">IF(MAX(0,S51)+(S53-S32-S31)&gt;=S66,"Sí","No")</f>
        <v>Sí</v>
      </c>
      <c r="T67" s="211" t="str">
        <f aca="false">IF(MAX(0,T51)+(T53-T32-T31)&gt;=T66,"Sí","No")</f>
        <v>Sí</v>
      </c>
      <c r="U67" s="211" t="str">
        <f aca="false">IF(MAX(0,U51)+(U53-U32-U31)&gt;=U66,"Sí","No")</f>
        <v>Sí</v>
      </c>
      <c r="V67" s="211" t="str">
        <f aca="false">IF(MAX(0,V51)+(V53-V32-V31)&gt;=V66,"Sí","No")</f>
        <v>Sí</v>
      </c>
      <c r="W67" s="211" t="str">
        <f aca="false">IF(MAX(0,W51)+(W53-W32-W31)&gt;=W66,"Sí","No")</f>
        <v>Sí</v>
      </c>
      <c r="X67" s="211" t="str">
        <f aca="false">IF(MAX(0,X51)+(X53-X32-X31)&gt;=X66,"Sí","No")</f>
        <v>Sí</v>
      </c>
      <c r="Y67" s="211" t="str">
        <f aca="false">IF(MAX(0,Y51)+(Y53-Y32-Y31)&gt;=Y66,"Sí","No")</f>
        <v>Sí</v>
      </c>
      <c r="Z67" s="211" t="str">
        <f aca="false">IF(MAX(0,Z51)+(Z53-Z32-Z31)&gt;=Z66,"Sí","No")</f>
        <v>Sí</v>
      </c>
      <c r="AA67" s="211" t="str">
        <f aca="false">IF(MAX(0,AA51)+(AA53-AA32-AA31)&gt;=AA66,"Sí","No")</f>
        <v>Sí</v>
      </c>
      <c r="AB67" s="211" t="str">
        <f aca="false">IF(MAX(0,AB51)+(AB53-AB32-AB31)&gt;=AB66,"Sí","No")</f>
        <v>Sí</v>
      </c>
      <c r="AC67" s="211" t="str">
        <f aca="false">IF(MAX(0,AC51)+(AC53-AC32-AC31)&gt;=AC66,"Sí","No")</f>
        <v>Sí</v>
      </c>
      <c r="AD67" s="211" t="str">
        <f aca="false">IF(MAX(0,AD51)+(AD53-AD32-AD31)&gt;=AD66,"Sí","No")</f>
        <v>Sí</v>
      </c>
      <c r="AE67" s="211" t="str">
        <f aca="false">IF(MAX(0,AE51)+(AE53-AE32-AE31)&gt;=AE66,"Sí","No")</f>
        <v>Sí</v>
      </c>
      <c r="AF67" s="211" t="str">
        <f aca="false">IF(MAX(0,AF51)+(AF53-AF32-AF31)&gt;=AF66,"Sí","No")</f>
        <v>Sí</v>
      </c>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c r="BE67" s="211"/>
      <c r="BF67" s="211"/>
      <c r="BG67" s="211"/>
      <c r="BH67" s="211"/>
      <c r="BI67" s="211"/>
      <c r="BJ67" s="211"/>
      <c r="BK67" s="211"/>
      <c r="BL67" s="211"/>
      <c r="BM67" s="211"/>
      <c r="BN67" s="211"/>
      <c r="BO67" s="211"/>
      <c r="BP67" s="211"/>
      <c r="BQ67" s="211"/>
      <c r="BR67" s="211"/>
      <c r="BS67" s="211"/>
      <c r="BT67" s="211"/>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7" topLeftCell="C18" activePane="bottomRight" state="frozen"/>
      <selection pane="topLeft" activeCell="A1" activeCellId="0" sqref="A1"/>
      <selection pane="topRight" activeCell="C1" activeCellId="0" sqref="C1"/>
      <selection pane="bottomLeft" activeCell="A18" activeCellId="0" sqref="A18"/>
      <selection pane="bottomRigh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4"/>
    <col collapsed="false" customWidth="true" hidden="false" outlineLevel="0" max="72" min="3" style="1" width="9"/>
  </cols>
  <sheetData>
    <row r="2" customFormat="false" ht="17.25" hidden="false" customHeight="true" outlineLevel="0" collapsed="false">
      <c r="B2" s="18" t="s">
        <v>1660</v>
      </c>
    </row>
    <row r="3" customFormat="false" ht="43.5" hidden="false" customHeight="true" outlineLevel="0" collapsed="false">
      <c r="B3" s="123" t="s">
        <v>1661</v>
      </c>
      <c r="C3" s="123"/>
      <c r="D3" s="123"/>
      <c r="E3" s="123"/>
      <c r="F3" s="123"/>
      <c r="G3" s="123"/>
      <c r="H3" s="123"/>
      <c r="I3" s="123"/>
      <c r="J3" s="123"/>
      <c r="K3" s="123"/>
      <c r="L3" s="123"/>
      <c r="M3" s="123"/>
      <c r="N3" s="123"/>
      <c r="O3" s="123"/>
      <c r="P3" s="123"/>
    </row>
    <row r="5" customFormat="false" ht="14.25" hidden="false" customHeight="true" outlineLevel="0" collapsed="false">
      <c r="B5" s="1" t="s">
        <v>348</v>
      </c>
      <c r="C5" s="82" t="n">
        <v>0.035</v>
      </c>
    </row>
    <row r="6" customFormat="false" ht="14.25" hidden="false" customHeight="true" outlineLevel="0" collapsed="false">
      <c r="B6" s="1" t="s">
        <v>1662</v>
      </c>
      <c r="C6" s="82" t="s">
        <v>352</v>
      </c>
    </row>
    <row r="7" customFormat="false" ht="14.25" hidden="false" customHeight="true" outlineLevel="0" collapsed="false">
      <c r="B7" s="1" t="s">
        <v>1002</v>
      </c>
      <c r="C7" s="82" t="n">
        <v>0.002</v>
      </c>
    </row>
    <row r="8" customFormat="false" ht="14.25" hidden="false" customHeight="true" outlineLevel="0" collapsed="false">
      <c r="B8" s="1" t="s">
        <v>1663</v>
      </c>
      <c r="C8" s="82" t="n">
        <v>0.01</v>
      </c>
    </row>
    <row r="9" customFormat="false" ht="14.25" hidden="false" customHeight="true" outlineLevel="0" collapsed="false">
      <c r="B9" s="1" t="s">
        <v>1005</v>
      </c>
      <c r="C9" s="82" t="n">
        <v>0.55</v>
      </c>
    </row>
    <row r="10" customFormat="false" ht="14.25" hidden="false" customHeight="true" outlineLevel="0" collapsed="false">
      <c r="B10" s="1" t="s">
        <v>1664</v>
      </c>
      <c r="C10" s="82" t="n">
        <f aca="false">C5</f>
        <v>0.035</v>
      </c>
    </row>
    <row r="11" customFormat="false" ht="14.25" hidden="false" customHeight="true" outlineLevel="0" collapsed="false">
      <c r="B11" s="1" t="s">
        <v>1665</v>
      </c>
      <c r="C11" s="82" t="s">
        <v>1009</v>
      </c>
    </row>
    <row r="12" customFormat="false" ht="14.25" hidden="false" customHeight="true" outlineLevel="0" collapsed="false">
      <c r="B12" s="1" t="s">
        <v>1010</v>
      </c>
      <c r="C12" s="82" t="s">
        <v>1011</v>
      </c>
    </row>
    <row r="13" customFormat="false" ht="14.25" hidden="false" customHeight="true" outlineLevel="0" collapsed="false">
      <c r="B13" s="1" t="s">
        <v>1666</v>
      </c>
      <c r="C13" s="82" t="s">
        <v>1667</v>
      </c>
    </row>
    <row r="16" customFormat="false" ht="14.25" hidden="false" customHeight="true" outlineLevel="0" collapsed="false">
      <c r="B16" s="132" t="s">
        <v>1054</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row>
    <row r="17" customFormat="false" ht="14.25" hidden="false" customHeight="true" outlineLevel="0" collapsed="false">
      <c r="B17" s="134" t="s">
        <v>784</v>
      </c>
      <c r="C17" s="205" t="n">
        <v>1</v>
      </c>
      <c r="D17" s="205" t="n">
        <v>2</v>
      </c>
      <c r="E17" s="205" t="n">
        <v>3</v>
      </c>
      <c r="F17" s="205" t="n">
        <v>4</v>
      </c>
      <c r="G17" s="205" t="n">
        <v>5</v>
      </c>
      <c r="H17" s="205" t="n">
        <v>6</v>
      </c>
      <c r="I17" s="205" t="n">
        <v>7</v>
      </c>
      <c r="J17" s="205" t="n">
        <v>8</v>
      </c>
      <c r="K17" s="205" t="n">
        <v>9</v>
      </c>
      <c r="L17" s="205" t="n">
        <v>10</v>
      </c>
      <c r="M17" s="205" t="n">
        <v>11</v>
      </c>
      <c r="N17" s="205" t="n">
        <v>12</v>
      </c>
      <c r="O17" s="205" t="n">
        <v>13</v>
      </c>
      <c r="P17" s="205" t="n">
        <v>14</v>
      </c>
      <c r="Q17" s="205" t="n">
        <v>15</v>
      </c>
      <c r="R17" s="205" t="n">
        <v>16</v>
      </c>
      <c r="S17" s="205" t="n">
        <v>17</v>
      </c>
      <c r="T17" s="205" t="n">
        <v>18</v>
      </c>
      <c r="U17" s="205" t="n">
        <v>19</v>
      </c>
      <c r="V17" s="205" t="n">
        <v>20</v>
      </c>
      <c r="W17" s="205" t="n">
        <v>21</v>
      </c>
      <c r="X17" s="205" t="n">
        <v>22</v>
      </c>
      <c r="Y17" s="205" t="n">
        <v>23</v>
      </c>
      <c r="Z17" s="205" t="n">
        <v>24</v>
      </c>
      <c r="AA17" s="205" t="n">
        <v>25</v>
      </c>
      <c r="AB17" s="205" t="n">
        <v>26</v>
      </c>
      <c r="AC17" s="205" t="n">
        <v>27</v>
      </c>
      <c r="AD17" s="205" t="n">
        <v>28</v>
      </c>
      <c r="AE17" s="205" t="n">
        <v>29</v>
      </c>
      <c r="AF17" s="205" t="n">
        <v>30</v>
      </c>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5"/>
      <c r="BP17" s="205"/>
      <c r="BQ17" s="205"/>
      <c r="BR17" s="205"/>
      <c r="BS17" s="205"/>
      <c r="BT17" s="205"/>
    </row>
    <row r="18" customFormat="false" ht="14.25" hidden="false" customHeight="true" outlineLevel="0" collapsed="false">
      <c r="B18" s="134" t="s">
        <v>1055</v>
      </c>
      <c r="C18" s="206" t="n">
        <f aca="false">01_Supuestos!$I$25*(1+01_Supuestos!$I$9)^(C17-1)</f>
        <v>325</v>
      </c>
      <c r="D18" s="206" t="n">
        <f aca="false">01_Supuestos!$I$25*(1+01_Supuestos!$I$9)^(D17-1)</f>
        <v>332.475</v>
      </c>
      <c r="E18" s="206" t="n">
        <f aca="false">01_Supuestos!$I$25*(1+01_Supuestos!$I$9)^(E17-1)</f>
        <v>340.121925</v>
      </c>
      <c r="F18" s="206" t="n">
        <f aca="false">01_Supuestos!$I$25*(1+01_Supuestos!$I$9)^(F17-1)</f>
        <v>347.944729275</v>
      </c>
      <c r="G18" s="206" t="n">
        <f aca="false">01_Supuestos!$I$25*(1+01_Supuestos!$I$9)^(G17-1)</f>
        <v>355.947458048325</v>
      </c>
      <c r="H18" s="206" t="n">
        <f aca="false">01_Supuestos!$I$25*(1+01_Supuestos!$I$9)^(H17-1)</f>
        <v>364.134249583436</v>
      </c>
      <c r="I18" s="206" t="n">
        <f aca="false">01_Supuestos!$I$25*(1+01_Supuestos!$I$9)^(I17-1)</f>
        <v>372.509337323855</v>
      </c>
      <c r="J18" s="206" t="n">
        <f aca="false">01_Supuestos!$I$25*(1+01_Supuestos!$I$9)^(J17-1)</f>
        <v>381.077052082304</v>
      </c>
      <c r="K18" s="206" t="n">
        <f aca="false">01_Supuestos!$I$25*(1+01_Supuestos!$I$9)^(K17-1)</f>
        <v>389.841824280197</v>
      </c>
      <c r="L18" s="206" t="n">
        <f aca="false">01_Supuestos!$I$25*(1+01_Supuestos!$I$9)^(L17-1)</f>
        <v>398.808186238641</v>
      </c>
      <c r="M18" s="206" t="n">
        <f aca="false">01_Supuestos!$I$25*(1+01_Supuestos!$I$9)^(M17-1)</f>
        <v>407.98077452213</v>
      </c>
      <c r="N18" s="206" t="n">
        <f aca="false">01_Supuestos!$I$25*(1+01_Supuestos!$I$9)^(N17-1)</f>
        <v>417.364332336139</v>
      </c>
      <c r="O18" s="206" t="n">
        <f aca="false">01_Supuestos!$I$25*(1+01_Supuestos!$I$9)^(O17-1)</f>
        <v>426.96371197987</v>
      </c>
      <c r="P18" s="206" t="n">
        <f aca="false">01_Supuestos!$I$25*(1+01_Supuestos!$I$9)^(P17-1)</f>
        <v>436.783877355407</v>
      </c>
      <c r="Q18" s="206" t="n">
        <f aca="false">01_Supuestos!$I$25*(1+01_Supuestos!$I$9)^(Q17-1)</f>
        <v>446.829906534582</v>
      </c>
      <c r="R18" s="206" t="n">
        <f aca="false">01_Supuestos!$I$25*(1+01_Supuestos!$I$9)^(R17-1)</f>
        <v>457.106994384877</v>
      </c>
      <c r="S18" s="206" t="n">
        <f aca="false">01_Supuestos!$I$25*(1+01_Supuestos!$I$9)^(S17-1)</f>
        <v>467.620455255729</v>
      </c>
      <c r="T18" s="206" t="n">
        <f aca="false">01_Supuestos!$I$25*(1+01_Supuestos!$I$9)^(T17-1)</f>
        <v>478.375725726611</v>
      </c>
      <c r="U18" s="206" t="n">
        <f aca="false">01_Supuestos!$I$25*(1+01_Supuestos!$I$9)^(U17-1)</f>
        <v>489.378367418323</v>
      </c>
      <c r="V18" s="206" t="n">
        <f aca="false">01_Supuestos!$I$25*(1+01_Supuestos!$I$9)^(V17-1)</f>
        <v>500.634069868944</v>
      </c>
      <c r="W18" s="206" t="n">
        <f aca="false">01_Supuestos!$I$25*(1+01_Supuestos!$I$9)^(W17-1)</f>
        <v>512.14865347593</v>
      </c>
      <c r="X18" s="206" t="n">
        <f aca="false">01_Supuestos!$I$25*(1+01_Supuestos!$I$9)^(X17-1)</f>
        <v>523.928072505876</v>
      </c>
      <c r="Y18" s="206" t="n">
        <f aca="false">01_Supuestos!$I$25*(1+01_Supuestos!$I$9)^(Y17-1)</f>
        <v>535.978418173511</v>
      </c>
      <c r="Z18" s="206" t="n">
        <f aca="false">01_Supuestos!$I$25*(1+01_Supuestos!$I$9)^(Z17-1)</f>
        <v>548.305921791502</v>
      </c>
      <c r="AA18" s="206" t="n">
        <f aca="false">01_Supuestos!$I$25*(1+01_Supuestos!$I$9)^(AA17-1)</f>
        <v>560.916957992706</v>
      </c>
      <c r="AB18" s="206" t="n">
        <f aca="false">01_Supuestos!$I$25*(1+01_Supuestos!$I$9)^(AB17-1)</f>
        <v>573.818048026539</v>
      </c>
      <c r="AC18" s="206" t="n">
        <f aca="false">01_Supuestos!$I$25*(1+01_Supuestos!$I$9)^(AC17-1)</f>
        <v>587.015863131149</v>
      </c>
      <c r="AD18" s="206" t="n">
        <f aca="false">01_Supuestos!$I$25*(1+01_Supuestos!$I$9)^(AD17-1)</f>
        <v>600.517227983165</v>
      </c>
      <c r="AE18" s="206" t="n">
        <f aca="false">01_Supuestos!$I$25*(1+01_Supuestos!$I$9)^(AE17-1)</f>
        <v>614.329124226778</v>
      </c>
      <c r="AF18" s="206" t="n">
        <f aca="false">01_Supuestos!$I$25*(1+01_Supuestos!$I$9)^(AF17-1)</f>
        <v>628.458694083994</v>
      </c>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row>
    <row r="19" customFormat="false" ht="14.25" hidden="false" customHeight="true" outlineLevel="0" collapsed="false">
      <c r="B19" s="134" t="s">
        <v>1056</v>
      </c>
      <c r="C19" s="207" t="n">
        <f aca="false">IF($C$6="Sí",(1+01_Supuestos!$I$104)^C17,1)</f>
        <v>1</v>
      </c>
      <c r="D19" s="207" t="n">
        <f aca="false">IF($C$6="Sí",(1+01_Supuestos!$I$104)^D17,1)</f>
        <v>1</v>
      </c>
      <c r="E19" s="207" t="n">
        <f aca="false">IF($C$6="Sí",(1+01_Supuestos!$I$104)^E17,1)</f>
        <v>1</v>
      </c>
      <c r="F19" s="207" t="n">
        <f aca="false">IF($C$6="Sí",(1+01_Supuestos!$I$104)^F17,1)</f>
        <v>1</v>
      </c>
      <c r="G19" s="207" t="n">
        <f aca="false">IF($C$6="Sí",(1+01_Supuestos!$I$104)^G17,1)</f>
        <v>1</v>
      </c>
      <c r="H19" s="207" t="n">
        <f aca="false">IF($C$6="Sí",(1+01_Supuestos!$I$104)^H17,1)</f>
        <v>1</v>
      </c>
      <c r="I19" s="207" t="n">
        <f aca="false">IF($C$6="Sí",(1+01_Supuestos!$I$104)^I17,1)</f>
        <v>1</v>
      </c>
      <c r="J19" s="207" t="n">
        <f aca="false">IF($C$6="Sí",(1+01_Supuestos!$I$104)^J17,1)</f>
        <v>1</v>
      </c>
      <c r="K19" s="207" t="n">
        <f aca="false">IF($C$6="Sí",(1+01_Supuestos!$I$104)^K17,1)</f>
        <v>1</v>
      </c>
      <c r="L19" s="207" t="n">
        <f aca="false">IF($C$6="Sí",(1+01_Supuestos!$I$104)^L17,1)</f>
        <v>1</v>
      </c>
      <c r="M19" s="207" t="n">
        <f aca="false">IF($C$6="Sí",(1+01_Supuestos!$I$104)^M17,1)</f>
        <v>1</v>
      </c>
      <c r="N19" s="207" t="n">
        <f aca="false">IF($C$6="Sí",(1+01_Supuestos!$I$104)^N17,1)</f>
        <v>1</v>
      </c>
      <c r="O19" s="207" t="n">
        <f aca="false">IF($C$6="Sí",(1+01_Supuestos!$I$104)^O17,1)</f>
        <v>1</v>
      </c>
      <c r="P19" s="207" t="n">
        <f aca="false">IF($C$6="Sí",(1+01_Supuestos!$I$104)^P17,1)</f>
        <v>1</v>
      </c>
      <c r="Q19" s="207" t="n">
        <f aca="false">IF($C$6="Sí",(1+01_Supuestos!$I$104)^Q17,1)</f>
        <v>1</v>
      </c>
      <c r="R19" s="207" t="n">
        <f aca="false">IF($C$6="Sí",(1+01_Supuestos!$I$104)^R17,1)</f>
        <v>1</v>
      </c>
      <c r="S19" s="207" t="n">
        <f aca="false">IF($C$6="Sí",(1+01_Supuestos!$I$104)^S17,1)</f>
        <v>1</v>
      </c>
      <c r="T19" s="207" t="n">
        <f aca="false">IF($C$6="Sí",(1+01_Supuestos!$I$104)^T17,1)</f>
        <v>1</v>
      </c>
      <c r="U19" s="207" t="n">
        <f aca="false">IF($C$6="Sí",(1+01_Supuestos!$I$104)^U17,1)</f>
        <v>1</v>
      </c>
      <c r="V19" s="207" t="n">
        <f aca="false">IF($C$6="Sí",(1+01_Supuestos!$I$104)^V17,1)</f>
        <v>1</v>
      </c>
      <c r="W19" s="207" t="n">
        <f aca="false">IF($C$6="Sí",(1+01_Supuestos!$I$104)^W17,1)</f>
        <v>1</v>
      </c>
      <c r="X19" s="207" t="n">
        <f aca="false">IF($C$6="Sí",(1+01_Supuestos!$I$104)^X17,1)</f>
        <v>1</v>
      </c>
      <c r="Y19" s="207" t="n">
        <f aca="false">IF($C$6="Sí",(1+01_Supuestos!$I$104)^Y17,1)</f>
        <v>1</v>
      </c>
      <c r="Z19" s="207" t="n">
        <f aca="false">IF($C$6="Sí",(1+01_Supuestos!$I$104)^Z17,1)</f>
        <v>1</v>
      </c>
      <c r="AA19" s="207" t="n">
        <f aca="false">IF($C$6="Sí",(1+01_Supuestos!$I$104)^AA17,1)</f>
        <v>1</v>
      </c>
      <c r="AB19" s="207" t="n">
        <f aca="false">IF($C$6="Sí",(1+01_Supuestos!$I$104)^AB17,1)</f>
        <v>1</v>
      </c>
      <c r="AC19" s="207" t="n">
        <f aca="false">IF($C$6="Sí",(1+01_Supuestos!$I$104)^AC17,1)</f>
        <v>1</v>
      </c>
      <c r="AD19" s="207" t="n">
        <f aca="false">IF($C$6="Sí",(1+01_Supuestos!$I$104)^AD17,1)</f>
        <v>1</v>
      </c>
      <c r="AE19" s="207" t="n">
        <f aca="false">IF($C$6="Sí",(1+01_Supuestos!$I$104)^AE17,1)</f>
        <v>1</v>
      </c>
      <c r="AF19" s="207" t="n">
        <f aca="false">IF($C$6="Sí",(1+01_Supuestos!$I$104)^AF17,1)</f>
        <v>1</v>
      </c>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07"/>
      <c r="BP19" s="207"/>
      <c r="BQ19" s="207"/>
      <c r="BR19" s="207"/>
      <c r="BS19" s="207"/>
      <c r="BT19" s="207"/>
    </row>
    <row r="20" customFormat="false" ht="14.25" hidden="false" customHeight="true" outlineLevel="0" collapsed="false">
      <c r="B20" s="134" t="s">
        <v>1057</v>
      </c>
      <c r="C20" s="207" t="n">
        <f aca="false">(1+01_Supuestos!$I$10)^(C17-1)</f>
        <v>1</v>
      </c>
      <c r="D20" s="207" t="n">
        <f aca="false">(1+01_Supuestos!$I$10)^(D17-1)</f>
        <v>1.035</v>
      </c>
      <c r="E20" s="207" t="n">
        <f aca="false">(1+01_Supuestos!$I$10)^(E17-1)</f>
        <v>1.071225</v>
      </c>
      <c r="F20" s="207" t="n">
        <f aca="false">(1+01_Supuestos!$I$10)^(F17-1)</f>
        <v>1.108717875</v>
      </c>
      <c r="G20" s="207" t="n">
        <f aca="false">(1+01_Supuestos!$I$10)^(G17-1)</f>
        <v>1.147523000625</v>
      </c>
      <c r="H20" s="207" t="n">
        <f aca="false">(1+01_Supuestos!$I$10)^(H17-1)</f>
        <v>1.18768630564687</v>
      </c>
      <c r="I20" s="207" t="n">
        <f aca="false">(1+01_Supuestos!$I$10)^(I17-1)</f>
        <v>1.22925532634452</v>
      </c>
      <c r="J20" s="207" t="n">
        <f aca="false">(1+01_Supuestos!$I$10)^(J17-1)</f>
        <v>1.27227926276657</v>
      </c>
      <c r="K20" s="207" t="n">
        <f aca="false">(1+01_Supuestos!$I$10)^(K17-1)</f>
        <v>1.3168090369634</v>
      </c>
      <c r="L20" s="207" t="n">
        <f aca="false">(1+01_Supuestos!$I$10)^(L17-1)</f>
        <v>1.36289735325712</v>
      </c>
      <c r="M20" s="207" t="n">
        <f aca="false">(1+01_Supuestos!$I$10)^(M17-1)</f>
        <v>1.41059876062112</v>
      </c>
      <c r="N20" s="207" t="n">
        <f aca="false">(1+01_Supuestos!$I$10)^(N17-1)</f>
        <v>1.45996971724286</v>
      </c>
      <c r="O20" s="207" t="n">
        <f aca="false">(1+01_Supuestos!$I$10)^(O17-1)</f>
        <v>1.51106865734636</v>
      </c>
      <c r="P20" s="207" t="n">
        <f aca="false">(1+01_Supuestos!$I$10)^(P17-1)</f>
        <v>1.56395606035348</v>
      </c>
      <c r="Q20" s="207" t="n">
        <f aca="false">(1+01_Supuestos!$I$10)^(Q17-1)</f>
        <v>1.61869452246585</v>
      </c>
      <c r="R20" s="207" t="n">
        <f aca="false">(1+01_Supuestos!$I$10)^(R17-1)</f>
        <v>1.67534883075216</v>
      </c>
      <c r="S20" s="207" t="n">
        <f aca="false">(1+01_Supuestos!$I$10)^(S17-1)</f>
        <v>1.73398603982848</v>
      </c>
      <c r="T20" s="207" t="n">
        <f aca="false">(1+01_Supuestos!$I$10)^(T17-1)</f>
        <v>1.79467555122248</v>
      </c>
      <c r="U20" s="207" t="n">
        <f aca="false">(1+01_Supuestos!$I$10)^(U17-1)</f>
        <v>1.85748919551527</v>
      </c>
      <c r="V20" s="207" t="n">
        <f aca="false">(1+01_Supuestos!$I$10)^(V17-1)</f>
        <v>1.9225013173583</v>
      </c>
      <c r="W20" s="207" t="n">
        <f aca="false">(1+01_Supuestos!$I$10)^(W17-1)</f>
        <v>1.98978886346584</v>
      </c>
      <c r="X20" s="207" t="n">
        <f aca="false">(1+01_Supuestos!$I$10)^(X17-1)</f>
        <v>2.05943147368715</v>
      </c>
      <c r="Y20" s="207" t="n">
        <f aca="false">(1+01_Supuestos!$I$10)^(Y17-1)</f>
        <v>2.1315115752662</v>
      </c>
      <c r="Z20" s="207" t="n">
        <f aca="false">(1+01_Supuestos!$I$10)^(Z17-1)</f>
        <v>2.20611448040051</v>
      </c>
      <c r="AA20" s="207" t="n">
        <f aca="false">(1+01_Supuestos!$I$10)^(AA17-1)</f>
        <v>2.28332848721453</v>
      </c>
      <c r="AB20" s="207" t="n">
        <f aca="false">(1+01_Supuestos!$I$10)^(AB17-1)</f>
        <v>2.36324498426704</v>
      </c>
      <c r="AC20" s="207" t="n">
        <f aca="false">(1+01_Supuestos!$I$10)^(AC17-1)</f>
        <v>2.44595855871639</v>
      </c>
      <c r="AD20" s="207" t="n">
        <f aca="false">(1+01_Supuestos!$I$10)^(AD17-1)</f>
        <v>2.53156710827146</v>
      </c>
      <c r="AE20" s="207" t="n">
        <f aca="false">(1+01_Supuestos!$I$10)^(AE17-1)</f>
        <v>2.62017195706096</v>
      </c>
      <c r="AF20" s="207" t="n">
        <f aca="false">(1+01_Supuestos!$I$10)^(AF17-1)</f>
        <v>2.71187797555809</v>
      </c>
      <c r="AG20" s="207"/>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207"/>
      <c r="BH20" s="207"/>
      <c r="BI20" s="207"/>
      <c r="BJ20" s="207"/>
      <c r="BK20" s="207"/>
      <c r="BL20" s="207"/>
      <c r="BM20" s="207"/>
      <c r="BN20" s="207"/>
      <c r="BO20" s="207"/>
      <c r="BP20" s="207"/>
      <c r="BQ20" s="207"/>
      <c r="BR20" s="207"/>
      <c r="BS20" s="207"/>
      <c r="BT20" s="207"/>
    </row>
    <row r="21" customFormat="false" ht="14.25" hidden="false" customHeight="true" outlineLevel="0" collapsed="false">
      <c r="B21" s="132" t="s">
        <v>1058</v>
      </c>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row>
    <row r="22" customFormat="false" ht="14.25" hidden="false" customHeight="true" outlineLevel="0" collapsed="false">
      <c r="B22" s="134" t="s">
        <v>1668</v>
      </c>
      <c r="C22" s="206" t="n">
        <f aca="false">18_Motor_v662!C16</f>
        <v>56.77404</v>
      </c>
      <c r="D22" s="206" t="n">
        <f aca="false">18_Motor_v662!D16</f>
        <v>33.605448</v>
      </c>
      <c r="E22" s="206" t="n">
        <f aca="false">18_Motor_v662!E16</f>
        <v>28.8</v>
      </c>
      <c r="F22" s="206" t="n">
        <f aca="false">18_Motor_v662!F16</f>
        <v>65.644182</v>
      </c>
      <c r="G22" s="206" t="n">
        <f aca="false">18_Motor_v662!G16</f>
        <v>0</v>
      </c>
      <c r="H22" s="206" t="n">
        <f aca="false">18_Motor_v662!H16</f>
        <v>0</v>
      </c>
      <c r="I22" s="206" t="n">
        <f aca="false">18_Motor_v662!I16</f>
        <v>0</v>
      </c>
      <c r="J22" s="206" t="n">
        <f aca="false">18_Motor_v662!J16</f>
        <v>0</v>
      </c>
      <c r="K22" s="206" t="n">
        <f aca="false">18_Motor_v662!K16</f>
        <v>0</v>
      </c>
      <c r="L22" s="206" t="n">
        <f aca="false">18_Motor_v662!L16</f>
        <v>0</v>
      </c>
      <c r="M22" s="206" t="n">
        <f aca="false">18_Motor_v662!M16</f>
        <v>0</v>
      </c>
      <c r="N22" s="206" t="n">
        <f aca="false">18_Motor_v662!N16</f>
        <v>0</v>
      </c>
      <c r="O22" s="206" t="n">
        <f aca="false">18_Motor_v662!O16</f>
        <v>0</v>
      </c>
      <c r="P22" s="206" t="n">
        <f aca="false">18_Motor_v662!P16</f>
        <v>0</v>
      </c>
      <c r="Q22" s="206" t="n">
        <f aca="false">18_Motor_v662!Q16</f>
        <v>0</v>
      </c>
      <c r="R22" s="206" t="n">
        <f aca="false">18_Motor_v662!R16</f>
        <v>0</v>
      </c>
      <c r="S22" s="206" t="n">
        <f aca="false">18_Motor_v662!S16</f>
        <v>0</v>
      </c>
      <c r="T22" s="206" t="n">
        <f aca="false">18_Motor_v662!T16</f>
        <v>0</v>
      </c>
      <c r="U22" s="206" t="n">
        <f aca="false">18_Motor_v662!U16</f>
        <v>0</v>
      </c>
      <c r="V22" s="206" t="n">
        <f aca="false">18_Motor_v662!V16</f>
        <v>0</v>
      </c>
      <c r="W22" s="206" t="n">
        <f aca="false">18_Motor_v662!W16</f>
        <v>0</v>
      </c>
      <c r="X22" s="206" t="n">
        <f aca="false">18_Motor_v662!X16</f>
        <v>0</v>
      </c>
      <c r="Y22" s="206" t="n">
        <f aca="false">18_Motor_v662!Y16</f>
        <v>0</v>
      </c>
      <c r="Z22" s="206" t="n">
        <f aca="false">18_Motor_v662!Z16</f>
        <v>0</v>
      </c>
      <c r="AA22" s="206" t="n">
        <f aca="false">18_Motor_v662!AA16</f>
        <v>0</v>
      </c>
      <c r="AB22" s="206" t="n">
        <f aca="false">18_Motor_v662!AB16</f>
        <v>0</v>
      </c>
      <c r="AC22" s="206" t="n">
        <f aca="false">18_Motor_v662!AC16</f>
        <v>0</v>
      </c>
      <c r="AD22" s="206" t="n">
        <f aca="false">18_Motor_v662!AD16</f>
        <v>0</v>
      </c>
      <c r="AE22" s="206" t="n">
        <f aca="false">18_Motor_v662!AE16</f>
        <v>0</v>
      </c>
      <c r="AF22" s="206" t="n">
        <f aca="false">18_Motor_v662!AF16</f>
        <v>0</v>
      </c>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6"/>
      <c r="BP22" s="206"/>
      <c r="BQ22" s="206"/>
      <c r="BR22" s="206"/>
      <c r="BS22" s="206"/>
      <c r="BT22" s="206"/>
    </row>
    <row r="23" customFormat="false" ht="14.25" hidden="false" customHeight="true" outlineLevel="0" collapsed="false">
      <c r="B23" s="134" t="s">
        <v>1669</v>
      </c>
      <c r="C23" s="206" t="n">
        <f aca="false">18_Motor_v662!C17</f>
        <v>0</v>
      </c>
      <c r="D23" s="206" t="n">
        <f aca="false">18_Motor_v662!D17</f>
        <v>0</v>
      </c>
      <c r="E23" s="206" t="n">
        <f aca="false">18_Motor_v662!E17</f>
        <v>0</v>
      </c>
      <c r="F23" s="206" t="n">
        <f aca="false">18_Motor_v662!F17</f>
        <v>26.4</v>
      </c>
      <c r="G23" s="206" t="n">
        <f aca="false">18_Motor_v662!G17</f>
        <v>0</v>
      </c>
      <c r="H23" s="206" t="n">
        <f aca="false">18_Motor_v662!H17</f>
        <v>0</v>
      </c>
      <c r="I23" s="206" t="n">
        <f aca="false">18_Motor_v662!I17</f>
        <v>0</v>
      </c>
      <c r="J23" s="206" t="n">
        <f aca="false">18_Motor_v662!J17</f>
        <v>0</v>
      </c>
      <c r="K23" s="206" t="n">
        <f aca="false">18_Motor_v662!K17</f>
        <v>0</v>
      </c>
      <c r="L23" s="206" t="n">
        <f aca="false">18_Motor_v662!L17</f>
        <v>0</v>
      </c>
      <c r="M23" s="206" t="n">
        <f aca="false">18_Motor_v662!M17</f>
        <v>0</v>
      </c>
      <c r="N23" s="206" t="n">
        <f aca="false">18_Motor_v662!N17</f>
        <v>0</v>
      </c>
      <c r="O23" s="206" t="n">
        <f aca="false">18_Motor_v662!O17</f>
        <v>0</v>
      </c>
      <c r="P23" s="206" t="n">
        <f aca="false">18_Motor_v662!P17</f>
        <v>0</v>
      </c>
      <c r="Q23" s="206" t="n">
        <f aca="false">18_Motor_v662!Q17</f>
        <v>0</v>
      </c>
      <c r="R23" s="206" t="n">
        <f aca="false">18_Motor_v662!R17</f>
        <v>0</v>
      </c>
      <c r="S23" s="206" t="n">
        <f aca="false">18_Motor_v662!S17</f>
        <v>0</v>
      </c>
      <c r="T23" s="206" t="n">
        <f aca="false">18_Motor_v662!T17</f>
        <v>0</v>
      </c>
      <c r="U23" s="206" t="n">
        <f aca="false">18_Motor_v662!U17</f>
        <v>0</v>
      </c>
      <c r="V23" s="206" t="n">
        <f aca="false">18_Motor_v662!V17</f>
        <v>0</v>
      </c>
      <c r="W23" s="206" t="n">
        <f aca="false">18_Motor_v662!W17</f>
        <v>0</v>
      </c>
      <c r="X23" s="206" t="n">
        <f aca="false">18_Motor_v662!X17</f>
        <v>0</v>
      </c>
      <c r="Y23" s="206" t="n">
        <f aca="false">18_Motor_v662!Y17</f>
        <v>0</v>
      </c>
      <c r="Z23" s="206" t="n">
        <f aca="false">18_Motor_v662!Z17</f>
        <v>0</v>
      </c>
      <c r="AA23" s="206" t="n">
        <f aca="false">18_Motor_v662!AA17</f>
        <v>0</v>
      </c>
      <c r="AB23" s="206" t="n">
        <f aca="false">18_Motor_v662!AB17</f>
        <v>0</v>
      </c>
      <c r="AC23" s="206" t="n">
        <f aca="false">18_Motor_v662!AC17</f>
        <v>0</v>
      </c>
      <c r="AD23" s="206" t="n">
        <f aca="false">18_Motor_v662!AD17</f>
        <v>0</v>
      </c>
      <c r="AE23" s="206" t="n">
        <f aca="false">18_Motor_v662!AE17</f>
        <v>0</v>
      </c>
      <c r="AF23" s="206" t="n">
        <f aca="false">18_Motor_v662!AF17</f>
        <v>0</v>
      </c>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6"/>
      <c r="BF23" s="206"/>
      <c r="BG23" s="206"/>
      <c r="BH23" s="206"/>
      <c r="BI23" s="206"/>
      <c r="BJ23" s="206"/>
      <c r="BK23" s="206"/>
      <c r="BL23" s="206"/>
      <c r="BM23" s="206"/>
      <c r="BN23" s="206"/>
      <c r="BO23" s="206"/>
      <c r="BP23" s="206"/>
      <c r="BQ23" s="206"/>
      <c r="BR23" s="206"/>
      <c r="BS23" s="206"/>
      <c r="BT23" s="206"/>
    </row>
    <row r="24" customFormat="false" ht="14.25" hidden="false" customHeight="true" outlineLevel="0" collapsed="false">
      <c r="B24" s="134" t="s">
        <v>1670</v>
      </c>
      <c r="C24" s="206" t="n">
        <f aca="false">IF(OR(C17&lt;4,C17&gt;01_Supuestos!$I$145),0,(10_Motor!C35-10_Motor!C62)/(1+10_Motor!C8)^(C17-4)*IF($C$6="Sí",MAX(0,01_Supuestos!$I$63-01_Supuestos!$I$64*(C19-1))/01_Supuestos!$I$63,1)+10_Motor!C62/(1+10_Motor!C8)^(C17-4))</f>
        <v>0</v>
      </c>
      <c r="D24" s="206" t="n">
        <f aca="false">IF(OR(D17&lt;4,D17&gt;01_Supuestos!$I$145),0,(10_Motor!D35-10_Motor!D62)/(1+10_Motor!D8)^(D17-4)*IF($C$6="Sí",MAX(0,01_Supuestos!$I$63-01_Supuestos!$I$64*(D19-1))/01_Supuestos!$I$63,1)+10_Motor!D62/(1+10_Motor!D8)^(D17-4))</f>
        <v>0</v>
      </c>
      <c r="E24" s="206" t="n">
        <f aca="false">IF(OR(E17&lt;4,E17&gt;01_Supuestos!$I$145),0,(10_Motor!E35-10_Motor!E62)/(1+10_Motor!E8)^(E17-4)*IF($C$6="Sí",MAX(0,01_Supuestos!$I$63-01_Supuestos!$I$64*(E19-1))/01_Supuestos!$I$63,1)+10_Motor!E62/(1+10_Motor!E8)^(E17-4))</f>
        <v>0</v>
      </c>
      <c r="F24" s="206" t="n">
        <f aca="false">IF(OR(F17&lt;4,F17&gt;01_Supuestos!$I$145),0,(10_Motor!F35-10_Motor!F62)/(1+10_Motor!F8)^(F17-4)*IF($C$6="Sí",MAX(0,01_Supuestos!$I$63-01_Supuestos!$I$64*(F19-1))/01_Supuestos!$I$63,1)+10_Motor!F62/(1+10_Motor!F8)^(F17-4))</f>
        <v>3.19703714191</v>
      </c>
      <c r="G24" s="206" t="n">
        <f aca="false">IF(OR(G17&lt;4,G17&gt;01_Supuestos!$I$145),0,(10_Motor!G35-10_Motor!G62)/(1+10_Motor!G8)^(G17-4)*IF($C$6="Sí",MAX(0,01_Supuestos!$I$63-01_Supuestos!$I$64*(G19-1))/01_Supuestos!$I$63,1)+10_Motor!G62/(1+10_Motor!G8)^(G17-4))</f>
        <v>3.19703714191</v>
      </c>
      <c r="H24" s="206" t="n">
        <f aca="false">IF(OR(H17&lt;4,H17&gt;01_Supuestos!$I$145),0,(10_Motor!H35-10_Motor!H62)/(1+10_Motor!H8)^(H17-4)*IF($C$6="Sí",MAX(0,01_Supuestos!$I$63-01_Supuestos!$I$64*(H19-1))/01_Supuestos!$I$63,1)+10_Motor!H62/(1+10_Motor!H8)^(H17-4))</f>
        <v>3.19703714191</v>
      </c>
      <c r="I24" s="206" t="n">
        <f aca="false">IF(OR(I17&lt;4,I17&gt;01_Supuestos!$I$145),0,(10_Motor!I35-10_Motor!I62)/(1+10_Motor!I8)^(I17-4)*IF($C$6="Sí",MAX(0,01_Supuestos!$I$63-01_Supuestos!$I$64*(I19-1))/01_Supuestos!$I$63,1)+10_Motor!I62/(1+10_Motor!I8)^(I17-4))</f>
        <v>3.19703714191</v>
      </c>
      <c r="J24" s="206" t="n">
        <f aca="false">IF(OR(J17&lt;4,J17&gt;01_Supuestos!$I$145),0,(10_Motor!J35-10_Motor!J62)/(1+10_Motor!J8)^(J17-4)*IF($C$6="Sí",MAX(0,01_Supuestos!$I$63-01_Supuestos!$I$64*(J19-1))/01_Supuestos!$I$63,1)+10_Motor!J62/(1+10_Motor!J8)^(J17-4))</f>
        <v>3.19703714191</v>
      </c>
      <c r="K24" s="206" t="n">
        <f aca="false">IF(OR(K17&lt;4,K17&gt;01_Supuestos!$I$145),0,(10_Motor!K35-10_Motor!K62)/(1+10_Motor!K8)^(K17-4)*IF($C$6="Sí",MAX(0,01_Supuestos!$I$63-01_Supuestos!$I$64*(K19-1))/01_Supuestos!$I$63,1)+10_Motor!K62/(1+10_Motor!K8)^(K17-4))</f>
        <v>3.19703714191</v>
      </c>
      <c r="L24" s="206" t="n">
        <f aca="false">IF(OR(L17&lt;4,L17&gt;01_Supuestos!$I$145),0,(10_Motor!L35-10_Motor!L62)/(1+10_Motor!L8)^(L17-4)*IF($C$6="Sí",MAX(0,01_Supuestos!$I$63-01_Supuestos!$I$64*(L19-1))/01_Supuestos!$I$63,1)+10_Motor!L62/(1+10_Motor!L8)^(L17-4))</f>
        <v>3.19703714191</v>
      </c>
      <c r="M24" s="206" t="n">
        <f aca="false">IF(OR(M17&lt;4,M17&gt;01_Supuestos!$I$145),0,(10_Motor!M35-10_Motor!M62)/(1+10_Motor!M8)^(M17-4)*IF($C$6="Sí",MAX(0,01_Supuestos!$I$63-01_Supuestos!$I$64*(M19-1))/01_Supuestos!$I$63,1)+10_Motor!M62/(1+10_Motor!M8)^(M17-4))</f>
        <v>3.19703714191</v>
      </c>
      <c r="N24" s="206" t="n">
        <f aca="false">IF(OR(N17&lt;4,N17&gt;01_Supuestos!$I$145),0,(10_Motor!N35-10_Motor!N62)/(1+10_Motor!N8)^(N17-4)*IF($C$6="Sí",MAX(0,01_Supuestos!$I$63-01_Supuestos!$I$64*(N19-1))/01_Supuestos!$I$63,1)+10_Motor!N62/(1+10_Motor!N8)^(N17-4))</f>
        <v>3.19703714191</v>
      </c>
      <c r="O24" s="206" t="n">
        <f aca="false">IF(OR(O17&lt;4,O17&gt;01_Supuestos!$I$145),0,(10_Motor!O35-10_Motor!O62)/(1+10_Motor!O8)^(O17-4)*IF($C$6="Sí",MAX(0,01_Supuestos!$I$63-01_Supuestos!$I$64*(O19-1))/01_Supuestos!$I$63,1)+10_Motor!O62/(1+10_Motor!O8)^(O17-4))</f>
        <v>3.19703714191</v>
      </c>
      <c r="P24" s="206" t="n">
        <f aca="false">IF(OR(P17&lt;4,P17&gt;01_Supuestos!$I$145),0,(10_Motor!P35-10_Motor!P62)/(1+10_Motor!P8)^(P17-4)*IF($C$6="Sí",MAX(0,01_Supuestos!$I$63-01_Supuestos!$I$64*(P19-1))/01_Supuestos!$I$63,1)+10_Motor!P62/(1+10_Motor!P8)^(P17-4))</f>
        <v>3.19703714191</v>
      </c>
      <c r="Q24" s="206" t="n">
        <f aca="false">IF(OR(Q17&lt;4,Q17&gt;01_Supuestos!$I$145),0,(10_Motor!Q35-10_Motor!Q62)/(1+10_Motor!Q8)^(Q17-4)*IF($C$6="Sí",MAX(0,01_Supuestos!$I$63-01_Supuestos!$I$64*(Q19-1))/01_Supuestos!$I$63,1)+10_Motor!Q62/(1+10_Motor!Q8)^(Q17-4))</f>
        <v>3.19703714191</v>
      </c>
      <c r="R24" s="206" t="n">
        <f aca="false">IF(OR(R17&lt;4,R17&gt;01_Supuestos!$I$145),0,(10_Motor!R35-10_Motor!R62)/(1+10_Motor!R8)^(R17-4)*IF($C$6="Sí",MAX(0,01_Supuestos!$I$63-01_Supuestos!$I$64*(R19-1))/01_Supuestos!$I$63,1)+10_Motor!R62/(1+10_Motor!R8)^(R17-4))</f>
        <v>3.096937058158</v>
      </c>
      <c r="S24" s="206" t="n">
        <f aca="false">IF(OR(S17&lt;4,S17&gt;01_Supuestos!$I$145),0,(10_Motor!S35-10_Motor!S62)/(1+10_Motor!S8)^(S17-4)*IF($C$6="Sí",MAX(0,01_Supuestos!$I$63-01_Supuestos!$I$64*(S19-1))/01_Supuestos!$I$63,1)+10_Motor!S62/(1+10_Motor!S8)^(S17-4))</f>
        <v>2.996836974406</v>
      </c>
      <c r="T24" s="206" t="n">
        <f aca="false">IF(OR(T17&lt;4,T17&gt;01_Supuestos!$I$145),0,(10_Motor!T35-10_Motor!T62)/(1+10_Motor!T8)^(T17-4)*IF($C$6="Sí",MAX(0,01_Supuestos!$I$63-01_Supuestos!$I$64*(T19-1))/01_Supuestos!$I$63,1)+10_Motor!T62/(1+10_Motor!T8)^(T17-4))</f>
        <v>2.896736890654</v>
      </c>
      <c r="U24" s="206" t="n">
        <f aca="false">IF(OR(U17&lt;4,U17&gt;01_Supuestos!$I$145),0,(10_Motor!U35-10_Motor!U62)/(1+10_Motor!U8)^(U17-4)*IF($C$6="Sí",MAX(0,01_Supuestos!$I$63-01_Supuestos!$I$64*(U19-1))/01_Supuestos!$I$63,1)+10_Motor!U62/(1+10_Motor!U8)^(U17-4))</f>
        <v>2.796636806902</v>
      </c>
      <c r="V24" s="206" t="n">
        <f aca="false">IF(OR(V17&lt;4,V17&gt;01_Supuestos!$I$145),0,(10_Motor!V35-10_Motor!V62)/(1+10_Motor!V8)^(V17-4)*IF($C$6="Sí",MAX(0,01_Supuestos!$I$63-01_Supuestos!$I$64*(V19-1))/01_Supuestos!$I$63,1)+10_Motor!V62/(1+10_Motor!V8)^(V17-4))</f>
        <v>2.69653672315</v>
      </c>
      <c r="W24" s="206" t="n">
        <f aca="false">IF(OR(W17&lt;4,W17&gt;01_Supuestos!$I$145),0,(10_Motor!W35-10_Motor!W62)/(1+10_Motor!W8)^(W17-4)*IF($C$6="Sí",MAX(0,01_Supuestos!$I$63-01_Supuestos!$I$64*(W19-1))/01_Supuestos!$I$63,1)+10_Motor!W62/(1+10_Motor!W8)^(W17-4))</f>
        <v>2.596436639398</v>
      </c>
      <c r="X24" s="206" t="n">
        <f aca="false">IF(OR(X17&lt;4,X17&gt;01_Supuestos!$I$145),0,(10_Motor!X35-10_Motor!X62)/(1+10_Motor!X8)^(X17-4)*IF($C$6="Sí",MAX(0,01_Supuestos!$I$63-01_Supuestos!$I$64*(X19-1))/01_Supuestos!$I$63,1)+10_Motor!X62/(1+10_Motor!X8)^(X17-4))</f>
        <v>2.496336555646</v>
      </c>
      <c r="Y24" s="206" t="n">
        <f aca="false">IF(OR(Y17&lt;4,Y17&gt;01_Supuestos!$I$145),0,(10_Motor!Y35-10_Motor!Y62)/(1+10_Motor!Y8)^(Y17-4)*IF($C$6="Sí",MAX(0,01_Supuestos!$I$63-01_Supuestos!$I$64*(Y19-1))/01_Supuestos!$I$63,1)+10_Motor!Y62/(1+10_Motor!Y8)^(Y17-4))</f>
        <v>2.396236471894</v>
      </c>
      <c r="Z24" s="206" t="n">
        <f aca="false">IF(OR(Z17&lt;4,Z17&gt;01_Supuestos!$I$145),0,(10_Motor!Z35-10_Motor!Z62)/(1+10_Motor!Z8)^(Z17-4)*IF($C$6="Sí",MAX(0,01_Supuestos!$I$63-01_Supuestos!$I$64*(Z19-1))/01_Supuestos!$I$63,1)+10_Motor!Z62/(1+10_Motor!Z8)^(Z17-4))</f>
        <v>2.296136388142</v>
      </c>
      <c r="AA24" s="206" t="n">
        <f aca="false">IF(OR(AA17&lt;4,AA17&gt;01_Supuestos!$I$145),0,(10_Motor!AA35-10_Motor!AA62)/(1+10_Motor!AA8)^(AA17-4)*IF($C$6="Sí",MAX(0,01_Supuestos!$I$63-01_Supuestos!$I$64*(AA19-1))/01_Supuestos!$I$63,1)+10_Motor!AA62/(1+10_Motor!AA8)^(AA17-4))</f>
        <v>2.19603630439</v>
      </c>
      <c r="AB24" s="206" t="n">
        <f aca="false">IF(OR(AB17&lt;4,AB17&gt;01_Supuestos!$I$145),0,(10_Motor!AB35-10_Motor!AB62)/(1+10_Motor!AB8)^(AB17-4)*IF($C$6="Sí",MAX(0,01_Supuestos!$I$63-01_Supuestos!$I$64*(AB19-1))/01_Supuestos!$I$63,1)+10_Motor!AB62/(1+10_Motor!AB8)^(AB17-4))</f>
        <v>2.095936220638</v>
      </c>
      <c r="AC24" s="206" t="n">
        <f aca="false">IF(OR(AC17&lt;4,AC17&gt;01_Supuestos!$I$145),0,(10_Motor!AC35-10_Motor!AC62)/(1+10_Motor!AC8)^(AC17-4)*IF($C$6="Sí",MAX(0,01_Supuestos!$I$63-01_Supuestos!$I$64*(AC19-1))/01_Supuestos!$I$63,1)+10_Motor!AC62/(1+10_Motor!AC8)^(AC17-4))</f>
        <v>1.995836136886</v>
      </c>
      <c r="AD24" s="206" t="n">
        <f aca="false">IF(OR(AD17&lt;4,AD17&gt;01_Supuestos!$I$145),0,(10_Motor!AD35-10_Motor!AD62)/(1+10_Motor!AD8)^(AD17-4)*IF($C$6="Sí",MAX(0,01_Supuestos!$I$63-01_Supuestos!$I$64*(AD19-1))/01_Supuestos!$I$63,1)+10_Motor!AD62/(1+10_Motor!AD8)^(AD17-4))</f>
        <v>1.895736053134</v>
      </c>
      <c r="AE24" s="206" t="n">
        <f aca="false">IF(OR(AE17&lt;4,AE17&gt;01_Supuestos!$I$145),0,(10_Motor!AE35-10_Motor!AE62)/(1+10_Motor!AE8)^(AE17-4)*IF($C$6="Sí",MAX(0,01_Supuestos!$I$63-01_Supuestos!$I$64*(AE19-1))/01_Supuestos!$I$63,1)+10_Motor!AE62/(1+10_Motor!AE8)^(AE17-4))</f>
        <v>1.795635969382</v>
      </c>
      <c r="AF24" s="206" t="n">
        <f aca="false">IF(OR(AF17&lt;4,AF17&gt;01_Supuestos!$I$145),0,(10_Motor!AF35-10_Motor!AF62)/(1+10_Motor!AF8)^(AF17-4)*IF($C$6="Sí",MAX(0,01_Supuestos!$I$63-01_Supuestos!$I$64*(AF19-1))/01_Supuestos!$I$63,1)+10_Motor!AF62/(1+10_Motor!AF8)^(AF17-4))</f>
        <v>1.69553588563</v>
      </c>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6"/>
      <c r="BP24" s="206"/>
      <c r="BQ24" s="206"/>
      <c r="BR24" s="206"/>
      <c r="BS24" s="206"/>
      <c r="BT24" s="206"/>
    </row>
    <row r="25" customFormat="false" ht="14.25" hidden="false" customHeight="true" outlineLevel="0" collapsed="false">
      <c r="B25" s="134" t="s">
        <v>1065</v>
      </c>
      <c r="C25" s="206" t="n">
        <f aca="false">IF(C17&lt;4,0,01_Supuestos!$I$21*01_Supuestos!$I$64/1000000000000*C19)</f>
        <v>0</v>
      </c>
      <c r="D25" s="206" t="n">
        <f aca="false">IF(D17&lt;4,0,01_Supuestos!$I$21*01_Supuestos!$I$64/1000000000000*D19)</f>
        <v>0</v>
      </c>
      <c r="E25" s="206" t="n">
        <f aca="false">IF(E17&lt;4,0,01_Supuestos!$I$21*01_Supuestos!$I$64/1000000000000*E19)</f>
        <v>0</v>
      </c>
      <c r="F25" s="206" t="n">
        <f aca="false">IF(F17&lt;4,0,01_Supuestos!$I$21*01_Supuestos!$I$64/1000000000000*F19)</f>
        <v>1.32</v>
      </c>
      <c r="G25" s="206" t="n">
        <f aca="false">IF(G17&lt;4,0,01_Supuestos!$I$21*01_Supuestos!$I$64/1000000000000*G19)</f>
        <v>1.32</v>
      </c>
      <c r="H25" s="206" t="n">
        <f aca="false">IF(H17&lt;4,0,01_Supuestos!$I$21*01_Supuestos!$I$64/1000000000000*H19)</f>
        <v>1.32</v>
      </c>
      <c r="I25" s="206" t="n">
        <f aca="false">IF(I17&lt;4,0,01_Supuestos!$I$21*01_Supuestos!$I$64/1000000000000*I19)</f>
        <v>1.32</v>
      </c>
      <c r="J25" s="206" t="n">
        <f aca="false">IF(J17&lt;4,0,01_Supuestos!$I$21*01_Supuestos!$I$64/1000000000000*J19)</f>
        <v>1.32</v>
      </c>
      <c r="K25" s="206" t="n">
        <f aca="false">IF(K17&lt;4,0,01_Supuestos!$I$21*01_Supuestos!$I$64/1000000000000*K19)</f>
        <v>1.32</v>
      </c>
      <c r="L25" s="206" t="n">
        <f aca="false">IF(L17&lt;4,0,01_Supuestos!$I$21*01_Supuestos!$I$64/1000000000000*L19)</f>
        <v>1.32</v>
      </c>
      <c r="M25" s="206" t="n">
        <f aca="false">IF(M17&lt;4,0,01_Supuestos!$I$21*01_Supuestos!$I$64/1000000000000*M19)</f>
        <v>1.32</v>
      </c>
      <c r="N25" s="206" t="n">
        <f aca="false">IF(N17&lt;4,0,01_Supuestos!$I$21*01_Supuestos!$I$64/1000000000000*N19)</f>
        <v>1.32</v>
      </c>
      <c r="O25" s="206" t="n">
        <f aca="false">IF(O17&lt;4,0,01_Supuestos!$I$21*01_Supuestos!$I$64/1000000000000*O19)</f>
        <v>1.32</v>
      </c>
      <c r="P25" s="206" t="n">
        <f aca="false">IF(P17&lt;4,0,01_Supuestos!$I$21*01_Supuestos!$I$64/1000000000000*P19)</f>
        <v>1.32</v>
      </c>
      <c r="Q25" s="206" t="n">
        <f aca="false">IF(Q17&lt;4,0,01_Supuestos!$I$21*01_Supuestos!$I$64/1000000000000*Q19)</f>
        <v>1.32</v>
      </c>
      <c r="R25" s="206" t="n">
        <f aca="false">IF(R17&lt;4,0,01_Supuestos!$I$21*01_Supuestos!$I$64/1000000000000*R19)</f>
        <v>1.32</v>
      </c>
      <c r="S25" s="206" t="n">
        <f aca="false">IF(S17&lt;4,0,01_Supuestos!$I$21*01_Supuestos!$I$64/1000000000000*S19)</f>
        <v>1.32</v>
      </c>
      <c r="T25" s="206" t="n">
        <f aca="false">IF(T17&lt;4,0,01_Supuestos!$I$21*01_Supuestos!$I$64/1000000000000*T19)</f>
        <v>1.32</v>
      </c>
      <c r="U25" s="206" t="n">
        <f aca="false">IF(U17&lt;4,0,01_Supuestos!$I$21*01_Supuestos!$I$64/1000000000000*U19)</f>
        <v>1.32</v>
      </c>
      <c r="V25" s="206" t="n">
        <f aca="false">IF(V17&lt;4,0,01_Supuestos!$I$21*01_Supuestos!$I$64/1000000000000*V19)</f>
        <v>1.32</v>
      </c>
      <c r="W25" s="206" t="n">
        <f aca="false">IF(W17&lt;4,0,01_Supuestos!$I$21*01_Supuestos!$I$64/1000000000000*W19)</f>
        <v>1.32</v>
      </c>
      <c r="X25" s="206" t="n">
        <f aca="false">IF(X17&lt;4,0,01_Supuestos!$I$21*01_Supuestos!$I$64/1000000000000*X19)</f>
        <v>1.32</v>
      </c>
      <c r="Y25" s="206" t="n">
        <f aca="false">IF(Y17&lt;4,0,01_Supuestos!$I$21*01_Supuestos!$I$64/1000000000000*Y19)</f>
        <v>1.32</v>
      </c>
      <c r="Z25" s="206" t="n">
        <f aca="false">IF(Z17&lt;4,0,01_Supuestos!$I$21*01_Supuestos!$I$64/1000000000000*Z19)</f>
        <v>1.32</v>
      </c>
      <c r="AA25" s="206" t="n">
        <f aca="false">IF(AA17&lt;4,0,01_Supuestos!$I$21*01_Supuestos!$I$64/1000000000000*AA19)</f>
        <v>1.32</v>
      </c>
      <c r="AB25" s="206" t="n">
        <f aca="false">IF(AB17&lt;4,0,01_Supuestos!$I$21*01_Supuestos!$I$64/1000000000000*AB19)</f>
        <v>1.32</v>
      </c>
      <c r="AC25" s="206" t="n">
        <f aca="false">IF(AC17&lt;4,0,01_Supuestos!$I$21*01_Supuestos!$I$64/1000000000000*AC19)</f>
        <v>1.32</v>
      </c>
      <c r="AD25" s="206" t="n">
        <f aca="false">IF(AD17&lt;4,0,01_Supuestos!$I$21*01_Supuestos!$I$64/1000000000000*AD19)</f>
        <v>1.32</v>
      </c>
      <c r="AE25" s="206" t="n">
        <f aca="false">IF(AE17&lt;4,0,01_Supuestos!$I$21*01_Supuestos!$I$64/1000000000000*AE19)</f>
        <v>1.32</v>
      </c>
      <c r="AF25" s="206" t="n">
        <f aca="false">IF(AF17&lt;4,0,01_Supuestos!$I$21*01_Supuestos!$I$64/1000000000000*AF19)</f>
        <v>1.32</v>
      </c>
      <c r="AG25" s="206"/>
      <c r="AH25" s="206"/>
      <c r="AI25" s="206"/>
      <c r="AJ25" s="206"/>
      <c r="AK25" s="206"/>
      <c r="AL25" s="206"/>
      <c r="AM25" s="206"/>
      <c r="AN25" s="206"/>
      <c r="AO25" s="206"/>
      <c r="AP25" s="206"/>
      <c r="AQ25" s="206"/>
      <c r="AR25" s="206"/>
      <c r="AS25" s="206"/>
      <c r="AT25" s="206"/>
      <c r="AU25" s="206"/>
      <c r="AV25" s="206"/>
      <c r="AW25" s="206"/>
      <c r="AX25" s="206"/>
      <c r="AY25" s="206"/>
      <c r="AZ25" s="206"/>
      <c r="BA25" s="206"/>
      <c r="BB25" s="206"/>
      <c r="BC25" s="206"/>
      <c r="BD25" s="206"/>
      <c r="BE25" s="206"/>
      <c r="BF25" s="206"/>
      <c r="BG25" s="206"/>
      <c r="BH25" s="206"/>
      <c r="BI25" s="206"/>
      <c r="BJ25" s="206"/>
      <c r="BK25" s="206"/>
      <c r="BL25" s="206"/>
      <c r="BM25" s="206"/>
      <c r="BN25" s="206"/>
      <c r="BO25" s="206"/>
      <c r="BP25" s="206"/>
      <c r="BQ25" s="206"/>
      <c r="BR25" s="206"/>
      <c r="BS25" s="206"/>
      <c r="BT25" s="206"/>
    </row>
    <row r="26" customFormat="false" ht="14.25" hidden="false" customHeight="true" outlineLevel="0" collapsed="false">
      <c r="B26" s="132" t="s">
        <v>1066</v>
      </c>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row>
    <row r="27" customFormat="false" ht="14.25" hidden="false" customHeight="true" outlineLevel="0" collapsed="false">
      <c r="B27" s="134" t="s">
        <v>1671</v>
      </c>
      <c r="C27" s="206" t="n">
        <f aca="false">IF(C17&lt;=01_Supuestos!$I$29,01_Supuestos!$I$28/IF(01_Supuestos!$I$143="Sí",1,C20),0)</f>
        <v>20.6</v>
      </c>
      <c r="D27" s="206" t="n">
        <f aca="false">IF(D17&lt;=01_Supuestos!$I$29,01_Supuestos!$I$28/IF(01_Supuestos!$I$143="Sí",1,D20),0)</f>
        <v>20.6</v>
      </c>
      <c r="E27" s="206" t="n">
        <f aca="false">IF(E17&lt;=01_Supuestos!$I$29,01_Supuestos!$I$28/IF(01_Supuestos!$I$143="Sí",1,E20),0)</f>
        <v>20.6</v>
      </c>
      <c r="F27" s="206" t="n">
        <f aca="false">IF(F17&lt;=01_Supuestos!$I$29,01_Supuestos!$I$28/IF(01_Supuestos!$I$143="Sí",1,F20),0)</f>
        <v>20.6</v>
      </c>
      <c r="G27" s="206" t="n">
        <f aca="false">IF(G17&lt;=01_Supuestos!$I$29,01_Supuestos!$I$28/IF(01_Supuestos!$I$143="Sí",1,G20),0)</f>
        <v>20.6</v>
      </c>
      <c r="H27" s="206" t="n">
        <f aca="false">IF(H17&lt;=01_Supuestos!$I$29,01_Supuestos!$I$28/IF(01_Supuestos!$I$143="Sí",1,H20),0)</f>
        <v>20.6</v>
      </c>
      <c r="I27" s="206" t="n">
        <f aca="false">IF(I17&lt;=01_Supuestos!$I$29,01_Supuestos!$I$28/IF(01_Supuestos!$I$143="Sí",1,I20),0)</f>
        <v>20.6</v>
      </c>
      <c r="J27" s="206" t="n">
        <f aca="false">IF(J17&lt;=01_Supuestos!$I$29,01_Supuestos!$I$28/IF(01_Supuestos!$I$143="Sí",1,J20),0)</f>
        <v>20.6</v>
      </c>
      <c r="K27" s="206" t="n">
        <f aca="false">IF(K17&lt;=01_Supuestos!$I$29,01_Supuestos!$I$28/IF(01_Supuestos!$I$143="Sí",1,K20),0)</f>
        <v>20.6</v>
      </c>
      <c r="L27" s="206" t="n">
        <f aca="false">IF(L17&lt;=01_Supuestos!$I$29,01_Supuestos!$I$28/IF(01_Supuestos!$I$143="Sí",1,L20),0)</f>
        <v>20.6</v>
      </c>
      <c r="M27" s="206" t="n">
        <f aca="false">IF(M17&lt;=01_Supuestos!$I$29,01_Supuestos!$I$28/IF(01_Supuestos!$I$143="Sí",1,M20),0)</f>
        <v>0</v>
      </c>
      <c r="N27" s="206" t="n">
        <f aca="false">IF(N17&lt;=01_Supuestos!$I$29,01_Supuestos!$I$28/IF(01_Supuestos!$I$143="Sí",1,N20),0)</f>
        <v>0</v>
      </c>
      <c r="O27" s="206" t="n">
        <f aca="false">IF(O17&lt;=01_Supuestos!$I$29,01_Supuestos!$I$28/IF(01_Supuestos!$I$143="Sí",1,O20),0)</f>
        <v>0</v>
      </c>
      <c r="P27" s="206" t="n">
        <f aca="false">IF(P17&lt;=01_Supuestos!$I$29,01_Supuestos!$I$28/IF(01_Supuestos!$I$143="Sí",1,P20),0)</f>
        <v>0</v>
      </c>
      <c r="Q27" s="206" t="n">
        <f aca="false">IF(Q17&lt;=01_Supuestos!$I$29,01_Supuestos!$I$28/IF(01_Supuestos!$I$143="Sí",1,Q20),0)</f>
        <v>0</v>
      </c>
      <c r="R27" s="206" t="n">
        <f aca="false">IF(R17&lt;=01_Supuestos!$I$29,01_Supuestos!$I$28/IF(01_Supuestos!$I$143="Sí",1,R20),0)</f>
        <v>0</v>
      </c>
      <c r="S27" s="206" t="n">
        <f aca="false">IF(S17&lt;=01_Supuestos!$I$29,01_Supuestos!$I$28/IF(01_Supuestos!$I$143="Sí",1,S20),0)</f>
        <v>0</v>
      </c>
      <c r="T27" s="206" t="n">
        <f aca="false">IF(T17&lt;=01_Supuestos!$I$29,01_Supuestos!$I$28/IF(01_Supuestos!$I$143="Sí",1,T20),0)</f>
        <v>0</v>
      </c>
      <c r="U27" s="206" t="n">
        <f aca="false">IF(U17&lt;=01_Supuestos!$I$29,01_Supuestos!$I$28/IF(01_Supuestos!$I$143="Sí",1,U20),0)</f>
        <v>0</v>
      </c>
      <c r="V27" s="206" t="n">
        <f aca="false">IF(V17&lt;=01_Supuestos!$I$29,01_Supuestos!$I$28/IF(01_Supuestos!$I$143="Sí",1,V20),0)</f>
        <v>0</v>
      </c>
      <c r="W27" s="206" t="n">
        <f aca="false">IF(W17&lt;=01_Supuestos!$I$29,01_Supuestos!$I$28/IF(01_Supuestos!$I$143="Sí",1,W20),0)</f>
        <v>0</v>
      </c>
      <c r="X27" s="206" t="n">
        <f aca="false">IF(X17&lt;=01_Supuestos!$I$29,01_Supuestos!$I$28/IF(01_Supuestos!$I$143="Sí",1,X20),0)</f>
        <v>0</v>
      </c>
      <c r="Y27" s="206" t="n">
        <f aca="false">IF(Y17&lt;=01_Supuestos!$I$29,01_Supuestos!$I$28/IF(01_Supuestos!$I$143="Sí",1,Y20),0)</f>
        <v>0</v>
      </c>
      <c r="Z27" s="206" t="n">
        <f aca="false">IF(Z17&lt;=01_Supuestos!$I$29,01_Supuestos!$I$28/IF(01_Supuestos!$I$143="Sí",1,Z20),0)</f>
        <v>0</v>
      </c>
      <c r="AA27" s="206" t="n">
        <f aca="false">IF(AA17&lt;=01_Supuestos!$I$29,01_Supuestos!$I$28/IF(01_Supuestos!$I$143="Sí",1,AA20),0)</f>
        <v>0</v>
      </c>
      <c r="AB27" s="206" t="n">
        <f aca="false">IF(AB17&lt;=01_Supuestos!$I$29,01_Supuestos!$I$28/IF(01_Supuestos!$I$143="Sí",1,AB20),0)</f>
        <v>0</v>
      </c>
      <c r="AC27" s="206" t="n">
        <f aca="false">IF(AC17&lt;=01_Supuestos!$I$29,01_Supuestos!$I$28/IF(01_Supuestos!$I$143="Sí",1,AC20),0)</f>
        <v>0</v>
      </c>
      <c r="AD27" s="206" t="n">
        <f aca="false">IF(AD17&lt;=01_Supuestos!$I$29,01_Supuestos!$I$28/IF(01_Supuestos!$I$143="Sí",1,AD20),0)</f>
        <v>0</v>
      </c>
      <c r="AE27" s="206" t="n">
        <f aca="false">IF(AE17&lt;=01_Supuestos!$I$29,01_Supuestos!$I$28/IF(01_Supuestos!$I$143="Sí",1,AE20),0)</f>
        <v>0</v>
      </c>
      <c r="AF27" s="206" t="n">
        <f aca="false">IF(AF17&lt;=01_Supuestos!$I$29,01_Supuestos!$I$28/IF(01_Supuestos!$I$143="Sí",1,AF20),0)</f>
        <v>0</v>
      </c>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6"/>
      <c r="BC27" s="206"/>
      <c r="BD27" s="206"/>
      <c r="BE27" s="206"/>
      <c r="BF27" s="206"/>
      <c r="BG27" s="206"/>
      <c r="BH27" s="206"/>
      <c r="BI27" s="206"/>
      <c r="BJ27" s="206"/>
      <c r="BK27" s="206"/>
      <c r="BL27" s="206"/>
      <c r="BM27" s="206"/>
      <c r="BN27" s="206"/>
      <c r="BO27" s="206"/>
      <c r="BP27" s="206"/>
      <c r="BQ27" s="206"/>
      <c r="BR27" s="206"/>
      <c r="BS27" s="206"/>
      <c r="BT27" s="206"/>
    </row>
    <row r="28" customFormat="false" ht="14.25" hidden="false" customHeight="true" outlineLevel="0" collapsed="false">
      <c r="B28" s="134" t="s">
        <v>1672</v>
      </c>
      <c r="C28" s="206" t="n">
        <f aca="false">01_Supuestos!$I$132*(1+01_Supuestos!$I$133)^(C17-1)</f>
        <v>10.7</v>
      </c>
      <c r="D28" s="206" t="n">
        <f aca="false">01_Supuestos!$I$132*(1+01_Supuestos!$I$133)^(D17-1)</f>
        <v>10.9675</v>
      </c>
      <c r="E28" s="206" t="n">
        <f aca="false">01_Supuestos!$I$132*(1+01_Supuestos!$I$133)^(E17-1)</f>
        <v>11.2416875</v>
      </c>
      <c r="F28" s="206" t="n">
        <f aca="false">01_Supuestos!$I$132*(1+01_Supuestos!$I$133)^(F17-1)</f>
        <v>11.5227296875</v>
      </c>
      <c r="G28" s="206" t="n">
        <f aca="false">01_Supuestos!$I$132*(1+01_Supuestos!$I$133)^(G17-1)</f>
        <v>11.8107979296875</v>
      </c>
      <c r="H28" s="206" t="n">
        <f aca="false">01_Supuestos!$I$132*(1+01_Supuestos!$I$133)^(H17-1)</f>
        <v>12.1060678779297</v>
      </c>
      <c r="I28" s="206" t="n">
        <f aca="false">01_Supuestos!$I$132*(1+01_Supuestos!$I$133)^(I17-1)</f>
        <v>12.4087195748779</v>
      </c>
      <c r="J28" s="206" t="n">
        <f aca="false">01_Supuestos!$I$132*(1+01_Supuestos!$I$133)^(J17-1)</f>
        <v>12.7189375642499</v>
      </c>
      <c r="K28" s="206" t="n">
        <f aca="false">01_Supuestos!$I$132*(1+01_Supuestos!$I$133)^(K17-1)</f>
        <v>13.0369110033561</v>
      </c>
      <c r="L28" s="206" t="n">
        <f aca="false">01_Supuestos!$I$132*(1+01_Supuestos!$I$133)^(L17-1)</f>
        <v>13.36283377844</v>
      </c>
      <c r="M28" s="206" t="n">
        <f aca="false">01_Supuestos!$I$132*(1+01_Supuestos!$I$133)^(M17-1)</f>
        <v>13.696904622901</v>
      </c>
      <c r="N28" s="206" t="n">
        <f aca="false">01_Supuestos!$I$132*(1+01_Supuestos!$I$133)^(N17-1)</f>
        <v>14.0393272384735</v>
      </c>
      <c r="O28" s="206" t="n">
        <f aca="false">01_Supuestos!$I$132*(1+01_Supuestos!$I$133)^(O17-1)</f>
        <v>14.3903104194354</v>
      </c>
      <c r="P28" s="206" t="n">
        <f aca="false">01_Supuestos!$I$132*(1+01_Supuestos!$I$133)^(P17-1)</f>
        <v>14.7500681799213</v>
      </c>
      <c r="Q28" s="206" t="n">
        <f aca="false">01_Supuestos!$I$132*(1+01_Supuestos!$I$133)^(Q17-1)</f>
        <v>15.1188198844193</v>
      </c>
      <c r="R28" s="206" t="n">
        <f aca="false">01_Supuestos!$I$132*(1+01_Supuestos!$I$133)^(R17-1)</f>
        <v>15.4967903815298</v>
      </c>
      <c r="S28" s="206" t="n">
        <f aca="false">01_Supuestos!$I$132*(1+01_Supuestos!$I$133)^(S17-1)</f>
        <v>15.884210141068</v>
      </c>
      <c r="T28" s="206" t="n">
        <f aca="false">01_Supuestos!$I$132*(1+01_Supuestos!$I$133)^(T17-1)</f>
        <v>16.2813153945947</v>
      </c>
      <c r="U28" s="206" t="n">
        <f aca="false">01_Supuestos!$I$132*(1+01_Supuestos!$I$133)^(U17-1)</f>
        <v>16.6883482794596</v>
      </c>
      <c r="V28" s="206" t="n">
        <f aca="false">01_Supuestos!$I$132*(1+01_Supuestos!$I$133)^(V17-1)</f>
        <v>17.1055569864461</v>
      </c>
      <c r="W28" s="206" t="n">
        <f aca="false">01_Supuestos!$I$132*(1+01_Supuestos!$I$133)^(W17-1)</f>
        <v>17.5331959111072</v>
      </c>
      <c r="X28" s="206" t="n">
        <f aca="false">01_Supuestos!$I$132*(1+01_Supuestos!$I$133)^(X17-1)</f>
        <v>17.9715258088849</v>
      </c>
      <c r="Y28" s="206" t="n">
        <f aca="false">01_Supuestos!$I$132*(1+01_Supuestos!$I$133)^(Y17-1)</f>
        <v>18.420813954107</v>
      </c>
      <c r="Z28" s="206" t="n">
        <f aca="false">01_Supuestos!$I$132*(1+01_Supuestos!$I$133)^(Z17-1)</f>
        <v>18.8813343029597</v>
      </c>
      <c r="AA28" s="206" t="n">
        <f aca="false">01_Supuestos!$I$132*(1+01_Supuestos!$I$133)^(AA17-1)</f>
        <v>19.3533676605337</v>
      </c>
      <c r="AB28" s="206" t="n">
        <f aca="false">01_Supuestos!$I$132*(1+01_Supuestos!$I$133)^(AB17-1)</f>
        <v>19.837201852047</v>
      </c>
      <c r="AC28" s="206" t="n">
        <f aca="false">01_Supuestos!$I$132*(1+01_Supuestos!$I$133)^(AC17-1)</f>
        <v>20.3331318983482</v>
      </c>
      <c r="AD28" s="206" t="n">
        <f aca="false">01_Supuestos!$I$132*(1+01_Supuestos!$I$133)^(AD17-1)</f>
        <v>20.8414601958069</v>
      </c>
      <c r="AE28" s="206" t="n">
        <f aca="false">01_Supuestos!$I$132*(1+01_Supuestos!$I$133)^(AE17-1)</f>
        <v>21.3624967007021</v>
      </c>
      <c r="AF28" s="206" t="n">
        <f aca="false">01_Supuestos!$I$132*(1+01_Supuestos!$I$133)^(AF17-1)</f>
        <v>21.8965591182196</v>
      </c>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row>
    <row r="29" customFormat="false" ht="14.25" hidden="false" customHeight="true" outlineLevel="0" collapsed="false">
      <c r="B29" s="134" t="s">
        <v>1673</v>
      </c>
      <c r="C29" s="210" t="n">
        <f aca="false">01_Supuestos!$I$141</f>
        <v>0.1</v>
      </c>
      <c r="D29" s="210" t="n">
        <f aca="false">IF(AND(01_Supuestos!$I$142="Sí",C70&lt;01_Supuestos!$I$138),MIN(C29+01_Supuestos!$I$139,01_Supuestos!$I$140),C29)</f>
        <v>0.1</v>
      </c>
      <c r="E29" s="210" t="n">
        <f aca="false">IF(AND(01_Supuestos!$I$142="Sí",D70&lt;01_Supuestos!$I$138),MIN(D29+01_Supuestos!$I$139,01_Supuestos!$I$140),D29)</f>
        <v>0.1</v>
      </c>
      <c r="F29" s="210" t="n">
        <f aca="false">IF(AND(01_Supuestos!$I$142="Sí",E70&lt;01_Supuestos!$I$138),MIN(E29+01_Supuestos!$I$139,01_Supuestos!$I$140),E29)</f>
        <v>0.1</v>
      </c>
      <c r="G29" s="210" t="n">
        <f aca="false">IF(AND(01_Supuestos!$I$142="Sí",F70&lt;01_Supuestos!$I$138),MIN(F29+01_Supuestos!$I$139,01_Supuestos!$I$140),F29)</f>
        <v>0.1</v>
      </c>
      <c r="H29" s="210" t="n">
        <f aca="false">IF(AND(01_Supuestos!$I$142="Sí",G70&lt;01_Supuestos!$I$138),MIN(G29+01_Supuestos!$I$139,01_Supuestos!$I$140),G29)</f>
        <v>0.1</v>
      </c>
      <c r="I29" s="210" t="n">
        <f aca="false">IF(AND(01_Supuestos!$I$142="Sí",H70&lt;01_Supuestos!$I$138),MIN(H29+01_Supuestos!$I$139,01_Supuestos!$I$140),H29)</f>
        <v>0.1</v>
      </c>
      <c r="J29" s="210" t="n">
        <f aca="false">IF(AND(01_Supuestos!$I$142="Sí",I70&lt;01_Supuestos!$I$138),MIN(I29+01_Supuestos!$I$139,01_Supuestos!$I$140),I29)</f>
        <v>0.1</v>
      </c>
      <c r="K29" s="210" t="n">
        <f aca="false">IF(AND(01_Supuestos!$I$142="Sí",J70&lt;01_Supuestos!$I$138),MIN(J29+01_Supuestos!$I$139,01_Supuestos!$I$140),J29)</f>
        <v>0.1</v>
      </c>
      <c r="L29" s="210" t="n">
        <f aca="false">IF(AND(01_Supuestos!$I$142="Sí",K70&lt;01_Supuestos!$I$138),MIN(K29+01_Supuestos!$I$139,01_Supuestos!$I$140),K29)</f>
        <v>0.1</v>
      </c>
      <c r="M29" s="210" t="n">
        <f aca="false">IF(AND(01_Supuestos!$I$142="Sí",L70&lt;01_Supuestos!$I$138),MIN(L29+01_Supuestos!$I$139,01_Supuestos!$I$140),L29)</f>
        <v>0.1</v>
      </c>
      <c r="N29" s="210" t="n">
        <f aca="false">IF(AND(01_Supuestos!$I$142="Sí",M70&lt;01_Supuestos!$I$138),MIN(M29+01_Supuestos!$I$139,01_Supuestos!$I$140),M29)</f>
        <v>0.1</v>
      </c>
      <c r="O29" s="210" t="n">
        <f aca="false">IF(AND(01_Supuestos!$I$142="Sí",N70&lt;01_Supuestos!$I$138),MIN(N29+01_Supuestos!$I$139,01_Supuestos!$I$140),N29)</f>
        <v>0.1</v>
      </c>
      <c r="P29" s="210" t="n">
        <f aca="false">IF(AND(01_Supuestos!$I$142="Sí",O70&lt;01_Supuestos!$I$138),MIN(O29+01_Supuestos!$I$139,01_Supuestos!$I$140),O29)</f>
        <v>0.1</v>
      </c>
      <c r="Q29" s="210" t="n">
        <f aca="false">IF(AND(01_Supuestos!$I$142="Sí",P70&lt;01_Supuestos!$I$138),MIN(P29+01_Supuestos!$I$139,01_Supuestos!$I$140),P29)</f>
        <v>0.1</v>
      </c>
      <c r="R29" s="210" t="n">
        <f aca="false">IF(AND(01_Supuestos!$I$142="Sí",Q70&lt;01_Supuestos!$I$138),MIN(Q29+01_Supuestos!$I$139,01_Supuestos!$I$140),Q29)</f>
        <v>0.1</v>
      </c>
      <c r="S29" s="210" t="n">
        <f aca="false">IF(AND(01_Supuestos!$I$142="Sí",R70&lt;01_Supuestos!$I$138),MIN(R29+01_Supuestos!$I$139,01_Supuestos!$I$140),R29)</f>
        <v>0.1</v>
      </c>
      <c r="T29" s="210" t="n">
        <f aca="false">IF(AND(01_Supuestos!$I$142="Sí",S70&lt;01_Supuestos!$I$138),MIN(S29+01_Supuestos!$I$139,01_Supuestos!$I$140),S29)</f>
        <v>0.1</v>
      </c>
      <c r="U29" s="210" t="n">
        <f aca="false">IF(AND(01_Supuestos!$I$142="Sí",T70&lt;01_Supuestos!$I$138),MIN(T29+01_Supuestos!$I$139,01_Supuestos!$I$140),T29)</f>
        <v>0.1</v>
      </c>
      <c r="V29" s="210" t="n">
        <f aca="false">IF(AND(01_Supuestos!$I$142="Sí",U70&lt;01_Supuestos!$I$138),MIN(U29+01_Supuestos!$I$139,01_Supuestos!$I$140),U29)</f>
        <v>0.1</v>
      </c>
      <c r="W29" s="210" t="n">
        <f aca="false">IF(AND(01_Supuestos!$I$142="Sí",V70&lt;01_Supuestos!$I$138),MIN(V29+01_Supuestos!$I$139,01_Supuestos!$I$140),V29)</f>
        <v>0.1</v>
      </c>
      <c r="X29" s="210" t="n">
        <f aca="false">IF(AND(01_Supuestos!$I$142="Sí",W70&lt;01_Supuestos!$I$138),MIN(W29+01_Supuestos!$I$139,01_Supuestos!$I$140),W29)</f>
        <v>0.1</v>
      </c>
      <c r="Y29" s="210" t="n">
        <f aca="false">IF(AND(01_Supuestos!$I$142="Sí",X70&lt;01_Supuestos!$I$138),MIN(X29+01_Supuestos!$I$139,01_Supuestos!$I$140),X29)</f>
        <v>0.1</v>
      </c>
      <c r="Z29" s="210" t="n">
        <f aca="false">IF(AND(01_Supuestos!$I$142="Sí",Y70&lt;01_Supuestos!$I$138),MIN(Y29+01_Supuestos!$I$139,01_Supuestos!$I$140),Y29)</f>
        <v>0.1</v>
      </c>
      <c r="AA29" s="210" t="n">
        <f aca="false">IF(AND(01_Supuestos!$I$142="Sí",Z70&lt;01_Supuestos!$I$138),MIN(Z29+01_Supuestos!$I$139,01_Supuestos!$I$140),Z29)</f>
        <v>0.1</v>
      </c>
      <c r="AB29" s="210" t="n">
        <f aca="false">IF(AND(01_Supuestos!$I$142="Sí",AA70&lt;01_Supuestos!$I$138),MIN(AA29+01_Supuestos!$I$139,01_Supuestos!$I$140),AA29)</f>
        <v>0.1</v>
      </c>
      <c r="AC29" s="210" t="n">
        <f aca="false">IF(AND(01_Supuestos!$I$142="Sí",AB70&lt;01_Supuestos!$I$138),MIN(AB29+01_Supuestos!$I$139,01_Supuestos!$I$140),AB29)</f>
        <v>0.1</v>
      </c>
      <c r="AD29" s="210" t="n">
        <f aca="false">IF(AND(01_Supuestos!$I$142="Sí",AC70&lt;01_Supuestos!$I$138),MIN(AC29+01_Supuestos!$I$139,01_Supuestos!$I$140),AC29)</f>
        <v>0.1</v>
      </c>
      <c r="AE29" s="210" t="n">
        <f aca="false">IF(AND(01_Supuestos!$I$142="Sí",AD70&lt;01_Supuestos!$I$138),MIN(AD29+01_Supuestos!$I$139,01_Supuestos!$I$140),AD29)</f>
        <v>0.1</v>
      </c>
      <c r="AF29" s="210" t="n">
        <f aca="false">IF(AND(01_Supuestos!$I$142="Sí",AE70&lt;01_Supuestos!$I$138),MIN(AE29+01_Supuestos!$I$139,01_Supuestos!$I$140),AE29)</f>
        <v>0.1</v>
      </c>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0"/>
      <c r="BR29" s="210"/>
      <c r="BS29" s="210"/>
      <c r="BT29" s="210"/>
    </row>
    <row r="30" customFormat="false" ht="14.25" hidden="false" customHeight="true" outlineLevel="0" collapsed="false">
      <c r="B30" s="81" t="s">
        <v>1070</v>
      </c>
      <c r="C30" s="138" t="n">
        <f aca="false">IF($C$11="Libro",C29*C28,IF(C17&lt;=20,01_Supuestos!$I$26+(01_Supuestos!$I$27-01_Supuestos!$I$26)*(C17-1)/19,01_Supuestos!$I$27*IF($C$6="Sí",(1+01_Supuestos!$I$9)^(C17-20),1))*C29/0.1)</f>
        <v>1.07</v>
      </c>
      <c r="D30" s="138" t="n">
        <f aca="false">IF($C$11="Libro",D29*D28,IF(D17&lt;=20,01_Supuestos!$I$26+(01_Supuestos!$I$27-01_Supuestos!$I$26)*(D17-1)/19,01_Supuestos!$I$27*IF($C$6="Sí",(1+01_Supuestos!$I$9)^(D17-20),1))*D29/0.1)</f>
        <v>1.09675</v>
      </c>
      <c r="E30" s="138" t="n">
        <f aca="false">IF($C$11="Libro",E29*E28,IF(E17&lt;=20,01_Supuestos!$I$26+(01_Supuestos!$I$27-01_Supuestos!$I$26)*(E17-1)/19,01_Supuestos!$I$27*IF($C$6="Sí",(1+01_Supuestos!$I$9)^(E17-20),1))*E29/0.1)</f>
        <v>1.12416875</v>
      </c>
      <c r="F30" s="138" t="n">
        <f aca="false">IF($C$11="Libro",F29*F28,IF(F17&lt;=20,01_Supuestos!$I$26+(01_Supuestos!$I$27-01_Supuestos!$I$26)*(F17-1)/19,01_Supuestos!$I$27*IF($C$6="Sí",(1+01_Supuestos!$I$9)^(F17-20),1))*F29/0.1)</f>
        <v>1.15227296875</v>
      </c>
      <c r="G30" s="138" t="n">
        <f aca="false">IF($C$11="Libro",G29*G28,IF(G17&lt;=20,01_Supuestos!$I$26+(01_Supuestos!$I$27-01_Supuestos!$I$26)*(G17-1)/19,01_Supuestos!$I$27*IF($C$6="Sí",(1+01_Supuestos!$I$9)^(G17-20),1))*G29/0.1)</f>
        <v>1.18107979296875</v>
      </c>
      <c r="H30" s="138" t="n">
        <f aca="false">IF($C$11="Libro",H29*H28,IF(H17&lt;=20,01_Supuestos!$I$26+(01_Supuestos!$I$27-01_Supuestos!$I$26)*(H17-1)/19,01_Supuestos!$I$27*IF($C$6="Sí",(1+01_Supuestos!$I$9)^(H17-20),1))*H29/0.1)</f>
        <v>1.21060678779297</v>
      </c>
      <c r="I30" s="138" t="n">
        <f aca="false">IF($C$11="Libro",I29*I28,IF(I17&lt;=20,01_Supuestos!$I$26+(01_Supuestos!$I$27-01_Supuestos!$I$26)*(I17-1)/19,01_Supuestos!$I$27*IF($C$6="Sí",(1+01_Supuestos!$I$9)^(I17-20),1))*I29/0.1)</f>
        <v>1.24087195748779</v>
      </c>
      <c r="J30" s="138" t="n">
        <f aca="false">IF($C$11="Libro",J29*J28,IF(J17&lt;=20,01_Supuestos!$I$26+(01_Supuestos!$I$27-01_Supuestos!$I$26)*(J17-1)/19,01_Supuestos!$I$27*IF($C$6="Sí",(1+01_Supuestos!$I$9)^(J17-20),1))*J29/0.1)</f>
        <v>1.27189375642499</v>
      </c>
      <c r="K30" s="138" t="n">
        <f aca="false">IF($C$11="Libro",K29*K28,IF(K17&lt;=20,01_Supuestos!$I$26+(01_Supuestos!$I$27-01_Supuestos!$I$26)*(K17-1)/19,01_Supuestos!$I$27*IF($C$6="Sí",(1+01_Supuestos!$I$9)^(K17-20),1))*K29/0.1)</f>
        <v>1.30369110033561</v>
      </c>
      <c r="L30" s="138" t="n">
        <f aca="false">IF($C$11="Libro",L29*L28,IF(L17&lt;=20,01_Supuestos!$I$26+(01_Supuestos!$I$27-01_Supuestos!$I$26)*(L17-1)/19,01_Supuestos!$I$27*IF($C$6="Sí",(1+01_Supuestos!$I$9)^(L17-20),1))*L29/0.1)</f>
        <v>1.336283377844</v>
      </c>
      <c r="M30" s="138" t="n">
        <f aca="false">IF($C$11="Libro",M29*M28,IF(M17&lt;=20,01_Supuestos!$I$26+(01_Supuestos!$I$27-01_Supuestos!$I$26)*(M17-1)/19,01_Supuestos!$I$27*IF($C$6="Sí",(1+01_Supuestos!$I$9)^(M17-20),1))*M29/0.1)</f>
        <v>1.3696904622901</v>
      </c>
      <c r="N30" s="138" t="n">
        <f aca="false">IF($C$11="Libro",N29*N28,IF(N17&lt;=20,01_Supuestos!$I$26+(01_Supuestos!$I$27-01_Supuestos!$I$26)*(N17-1)/19,01_Supuestos!$I$27*IF($C$6="Sí",(1+01_Supuestos!$I$9)^(N17-20),1))*N29/0.1)</f>
        <v>1.40393272384735</v>
      </c>
      <c r="O30" s="138" t="n">
        <f aca="false">IF($C$11="Libro",O29*O28,IF(O17&lt;=20,01_Supuestos!$I$26+(01_Supuestos!$I$27-01_Supuestos!$I$26)*(O17-1)/19,01_Supuestos!$I$27*IF($C$6="Sí",(1+01_Supuestos!$I$9)^(O17-20),1))*O29/0.1)</f>
        <v>1.43903104194354</v>
      </c>
      <c r="P30" s="138" t="n">
        <f aca="false">IF($C$11="Libro",P29*P28,IF(P17&lt;=20,01_Supuestos!$I$26+(01_Supuestos!$I$27-01_Supuestos!$I$26)*(P17-1)/19,01_Supuestos!$I$27*IF($C$6="Sí",(1+01_Supuestos!$I$9)^(P17-20),1))*P29/0.1)</f>
        <v>1.47500681799213</v>
      </c>
      <c r="Q30" s="138" t="n">
        <f aca="false">IF($C$11="Libro",Q29*Q28,IF(Q17&lt;=20,01_Supuestos!$I$26+(01_Supuestos!$I$27-01_Supuestos!$I$26)*(Q17-1)/19,01_Supuestos!$I$27*IF($C$6="Sí",(1+01_Supuestos!$I$9)^(Q17-20),1))*Q29/0.1)</f>
        <v>1.51188198844193</v>
      </c>
      <c r="R30" s="138" t="n">
        <f aca="false">IF($C$11="Libro",R29*R28,IF(R17&lt;=20,01_Supuestos!$I$26+(01_Supuestos!$I$27-01_Supuestos!$I$26)*(R17-1)/19,01_Supuestos!$I$27*IF($C$6="Sí",(1+01_Supuestos!$I$9)^(R17-20),1))*R29/0.1)</f>
        <v>1.54967903815298</v>
      </c>
      <c r="S30" s="138" t="n">
        <f aca="false">IF($C$11="Libro",S29*S28,IF(S17&lt;=20,01_Supuestos!$I$26+(01_Supuestos!$I$27-01_Supuestos!$I$26)*(S17-1)/19,01_Supuestos!$I$27*IF($C$6="Sí",(1+01_Supuestos!$I$9)^(S17-20),1))*S29/0.1)</f>
        <v>1.5884210141068</v>
      </c>
      <c r="T30" s="138" t="n">
        <f aca="false">IF($C$11="Libro",T29*T28,IF(T17&lt;=20,01_Supuestos!$I$26+(01_Supuestos!$I$27-01_Supuestos!$I$26)*(T17-1)/19,01_Supuestos!$I$27*IF($C$6="Sí",(1+01_Supuestos!$I$9)^(T17-20),1))*T29/0.1)</f>
        <v>1.62813153945947</v>
      </c>
      <c r="U30" s="138" t="n">
        <f aca="false">IF($C$11="Libro",U29*U28,IF(U17&lt;=20,01_Supuestos!$I$26+(01_Supuestos!$I$27-01_Supuestos!$I$26)*(U17-1)/19,01_Supuestos!$I$27*IF($C$6="Sí",(1+01_Supuestos!$I$9)^(U17-20),1))*U29/0.1)</f>
        <v>1.66883482794596</v>
      </c>
      <c r="V30" s="138" t="n">
        <f aca="false">IF($C$11="Libro",V29*V28,IF(V17&lt;=20,01_Supuestos!$I$26+(01_Supuestos!$I$27-01_Supuestos!$I$26)*(V17-1)/19,01_Supuestos!$I$27*IF($C$6="Sí",(1+01_Supuestos!$I$9)^(V17-20),1))*V29/0.1)</f>
        <v>1.71055569864461</v>
      </c>
      <c r="W30" s="138" t="n">
        <f aca="false">IF($C$11="Libro",W29*W28,IF(W17&lt;=20,01_Supuestos!$I$26+(01_Supuestos!$I$27-01_Supuestos!$I$26)*(W17-1)/19,01_Supuestos!$I$27*IF($C$6="Sí",(1+01_Supuestos!$I$9)^(W17-20),1))*W29/0.1)</f>
        <v>1.75331959111072</v>
      </c>
      <c r="X30" s="138" t="n">
        <f aca="false">IF($C$11="Libro",X29*X28,IF(X17&lt;=20,01_Supuestos!$I$26+(01_Supuestos!$I$27-01_Supuestos!$I$26)*(X17-1)/19,01_Supuestos!$I$27*IF($C$6="Sí",(1+01_Supuestos!$I$9)^(X17-20),1))*X29/0.1)</f>
        <v>1.79715258088849</v>
      </c>
      <c r="Y30" s="138" t="n">
        <f aca="false">IF($C$11="Libro",Y29*Y28,IF(Y17&lt;=20,01_Supuestos!$I$26+(01_Supuestos!$I$27-01_Supuestos!$I$26)*(Y17-1)/19,01_Supuestos!$I$27*IF($C$6="Sí",(1+01_Supuestos!$I$9)^(Y17-20),1))*Y29/0.1)</f>
        <v>1.8420813954107</v>
      </c>
      <c r="Z30" s="138" t="n">
        <f aca="false">IF($C$11="Libro",Z29*Z28,IF(Z17&lt;=20,01_Supuestos!$I$26+(01_Supuestos!$I$27-01_Supuestos!$I$26)*(Z17-1)/19,01_Supuestos!$I$27*IF($C$6="Sí",(1+01_Supuestos!$I$9)^(Z17-20),1))*Z29/0.1)</f>
        <v>1.88813343029597</v>
      </c>
      <c r="AA30" s="138" t="n">
        <f aca="false">IF($C$11="Libro",AA29*AA28,IF(AA17&lt;=20,01_Supuestos!$I$26+(01_Supuestos!$I$27-01_Supuestos!$I$26)*(AA17-1)/19,01_Supuestos!$I$27*IF($C$6="Sí",(1+01_Supuestos!$I$9)^(AA17-20),1))*AA29/0.1)</f>
        <v>1.93533676605337</v>
      </c>
      <c r="AB30" s="138" t="n">
        <f aca="false">IF($C$11="Libro",AB29*AB28,IF(AB17&lt;=20,01_Supuestos!$I$26+(01_Supuestos!$I$27-01_Supuestos!$I$26)*(AB17-1)/19,01_Supuestos!$I$27*IF($C$6="Sí",(1+01_Supuestos!$I$9)^(AB17-20),1))*AB29/0.1)</f>
        <v>1.9837201852047</v>
      </c>
      <c r="AC30" s="138" t="n">
        <f aca="false">IF($C$11="Libro",AC29*AC28,IF(AC17&lt;=20,01_Supuestos!$I$26+(01_Supuestos!$I$27-01_Supuestos!$I$26)*(AC17-1)/19,01_Supuestos!$I$27*IF($C$6="Sí",(1+01_Supuestos!$I$9)^(AC17-20),1))*AC29/0.1)</f>
        <v>2.03331318983482</v>
      </c>
      <c r="AD30" s="138" t="n">
        <f aca="false">IF($C$11="Libro",AD29*AD28,IF(AD17&lt;=20,01_Supuestos!$I$26+(01_Supuestos!$I$27-01_Supuestos!$I$26)*(AD17-1)/19,01_Supuestos!$I$27*IF($C$6="Sí",(1+01_Supuestos!$I$9)^(AD17-20),1))*AD29/0.1)</f>
        <v>2.08414601958069</v>
      </c>
      <c r="AE30" s="138" t="n">
        <f aca="false">IF($C$11="Libro",AE29*AE28,IF(AE17&lt;=20,01_Supuestos!$I$26+(01_Supuestos!$I$27-01_Supuestos!$I$26)*(AE17-1)/19,01_Supuestos!$I$27*IF($C$6="Sí",(1+01_Supuestos!$I$9)^(AE17-20),1))*AE29/0.1)</f>
        <v>2.13624967007021</v>
      </c>
      <c r="AF30" s="138" t="n">
        <f aca="false">IF($C$11="Libro",AF29*AF28,IF(AF17&lt;=20,01_Supuestos!$I$26+(01_Supuestos!$I$27-01_Supuestos!$I$26)*(AF17-1)/19,01_Supuestos!$I$27*IF($C$6="Sí",(1+01_Supuestos!$I$9)^(AF17-20),1))*AF29/0.1)</f>
        <v>2.18965591182196</v>
      </c>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row>
    <row r="31" customFormat="false" ht="14.25" hidden="false" customHeight="true" outlineLevel="0" collapsed="false">
      <c r="B31" s="134" t="s">
        <v>1071</v>
      </c>
      <c r="C31" s="206" t="n">
        <f aca="false">IF(C17&lt;=01_Supuestos!$I$29,MIN(C24,C27+C30),0)</f>
        <v>0</v>
      </c>
      <c r="D31" s="206" t="n">
        <f aca="false">IF(D17&lt;=01_Supuestos!$I$29,MIN(D24,D27+D30),0)</f>
        <v>0</v>
      </c>
      <c r="E31" s="206" t="n">
        <f aca="false">IF(E17&lt;=01_Supuestos!$I$29,MIN(E24,E27+E30),0)</f>
        <v>0</v>
      </c>
      <c r="F31" s="206" t="n">
        <f aca="false">IF(F17&lt;=01_Supuestos!$I$29,MIN(F24,F27+F30),0)</f>
        <v>3.19703714191</v>
      </c>
      <c r="G31" s="206" t="n">
        <f aca="false">IF(G17&lt;=01_Supuestos!$I$29,MIN(G24,G27+G30),0)</f>
        <v>3.19703714191</v>
      </c>
      <c r="H31" s="206" t="n">
        <f aca="false">IF(H17&lt;=01_Supuestos!$I$29,MIN(H24,H27+H30),0)</f>
        <v>3.19703714191</v>
      </c>
      <c r="I31" s="206" t="n">
        <f aca="false">IF(I17&lt;=01_Supuestos!$I$29,MIN(I24,I27+I30),0)</f>
        <v>3.19703714191</v>
      </c>
      <c r="J31" s="206" t="n">
        <f aca="false">IF(J17&lt;=01_Supuestos!$I$29,MIN(J24,J27+J30),0)</f>
        <v>3.19703714191</v>
      </c>
      <c r="K31" s="206" t="n">
        <f aca="false">IF(K17&lt;=01_Supuestos!$I$29,MIN(K24,K27+K30),0)</f>
        <v>3.19703714191</v>
      </c>
      <c r="L31" s="206" t="n">
        <f aca="false">IF(L17&lt;=01_Supuestos!$I$29,MIN(L24,L27+L30),0)</f>
        <v>3.19703714191</v>
      </c>
      <c r="M31" s="206" t="n">
        <f aca="false">IF(M17&lt;=01_Supuestos!$I$29,MIN(M24,M27+M30),0)</f>
        <v>0</v>
      </c>
      <c r="N31" s="206" t="n">
        <f aca="false">IF(N17&lt;=01_Supuestos!$I$29,MIN(N24,N27+N30),0)</f>
        <v>0</v>
      </c>
      <c r="O31" s="206" t="n">
        <f aca="false">IF(O17&lt;=01_Supuestos!$I$29,MIN(O24,O27+O30),0)</f>
        <v>0</v>
      </c>
      <c r="P31" s="206" t="n">
        <f aca="false">IF(P17&lt;=01_Supuestos!$I$29,MIN(P24,P27+P30),0)</f>
        <v>0</v>
      </c>
      <c r="Q31" s="206" t="n">
        <f aca="false">IF(Q17&lt;=01_Supuestos!$I$29,MIN(Q24,Q27+Q30),0)</f>
        <v>0</v>
      </c>
      <c r="R31" s="206" t="n">
        <f aca="false">IF(R17&lt;=01_Supuestos!$I$29,MIN(R24,R27+R30),0)</f>
        <v>0</v>
      </c>
      <c r="S31" s="206" t="n">
        <f aca="false">IF(S17&lt;=01_Supuestos!$I$29,MIN(S24,S27+S30),0)</f>
        <v>0</v>
      </c>
      <c r="T31" s="206" t="n">
        <f aca="false">IF(T17&lt;=01_Supuestos!$I$29,MIN(T24,T27+T30),0)</f>
        <v>0</v>
      </c>
      <c r="U31" s="206" t="n">
        <f aca="false">IF(U17&lt;=01_Supuestos!$I$29,MIN(U24,U27+U30),0)</f>
        <v>0</v>
      </c>
      <c r="V31" s="206" t="n">
        <f aca="false">IF(V17&lt;=01_Supuestos!$I$29,MIN(V24,V27+V30),0)</f>
        <v>0</v>
      </c>
      <c r="W31" s="206" t="n">
        <f aca="false">IF(W17&lt;=01_Supuestos!$I$29,MIN(W24,W27+W30),0)</f>
        <v>0</v>
      </c>
      <c r="X31" s="206" t="n">
        <f aca="false">IF(X17&lt;=01_Supuestos!$I$29,MIN(X24,X27+X30),0)</f>
        <v>0</v>
      </c>
      <c r="Y31" s="206" t="n">
        <f aca="false">IF(Y17&lt;=01_Supuestos!$I$29,MIN(Y24,Y27+Y30),0)</f>
        <v>0</v>
      </c>
      <c r="Z31" s="206" t="n">
        <f aca="false">IF(Z17&lt;=01_Supuestos!$I$29,MIN(Z24,Z27+Z30),0)</f>
        <v>0</v>
      </c>
      <c r="AA31" s="206" t="n">
        <f aca="false">IF(AA17&lt;=01_Supuestos!$I$29,MIN(AA24,AA27+AA30),0)</f>
        <v>0</v>
      </c>
      <c r="AB31" s="206" t="n">
        <f aca="false">IF(AB17&lt;=01_Supuestos!$I$29,MIN(AB24,AB27+AB30),0)</f>
        <v>0</v>
      </c>
      <c r="AC31" s="206" t="n">
        <f aca="false">IF(AC17&lt;=01_Supuestos!$I$29,MIN(AC24,AC27+AC30),0)</f>
        <v>0</v>
      </c>
      <c r="AD31" s="206" t="n">
        <f aca="false">IF(AD17&lt;=01_Supuestos!$I$29,MIN(AD24,AD27+AD30),0)</f>
        <v>0</v>
      </c>
      <c r="AE31" s="206" t="n">
        <f aca="false">IF(AE17&lt;=01_Supuestos!$I$29,MIN(AE24,AE27+AE30),0)</f>
        <v>0</v>
      </c>
      <c r="AF31" s="206" t="n">
        <f aca="false">IF(AF17&lt;=01_Supuestos!$I$29,MIN(AF24,AF27+AF30),0)</f>
        <v>0</v>
      </c>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6"/>
      <c r="BF31" s="206"/>
      <c r="BG31" s="206"/>
      <c r="BH31" s="206"/>
      <c r="BI31" s="206"/>
      <c r="BJ31" s="206"/>
      <c r="BK31" s="206"/>
      <c r="BL31" s="206"/>
      <c r="BM31" s="206"/>
      <c r="BN31" s="206"/>
      <c r="BO31" s="206"/>
      <c r="BP31" s="206"/>
      <c r="BQ31" s="206"/>
      <c r="BR31" s="206"/>
      <c r="BS31" s="206"/>
      <c r="BT31" s="206"/>
    </row>
    <row r="32" customFormat="false" ht="14.25" hidden="false" customHeight="true" outlineLevel="0" collapsed="false">
      <c r="B32" s="132" t="s">
        <v>1074</v>
      </c>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row>
    <row r="33" customFormat="false" ht="14.25" hidden="false" customHeight="true" outlineLevel="0" collapsed="false">
      <c r="B33" s="134" t="s">
        <v>1076</v>
      </c>
      <c r="C33" s="206" t="n">
        <f aca="false">C22+C24-C31</f>
        <v>56.77404</v>
      </c>
      <c r="D33" s="206" t="n">
        <f aca="false">D22+D24-D31</f>
        <v>33.605448</v>
      </c>
      <c r="E33" s="206" t="n">
        <f aca="false">E22+E24-E31</f>
        <v>28.8</v>
      </c>
      <c r="F33" s="206" t="n">
        <f aca="false">F22+F24-F31</f>
        <v>65.644182</v>
      </c>
      <c r="G33" s="206" t="n">
        <f aca="false">G22+G24-G31</f>
        <v>0</v>
      </c>
      <c r="H33" s="206" t="n">
        <f aca="false">H22+H24-H31</f>
        <v>0</v>
      </c>
      <c r="I33" s="206" t="n">
        <f aca="false">I22+I24-I31</f>
        <v>0</v>
      </c>
      <c r="J33" s="206" t="n">
        <f aca="false">J22+J24-J31</f>
        <v>0</v>
      </c>
      <c r="K33" s="206" t="n">
        <f aca="false">K22+K24-K31</f>
        <v>0</v>
      </c>
      <c r="L33" s="206" t="n">
        <f aca="false">L22+L24-L31</f>
        <v>0</v>
      </c>
      <c r="M33" s="206" t="n">
        <f aca="false">M22+M24-M31</f>
        <v>3.19703714191</v>
      </c>
      <c r="N33" s="206" t="n">
        <f aca="false">N22+N24-N31</f>
        <v>3.19703714191</v>
      </c>
      <c r="O33" s="206" t="n">
        <f aca="false">O22+O24-O31</f>
        <v>3.19703714191</v>
      </c>
      <c r="P33" s="206" t="n">
        <f aca="false">P22+P24-P31</f>
        <v>3.19703714191</v>
      </c>
      <c r="Q33" s="206" t="n">
        <f aca="false">Q22+Q24-Q31</f>
        <v>3.19703714191</v>
      </c>
      <c r="R33" s="206" t="n">
        <f aca="false">R22+R24-R31</f>
        <v>3.096937058158</v>
      </c>
      <c r="S33" s="206" t="n">
        <f aca="false">S22+S24-S31</f>
        <v>2.996836974406</v>
      </c>
      <c r="T33" s="206" t="n">
        <f aca="false">T22+T24-T31</f>
        <v>2.896736890654</v>
      </c>
      <c r="U33" s="206" t="n">
        <f aca="false">U22+U24-U31</f>
        <v>2.796636806902</v>
      </c>
      <c r="V33" s="206" t="n">
        <f aca="false">V22+V24-V31</f>
        <v>2.69653672315</v>
      </c>
      <c r="W33" s="206" t="n">
        <f aca="false">W22+W24-W31</f>
        <v>2.596436639398</v>
      </c>
      <c r="X33" s="206" t="n">
        <f aca="false">X22+X24-X31</f>
        <v>2.496336555646</v>
      </c>
      <c r="Y33" s="206" t="n">
        <f aca="false">Y22+Y24-Y31</f>
        <v>2.396236471894</v>
      </c>
      <c r="Z33" s="206" t="n">
        <f aca="false">Z22+Z24-Z31</f>
        <v>2.296136388142</v>
      </c>
      <c r="AA33" s="206" t="n">
        <f aca="false">AA22+AA24-AA31</f>
        <v>2.19603630439</v>
      </c>
      <c r="AB33" s="206" t="n">
        <f aca="false">AB22+AB24-AB31</f>
        <v>2.095936220638</v>
      </c>
      <c r="AC33" s="206" t="n">
        <f aca="false">AC22+AC24-AC31</f>
        <v>1.995836136886</v>
      </c>
      <c r="AD33" s="206" t="n">
        <f aca="false">AD22+AD24-AD31</f>
        <v>1.895736053134</v>
      </c>
      <c r="AE33" s="206" t="n">
        <f aca="false">AE22+AE24-AE31</f>
        <v>1.795635969382</v>
      </c>
      <c r="AF33" s="206" t="n">
        <f aca="false">AF22+AF24-AF31</f>
        <v>1.69553588563</v>
      </c>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c r="BS33" s="206"/>
      <c r="BT33" s="206"/>
    </row>
    <row r="34" customFormat="false" ht="14.25" hidden="false" customHeight="true" outlineLevel="0" collapsed="false">
      <c r="B34" s="134" t="s">
        <v>1077</v>
      </c>
      <c r="C34" s="206" t="n">
        <f aca="false">MIN(01_Supuestos!$I$144,C33)</f>
        <v>0.08</v>
      </c>
      <c r="D34" s="206" t="n">
        <f aca="false">MIN(01_Supuestos!$I$144,D33)</f>
        <v>0.08</v>
      </c>
      <c r="E34" s="206" t="n">
        <f aca="false">MIN(01_Supuestos!$I$144,E33)</f>
        <v>0.08</v>
      </c>
      <c r="F34" s="206" t="n">
        <f aca="false">MIN(01_Supuestos!$I$144,F33)</f>
        <v>0.08</v>
      </c>
      <c r="G34" s="206" t="n">
        <f aca="false">MIN(01_Supuestos!$I$144,G33)</f>
        <v>0</v>
      </c>
      <c r="H34" s="206" t="n">
        <f aca="false">MIN(01_Supuestos!$I$144,H33)</f>
        <v>0</v>
      </c>
      <c r="I34" s="206" t="n">
        <f aca="false">MIN(01_Supuestos!$I$144,I33)</f>
        <v>0</v>
      </c>
      <c r="J34" s="206" t="n">
        <f aca="false">MIN(01_Supuestos!$I$144,J33)</f>
        <v>0</v>
      </c>
      <c r="K34" s="206" t="n">
        <f aca="false">MIN(01_Supuestos!$I$144,K33)</f>
        <v>0</v>
      </c>
      <c r="L34" s="206" t="n">
        <f aca="false">MIN(01_Supuestos!$I$144,L33)</f>
        <v>0</v>
      </c>
      <c r="M34" s="206" t="n">
        <f aca="false">MIN(01_Supuestos!$I$144,M33)</f>
        <v>0.08</v>
      </c>
      <c r="N34" s="206" t="n">
        <f aca="false">MIN(01_Supuestos!$I$144,N33)</f>
        <v>0.08</v>
      </c>
      <c r="O34" s="206" t="n">
        <f aca="false">MIN(01_Supuestos!$I$144,O33)</f>
        <v>0.08</v>
      </c>
      <c r="P34" s="206" t="n">
        <f aca="false">MIN(01_Supuestos!$I$144,P33)</f>
        <v>0.08</v>
      </c>
      <c r="Q34" s="206" t="n">
        <f aca="false">MIN(01_Supuestos!$I$144,Q33)</f>
        <v>0.08</v>
      </c>
      <c r="R34" s="206" t="n">
        <f aca="false">MIN(01_Supuestos!$I$144,R33)</f>
        <v>0.08</v>
      </c>
      <c r="S34" s="206" t="n">
        <f aca="false">MIN(01_Supuestos!$I$144,S33)</f>
        <v>0.08</v>
      </c>
      <c r="T34" s="206" t="n">
        <f aca="false">MIN(01_Supuestos!$I$144,T33)</f>
        <v>0.08</v>
      </c>
      <c r="U34" s="206" t="n">
        <f aca="false">MIN(01_Supuestos!$I$144,U33)</f>
        <v>0.08</v>
      </c>
      <c r="V34" s="206" t="n">
        <f aca="false">MIN(01_Supuestos!$I$144,V33)</f>
        <v>0.08</v>
      </c>
      <c r="W34" s="206" t="n">
        <f aca="false">MIN(01_Supuestos!$I$144,W33)</f>
        <v>0.08</v>
      </c>
      <c r="X34" s="206" t="n">
        <f aca="false">MIN(01_Supuestos!$I$144,X33)</f>
        <v>0.08</v>
      </c>
      <c r="Y34" s="206" t="n">
        <f aca="false">MIN(01_Supuestos!$I$144,Y33)</f>
        <v>0.08</v>
      </c>
      <c r="Z34" s="206" t="n">
        <f aca="false">MIN(01_Supuestos!$I$144,Z33)</f>
        <v>0.08</v>
      </c>
      <c r="AA34" s="206" t="n">
        <f aca="false">MIN(01_Supuestos!$I$144,AA33)</f>
        <v>0.08</v>
      </c>
      <c r="AB34" s="206" t="n">
        <f aca="false">MIN(01_Supuestos!$I$144,AB33)</f>
        <v>0.08</v>
      </c>
      <c r="AC34" s="206" t="n">
        <f aca="false">MIN(01_Supuestos!$I$144,AC33)</f>
        <v>0.08</v>
      </c>
      <c r="AD34" s="206" t="n">
        <f aca="false">MIN(01_Supuestos!$I$144,AD33)</f>
        <v>0.08</v>
      </c>
      <c r="AE34" s="206" t="n">
        <f aca="false">MIN(01_Supuestos!$I$144,AE33)</f>
        <v>0.08</v>
      </c>
      <c r="AF34" s="206" t="n">
        <f aca="false">MIN(01_Supuestos!$I$144,AF33)</f>
        <v>0.08</v>
      </c>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row>
    <row r="35" customFormat="false" ht="14.25" hidden="false" customHeight="true" outlineLevel="0" collapsed="false">
      <c r="B35" s="134" t="s">
        <v>1078</v>
      </c>
      <c r="C35" s="206" t="n">
        <f aca="false">C33-C34</f>
        <v>56.69404</v>
      </c>
      <c r="D35" s="206" t="n">
        <f aca="false">D33-D34</f>
        <v>33.525448</v>
      </c>
      <c r="E35" s="206" t="n">
        <f aca="false">E33-E34</f>
        <v>28.72</v>
      </c>
      <c r="F35" s="206" t="n">
        <f aca="false">F33-F34</f>
        <v>65.564182</v>
      </c>
      <c r="G35" s="206" t="n">
        <f aca="false">G33-G34</f>
        <v>0</v>
      </c>
      <c r="H35" s="206" t="n">
        <f aca="false">H33-H34</f>
        <v>0</v>
      </c>
      <c r="I35" s="206" t="n">
        <f aca="false">I33-I34</f>
        <v>0</v>
      </c>
      <c r="J35" s="206" t="n">
        <f aca="false">J33-J34</f>
        <v>0</v>
      </c>
      <c r="K35" s="206" t="n">
        <f aca="false">K33-K34</f>
        <v>0</v>
      </c>
      <c r="L35" s="206" t="n">
        <f aca="false">L33-L34</f>
        <v>0</v>
      </c>
      <c r="M35" s="206" t="n">
        <f aca="false">M33-M34</f>
        <v>3.11703714191</v>
      </c>
      <c r="N35" s="206" t="n">
        <f aca="false">N33-N34</f>
        <v>3.11703714191</v>
      </c>
      <c r="O35" s="206" t="n">
        <f aca="false">O33-O34</f>
        <v>3.11703714191</v>
      </c>
      <c r="P35" s="206" t="n">
        <f aca="false">P33-P34</f>
        <v>3.11703714191</v>
      </c>
      <c r="Q35" s="206" t="n">
        <f aca="false">Q33-Q34</f>
        <v>3.11703714191</v>
      </c>
      <c r="R35" s="206" t="n">
        <f aca="false">R33-R34</f>
        <v>3.016937058158</v>
      </c>
      <c r="S35" s="206" t="n">
        <f aca="false">S33-S34</f>
        <v>2.916836974406</v>
      </c>
      <c r="T35" s="206" t="n">
        <f aca="false">T33-T34</f>
        <v>2.816736890654</v>
      </c>
      <c r="U35" s="206" t="n">
        <f aca="false">U33-U34</f>
        <v>2.716636806902</v>
      </c>
      <c r="V35" s="206" t="n">
        <f aca="false">V33-V34</f>
        <v>2.61653672315</v>
      </c>
      <c r="W35" s="206" t="n">
        <f aca="false">W33-W34</f>
        <v>2.516436639398</v>
      </c>
      <c r="X35" s="206" t="n">
        <f aca="false">X33-X34</f>
        <v>2.416336555646</v>
      </c>
      <c r="Y35" s="206" t="n">
        <f aca="false">Y33-Y34</f>
        <v>2.316236471894</v>
      </c>
      <c r="Z35" s="206" t="n">
        <f aca="false">Z33-Z34</f>
        <v>2.216136388142</v>
      </c>
      <c r="AA35" s="206" t="n">
        <f aca="false">AA33-AA34</f>
        <v>2.11603630439</v>
      </c>
      <c r="AB35" s="206" t="n">
        <f aca="false">AB33-AB34</f>
        <v>2.015936220638</v>
      </c>
      <c r="AC35" s="206" t="n">
        <f aca="false">AC33-AC34</f>
        <v>1.915836136886</v>
      </c>
      <c r="AD35" s="206" t="n">
        <f aca="false">AD33-AD34</f>
        <v>1.815736053134</v>
      </c>
      <c r="AE35" s="206" t="n">
        <f aca="false">AE33-AE34</f>
        <v>1.715635969382</v>
      </c>
      <c r="AF35" s="206" t="n">
        <f aca="false">AF33-AF34</f>
        <v>1.61553588563</v>
      </c>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row>
    <row r="36" customFormat="false" ht="14.25" hidden="false" customHeight="true" outlineLevel="0" collapsed="false">
      <c r="B36" s="134" t="s">
        <v>1079</v>
      </c>
      <c r="C36" s="206" t="n">
        <f aca="false">C35</f>
        <v>56.69404</v>
      </c>
      <c r="D36" s="206" t="n">
        <f aca="false">C36+D35</f>
        <v>90.219488</v>
      </c>
      <c r="E36" s="206" t="n">
        <f aca="false">D36+E35</f>
        <v>118.939488</v>
      </c>
      <c r="F36" s="206" t="n">
        <f aca="false">E36+F35</f>
        <v>184.50367</v>
      </c>
      <c r="G36" s="206" t="n">
        <f aca="false">F36+G35</f>
        <v>184.50367</v>
      </c>
      <c r="H36" s="206" t="n">
        <f aca="false">G36+H35</f>
        <v>184.50367</v>
      </c>
      <c r="I36" s="206" t="n">
        <f aca="false">H36+I35</f>
        <v>184.50367</v>
      </c>
      <c r="J36" s="206" t="n">
        <f aca="false">I36+J35</f>
        <v>184.50367</v>
      </c>
      <c r="K36" s="206" t="n">
        <f aca="false">J36+K35</f>
        <v>184.50367</v>
      </c>
      <c r="L36" s="206" t="n">
        <f aca="false">K36+L35</f>
        <v>184.50367</v>
      </c>
      <c r="M36" s="206" t="n">
        <f aca="false">L36+M35</f>
        <v>187.62070714191</v>
      </c>
      <c r="N36" s="206" t="n">
        <f aca="false">M36+N35</f>
        <v>190.73774428382</v>
      </c>
      <c r="O36" s="206" t="n">
        <f aca="false">N36+O35</f>
        <v>193.85478142573</v>
      </c>
      <c r="P36" s="206" t="n">
        <f aca="false">O36+P35</f>
        <v>196.97181856764</v>
      </c>
      <c r="Q36" s="206" t="n">
        <f aca="false">P36+Q35</f>
        <v>200.08885570955</v>
      </c>
      <c r="R36" s="206" t="n">
        <f aca="false">Q36+R35</f>
        <v>203.105792767708</v>
      </c>
      <c r="S36" s="206" t="n">
        <f aca="false">R36+S35</f>
        <v>206.022629742114</v>
      </c>
      <c r="T36" s="206" t="n">
        <f aca="false">S36+T35</f>
        <v>208.839366632768</v>
      </c>
      <c r="U36" s="206" t="n">
        <f aca="false">T36+U35</f>
        <v>211.55600343967</v>
      </c>
      <c r="V36" s="206" t="n">
        <f aca="false">U36+V35</f>
        <v>214.17254016282</v>
      </c>
      <c r="W36" s="206" t="n">
        <f aca="false">V36+W35</f>
        <v>216.688976802218</v>
      </c>
      <c r="X36" s="206" t="n">
        <f aca="false">W36+X35</f>
        <v>219.105313357864</v>
      </c>
      <c r="Y36" s="206" t="n">
        <f aca="false">X36+Y35</f>
        <v>221.421549829758</v>
      </c>
      <c r="Z36" s="206" t="n">
        <f aca="false">Y36+Z35</f>
        <v>223.6376862179</v>
      </c>
      <c r="AA36" s="206" t="n">
        <f aca="false">Z36+AA35</f>
        <v>225.75372252229</v>
      </c>
      <c r="AB36" s="206" t="n">
        <f aca="false">AA36+AB35</f>
        <v>227.769658742928</v>
      </c>
      <c r="AC36" s="206" t="n">
        <f aca="false">AB36+AC35</f>
        <v>229.685494879814</v>
      </c>
      <c r="AD36" s="206" t="n">
        <f aca="false">AC36+AD35</f>
        <v>231.501230932948</v>
      </c>
      <c r="AE36" s="206" t="n">
        <f aca="false">AD36+AE35</f>
        <v>233.21686690233</v>
      </c>
      <c r="AF36" s="206" t="n">
        <f aca="false">AE36+AF35</f>
        <v>234.83240278796</v>
      </c>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row>
    <row r="37" customFormat="false" ht="14.25" hidden="false" customHeight="true" outlineLevel="0" collapsed="false">
      <c r="B37" s="134" t="s">
        <v>1674</v>
      </c>
      <c r="C37" s="206" t="n">
        <f aca="false">(01_Supuestos!$I$125-1)*C35</f>
        <v>19.2759736</v>
      </c>
      <c r="D37" s="206" t="n">
        <f aca="false">C37+(01_Supuestos!$I$125-1)*D35</f>
        <v>30.67462592</v>
      </c>
      <c r="E37" s="206" t="n">
        <f aca="false">D37+(01_Supuestos!$I$125-1)*E35</f>
        <v>40.43942592</v>
      </c>
      <c r="F37" s="206" t="n">
        <f aca="false">E37+(01_Supuestos!$I$125-1)*F35</f>
        <v>62.7312478</v>
      </c>
      <c r="G37" s="206" t="n">
        <f aca="false">F37+(01_Supuestos!$I$125-1)*G35</f>
        <v>62.7312478</v>
      </c>
      <c r="H37" s="206" t="n">
        <f aca="false">G37+(01_Supuestos!$I$125-1)*H35</f>
        <v>62.7312478</v>
      </c>
      <c r="I37" s="206" t="n">
        <f aca="false">H37+(01_Supuestos!$I$125-1)*I35</f>
        <v>62.7312478</v>
      </c>
      <c r="J37" s="206" t="n">
        <f aca="false">I37+(01_Supuestos!$I$125-1)*J35</f>
        <v>62.7312478</v>
      </c>
      <c r="K37" s="206" t="n">
        <f aca="false">J37+(01_Supuestos!$I$125-1)*K35</f>
        <v>62.7312478</v>
      </c>
      <c r="L37" s="206" t="n">
        <f aca="false">K37+(01_Supuestos!$I$125-1)*L35</f>
        <v>62.7312478</v>
      </c>
      <c r="M37" s="206" t="n">
        <f aca="false">L37+(01_Supuestos!$I$125-1)*M35</f>
        <v>63.7910404282494</v>
      </c>
      <c r="N37" s="206" t="n">
        <f aca="false">M37+(01_Supuestos!$I$125-1)*N35</f>
        <v>64.8508330564988</v>
      </c>
      <c r="O37" s="206" t="n">
        <f aca="false">N37+(01_Supuestos!$I$125-1)*O35</f>
        <v>65.9106256847482</v>
      </c>
      <c r="P37" s="206" t="n">
        <f aca="false">O37+(01_Supuestos!$I$125-1)*P35</f>
        <v>66.9704183129976</v>
      </c>
      <c r="Q37" s="206" t="n">
        <f aca="false">P37+(01_Supuestos!$I$125-1)*Q35</f>
        <v>68.030210941247</v>
      </c>
      <c r="R37" s="206" t="n">
        <f aca="false">Q37+(01_Supuestos!$I$125-1)*R35</f>
        <v>69.0559695410207</v>
      </c>
      <c r="S37" s="206" t="n">
        <f aca="false">R37+(01_Supuestos!$I$125-1)*S35</f>
        <v>70.0476941123188</v>
      </c>
      <c r="T37" s="206" t="n">
        <f aca="false">S37+(01_Supuestos!$I$125-1)*T35</f>
        <v>71.0053846551411</v>
      </c>
      <c r="U37" s="206" t="n">
        <f aca="false">T37+(01_Supuestos!$I$125-1)*U35</f>
        <v>71.9290411694878</v>
      </c>
      <c r="V37" s="206" t="n">
        <f aca="false">U37+(01_Supuestos!$I$125-1)*V35</f>
        <v>72.8186636553588</v>
      </c>
      <c r="W37" s="206" t="n">
        <f aca="false">V37+(01_Supuestos!$I$125-1)*W35</f>
        <v>73.6742521127541</v>
      </c>
      <c r="X37" s="206" t="n">
        <f aca="false">W37+(01_Supuestos!$I$125-1)*X35</f>
        <v>74.4958065416738</v>
      </c>
      <c r="Y37" s="206" t="n">
        <f aca="false">X37+(01_Supuestos!$I$125-1)*Y35</f>
        <v>75.2833269421177</v>
      </c>
      <c r="Z37" s="206" t="n">
        <f aca="false">Y37+(01_Supuestos!$I$125-1)*Z35</f>
        <v>76.036813314086</v>
      </c>
      <c r="AA37" s="206" t="n">
        <f aca="false">Z37+(01_Supuestos!$I$125-1)*AA35</f>
        <v>76.7562656575786</v>
      </c>
      <c r="AB37" s="206" t="n">
        <f aca="false">AA37+(01_Supuestos!$I$125-1)*AB35</f>
        <v>77.4416839725955</v>
      </c>
      <c r="AC37" s="206" t="n">
        <f aca="false">AB37+(01_Supuestos!$I$125-1)*AC35</f>
        <v>78.0930682591368</v>
      </c>
      <c r="AD37" s="206" t="n">
        <f aca="false">AC37+(01_Supuestos!$I$125-1)*AD35</f>
        <v>78.7104185172023</v>
      </c>
      <c r="AE37" s="206" t="n">
        <f aca="false">AD37+(01_Supuestos!$I$125-1)*AE35</f>
        <v>79.2937347467922</v>
      </c>
      <c r="AF37" s="206" t="n">
        <f aca="false">AE37+(01_Supuestos!$I$125-1)*AF35</f>
        <v>79.8430169479064</v>
      </c>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c r="BP37" s="206"/>
      <c r="BQ37" s="206"/>
      <c r="BR37" s="206"/>
      <c r="BS37" s="206"/>
      <c r="BT37" s="206"/>
    </row>
    <row r="38" customFormat="false" ht="14.25" hidden="false" customHeight="true" outlineLevel="0" collapsed="false">
      <c r="B38" s="81" t="s">
        <v>1081</v>
      </c>
      <c r="C38" s="138" t="n">
        <f aca="false">C22+C23+C24+C25</f>
        <v>56.77404</v>
      </c>
      <c r="D38" s="138" t="n">
        <f aca="false">C38+D22+D23+D24+D25</f>
        <v>90.379488</v>
      </c>
      <c r="E38" s="138" t="n">
        <f aca="false">D38+E22+E23+E24+E25</f>
        <v>119.179488</v>
      </c>
      <c r="F38" s="138" t="n">
        <f aca="false">E38+F22+F23+F24+F25</f>
        <v>215.74070714191</v>
      </c>
      <c r="G38" s="138" t="n">
        <f aca="false">F38+G22+G23+G24+G25</f>
        <v>220.25774428382</v>
      </c>
      <c r="H38" s="138" t="n">
        <f aca="false">G38+H22+H23+H24+H25</f>
        <v>224.77478142573</v>
      </c>
      <c r="I38" s="138" t="n">
        <f aca="false">H38+I22+I23+I24+I25</f>
        <v>229.29181856764</v>
      </c>
      <c r="J38" s="138" t="n">
        <f aca="false">I38+J22+J23+J24+J25</f>
        <v>233.80885570955</v>
      </c>
      <c r="K38" s="138" t="n">
        <f aca="false">J38+K22+K23+K24+K25</f>
        <v>238.32589285146</v>
      </c>
      <c r="L38" s="138" t="n">
        <f aca="false">K38+L22+L23+L24+L25</f>
        <v>242.84292999337</v>
      </c>
      <c r="M38" s="138" t="n">
        <f aca="false">L38+M22+M23+M24+M25</f>
        <v>247.35996713528</v>
      </c>
      <c r="N38" s="138" t="n">
        <f aca="false">M38+N22+N23+N24+N25</f>
        <v>251.87700427719</v>
      </c>
      <c r="O38" s="138" t="n">
        <f aca="false">N38+O22+O23+O24+O25</f>
        <v>256.3940414191</v>
      </c>
      <c r="P38" s="138" t="n">
        <f aca="false">O38+P22+P23+P24+P25</f>
        <v>260.91107856101</v>
      </c>
      <c r="Q38" s="138" t="n">
        <f aca="false">P38+Q22+Q23+Q24+Q25</f>
        <v>265.42811570292</v>
      </c>
      <c r="R38" s="138" t="n">
        <f aca="false">Q38+R22+R23+R24+R25</f>
        <v>269.845052761078</v>
      </c>
      <c r="S38" s="138" t="n">
        <f aca="false">R38+S22+S23+S24+S25</f>
        <v>274.161889735484</v>
      </c>
      <c r="T38" s="138" t="n">
        <f aca="false">S38+T22+T23+T24+T25</f>
        <v>278.378626626138</v>
      </c>
      <c r="U38" s="138" t="n">
        <f aca="false">T38+U22+U23+U24+U25</f>
        <v>282.49526343304</v>
      </c>
      <c r="V38" s="138" t="n">
        <f aca="false">U38+V22+V23+V24+V25</f>
        <v>286.51180015619</v>
      </c>
      <c r="W38" s="138" t="n">
        <f aca="false">V38+W22+W23+W24+W25</f>
        <v>290.428236795588</v>
      </c>
      <c r="X38" s="138" t="n">
        <f aca="false">W38+X22+X23+X24+X25</f>
        <v>294.244573351234</v>
      </c>
      <c r="Y38" s="138" t="n">
        <f aca="false">X38+Y22+Y23+Y24+Y25</f>
        <v>297.960809823128</v>
      </c>
      <c r="Z38" s="138" t="n">
        <f aca="false">Y38+Z22+Z23+Z24+Z25</f>
        <v>301.57694621127</v>
      </c>
      <c r="AA38" s="138" t="n">
        <f aca="false">Z38+AA22+AA23+AA24+AA25</f>
        <v>305.09298251566</v>
      </c>
      <c r="AB38" s="138" t="n">
        <f aca="false">AA38+AB22+AB23+AB24+AB25</f>
        <v>308.508918736298</v>
      </c>
      <c r="AC38" s="138" t="n">
        <f aca="false">AB38+AC22+AC23+AC24+AC25</f>
        <v>311.824754873184</v>
      </c>
      <c r="AD38" s="138" t="n">
        <f aca="false">AC38+AD22+AD23+AD24+AD25</f>
        <v>315.040490926318</v>
      </c>
      <c r="AE38" s="138" t="n">
        <f aca="false">AD38+AE22+AE23+AE24+AE25</f>
        <v>318.1561268957</v>
      </c>
      <c r="AF38" s="138" t="n">
        <f aca="false">AE38+AF22+AF23+AF24+AF25</f>
        <v>321.17166278133</v>
      </c>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row>
    <row r="39" customFormat="false" ht="14.25" hidden="false" customHeight="true" outlineLevel="0" collapsed="false">
      <c r="B39" s="134" t="s">
        <v>1082</v>
      </c>
      <c r="C39" s="206" t="n">
        <f aca="false">C23+C25+C31+C34</f>
        <v>0.08</v>
      </c>
      <c r="D39" s="206" t="n">
        <f aca="false">C39+D23+D25+D31+D34</f>
        <v>0.16</v>
      </c>
      <c r="E39" s="206" t="n">
        <f aca="false">D39+E23+E25+E31+E34</f>
        <v>0.24</v>
      </c>
      <c r="F39" s="206" t="n">
        <f aca="false">E39+F23+F25+F31+F34</f>
        <v>31.23703714191</v>
      </c>
      <c r="G39" s="206" t="n">
        <f aca="false">F39+G23+G25+G31+G34</f>
        <v>35.75407428382</v>
      </c>
      <c r="H39" s="206" t="n">
        <f aca="false">G39+H23+H25+H31+H34</f>
        <v>40.27111142573</v>
      </c>
      <c r="I39" s="206" t="n">
        <f aca="false">H39+I23+I25+I31+I34</f>
        <v>44.78814856764</v>
      </c>
      <c r="J39" s="206" t="n">
        <f aca="false">I39+J23+J25+J31+J34</f>
        <v>49.30518570955</v>
      </c>
      <c r="K39" s="206" t="n">
        <f aca="false">J39+K23+K25+K31+K34</f>
        <v>53.82222285146</v>
      </c>
      <c r="L39" s="206" t="n">
        <f aca="false">K39+L23+L25+L31+L34</f>
        <v>58.33925999337</v>
      </c>
      <c r="M39" s="206" t="n">
        <f aca="false">L39+M23+M25+M31+M34</f>
        <v>59.73925999337</v>
      </c>
      <c r="N39" s="206" t="n">
        <f aca="false">M39+N23+N25+N31+N34</f>
        <v>61.13925999337</v>
      </c>
      <c r="O39" s="206" t="n">
        <f aca="false">N39+O23+O25+O31+O34</f>
        <v>62.53925999337</v>
      </c>
      <c r="P39" s="206" t="n">
        <f aca="false">O39+P23+P25+P31+P34</f>
        <v>63.93925999337</v>
      </c>
      <c r="Q39" s="206" t="n">
        <f aca="false">P39+Q23+Q25+Q31+Q34</f>
        <v>65.33925999337</v>
      </c>
      <c r="R39" s="206" t="n">
        <f aca="false">Q39+R23+R25+R31+R34</f>
        <v>66.73925999337</v>
      </c>
      <c r="S39" s="206" t="n">
        <f aca="false">R39+S23+S25+S31+S34</f>
        <v>68.13925999337</v>
      </c>
      <c r="T39" s="206" t="n">
        <f aca="false">S39+T23+T25+T31+T34</f>
        <v>69.53925999337</v>
      </c>
      <c r="U39" s="206" t="n">
        <f aca="false">T39+U23+U25+U31+U34</f>
        <v>70.93925999337</v>
      </c>
      <c r="V39" s="206" t="n">
        <f aca="false">U39+V23+V25+V31+V34</f>
        <v>72.33925999337</v>
      </c>
      <c r="W39" s="206" t="n">
        <f aca="false">V39+W23+W25+W31+W34</f>
        <v>73.7392599933699</v>
      </c>
      <c r="X39" s="206" t="n">
        <f aca="false">W39+X23+X25+X31+X34</f>
        <v>75.1392599933699</v>
      </c>
      <c r="Y39" s="206" t="n">
        <f aca="false">X39+Y23+Y25+Y31+Y34</f>
        <v>76.5392599933699</v>
      </c>
      <c r="Z39" s="206" t="n">
        <f aca="false">Y39+Z23+Z25+Z31+Z34</f>
        <v>77.9392599933699</v>
      </c>
      <c r="AA39" s="206" t="n">
        <f aca="false">Z39+AA23+AA25+AA31+AA34</f>
        <v>79.3392599933699</v>
      </c>
      <c r="AB39" s="206" t="n">
        <f aca="false">AA39+AB23+AB25+AB31+AB34</f>
        <v>80.7392599933699</v>
      </c>
      <c r="AC39" s="206" t="n">
        <f aca="false">AB39+AC23+AC25+AC31+AC34</f>
        <v>82.1392599933699</v>
      </c>
      <c r="AD39" s="206" t="n">
        <f aca="false">AC39+AD23+AD25+AD31+AD34</f>
        <v>83.5392599933699</v>
      </c>
      <c r="AE39" s="206" t="n">
        <f aca="false">AD39+AE23+AE25+AE31+AE34</f>
        <v>84.9392599933699</v>
      </c>
      <c r="AF39" s="206" t="n">
        <f aca="false">AE39+AF23+AF25+AF31+AF34</f>
        <v>86.3392599933699</v>
      </c>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c r="BK39" s="206"/>
      <c r="BL39" s="206"/>
      <c r="BM39" s="206"/>
      <c r="BN39" s="206"/>
      <c r="BO39" s="206"/>
      <c r="BP39" s="206"/>
      <c r="BQ39" s="206"/>
      <c r="BR39" s="206"/>
      <c r="BS39" s="206"/>
      <c r="BT39" s="206"/>
    </row>
    <row r="40" customFormat="false" ht="14.25" hidden="false" customHeight="true" outlineLevel="0" collapsed="false">
      <c r="B40" s="132" t="s">
        <v>1089</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4.25" hidden="false" customHeight="true" outlineLevel="0" collapsed="false">
      <c r="B41" s="134" t="s">
        <v>1675</v>
      </c>
      <c r="C41" s="206" t="n">
        <f aca="false">01_Supuestos!$I$135*C18</f>
        <v>16.25</v>
      </c>
      <c r="D41" s="206" t="n">
        <f aca="false">C47+01_Supuestos!$I$135*D18</f>
        <v>32.87375</v>
      </c>
      <c r="E41" s="206" t="n">
        <f aca="false">D47+01_Supuestos!$I$135*E18</f>
        <v>49.87984625</v>
      </c>
      <c r="F41" s="206" t="n">
        <f aca="false">E47+01_Supuestos!$I$135*F18</f>
        <v>67.27708271375</v>
      </c>
      <c r="G41" s="206" t="n">
        <f aca="false">F47+01_Supuestos!$I$135*G18</f>
        <v>85.0744556161662</v>
      </c>
      <c r="H41" s="206" t="n">
        <f aca="false">G47+01_Supuestos!$I$135*H18</f>
        <v>103.281168095338</v>
      </c>
      <c r="I41" s="206" t="n">
        <f aca="false">H47+01_Supuestos!$I$135*I18</f>
        <v>121.906634961531</v>
      </c>
      <c r="J41" s="206" t="n">
        <f aca="false">I47+01_Supuestos!$I$135*J18</f>
        <v>140.960487565646</v>
      </c>
      <c r="K41" s="206" t="n">
        <f aca="false">J47+01_Supuestos!$I$135*K18</f>
        <v>160.452578779656</v>
      </c>
      <c r="L41" s="206" t="n">
        <f aca="false">K47+01_Supuestos!$I$135*L18</f>
        <v>180.392988091588</v>
      </c>
      <c r="M41" s="206" t="n">
        <f aca="false">L47+01_Supuestos!$I$135*M18</f>
        <v>188.46483651246</v>
      </c>
      <c r="N41" s="206" t="n">
        <f aca="false">M47+01_Supuestos!$I$135*N18</f>
        <v>192.001270776748</v>
      </c>
      <c r="O41" s="206" t="n">
        <f aca="false">N47+01_Supuestos!$I$135*O18</f>
        <v>195.548496132522</v>
      </c>
      <c r="P41" s="206" t="n">
        <f aca="false">O47+01_Supuestos!$I$135*P18</f>
        <v>199.106760774887</v>
      </c>
      <c r="Q41" s="206" t="n">
        <f aca="false">P47+01_Supuestos!$I$135*Q18</f>
        <v>202.676318607433</v>
      </c>
      <c r="R41" s="206" t="n">
        <f aca="false">Q47+01_Supuestos!$I$135*R18</f>
        <v>206.257429373536</v>
      </c>
      <c r="S41" s="206" t="n">
        <f aca="false">R47+01_Supuestos!$I$135*S18</f>
        <v>209.776585028941</v>
      </c>
      <c r="T41" s="206" t="n">
        <f aca="false">S47+01_Supuestos!$I$135*T18</f>
        <v>213.234057402622</v>
      </c>
      <c r="U41" s="206" t="n">
        <f aca="false">T47+01_Supuestos!$I$135*U18</f>
        <v>216.63012457562</v>
      </c>
      <c r="V41" s="206" t="n">
        <f aca="false">U47+01_Supuestos!$I$135*V18</f>
        <v>219.965071024837</v>
      </c>
      <c r="W41" s="206" t="n">
        <f aca="false">V47+01_Supuestos!$I$135*W18</f>
        <v>223.239187770148</v>
      </c>
      <c r="X41" s="206" t="n">
        <f aca="false">W47+01_Supuestos!$I$135*X18</f>
        <v>226.452772524882</v>
      </c>
      <c r="Y41" s="206" t="n">
        <f aca="false">X47+01_Supuestos!$I$135*Y18</f>
        <v>229.606129849775</v>
      </c>
      <c r="Z41" s="206" t="n">
        <f aca="false">Y47+01_Supuestos!$I$135*Z18</f>
        <v>232.69957131046</v>
      </c>
      <c r="AA41" s="206" t="n">
        <f aca="false">Z47+01_Supuestos!$I$135*AA18</f>
        <v>235.733415638581</v>
      </c>
      <c r="AB41" s="206" t="n">
        <f aca="false">AA47+01_Supuestos!$I$135*AB18</f>
        <v>238.707988896608</v>
      </c>
      <c r="AC41" s="206" t="n">
        <f aca="false">AB47+01_Supuestos!$I$135*AC18</f>
        <v>241.623624646449</v>
      </c>
      <c r="AD41" s="206" t="n">
        <f aca="false">AC47+01_Supuestos!$I$135*AD18</f>
        <v>244.480664121935</v>
      </c>
      <c r="AE41" s="206" t="n">
        <f aca="false">AD47+01_Supuestos!$I$135*AE18</f>
        <v>247.279456405275</v>
      </c>
      <c r="AF41" s="206" t="n">
        <f aca="false">AE47+01_Supuestos!$I$135*AF18</f>
        <v>250.02035860757</v>
      </c>
      <c r="AG41" s="206"/>
      <c r="AH41" s="206"/>
      <c r="AI41" s="206"/>
      <c r="AJ41" s="206"/>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06"/>
      <c r="BN41" s="206"/>
      <c r="BO41" s="206"/>
      <c r="BP41" s="206"/>
      <c r="BQ41" s="206"/>
      <c r="BR41" s="206"/>
      <c r="BS41" s="206"/>
      <c r="BT41" s="206"/>
    </row>
    <row r="42" customFormat="false" ht="14.25" hidden="false" customHeight="true" outlineLevel="0" collapsed="false">
      <c r="B42" s="134" t="s">
        <v>1676</v>
      </c>
      <c r="C42" s="206" t="n">
        <f aca="false">C38</f>
        <v>56.77404</v>
      </c>
      <c r="D42" s="206" t="n">
        <f aca="false">D38+C44+C69</f>
        <v>109.6554616</v>
      </c>
      <c r="E42" s="206" t="n">
        <f aca="false">E38+D44+D69</f>
        <v>149.85411392</v>
      </c>
      <c r="F42" s="206" t="n">
        <f aca="false">F38+E44+E69</f>
        <v>256.18013306191</v>
      </c>
      <c r="G42" s="206" t="n">
        <f aca="false">G38+F44+F69</f>
        <v>282.98899208382</v>
      </c>
      <c r="H42" s="206" t="n">
        <f aca="false">H38+G44+G69</f>
        <v>287.50602922573</v>
      </c>
      <c r="I42" s="206" t="n">
        <f aca="false">I38+H44+H69</f>
        <v>292.02306636764</v>
      </c>
      <c r="J42" s="206" t="n">
        <f aca="false">J38+I44+I69</f>
        <v>296.54010350955</v>
      </c>
      <c r="K42" s="206" t="n">
        <f aca="false">K38+J44+J69</f>
        <v>301.05714065146</v>
      </c>
      <c r="L42" s="206" t="n">
        <f aca="false">L38+K44+K69</f>
        <v>305.57417779337</v>
      </c>
      <c r="M42" s="206" t="n">
        <f aca="false">M38+L44+L69</f>
        <v>310.09121493528</v>
      </c>
      <c r="N42" s="206" t="n">
        <f aca="false">N38+M44+M69</f>
        <v>315.668044705439</v>
      </c>
      <c r="O42" s="206" t="n">
        <f aca="false">O38+N44+N69</f>
        <v>321.244874475599</v>
      </c>
      <c r="P42" s="206" t="n">
        <f aca="false">P38+O44+O69</f>
        <v>326.821704245758</v>
      </c>
      <c r="Q42" s="206" t="n">
        <f aca="false">Q38+P44+P69</f>
        <v>332.398534015917</v>
      </c>
      <c r="R42" s="206" t="n">
        <f aca="false">R38+Q44+Q69</f>
        <v>337.875263702325</v>
      </c>
      <c r="S42" s="206" t="n">
        <f aca="false">S38+R44+R69</f>
        <v>343.217859276505</v>
      </c>
      <c r="T42" s="206" t="n">
        <f aca="false">T38+S44+S69</f>
        <v>348.426320738457</v>
      </c>
      <c r="U42" s="206" t="n">
        <f aca="false">U38+T44+T69</f>
        <v>353.500648088181</v>
      </c>
      <c r="V42" s="206" t="n">
        <f aca="false">V38+U44+U69</f>
        <v>358.440841325678</v>
      </c>
      <c r="W42" s="206" t="n">
        <f aca="false">W38+V44+V69</f>
        <v>363.246900450947</v>
      </c>
      <c r="X42" s="206" t="n">
        <f aca="false">X38+W44+W69</f>
        <v>367.918825463988</v>
      </c>
      <c r="Y42" s="206" t="n">
        <f aca="false">Y38+X44+X69</f>
        <v>372.456616364802</v>
      </c>
      <c r="Z42" s="206" t="n">
        <f aca="false">Z38+Y44+Y69</f>
        <v>376.860273153387</v>
      </c>
      <c r="AA42" s="206" t="n">
        <f aca="false">AA38+Z44+Z69</f>
        <v>381.129795829746</v>
      </c>
      <c r="AB42" s="206" t="n">
        <f aca="false">AB38+AA44+AA69</f>
        <v>385.265184393876</v>
      </c>
      <c r="AC42" s="206" t="n">
        <f aca="false">AC38+AB44+AB69</f>
        <v>389.266438845779</v>
      </c>
      <c r="AD42" s="206" t="n">
        <f aca="false">AD38+AC44+AC69</f>
        <v>393.133559185455</v>
      </c>
      <c r="AE42" s="206" t="n">
        <f aca="false">AE38+AD44+AD69</f>
        <v>396.866545412902</v>
      </c>
      <c r="AF42" s="206" t="n">
        <f aca="false">AF38+AE44+AE69</f>
        <v>400.465397528122</v>
      </c>
      <c r="AG42" s="206"/>
      <c r="AH42" s="206"/>
      <c r="AI42" s="206"/>
      <c r="AJ42" s="206"/>
      <c r="AK42" s="206"/>
      <c r="AL42" s="206"/>
      <c r="AM42" s="206"/>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06"/>
      <c r="BJ42" s="206"/>
      <c r="BK42" s="206"/>
      <c r="BL42" s="206"/>
      <c r="BM42" s="206"/>
      <c r="BN42" s="206"/>
      <c r="BO42" s="206"/>
      <c r="BP42" s="206"/>
      <c r="BQ42" s="206"/>
      <c r="BR42" s="206"/>
      <c r="BS42" s="206"/>
      <c r="BT42" s="206"/>
    </row>
    <row r="43" customFormat="false" ht="14.25" hidden="false" customHeight="true" outlineLevel="0" collapsed="false">
      <c r="B43" s="134" t="s">
        <v>1091</v>
      </c>
      <c r="C43" s="206" t="n">
        <f aca="false">IF($C$13="Entrada",MAX(0,MIN(C36,$C$9*(C38+C37),C41)),MAX(0,MIN(C36,$C$9*C42,C41)))</f>
        <v>16.25</v>
      </c>
      <c r="D43" s="206" t="n">
        <f aca="false">IF($C$13="Entrada",MAX(0,MIN(D36,$C$9*(D38+D37+C69),D41)),MAX(0,MIN(D36,$C$9*D42-C44,D41-C44)))</f>
        <v>32.87375</v>
      </c>
      <c r="E43" s="206" t="n">
        <f aca="false">IF($C$13="Entrada",MAX(0,MIN(E36,$C$9*(E38+E37+D69),E41)),MAX(0,MIN(E36,$C$9*E42-D44,E41-D44)))</f>
        <v>49.87984625</v>
      </c>
      <c r="F43" s="206" t="n">
        <f aca="false">IF($C$13="Entrada",MAX(0,MIN(F36,$C$9*(F38+F37+E69),F41)),MAX(0,MIN(F36,$C$9*F42-E44,F41-E44)))</f>
        <v>67.27708271375</v>
      </c>
      <c r="G43" s="206" t="n">
        <f aca="false">IF($C$13="Entrada",MAX(0,MIN(G36,$C$9*(G38+G37+F69),G41)),MAX(0,MIN(G36,$C$9*G42-F44,G41-F44)))</f>
        <v>85.0744556161662</v>
      </c>
      <c r="H43" s="206" t="n">
        <f aca="false">IF($C$13="Entrada",MAX(0,MIN(H36,$C$9*(H38+H37+G69),H41)),MAX(0,MIN(H36,$C$9*H42-G44,H41-G44)))</f>
        <v>103.281168095338</v>
      </c>
      <c r="I43" s="206" t="n">
        <f aca="false">IF($C$13="Entrada",MAX(0,MIN(I36,$C$9*(I38+I37+H69),I41)),MAX(0,MIN(I36,$C$9*I42-H44,I41-H44)))</f>
        <v>121.906634961531</v>
      </c>
      <c r="J43" s="206" t="n">
        <f aca="false">IF($C$13="Entrada",MAX(0,MIN(J36,$C$9*(J38+J37+I69),J41)),MAX(0,MIN(J36,$C$9*J42-I44,J41-I44)))</f>
        <v>140.960487565646</v>
      </c>
      <c r="K43" s="206" t="n">
        <f aca="false">IF($C$13="Entrada",MAX(0,MIN(K36,$C$9*(K38+K37+J69),K41)),MAX(0,MIN(K36,$C$9*K42-J44,K41-J44)))</f>
        <v>160.452578779656</v>
      </c>
      <c r="L43" s="206" t="n">
        <f aca="false">IF($C$13="Entrada",MAX(0,MIN(L36,$C$9*(L38+L37+K69),L41)),MAX(0,MIN(L36,$C$9*L42-K44,L41-K44)))</f>
        <v>168.065797786353</v>
      </c>
      <c r="M43" s="206" t="n">
        <f aca="false">IF($C$13="Entrada",MAX(0,MIN(M36,$C$9*(M38+M37+L69),M41)),MAX(0,MIN(M36,$C$9*M42-L44,M41-L44)))</f>
        <v>171.133054159941</v>
      </c>
      <c r="N43" s="206" t="n">
        <f aca="false">IF($C$13="Entrada",MAX(0,MIN(N36,$C$9*(N38+N37+M69),N41)),MAX(0,MIN(N36,$C$9*N42-M44,N41-M44)))</f>
        <v>174.200310533529</v>
      </c>
      <c r="O43" s="206" t="n">
        <f aca="false">IF($C$13="Entrada",MAX(0,MIN(O36,$C$9*(O38+O37+N69),O41)),MAX(0,MIN(O36,$C$9*O42-N44,O41-N44)))</f>
        <v>177.267566907116</v>
      </c>
      <c r="P43" s="206" t="n">
        <f aca="false">IF($C$13="Entrada",MAX(0,MIN(P36,$C$9*(P38+P37+O69),P41)),MAX(0,MIN(P36,$C$9*P42-O44,P41-O44)))</f>
        <v>180.334823280704</v>
      </c>
      <c r="Q43" s="206" t="n">
        <f aca="false">IF($C$13="Entrada",MAX(0,MIN(Q36,$C$9*(Q38+Q37+P69),Q41)),MAX(0,MIN(Q36,$C$9*Q42-P44,Q41-P44)))</f>
        <v>183.402079654292</v>
      </c>
      <c r="R43" s="206" t="n">
        <f aca="false">IF($C$13="Entrada",MAX(0,MIN(R36,$C$9*(R38+R37+Q69),R41)),MAX(0,MIN(R36,$C$9*R42-Q44,R41-Q44)))</f>
        <v>186.395562266154</v>
      </c>
      <c r="S43" s="206" t="n">
        <f aca="false">IF($C$13="Entrada",MAX(0,MIN(S36,$C$9*(S38+S37+R69),S41)),MAX(0,MIN(S36,$C$9*S42-R44,S41-R44)))</f>
        <v>189.315271116291</v>
      </c>
      <c r="T43" s="206" t="n">
        <f aca="false">IF($C$13="Entrada",MAX(0,MIN(T36,$C$9*(T38+T37+S69),T41)),MAX(0,MIN(T36,$C$9*T42-S44,T41-S44)))</f>
        <v>192.161206204703</v>
      </c>
      <c r="U43" s="206" t="n">
        <f aca="false">IF($C$13="Entrada",MAX(0,MIN(U36,$C$9*(U38+U37+T69),U41)),MAX(0,MIN(U36,$C$9*U42-T44,U41-T44)))</f>
        <v>194.93336753139</v>
      </c>
      <c r="V43" s="206" t="n">
        <f aca="false">IF($C$13="Entrada",MAX(0,MIN(V36,$C$9*(V38+V37+U69),V41)),MAX(0,MIN(V36,$C$9*V42-U44,V41-U44)))</f>
        <v>197.631755096352</v>
      </c>
      <c r="W43" s="206" t="n">
        <f aca="false">IF($C$13="Entrada",MAX(0,MIN(W36,$C$9*(W38+W37+V69),W41)),MAX(0,MIN(W36,$C$9*W42-V44,W41-V44)))</f>
        <v>200.256368899588</v>
      </c>
      <c r="X43" s="206" t="n">
        <f aca="false">IF($C$13="Entrada",MAX(0,MIN(X36,$C$9*(X38+X37+W69),X41)),MAX(0,MIN(X36,$C$9*X42-W44,X41-W44)))</f>
        <v>202.807208941099</v>
      </c>
      <c r="Y43" s="206" t="n">
        <f aca="false">IF($C$13="Entrada",MAX(0,MIN(Y36,$C$9*(Y38+Y37+X69),Y41)),MAX(0,MIN(Y36,$C$9*Y42-X44,Y41-X44)))</f>
        <v>205.284275220885</v>
      </c>
      <c r="Z43" s="206" t="n">
        <f aca="false">IF($C$13="Entrada",MAX(0,MIN(Z36,$C$9*(Z38+Z37+Y69),Z41)),MAX(0,MIN(Z36,$C$9*Z42-Y44,Z41-Y44)))</f>
        <v>207.687567738946</v>
      </c>
      <c r="AA43" s="206" t="n">
        <f aca="false">IF($C$13="Entrada",MAX(0,MIN(AA36,$C$9*(AA38+AA37+Z69),AA41)),MAX(0,MIN(AA36,$C$9*AA42-Z44,AA41-Z44)))</f>
        <v>210.017086495281</v>
      </c>
      <c r="AB43" s="206" t="n">
        <f aca="false">IF($C$13="Entrada",MAX(0,MIN(AB36,$C$9*(AB38+AB37+AA69),AB41)),MAX(0,MIN(AB36,$C$9*AB42-AA44,AB41-AA44)))</f>
        <v>212.272831489891</v>
      </c>
      <c r="AC43" s="206" t="n">
        <f aca="false">IF($C$13="Entrada",MAX(0,MIN(AC36,$C$9*(AC38+AC37+AB69),AC41)),MAX(0,MIN(AC36,$C$9*AC42-AB44,AC41-AB44)))</f>
        <v>214.454802722776</v>
      </c>
      <c r="AD43" s="206" t="n">
        <f aca="false">IF($C$13="Entrada",MAX(0,MIN(AD36,$C$9*(AD38+AD37+AC69),AD41)),MAX(0,MIN(AD36,$C$9*AD42-AC44,AD41-AC44)))</f>
        <v>216.563000193936</v>
      </c>
      <c r="AE43" s="206" t="n">
        <f aca="false">IF($C$13="Entrada",MAX(0,MIN(AE36,$C$9*(AE38+AE37+AD69),AE41)),MAX(0,MIN(AE36,$C$9*AE42-AD44,AE41-AD44)))</f>
        <v>218.597423903371</v>
      </c>
      <c r="AF43" s="206" t="n">
        <f aca="false">IF($C$13="Entrada",MAX(0,MIN(AF36,$C$9*(AF38+AF37+AE69),AF41)),MAX(0,MIN(AF36,$C$9*AF42-AE44,AF41-AE44)))</f>
        <v>220.55807385108</v>
      </c>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6"/>
      <c r="BF43" s="206"/>
      <c r="BG43" s="206"/>
      <c r="BH43" s="206"/>
      <c r="BI43" s="206"/>
      <c r="BJ43" s="206"/>
      <c r="BK43" s="206"/>
      <c r="BL43" s="206"/>
      <c r="BM43" s="206"/>
      <c r="BN43" s="206"/>
      <c r="BO43" s="206"/>
      <c r="BP43" s="206"/>
      <c r="BQ43" s="206"/>
      <c r="BR43" s="206"/>
      <c r="BS43" s="206"/>
      <c r="BT43" s="206"/>
    </row>
    <row r="44" customFormat="false" ht="14.25" hidden="false" customHeight="true" outlineLevel="0" collapsed="false">
      <c r="B44" s="134" t="s">
        <v>1092</v>
      </c>
      <c r="C44" s="206" t="n">
        <f aca="false">IF($C$13="Entrada",C37,MAX(0,MIN(C37,($C$9*C42-C43)/(1-$C$9),C41-C43)))</f>
        <v>19.2759736</v>
      </c>
      <c r="D44" s="206" t="n">
        <f aca="false">IF($C$13="Entrada",D37,C44+MAX(0,MIN(D37-C44,($C$9*D42-D43-C44)/(1-$C$9),D41-D43-C44)))</f>
        <v>30.67462592</v>
      </c>
      <c r="E44" s="206" t="n">
        <f aca="false">IF($C$13="Entrada",E37,D44+MAX(0,MIN(E37-D44,($C$9*E42-E43-D44)/(1-$C$9),E41-E43-D44)))</f>
        <v>40.43942592</v>
      </c>
      <c r="F44" s="206" t="n">
        <f aca="false">IF($C$13="Entrada",F37,E44+MAX(0,MIN(F37-E44,($C$9*F42-F43-E44)/(1-$C$9),F41-F43-E44)))</f>
        <v>62.7312478</v>
      </c>
      <c r="G44" s="206" t="n">
        <f aca="false">IF($C$13="Entrada",G37,F44+MAX(0,MIN(G37-F44,($C$9*G42-G43-F44)/(1-$C$9),G41-G43-F44)))</f>
        <v>62.7312478</v>
      </c>
      <c r="H44" s="206" t="n">
        <f aca="false">IF($C$13="Entrada",H37,G44+MAX(0,MIN(H37-G44,($C$9*H42-H43-G44)/(1-$C$9),H41-H43-G44)))</f>
        <v>62.7312478</v>
      </c>
      <c r="I44" s="206" t="n">
        <f aca="false">IF($C$13="Entrada",I37,H44+MAX(0,MIN(I37-H44,($C$9*I42-I43-H44)/(1-$C$9),I41-I43-H44)))</f>
        <v>62.7312478</v>
      </c>
      <c r="J44" s="206" t="n">
        <f aca="false">IF($C$13="Entrada",J37,I44+MAX(0,MIN(J37-I44,($C$9*J42-J43-I44)/(1-$C$9),J41-J43-I44)))</f>
        <v>62.7312478</v>
      </c>
      <c r="K44" s="206" t="n">
        <f aca="false">IF($C$13="Entrada",K37,J44+MAX(0,MIN(K37-J44,($C$9*K42-K43-J44)/(1-$C$9),K41-K43-J44)))</f>
        <v>62.7312478</v>
      </c>
      <c r="L44" s="206" t="n">
        <f aca="false">IF($C$13="Entrada",L37,K44+MAX(0,MIN(L37-K44,($C$9*L42-L43-K44)/(1-$C$9),L41-L43-K44)))</f>
        <v>62.7312478</v>
      </c>
      <c r="M44" s="206" t="n">
        <f aca="false">IF($C$13="Entrada",M37,L44+MAX(0,MIN(M37-L44,($C$9*M42-M43-L44)/(1-$C$9),M41-M43-L44)))</f>
        <v>63.7910404282494</v>
      </c>
      <c r="N44" s="206" t="n">
        <f aca="false">IF($C$13="Entrada",N37,M44+MAX(0,MIN(N37-M44,($C$9*N42-N43-M44)/(1-$C$9),N41-N43-M44)))</f>
        <v>64.8508330564988</v>
      </c>
      <c r="O44" s="206" t="n">
        <f aca="false">IF($C$13="Entrada",O37,N44+MAX(0,MIN(O37-N44,($C$9*O42-O43-N44)/(1-$C$9),O41-O43-N44)))</f>
        <v>65.9106256847482</v>
      </c>
      <c r="P44" s="206" t="n">
        <f aca="false">IF($C$13="Entrada",P37,O44+MAX(0,MIN(P37-O44,($C$9*P42-P43-O44)/(1-$C$9),P41-P43-O44)))</f>
        <v>66.9704183129976</v>
      </c>
      <c r="Q44" s="206" t="n">
        <f aca="false">IF($C$13="Entrada",Q37,P44+MAX(0,MIN(Q37-P44,($C$9*Q42-Q43-P44)/(1-$C$9),Q41-Q43-P44)))</f>
        <v>68.030210941247</v>
      </c>
      <c r="R44" s="206" t="n">
        <f aca="false">IF($C$13="Entrada",R37,Q44+MAX(0,MIN(R37-Q44,($C$9*R42-R43-Q44)/(1-$C$9),R41-R43-Q44)))</f>
        <v>69.0559695410207</v>
      </c>
      <c r="S44" s="206" t="n">
        <f aca="false">IF($C$13="Entrada",S37,R44+MAX(0,MIN(S37-R44,($C$9*S42-S43-R44)/(1-$C$9),S41-S43-R44)))</f>
        <v>70.0476941123188</v>
      </c>
      <c r="T44" s="206" t="n">
        <f aca="false">IF($C$13="Entrada",T37,S44+MAX(0,MIN(T37-S44,($C$9*T42-T43-S44)/(1-$C$9),T41-T43-S44)))</f>
        <v>71.0053846551411</v>
      </c>
      <c r="U44" s="206" t="n">
        <f aca="false">IF($C$13="Entrada",U37,T44+MAX(0,MIN(U37-T44,($C$9*U42-U43-T44)/(1-$C$9),U41-U43-T44)))</f>
        <v>71.9290411694878</v>
      </c>
      <c r="V44" s="206" t="n">
        <f aca="false">IF($C$13="Entrada",V37,U44+MAX(0,MIN(V37-U44,($C$9*V42-V43-U44)/(1-$C$9),V41-V43-U44)))</f>
        <v>72.8186636553588</v>
      </c>
      <c r="W44" s="206" t="n">
        <f aca="false">IF($C$13="Entrada",W37,V44+MAX(0,MIN(W37-V44,($C$9*W42-W43-V44)/(1-$C$9),W41-W43-V44)))</f>
        <v>73.6742521127541</v>
      </c>
      <c r="X44" s="206" t="n">
        <f aca="false">IF($C$13="Entrada",X37,W44+MAX(0,MIN(X37-W44,($C$9*X42-X43-W44)/(1-$C$9),X41-X43-W44)))</f>
        <v>74.4958065416738</v>
      </c>
      <c r="Y44" s="206" t="n">
        <f aca="false">IF($C$13="Entrada",Y37,X44+MAX(0,MIN(Y37-X44,($C$9*Y42-Y43-X44)/(1-$C$9),Y41-Y43-X44)))</f>
        <v>75.2833269421177</v>
      </c>
      <c r="Z44" s="206" t="n">
        <f aca="false">IF($C$13="Entrada",Z37,Y44+MAX(0,MIN(Z37-Y44,($C$9*Z42-Z43-Y44)/(1-$C$9),Z41-Z43-Y44)))</f>
        <v>76.036813314086</v>
      </c>
      <c r="AA44" s="206" t="n">
        <f aca="false">IF($C$13="Entrada",AA37,Z44+MAX(0,MIN(AA37-Z44,($C$9*AA42-AA43-Z44)/(1-$C$9),AA41-AA43-Z44)))</f>
        <v>76.7562656575786</v>
      </c>
      <c r="AB44" s="206" t="n">
        <f aca="false">IF($C$13="Entrada",AB37,AA44+MAX(0,MIN(AB37-AA44,($C$9*AB42-AB43-AA44)/(1-$C$9),AB41-AB43-AA44)))</f>
        <v>77.4416839725955</v>
      </c>
      <c r="AC44" s="206" t="n">
        <f aca="false">IF($C$13="Entrada",AC37,AB44+MAX(0,MIN(AC37-AB44,($C$9*AC42-AC43-AB44)/(1-$C$9),AC41-AC43-AB44)))</f>
        <v>78.0930682591368</v>
      </c>
      <c r="AD44" s="206" t="n">
        <f aca="false">IF($C$13="Entrada",AD37,AC44+MAX(0,MIN(AD37-AC44,($C$9*AD42-AD43-AC44)/(1-$C$9),AD41-AD43-AC44)))</f>
        <v>78.7104185172023</v>
      </c>
      <c r="AE44" s="206" t="n">
        <f aca="false">IF($C$13="Entrada",AE37,AD44+MAX(0,MIN(AE37-AD44,($C$9*AE42-AE43-AD44)/(1-$C$9),AE41-AE43-AD44)))</f>
        <v>79.2937347467922</v>
      </c>
      <c r="AF44" s="206" t="n">
        <f aca="false">IF($C$13="Entrada",AF37,AE44+MAX(0,MIN(AF37-AE44,($C$9*AF42-AF43-AE44)/(1-$C$9),AF41-AF43-AE44)))</f>
        <v>79.8430169479064</v>
      </c>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row>
    <row r="45" customFormat="false" ht="14.25" hidden="false" customHeight="true" outlineLevel="0" collapsed="false">
      <c r="B45" s="134" t="s">
        <v>1677</v>
      </c>
      <c r="C45" s="206" t="n">
        <f aca="false">C38+C44</f>
        <v>76.0500136</v>
      </c>
      <c r="D45" s="206" t="n">
        <f aca="false">D38+D44+C69</f>
        <v>121.05411392</v>
      </c>
      <c r="E45" s="206" t="n">
        <f aca="false">E38+E44+D69</f>
        <v>159.61891392</v>
      </c>
      <c r="F45" s="206" t="n">
        <f aca="false">F38+F44+E69</f>
        <v>278.47195494191</v>
      </c>
      <c r="G45" s="206" t="n">
        <f aca="false">G38+G44+F69</f>
        <v>282.98899208382</v>
      </c>
      <c r="H45" s="206" t="n">
        <f aca="false">H38+H44+G69</f>
        <v>287.50602922573</v>
      </c>
      <c r="I45" s="206" t="n">
        <f aca="false">I38+I44+H69</f>
        <v>292.02306636764</v>
      </c>
      <c r="J45" s="206" t="n">
        <f aca="false">J38+J44+I69</f>
        <v>296.54010350955</v>
      </c>
      <c r="K45" s="206" t="n">
        <f aca="false">K38+K44+J69</f>
        <v>301.05714065146</v>
      </c>
      <c r="L45" s="206" t="n">
        <f aca="false">L38+L44+K69</f>
        <v>305.57417779337</v>
      </c>
      <c r="M45" s="206" t="n">
        <f aca="false">M38+M44+L69</f>
        <v>311.151007563529</v>
      </c>
      <c r="N45" s="206" t="n">
        <f aca="false">N38+N44+M69</f>
        <v>316.727837333689</v>
      </c>
      <c r="O45" s="206" t="n">
        <f aca="false">O38+O44+N69</f>
        <v>322.304667103848</v>
      </c>
      <c r="P45" s="206" t="n">
        <f aca="false">P38+P44+O69</f>
        <v>327.881496874007</v>
      </c>
      <c r="Q45" s="206" t="n">
        <f aca="false">Q38+Q44+P69</f>
        <v>333.458326644167</v>
      </c>
      <c r="R45" s="206" t="n">
        <f aca="false">R38+R44+Q69</f>
        <v>338.901022302099</v>
      </c>
      <c r="S45" s="206" t="n">
        <f aca="false">S38+S44+R69</f>
        <v>344.209583847803</v>
      </c>
      <c r="T45" s="206" t="n">
        <f aca="false">T38+T44+S69</f>
        <v>349.384011281279</v>
      </c>
      <c r="U45" s="206" t="n">
        <f aca="false">U38+U44+T69</f>
        <v>354.424304602528</v>
      </c>
      <c r="V45" s="206" t="n">
        <f aca="false">V38+V44+U69</f>
        <v>359.330463811549</v>
      </c>
      <c r="W45" s="206" t="n">
        <f aca="false">W38+W44+V69</f>
        <v>364.102488908342</v>
      </c>
      <c r="X45" s="206" t="n">
        <f aca="false">X38+X44+W69</f>
        <v>368.740379892908</v>
      </c>
      <c r="Y45" s="206" t="n">
        <f aca="false">Y38+Y44+X69</f>
        <v>373.244136765245</v>
      </c>
      <c r="Z45" s="206" t="n">
        <f aca="false">Z38+Z44+Y69</f>
        <v>377.613759525356</v>
      </c>
      <c r="AA45" s="206" t="n">
        <f aca="false">AA38+AA44+Z69</f>
        <v>381.849248173238</v>
      </c>
      <c r="AB45" s="206" t="n">
        <f aca="false">AB38+AB44+AA69</f>
        <v>385.950602708893</v>
      </c>
      <c r="AC45" s="206" t="n">
        <f aca="false">AC38+AC44+AB69</f>
        <v>389.917823132321</v>
      </c>
      <c r="AD45" s="206" t="n">
        <f aca="false">AD38+AD44+AC69</f>
        <v>393.75090944352</v>
      </c>
      <c r="AE45" s="206" t="n">
        <f aca="false">AE38+AE44+AD69</f>
        <v>397.449861642492</v>
      </c>
      <c r="AF45" s="206" t="n">
        <f aca="false">AF38+AF44+AE69</f>
        <v>401.014679729236</v>
      </c>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206"/>
      <c r="BO45" s="206"/>
      <c r="BP45" s="206"/>
      <c r="BQ45" s="206"/>
      <c r="BR45" s="206"/>
      <c r="BS45" s="206"/>
      <c r="BT45" s="206"/>
    </row>
    <row r="46" customFormat="false" ht="14.25" hidden="false" customHeight="true" outlineLevel="0" collapsed="false">
      <c r="B46" s="134" t="s">
        <v>1094</v>
      </c>
      <c r="C46" s="206" t="n">
        <f aca="false">IF($C$13="Entrada",MAX(0,MIN(C44,$C$9*C45-C43,C41-C43)),C44)</f>
        <v>0</v>
      </c>
      <c r="D46" s="206" t="n">
        <f aca="false">IF($C$13="Entrada",MAX(0,MIN(D44,$C$9*D45-D43,D41-D43)),D44)</f>
        <v>0</v>
      </c>
      <c r="E46" s="206" t="n">
        <f aca="false">IF($C$13="Entrada",MAX(0,MIN(E44,$C$9*E45-E43,E41-E43)),E44)</f>
        <v>0</v>
      </c>
      <c r="F46" s="206" t="n">
        <f aca="false">IF($C$13="Entrada",MAX(0,MIN(F44,$C$9*F45-F43,F41-F43)),F44)</f>
        <v>0</v>
      </c>
      <c r="G46" s="206" t="n">
        <f aca="false">IF($C$13="Entrada",MAX(0,MIN(G44,$C$9*G45-G43,G41-G43)),G44)</f>
        <v>0</v>
      </c>
      <c r="H46" s="206" t="n">
        <f aca="false">IF($C$13="Entrada",MAX(0,MIN(H44,$C$9*H45-H43,H41-H43)),H44)</f>
        <v>0</v>
      </c>
      <c r="I46" s="206" t="n">
        <f aca="false">IF($C$13="Entrada",MAX(0,MIN(I44,$C$9*I45-I43,I41-I43)),I44)</f>
        <v>0</v>
      </c>
      <c r="J46" s="206" t="n">
        <f aca="false">IF($C$13="Entrada",MAX(0,MIN(J44,$C$9*J45-J43,J41-J43)),J44)</f>
        <v>0</v>
      </c>
      <c r="K46" s="206" t="n">
        <f aca="false">IF($C$13="Entrada",MAX(0,MIN(K44,$C$9*K45-K43,K41-K43)),K44)</f>
        <v>0</v>
      </c>
      <c r="L46" s="206" t="n">
        <f aca="false">IF($C$13="Entrada",MAX(0,MIN(L44,$C$9*L45-L43,L41-L43)),L44)</f>
        <v>0</v>
      </c>
      <c r="M46" s="206" t="n">
        <f aca="false">IF($C$13="Entrada",MAX(0,MIN(M44,$C$9*M45-M43,M41-M43)),M44)</f>
        <v>0</v>
      </c>
      <c r="N46" s="206" t="n">
        <f aca="false">IF($C$13="Entrada",MAX(0,MIN(N44,$C$9*N45-N43,N41-N43)),N44)</f>
        <v>0</v>
      </c>
      <c r="O46" s="206" t="n">
        <f aca="false">IF($C$13="Entrada",MAX(0,MIN(O44,$C$9*O45-O43,O41-O43)),O44)</f>
        <v>0</v>
      </c>
      <c r="P46" s="206" t="n">
        <f aca="false">IF($C$13="Entrada",MAX(0,MIN(P44,$C$9*P45-P43,P41-P43)),P44)</f>
        <v>0</v>
      </c>
      <c r="Q46" s="206" t="n">
        <f aca="false">IF($C$13="Entrada",MAX(0,MIN(Q44,$C$9*Q45-Q43,Q41-Q43)),Q44)</f>
        <v>0</v>
      </c>
      <c r="R46" s="206" t="n">
        <f aca="false">IF($C$13="Entrada",MAX(0,MIN(R44,$C$9*R45-R43,R41-R43)),R44)</f>
        <v>0</v>
      </c>
      <c r="S46" s="206" t="n">
        <f aca="false">IF($C$13="Entrada",MAX(0,MIN(S44,$C$9*S45-S43,S41-S43)),S44)</f>
        <v>0</v>
      </c>
      <c r="T46" s="206" t="n">
        <f aca="false">IF($C$13="Entrada",MAX(0,MIN(T44,$C$9*T45-T43,T41-T43)),T44)</f>
        <v>0</v>
      </c>
      <c r="U46" s="206" t="n">
        <f aca="false">IF($C$13="Entrada",MAX(0,MIN(U44,$C$9*U45-U43,U41-U43)),U44)</f>
        <v>0</v>
      </c>
      <c r="V46" s="206" t="n">
        <f aca="false">IF($C$13="Entrada",MAX(0,MIN(V44,$C$9*V45-V43,V41-V43)),V44)</f>
        <v>0</v>
      </c>
      <c r="W46" s="206" t="n">
        <f aca="false">IF($C$13="Entrada",MAX(0,MIN(W44,$C$9*W45-W43,W41-W43)),W44)</f>
        <v>0</v>
      </c>
      <c r="X46" s="206" t="n">
        <f aca="false">IF($C$13="Entrada",MAX(0,MIN(X44,$C$9*X45-X43,X41-X43)),X44)</f>
        <v>0</v>
      </c>
      <c r="Y46" s="206" t="n">
        <f aca="false">IF($C$13="Entrada",MAX(0,MIN(Y44,$C$9*Y45-Y43,Y41-Y43)),Y44)</f>
        <v>0</v>
      </c>
      <c r="Z46" s="206" t="n">
        <f aca="false">IF($C$13="Entrada",MAX(0,MIN(Z44,$C$9*Z45-Z43,Z41-Z43)),Z44)</f>
        <v>0</v>
      </c>
      <c r="AA46" s="206" t="n">
        <f aca="false">IF($C$13="Entrada",MAX(0,MIN(AA44,$C$9*AA45-AA43,AA41-AA43)),AA44)</f>
        <v>0</v>
      </c>
      <c r="AB46" s="206" t="n">
        <f aca="false">IF($C$13="Entrada",MAX(0,MIN(AB44,$C$9*AB45-AB43,AB41-AB43)),AB44)</f>
        <v>0</v>
      </c>
      <c r="AC46" s="206" t="n">
        <f aca="false">IF($C$13="Entrada",MAX(0,MIN(AC44,$C$9*AC45-AC43,AC41-AC43)),AC44)</f>
        <v>0</v>
      </c>
      <c r="AD46" s="206" t="n">
        <f aca="false">IF($C$13="Entrada",MAX(0,MIN(AD44,$C$9*AD45-AD43,AD41-AD43)),AD44)</f>
        <v>0</v>
      </c>
      <c r="AE46" s="206" t="n">
        <f aca="false">IF($C$13="Entrada",MAX(0,MIN(AE44,$C$9*AE45-AE43,AE41-AE43)),AE44)</f>
        <v>0</v>
      </c>
      <c r="AF46" s="206" t="n">
        <f aca="false">IF($C$13="Entrada",MAX(0,MIN(AF44,$C$9*AF45-AF43,AF41-AF43)),AF44)</f>
        <v>0</v>
      </c>
      <c r="AG46" s="206"/>
      <c r="AH46" s="206"/>
      <c r="AI46" s="206"/>
      <c r="AJ46" s="206"/>
      <c r="AK46" s="206"/>
      <c r="AL46" s="206"/>
      <c r="AM46" s="206"/>
      <c r="AN46" s="206"/>
      <c r="AO46" s="206"/>
      <c r="AP46" s="206"/>
      <c r="AQ46" s="206"/>
      <c r="AR46" s="206"/>
      <c r="AS46" s="206"/>
      <c r="AT46" s="206"/>
      <c r="AU46" s="206"/>
      <c r="AV46" s="206"/>
      <c r="AW46" s="206"/>
      <c r="AX46" s="206"/>
      <c r="AY46" s="206"/>
      <c r="AZ46" s="206"/>
      <c r="BA46" s="206"/>
      <c r="BB46" s="206"/>
      <c r="BC46" s="206"/>
      <c r="BD46" s="206"/>
      <c r="BE46" s="206"/>
      <c r="BF46" s="206"/>
      <c r="BG46" s="206"/>
      <c r="BH46" s="206"/>
      <c r="BI46" s="206"/>
      <c r="BJ46" s="206"/>
      <c r="BK46" s="206"/>
      <c r="BL46" s="206"/>
      <c r="BM46" s="206"/>
      <c r="BN46" s="206"/>
      <c r="BO46" s="206"/>
      <c r="BP46" s="206"/>
      <c r="BQ46" s="206"/>
      <c r="BR46" s="206"/>
      <c r="BS46" s="206"/>
      <c r="BT46" s="206"/>
    </row>
    <row r="47" customFormat="false" ht="14.25" hidden="false" customHeight="true" outlineLevel="0" collapsed="false">
      <c r="B47" s="81" t="s">
        <v>1678</v>
      </c>
      <c r="C47" s="138" t="n">
        <f aca="false">C43+C46</f>
        <v>16.25</v>
      </c>
      <c r="D47" s="138" t="n">
        <f aca="false">D43+D46</f>
        <v>32.87375</v>
      </c>
      <c r="E47" s="138" t="n">
        <f aca="false">E43+E46</f>
        <v>49.87984625</v>
      </c>
      <c r="F47" s="138" t="n">
        <f aca="false">F43+F46</f>
        <v>67.27708271375</v>
      </c>
      <c r="G47" s="138" t="n">
        <f aca="false">G43+G46</f>
        <v>85.0744556161662</v>
      </c>
      <c r="H47" s="138" t="n">
        <f aca="false">H43+H46</f>
        <v>103.281168095338</v>
      </c>
      <c r="I47" s="138" t="n">
        <f aca="false">I43+I46</f>
        <v>121.906634961531</v>
      </c>
      <c r="J47" s="138" t="n">
        <f aca="false">J43+J46</f>
        <v>140.960487565646</v>
      </c>
      <c r="K47" s="138" t="n">
        <f aca="false">K43+K46</f>
        <v>160.452578779656</v>
      </c>
      <c r="L47" s="138" t="n">
        <f aca="false">L43+L46</f>
        <v>168.065797786353</v>
      </c>
      <c r="M47" s="138" t="n">
        <f aca="false">M43+M46</f>
        <v>171.133054159941</v>
      </c>
      <c r="N47" s="138" t="n">
        <f aca="false">N43+N46</f>
        <v>174.200310533529</v>
      </c>
      <c r="O47" s="138" t="n">
        <f aca="false">O43+O46</f>
        <v>177.267566907116</v>
      </c>
      <c r="P47" s="138" t="n">
        <f aca="false">P43+P46</f>
        <v>180.334823280704</v>
      </c>
      <c r="Q47" s="138" t="n">
        <f aca="false">Q43+Q46</f>
        <v>183.402079654292</v>
      </c>
      <c r="R47" s="138" t="n">
        <f aca="false">R43+R46</f>
        <v>186.395562266154</v>
      </c>
      <c r="S47" s="138" t="n">
        <f aca="false">S43+S46</f>
        <v>189.315271116291</v>
      </c>
      <c r="T47" s="138" t="n">
        <f aca="false">T43+T46</f>
        <v>192.161206204703</v>
      </c>
      <c r="U47" s="138" t="n">
        <f aca="false">U43+U46</f>
        <v>194.93336753139</v>
      </c>
      <c r="V47" s="138" t="n">
        <f aca="false">V43+V46</f>
        <v>197.631755096352</v>
      </c>
      <c r="W47" s="138" t="n">
        <f aca="false">W43+W46</f>
        <v>200.256368899588</v>
      </c>
      <c r="X47" s="138" t="n">
        <f aca="false">X43+X46</f>
        <v>202.807208941099</v>
      </c>
      <c r="Y47" s="138" t="n">
        <f aca="false">Y43+Y46</f>
        <v>205.284275220885</v>
      </c>
      <c r="Z47" s="138" t="n">
        <f aca="false">Z43+Z46</f>
        <v>207.687567738946</v>
      </c>
      <c r="AA47" s="138" t="n">
        <f aca="false">AA43+AA46</f>
        <v>210.017086495281</v>
      </c>
      <c r="AB47" s="138" t="n">
        <f aca="false">AB43+AB46</f>
        <v>212.272831489891</v>
      </c>
      <c r="AC47" s="138" t="n">
        <f aca="false">AC43+AC46</f>
        <v>214.454802722776</v>
      </c>
      <c r="AD47" s="138" t="n">
        <f aca="false">AD43+AD46</f>
        <v>216.563000193936</v>
      </c>
      <c r="AE47" s="138" t="n">
        <f aca="false">AE43+AE46</f>
        <v>218.597423903371</v>
      </c>
      <c r="AF47" s="138" t="n">
        <f aca="false">AF43+AF46</f>
        <v>220.55807385108</v>
      </c>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c r="BN47" s="138"/>
      <c r="BO47" s="138"/>
      <c r="BP47" s="138"/>
      <c r="BQ47" s="138"/>
      <c r="BR47" s="138"/>
      <c r="BS47" s="138"/>
      <c r="BT47" s="138"/>
    </row>
    <row r="48" customFormat="false" ht="14.25" hidden="false" customHeight="true" outlineLevel="0" collapsed="false">
      <c r="B48" s="134" t="s">
        <v>791</v>
      </c>
      <c r="C48" s="206" t="n">
        <f aca="false">C36-C43+C44-C46</f>
        <v>59.7200136</v>
      </c>
      <c r="D48" s="206" t="n">
        <f aca="false">D36-D43+D44-D46</f>
        <v>88.02036392</v>
      </c>
      <c r="E48" s="206" t="n">
        <f aca="false">E36-E43+E44-E46</f>
        <v>109.49906767</v>
      </c>
      <c r="F48" s="206" t="n">
        <f aca="false">F36-F43+F44-F46</f>
        <v>179.95783508625</v>
      </c>
      <c r="G48" s="206" t="n">
        <f aca="false">G36-G43+G44-G46</f>
        <v>162.160462183834</v>
      </c>
      <c r="H48" s="206" t="n">
        <f aca="false">H36-H43+H44-H46</f>
        <v>143.953749704662</v>
      </c>
      <c r="I48" s="206" t="n">
        <f aca="false">I36-I43+I44-I46</f>
        <v>125.328282838469</v>
      </c>
      <c r="J48" s="206" t="n">
        <f aca="false">J36-J43+J44-J46</f>
        <v>106.274430234354</v>
      </c>
      <c r="K48" s="206" t="n">
        <f aca="false">K36-K43+K44-K46</f>
        <v>86.7823390203441</v>
      </c>
      <c r="L48" s="206" t="n">
        <f aca="false">L36-L43+L44-L46</f>
        <v>79.1691200136466</v>
      </c>
      <c r="M48" s="206" t="n">
        <f aca="false">M36-M43+M44-M46</f>
        <v>80.2786934102183</v>
      </c>
      <c r="N48" s="206" t="n">
        <f aca="false">N36-N43+N44-N46</f>
        <v>81.3882668067901</v>
      </c>
      <c r="O48" s="206" t="n">
        <f aca="false">O36-O43+O44-O46</f>
        <v>82.4978402033618</v>
      </c>
      <c r="P48" s="206" t="n">
        <f aca="false">P36-P43+P44-P46</f>
        <v>83.6074135999335</v>
      </c>
      <c r="Q48" s="206" t="n">
        <f aca="false">Q36-Q43+Q44-Q46</f>
        <v>84.7169869965052</v>
      </c>
      <c r="R48" s="206" t="n">
        <f aca="false">R36-R43+R44-R46</f>
        <v>85.7662000425745</v>
      </c>
      <c r="S48" s="206" t="n">
        <f aca="false">S36-S43+S44-S46</f>
        <v>86.7550527381413</v>
      </c>
      <c r="T48" s="206" t="n">
        <f aca="false">T36-T43+T44-T46</f>
        <v>87.6835450832057</v>
      </c>
      <c r="U48" s="206" t="n">
        <f aca="false">U36-U43+U44-U46</f>
        <v>88.5516770777676</v>
      </c>
      <c r="V48" s="206" t="n">
        <f aca="false">V36-V43+V44-V46</f>
        <v>89.3594487218271</v>
      </c>
      <c r="W48" s="206" t="n">
        <f aca="false">W36-W43+W44-W46</f>
        <v>90.1068600153841</v>
      </c>
      <c r="X48" s="206" t="n">
        <f aca="false">X36-X43+X44-X46</f>
        <v>90.7939109584386</v>
      </c>
      <c r="Y48" s="206" t="n">
        <f aca="false">Y36-Y43+Y44-Y46</f>
        <v>91.4206015509907</v>
      </c>
      <c r="Z48" s="206" t="n">
        <f aca="false">Z36-Z43+Z44-Z46</f>
        <v>91.9869317930404</v>
      </c>
      <c r="AA48" s="206" t="n">
        <f aca="false">AA36-AA43+AA44-AA46</f>
        <v>92.4929016845875</v>
      </c>
      <c r="AB48" s="206" t="n">
        <f aca="false">AB36-AB43+AB44-AB46</f>
        <v>92.9385112256322</v>
      </c>
      <c r="AC48" s="206" t="n">
        <f aca="false">AC36-AC43+AC44-AC46</f>
        <v>93.3237604161745</v>
      </c>
      <c r="AD48" s="206" t="n">
        <f aca="false">AD36-AD43+AD44-AD46</f>
        <v>93.6486492562143</v>
      </c>
      <c r="AE48" s="206" t="n">
        <f aca="false">AE36-AE43+AE44-AE46</f>
        <v>93.9131777457517</v>
      </c>
      <c r="AF48" s="206" t="n">
        <f aca="false">AF36-AF43+AF44-AF46</f>
        <v>94.1173458847865</v>
      </c>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c r="BE48" s="206"/>
      <c r="BF48" s="206"/>
      <c r="BG48" s="206"/>
      <c r="BH48" s="206"/>
      <c r="BI48" s="206"/>
      <c r="BJ48" s="206"/>
      <c r="BK48" s="206"/>
      <c r="BL48" s="206"/>
      <c r="BM48" s="206"/>
      <c r="BN48" s="206"/>
      <c r="BO48" s="206"/>
      <c r="BP48" s="206"/>
      <c r="BQ48" s="206"/>
      <c r="BR48" s="206"/>
      <c r="BS48" s="206"/>
      <c r="BT48" s="206"/>
    </row>
    <row r="49" customFormat="false" ht="14.25" hidden="false" customHeight="true" outlineLevel="0" collapsed="false">
      <c r="B49" s="134" t="s">
        <v>1679</v>
      </c>
      <c r="C49" s="206" t="n">
        <f aca="false">MIN(IF(C17&lt;=10,01_Supuestos!$I$136,01_Supuestos!$I$137)*C45,C47)</f>
        <v>9.126001632</v>
      </c>
      <c r="D49" s="206" t="n">
        <f aca="false">MIN(IF(D17&lt;=10,01_Supuestos!$I$136,01_Supuestos!$I$137)*D45,D47)</f>
        <v>14.5264936704</v>
      </c>
      <c r="E49" s="206" t="n">
        <f aca="false">MIN(IF(E17&lt;=10,01_Supuestos!$I$136,01_Supuestos!$I$137)*E45,E47)</f>
        <v>19.1542696704</v>
      </c>
      <c r="F49" s="206" t="n">
        <f aca="false">MIN(IF(F17&lt;=10,01_Supuestos!$I$136,01_Supuestos!$I$137)*F45,F47)</f>
        <v>33.4166345930292</v>
      </c>
      <c r="G49" s="206" t="n">
        <f aca="false">MIN(IF(G17&lt;=10,01_Supuestos!$I$136,01_Supuestos!$I$137)*G45,G47)</f>
        <v>33.9586790500584</v>
      </c>
      <c r="H49" s="206" t="n">
        <f aca="false">MIN(IF(H17&lt;=10,01_Supuestos!$I$136,01_Supuestos!$I$137)*H45,H47)</f>
        <v>34.5007235070876</v>
      </c>
      <c r="I49" s="206" t="n">
        <f aca="false">MIN(IF(I17&lt;=10,01_Supuestos!$I$136,01_Supuestos!$I$137)*I45,I47)</f>
        <v>35.0427679641168</v>
      </c>
      <c r="J49" s="206" t="n">
        <f aca="false">MIN(IF(J17&lt;=10,01_Supuestos!$I$136,01_Supuestos!$I$137)*J45,J47)</f>
        <v>35.584812421146</v>
      </c>
      <c r="K49" s="206" t="n">
        <f aca="false">MIN(IF(K17&lt;=10,01_Supuestos!$I$136,01_Supuestos!$I$137)*K45,K47)</f>
        <v>36.1268568781752</v>
      </c>
      <c r="L49" s="206" t="n">
        <f aca="false">MIN(IF(L17&lt;=10,01_Supuestos!$I$136,01_Supuestos!$I$137)*L45,L47)</f>
        <v>36.6689013352044</v>
      </c>
      <c r="M49" s="206" t="n">
        <f aca="false">MIN(IF(M17&lt;=10,01_Supuestos!$I$136,01_Supuestos!$I$137)*M45,M47)</f>
        <v>23.3363255672647</v>
      </c>
      <c r="N49" s="206" t="n">
        <f aca="false">MIN(IF(N17&lt;=10,01_Supuestos!$I$136,01_Supuestos!$I$137)*N45,N47)</f>
        <v>23.7545878000266</v>
      </c>
      <c r="O49" s="206" t="n">
        <f aca="false">MIN(IF(O17&lt;=10,01_Supuestos!$I$136,01_Supuestos!$I$137)*O45,O47)</f>
        <v>24.1728500327886</v>
      </c>
      <c r="P49" s="206" t="n">
        <f aca="false">MIN(IF(P17&lt;=10,01_Supuestos!$I$136,01_Supuestos!$I$137)*P45,P47)</f>
        <v>24.5911122655506</v>
      </c>
      <c r="Q49" s="206" t="n">
        <f aca="false">MIN(IF(Q17&lt;=10,01_Supuestos!$I$136,01_Supuestos!$I$137)*Q45,Q47)</f>
        <v>25.0093744983125</v>
      </c>
      <c r="R49" s="206" t="n">
        <f aca="false">MIN(IF(R17&lt;=10,01_Supuestos!$I$136,01_Supuestos!$I$137)*R45,R47)</f>
        <v>25.4175766726574</v>
      </c>
      <c r="S49" s="206" t="n">
        <f aca="false">MIN(IF(S17&lt;=10,01_Supuestos!$I$136,01_Supuestos!$I$137)*S45,S47)</f>
        <v>25.8157187885852</v>
      </c>
      <c r="T49" s="206" t="n">
        <f aca="false">MIN(IF(T17&lt;=10,01_Supuestos!$I$136,01_Supuestos!$I$137)*T45,T47)</f>
        <v>26.2038008460959</v>
      </c>
      <c r="U49" s="206" t="n">
        <f aca="false">MIN(IF(U17&lt;=10,01_Supuestos!$I$136,01_Supuestos!$I$137)*U45,U47)</f>
        <v>26.5818228451896</v>
      </c>
      <c r="V49" s="206" t="n">
        <f aca="false">MIN(IF(V17&lt;=10,01_Supuestos!$I$136,01_Supuestos!$I$137)*V45,V47)</f>
        <v>26.9497847858661</v>
      </c>
      <c r="W49" s="206" t="n">
        <f aca="false">MIN(IF(W17&lt;=10,01_Supuestos!$I$136,01_Supuestos!$I$137)*W45,W47)</f>
        <v>27.3076866681256</v>
      </c>
      <c r="X49" s="206" t="n">
        <f aca="false">MIN(IF(X17&lt;=10,01_Supuestos!$I$136,01_Supuestos!$I$137)*X45,X47)</f>
        <v>27.6555284919681</v>
      </c>
      <c r="Y49" s="206" t="n">
        <f aca="false">MIN(IF(Y17&lt;=10,01_Supuestos!$I$136,01_Supuestos!$I$137)*Y45,Y47)</f>
        <v>27.9933102573934</v>
      </c>
      <c r="Z49" s="206" t="n">
        <f aca="false">MIN(IF(Z17&lt;=10,01_Supuestos!$I$136,01_Supuestos!$I$137)*Z45,Z47)</f>
        <v>28.3210319644017</v>
      </c>
      <c r="AA49" s="206" t="n">
        <f aca="false">MIN(IF(AA17&lt;=10,01_Supuestos!$I$136,01_Supuestos!$I$137)*AA45,AA47)</f>
        <v>28.6386936129929</v>
      </c>
      <c r="AB49" s="206" t="n">
        <f aca="false">MIN(IF(AB17&lt;=10,01_Supuestos!$I$136,01_Supuestos!$I$137)*AB45,AB47)</f>
        <v>28.946295203167</v>
      </c>
      <c r="AC49" s="206" t="n">
        <f aca="false">MIN(IF(AC17&lt;=10,01_Supuestos!$I$136,01_Supuestos!$I$137)*AC45,AC47)</f>
        <v>29.243836734924</v>
      </c>
      <c r="AD49" s="206" t="n">
        <f aca="false">MIN(IF(AD17&lt;=10,01_Supuestos!$I$136,01_Supuestos!$I$137)*AD45,AD47)</f>
        <v>29.531318208264</v>
      </c>
      <c r="AE49" s="206" t="n">
        <f aca="false">MIN(IF(AE17&lt;=10,01_Supuestos!$I$136,01_Supuestos!$I$137)*AE45,AE47)</f>
        <v>29.8087396231869</v>
      </c>
      <c r="AF49" s="206" t="n">
        <f aca="false">MIN(IF(AF17&lt;=10,01_Supuestos!$I$136,01_Supuestos!$I$137)*AF45,AF47)</f>
        <v>30.0761009796927</v>
      </c>
      <c r="AG49" s="206"/>
      <c r="AH49" s="206"/>
      <c r="AI49" s="206"/>
      <c r="AJ49" s="206"/>
      <c r="AK49" s="206"/>
      <c r="AL49" s="206"/>
      <c r="AM49" s="206"/>
      <c r="AN49" s="206"/>
      <c r="AO49" s="206"/>
      <c r="AP49" s="206"/>
      <c r="AQ49" s="206"/>
      <c r="AR49" s="206"/>
      <c r="AS49" s="206"/>
      <c r="AT49" s="206"/>
      <c r="AU49" s="206"/>
      <c r="AV49" s="206"/>
      <c r="AW49" s="206"/>
      <c r="AX49" s="206"/>
      <c r="AY49" s="206"/>
      <c r="AZ49" s="206"/>
      <c r="BA49" s="206"/>
      <c r="BB49" s="206"/>
      <c r="BC49" s="206"/>
      <c r="BD49" s="206"/>
      <c r="BE49" s="206"/>
      <c r="BF49" s="206"/>
      <c r="BG49" s="206"/>
      <c r="BH49" s="206"/>
      <c r="BI49" s="206"/>
      <c r="BJ49" s="206"/>
      <c r="BK49" s="206"/>
      <c r="BL49" s="206"/>
      <c r="BM49" s="206"/>
      <c r="BN49" s="206"/>
      <c r="BO49" s="206"/>
      <c r="BP49" s="206"/>
      <c r="BQ49" s="206"/>
      <c r="BR49" s="206"/>
      <c r="BS49" s="206"/>
      <c r="BT49" s="206"/>
    </row>
    <row r="50" customFormat="false" ht="14.25" hidden="false" customHeight="true" outlineLevel="0" collapsed="false">
      <c r="B50" s="134" t="s">
        <v>1098</v>
      </c>
      <c r="C50" s="206" t="n">
        <f aca="false">01_Supuestos!$I$127*C47</f>
        <v>0.8125</v>
      </c>
      <c r="D50" s="206" t="n">
        <f aca="false">01_Supuestos!$I$127*D47</f>
        <v>1.6436875</v>
      </c>
      <c r="E50" s="206" t="n">
        <f aca="false">01_Supuestos!$I$127*E47</f>
        <v>2.4939923125</v>
      </c>
      <c r="F50" s="206" t="n">
        <f aca="false">01_Supuestos!$I$127*F47</f>
        <v>3.3638541356875</v>
      </c>
      <c r="G50" s="206" t="n">
        <f aca="false">01_Supuestos!$I$127*G47</f>
        <v>4.25372278080831</v>
      </c>
      <c r="H50" s="206" t="n">
        <f aca="false">01_Supuestos!$I$127*H47</f>
        <v>5.1640584047669</v>
      </c>
      <c r="I50" s="206" t="n">
        <f aca="false">01_Supuestos!$I$127*I47</f>
        <v>6.09533174807654</v>
      </c>
      <c r="J50" s="206" t="n">
        <f aca="false">01_Supuestos!$I$127*J47</f>
        <v>7.0480243782823</v>
      </c>
      <c r="K50" s="206" t="n">
        <f aca="false">01_Supuestos!$I$127*K47</f>
        <v>8.0226289389828</v>
      </c>
      <c r="L50" s="206" t="n">
        <f aca="false">01_Supuestos!$I$127*L47</f>
        <v>8.40328988931767</v>
      </c>
      <c r="M50" s="206" t="n">
        <f aca="false">01_Supuestos!$I$127*M47</f>
        <v>8.55665270799706</v>
      </c>
      <c r="N50" s="206" t="n">
        <f aca="false">01_Supuestos!$I$127*N47</f>
        <v>8.71001552667644</v>
      </c>
      <c r="O50" s="206" t="n">
        <f aca="false">01_Supuestos!$I$127*O47</f>
        <v>8.86337834535582</v>
      </c>
      <c r="P50" s="206" t="n">
        <f aca="false">01_Supuestos!$I$127*P47</f>
        <v>9.01674116403521</v>
      </c>
      <c r="Q50" s="206" t="n">
        <f aca="false">01_Supuestos!$I$127*Q47</f>
        <v>9.17010398271459</v>
      </c>
      <c r="R50" s="206" t="n">
        <f aca="false">01_Supuestos!$I$127*R47</f>
        <v>9.31977811330771</v>
      </c>
      <c r="S50" s="206" t="n">
        <f aca="false">01_Supuestos!$I$127*S47</f>
        <v>9.46576355581457</v>
      </c>
      <c r="T50" s="206" t="n">
        <f aca="false">01_Supuestos!$I$127*T47</f>
        <v>9.60806031023517</v>
      </c>
      <c r="U50" s="206" t="n">
        <f aca="false">01_Supuestos!$I$127*U47</f>
        <v>9.74666837656951</v>
      </c>
      <c r="V50" s="206" t="n">
        <f aca="false">01_Supuestos!$I$127*V47</f>
        <v>9.88158775481759</v>
      </c>
      <c r="W50" s="206" t="n">
        <f aca="false">01_Supuestos!$I$127*W47</f>
        <v>10.0128184449794</v>
      </c>
      <c r="X50" s="206" t="n">
        <f aca="false">01_Supuestos!$I$127*X47</f>
        <v>10.140360447055</v>
      </c>
      <c r="Y50" s="206" t="n">
        <f aca="false">01_Supuestos!$I$127*Y47</f>
        <v>10.2642137610443</v>
      </c>
      <c r="Z50" s="206" t="n">
        <f aca="false">01_Supuestos!$I$127*Z47</f>
        <v>10.3843783869473</v>
      </c>
      <c r="AA50" s="206" t="n">
        <f aca="false">01_Supuestos!$I$127*AA47</f>
        <v>10.5008543247641</v>
      </c>
      <c r="AB50" s="206" t="n">
        <f aca="false">01_Supuestos!$I$127*AB47</f>
        <v>10.6136415744946</v>
      </c>
      <c r="AC50" s="206" t="n">
        <f aca="false">01_Supuestos!$I$127*AC47</f>
        <v>10.7227401361388</v>
      </c>
      <c r="AD50" s="206" t="n">
        <f aca="false">01_Supuestos!$I$127*AD47</f>
        <v>10.8281500096968</v>
      </c>
      <c r="AE50" s="206" t="n">
        <f aca="false">01_Supuestos!$I$127*AE47</f>
        <v>10.9298711951685</v>
      </c>
      <c r="AF50" s="206" t="n">
        <f aca="false">01_Supuestos!$I$127*AF47</f>
        <v>11.027903692554</v>
      </c>
      <c r="AG50" s="206"/>
      <c r="AH50" s="206"/>
      <c r="AI50" s="206"/>
      <c r="AJ50" s="206"/>
      <c r="AK50" s="206"/>
      <c r="AL50" s="206"/>
      <c r="AM50" s="206"/>
      <c r="AN50" s="206"/>
      <c r="AO50" s="206"/>
      <c r="AP50" s="206"/>
      <c r="AQ50" s="206"/>
      <c r="AR50" s="206"/>
      <c r="AS50" s="206"/>
      <c r="AT50" s="206"/>
      <c r="AU50" s="206"/>
      <c r="AV50" s="206"/>
      <c r="AW50" s="206"/>
      <c r="AX50" s="206"/>
      <c r="AY50" s="206"/>
      <c r="AZ50" s="206"/>
      <c r="BA50" s="206"/>
      <c r="BB50" s="206"/>
      <c r="BC50" s="206"/>
      <c r="BD50" s="206"/>
      <c r="BE50" s="206"/>
      <c r="BF50" s="206"/>
      <c r="BG50" s="206"/>
      <c r="BH50" s="206"/>
      <c r="BI50" s="206"/>
      <c r="BJ50" s="206"/>
      <c r="BK50" s="206"/>
      <c r="BL50" s="206"/>
      <c r="BM50" s="206"/>
      <c r="BN50" s="206"/>
      <c r="BO50" s="206"/>
      <c r="BP50" s="206"/>
      <c r="BQ50" s="206"/>
      <c r="BR50" s="206"/>
      <c r="BS50" s="206"/>
      <c r="BT50" s="206"/>
    </row>
    <row r="51" customFormat="false" ht="14.25" hidden="false" customHeight="true" outlineLevel="0" collapsed="false">
      <c r="B51" s="134" t="s">
        <v>1099</v>
      </c>
      <c r="C51" s="206" t="n">
        <f aca="false">C47-C49-C50</f>
        <v>6.311498368</v>
      </c>
      <c r="D51" s="206" t="n">
        <f aca="false">D47-D49-D50</f>
        <v>16.7035688296</v>
      </c>
      <c r="E51" s="206" t="n">
        <f aca="false">E47-E49-E50</f>
        <v>28.2315842671</v>
      </c>
      <c r="F51" s="206" t="n">
        <f aca="false">F47-F49-F50</f>
        <v>30.4965939850333</v>
      </c>
      <c r="G51" s="206" t="n">
        <f aca="false">G47-G49-G50</f>
        <v>46.8620537852995</v>
      </c>
      <c r="H51" s="206" t="n">
        <f aca="false">H47-H49-H50</f>
        <v>63.6163861834835</v>
      </c>
      <c r="I51" s="206" t="n">
        <f aca="false">I47-I49-I50</f>
        <v>80.7685352493375</v>
      </c>
      <c r="J51" s="206" t="n">
        <f aca="false">J47-J49-J50</f>
        <v>98.3276507662177</v>
      </c>
      <c r="K51" s="206" t="n">
        <f aca="false">K47-K49-K50</f>
        <v>116.303092962498</v>
      </c>
      <c r="L51" s="206" t="n">
        <f aca="false">L47-L49-L50</f>
        <v>122.993606561831</v>
      </c>
      <c r="M51" s="206" t="n">
        <f aca="false">M47-M49-M50</f>
        <v>139.240075884679</v>
      </c>
      <c r="N51" s="206" t="n">
        <f aca="false">N47-N49-N50</f>
        <v>141.735707206826</v>
      </c>
      <c r="O51" s="206" t="n">
        <f aca="false">O47-O49-O50</f>
        <v>144.231338528972</v>
      </c>
      <c r="P51" s="206" t="n">
        <f aca="false">P47-P49-P50</f>
        <v>146.726969851118</v>
      </c>
      <c r="Q51" s="206" t="n">
        <f aca="false">Q47-Q49-Q50</f>
        <v>149.222601173265</v>
      </c>
      <c r="R51" s="206" t="n">
        <f aca="false">R47-R49-R50</f>
        <v>151.658207480189</v>
      </c>
      <c r="S51" s="206" t="n">
        <f aca="false">S47-S49-S50</f>
        <v>154.033788771892</v>
      </c>
      <c r="T51" s="206" t="n">
        <f aca="false">T47-T49-T50</f>
        <v>156.349345048372</v>
      </c>
      <c r="U51" s="206" t="n">
        <f aca="false">U47-U49-U50</f>
        <v>158.604876309631</v>
      </c>
      <c r="V51" s="206" t="n">
        <f aca="false">V47-V49-V50</f>
        <v>160.800382555668</v>
      </c>
      <c r="W51" s="206" t="n">
        <f aca="false">W47-W49-W50</f>
        <v>162.935863786483</v>
      </c>
      <c r="X51" s="206" t="n">
        <f aca="false">X47-X49-X50</f>
        <v>165.011320002076</v>
      </c>
      <c r="Y51" s="206" t="n">
        <f aca="false">Y47-Y49-Y50</f>
        <v>167.026751202447</v>
      </c>
      <c r="Z51" s="206" t="n">
        <f aca="false">Z47-Z49-Z50</f>
        <v>168.982157387597</v>
      </c>
      <c r="AA51" s="206" t="n">
        <f aca="false">AA47-AA49-AA50</f>
        <v>170.877538557524</v>
      </c>
      <c r="AB51" s="206" t="n">
        <f aca="false">AB47-AB49-AB50</f>
        <v>172.71289471223</v>
      </c>
      <c r="AC51" s="206" t="n">
        <f aca="false">AC47-AC49-AC50</f>
        <v>174.488225851713</v>
      </c>
      <c r="AD51" s="206" t="n">
        <f aca="false">AD47-AD49-AD50</f>
        <v>176.203531975975</v>
      </c>
      <c r="AE51" s="206" t="n">
        <f aca="false">AE47-AE49-AE50</f>
        <v>177.858813085015</v>
      </c>
      <c r="AF51" s="206" t="n">
        <f aca="false">AF47-AF49-AF50</f>
        <v>179.454069178833</v>
      </c>
      <c r="AG51" s="206"/>
      <c r="AH51" s="206"/>
      <c r="AI51" s="206"/>
      <c r="AJ51" s="206"/>
      <c r="AK51" s="206"/>
      <c r="AL51" s="206"/>
      <c r="AM51" s="206"/>
      <c r="AN51" s="206"/>
      <c r="AO51" s="206"/>
      <c r="AP51" s="206"/>
      <c r="AQ51" s="206"/>
      <c r="AR51" s="206"/>
      <c r="AS51" s="206"/>
      <c r="AT51" s="206"/>
      <c r="AU51" s="206"/>
      <c r="AV51" s="206"/>
      <c r="AW51" s="206"/>
      <c r="AX51" s="206"/>
      <c r="AY51" s="206"/>
      <c r="AZ51" s="206"/>
      <c r="BA51" s="206"/>
      <c r="BB51" s="206"/>
      <c r="BC51" s="206"/>
      <c r="BD51" s="206"/>
      <c r="BE51" s="206"/>
      <c r="BF51" s="206"/>
      <c r="BG51" s="206"/>
      <c r="BH51" s="206"/>
      <c r="BI51" s="206"/>
      <c r="BJ51" s="206"/>
      <c r="BK51" s="206"/>
      <c r="BL51" s="206"/>
      <c r="BM51" s="206"/>
      <c r="BN51" s="206"/>
      <c r="BO51" s="206"/>
      <c r="BP51" s="206"/>
      <c r="BQ51" s="206"/>
      <c r="BR51" s="206"/>
      <c r="BS51" s="206"/>
      <c r="BT51" s="206"/>
    </row>
    <row r="52" customFormat="false" ht="14.25" hidden="false" customHeight="true" outlineLevel="0" collapsed="false">
      <c r="B52" s="134" t="s">
        <v>1680</v>
      </c>
      <c r="C52" s="206" t="n">
        <f aca="false">C50/01_Supuestos!$I$131*01_Supuestos!$I$129*01_Supuestos!$I$130*01_Supuestos!$I$128</f>
        <v>0.045703125</v>
      </c>
      <c r="D52" s="206" t="n">
        <f aca="false">D50/01_Supuestos!$I$131*01_Supuestos!$I$129*01_Supuestos!$I$130*01_Supuestos!$I$128</f>
        <v>0.092457421875</v>
      </c>
      <c r="E52" s="206" t="n">
        <f aca="false">E50/01_Supuestos!$I$131*01_Supuestos!$I$129*01_Supuestos!$I$130*01_Supuestos!$I$128</f>
        <v>0.140287067578125</v>
      </c>
      <c r="F52" s="206" t="n">
        <f aca="false">F50/01_Supuestos!$I$131*01_Supuestos!$I$129*01_Supuestos!$I$130*01_Supuestos!$I$128</f>
        <v>0.189216795132422</v>
      </c>
      <c r="G52" s="206" t="n">
        <f aca="false">G50/01_Supuestos!$I$131*01_Supuestos!$I$129*01_Supuestos!$I$130*01_Supuestos!$I$128</f>
        <v>0.239271906420468</v>
      </c>
      <c r="H52" s="206" t="n">
        <f aca="false">H50/01_Supuestos!$I$131*01_Supuestos!$I$129*01_Supuestos!$I$130*01_Supuestos!$I$128</f>
        <v>0.290478285268138</v>
      </c>
      <c r="I52" s="206" t="n">
        <f aca="false">I50/01_Supuestos!$I$131*01_Supuestos!$I$129*01_Supuestos!$I$130*01_Supuestos!$I$128</f>
        <v>0.342862410829305</v>
      </c>
      <c r="J52" s="206" t="n">
        <f aca="false">J50/01_Supuestos!$I$131*01_Supuestos!$I$129*01_Supuestos!$I$130*01_Supuestos!$I$128</f>
        <v>0.39645137127838</v>
      </c>
      <c r="K52" s="206" t="n">
        <f aca="false">K50/01_Supuestos!$I$131*01_Supuestos!$I$129*01_Supuestos!$I$130*01_Supuestos!$I$128</f>
        <v>0.451272877817782</v>
      </c>
      <c r="L52" s="206" t="n">
        <f aca="false">L50/01_Supuestos!$I$131*01_Supuestos!$I$129*01_Supuestos!$I$130*01_Supuestos!$I$128</f>
        <v>0.472685056274119</v>
      </c>
      <c r="M52" s="206" t="n">
        <f aca="false">M50/01_Supuestos!$I$131*01_Supuestos!$I$129*01_Supuestos!$I$130*01_Supuestos!$I$128</f>
        <v>0.481311714824835</v>
      </c>
      <c r="N52" s="206" t="n">
        <f aca="false">N50/01_Supuestos!$I$131*01_Supuestos!$I$129*01_Supuestos!$I$130*01_Supuestos!$I$128</f>
        <v>0.48993837337555</v>
      </c>
      <c r="O52" s="206" t="n">
        <f aca="false">O50/01_Supuestos!$I$131*01_Supuestos!$I$129*01_Supuestos!$I$130*01_Supuestos!$I$128</f>
        <v>0.498565031926265</v>
      </c>
      <c r="P52" s="206" t="n">
        <f aca="false">P50/01_Supuestos!$I$131*01_Supuestos!$I$129*01_Supuestos!$I$130*01_Supuestos!$I$128</f>
        <v>0.50719169047698</v>
      </c>
      <c r="Q52" s="206" t="n">
        <f aca="false">Q50/01_Supuestos!$I$131*01_Supuestos!$I$129*01_Supuestos!$I$130*01_Supuestos!$I$128</f>
        <v>0.515818349027696</v>
      </c>
      <c r="R52" s="206" t="n">
        <f aca="false">R50/01_Supuestos!$I$131*01_Supuestos!$I$129*01_Supuestos!$I$130*01_Supuestos!$I$128</f>
        <v>0.524237518873559</v>
      </c>
      <c r="S52" s="206" t="n">
        <f aca="false">S50/01_Supuestos!$I$131*01_Supuestos!$I$129*01_Supuestos!$I$130*01_Supuestos!$I$128</f>
        <v>0.53244920001457</v>
      </c>
      <c r="T52" s="206" t="n">
        <f aca="false">T50/01_Supuestos!$I$131*01_Supuestos!$I$129*01_Supuestos!$I$130*01_Supuestos!$I$128</f>
        <v>0.540453392450729</v>
      </c>
      <c r="U52" s="206" t="n">
        <f aca="false">U50/01_Supuestos!$I$131*01_Supuestos!$I$129*01_Supuestos!$I$130*01_Supuestos!$I$128</f>
        <v>0.548250096182035</v>
      </c>
      <c r="V52" s="206" t="n">
        <f aca="false">V50/01_Supuestos!$I$131*01_Supuestos!$I$129*01_Supuestos!$I$130*01_Supuestos!$I$128</f>
        <v>0.555839311208489</v>
      </c>
      <c r="W52" s="206" t="n">
        <f aca="false">W50/01_Supuestos!$I$131*01_Supuestos!$I$129*01_Supuestos!$I$130*01_Supuestos!$I$128</f>
        <v>0.563221037530092</v>
      </c>
      <c r="X52" s="206" t="n">
        <f aca="false">X50/01_Supuestos!$I$131*01_Supuestos!$I$129*01_Supuestos!$I$130*01_Supuestos!$I$128</f>
        <v>0.570395275146842</v>
      </c>
      <c r="Y52" s="206" t="n">
        <f aca="false">Y50/01_Supuestos!$I$131*01_Supuestos!$I$129*01_Supuestos!$I$130*01_Supuestos!$I$128</f>
        <v>0.577362024058739</v>
      </c>
      <c r="Z52" s="206" t="n">
        <f aca="false">Z50/01_Supuestos!$I$131*01_Supuestos!$I$129*01_Supuestos!$I$130*01_Supuestos!$I$128</f>
        <v>0.584121284265785</v>
      </c>
      <c r="AA52" s="206" t="n">
        <f aca="false">AA50/01_Supuestos!$I$131*01_Supuestos!$I$129*01_Supuestos!$I$130*01_Supuestos!$I$128</f>
        <v>0.590673055767978</v>
      </c>
      <c r="AB52" s="206" t="n">
        <f aca="false">AB50/01_Supuestos!$I$131*01_Supuestos!$I$129*01_Supuestos!$I$130*01_Supuestos!$I$128</f>
        <v>0.597017338565319</v>
      </c>
      <c r="AC52" s="206" t="n">
        <f aca="false">AC50/01_Supuestos!$I$131*01_Supuestos!$I$129*01_Supuestos!$I$130*01_Supuestos!$I$128</f>
        <v>0.603154132657809</v>
      </c>
      <c r="AD52" s="206" t="n">
        <f aca="false">AD50/01_Supuestos!$I$131*01_Supuestos!$I$129*01_Supuestos!$I$130*01_Supuestos!$I$128</f>
        <v>0.609083438045445</v>
      </c>
      <c r="AE52" s="206" t="n">
        <f aca="false">AE50/01_Supuestos!$I$131*01_Supuestos!$I$129*01_Supuestos!$I$130*01_Supuestos!$I$128</f>
        <v>0.61480525472823</v>
      </c>
      <c r="AF52" s="206" t="n">
        <f aca="false">AF50/01_Supuestos!$I$131*01_Supuestos!$I$129*01_Supuestos!$I$130*01_Supuestos!$I$128</f>
        <v>0.620319582706162</v>
      </c>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6"/>
      <c r="BF52" s="206"/>
      <c r="BG52" s="206"/>
      <c r="BH52" s="206"/>
      <c r="BI52" s="206"/>
      <c r="BJ52" s="206"/>
      <c r="BK52" s="206"/>
      <c r="BL52" s="206"/>
      <c r="BM52" s="206"/>
      <c r="BN52" s="206"/>
      <c r="BO52" s="206"/>
      <c r="BP52" s="206"/>
      <c r="BQ52" s="206"/>
      <c r="BR52" s="206"/>
      <c r="BS52" s="206"/>
      <c r="BT52" s="206"/>
    </row>
    <row r="53" customFormat="false" ht="14.25" hidden="false" customHeight="true" outlineLevel="0" collapsed="false">
      <c r="B53" s="132" t="s">
        <v>1117</v>
      </c>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c r="AK53" s="133"/>
      <c r="AL53" s="133"/>
      <c r="AM53" s="133"/>
      <c r="AN53" s="133"/>
      <c r="AO53" s="133"/>
      <c r="AP53" s="133"/>
      <c r="AQ53" s="133"/>
      <c r="AR53" s="133"/>
      <c r="AS53" s="133"/>
      <c r="AT53" s="133"/>
      <c r="AU53" s="133"/>
      <c r="AV53" s="13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3"/>
    </row>
    <row r="54" customFormat="false" ht="14.25" hidden="false" customHeight="true" outlineLevel="0" collapsed="false">
      <c r="B54" s="134" t="s">
        <v>1681</v>
      </c>
      <c r="C54" s="206" t="n">
        <f aca="false">C51*01_Supuestos!$I$100+C49*01_Supuestos!$I$126+C29*C52</f>
        <v>0.6220703125</v>
      </c>
      <c r="D54" s="206" t="n">
        <f aca="false">D51*01_Supuestos!$I$100+D49*01_Supuestos!$I$126+D29*D52</f>
        <v>1.2584482421875</v>
      </c>
      <c r="E54" s="206" t="n">
        <f aca="false">E51*01_Supuestos!$I$100+E49*01_Supuestos!$I$126+E29*E52</f>
        <v>1.90946286425781</v>
      </c>
      <c r="F54" s="206" t="n">
        <f aca="false">F51*01_Supuestos!$I$100+F49*01_Supuestos!$I$126+F29*F52</f>
        <v>2.57545082263574</v>
      </c>
      <c r="G54" s="206" t="n">
        <f aca="false">G51*01_Supuestos!$I$100+G49*01_Supuestos!$I$126+G29*G52</f>
        <v>3.25675650405636</v>
      </c>
      <c r="H54" s="206" t="n">
        <f aca="false">H51*01_Supuestos!$I$100+H49*01_Supuestos!$I$126+H29*H52</f>
        <v>3.95373221614966</v>
      </c>
      <c r="I54" s="206" t="n">
        <f aca="false">I51*01_Supuestos!$I$100+I49*01_Supuestos!$I$126+I29*I52</f>
        <v>4.6667383696211</v>
      </c>
      <c r="J54" s="206" t="n">
        <f aca="false">J51*01_Supuestos!$I$100+J49*01_Supuestos!$I$126+J29*J52</f>
        <v>5.39614366462239</v>
      </c>
      <c r="K54" s="206" t="n">
        <f aca="false">K51*01_Supuestos!$I$100+K49*01_Supuestos!$I$126+K29*K52</f>
        <v>6.1423252814087</v>
      </c>
      <c r="L54" s="206" t="n">
        <f aca="false">L51*01_Supuestos!$I$100+L49*01_Supuestos!$I$126+L29*L52</f>
        <v>6.43376882150884</v>
      </c>
      <c r="M54" s="206" t="n">
        <f aca="false">M51*01_Supuestos!$I$100+M49*01_Supuestos!$I$126+M29*M52</f>
        <v>6.55118722956025</v>
      </c>
      <c r="N54" s="206" t="n">
        <f aca="false">N51*01_Supuestos!$I$100+N49*01_Supuestos!$I$126+N29*N52</f>
        <v>6.66860563761165</v>
      </c>
      <c r="O54" s="206" t="n">
        <f aca="false">O51*01_Supuestos!$I$100+O49*01_Supuestos!$I$126+O29*O52</f>
        <v>6.78602404566305</v>
      </c>
      <c r="P54" s="206" t="n">
        <f aca="false">P51*01_Supuestos!$I$100+P49*01_Supuestos!$I$126+P29*P52</f>
        <v>6.90344245371445</v>
      </c>
      <c r="Q54" s="206" t="n">
        <f aca="false">Q51*01_Supuestos!$I$100+Q49*01_Supuestos!$I$126+Q29*Q52</f>
        <v>7.02086086176586</v>
      </c>
      <c r="R54" s="206" t="n">
        <f aca="false">R51*01_Supuestos!$I$100+R49*01_Supuestos!$I$126+R29*R52</f>
        <v>7.13545511800122</v>
      </c>
      <c r="S54" s="206" t="n">
        <f aca="false">S51*01_Supuestos!$I$100+S49*01_Supuestos!$I$126+S29*S52</f>
        <v>7.24722522242053</v>
      </c>
      <c r="T54" s="206" t="n">
        <f aca="false">T51*01_Supuestos!$I$100+T49*01_Supuestos!$I$126+T29*T52</f>
        <v>7.3561711750238</v>
      </c>
      <c r="U54" s="206" t="n">
        <f aca="false">U51*01_Supuestos!$I$100+U49*01_Supuestos!$I$126+U29*U52</f>
        <v>7.46229297581103</v>
      </c>
      <c r="V54" s="206" t="n">
        <f aca="false">V51*01_Supuestos!$I$100+V49*01_Supuestos!$I$126+V29*V52</f>
        <v>7.56559062478222</v>
      </c>
      <c r="W54" s="206" t="n">
        <f aca="false">W51*01_Supuestos!$I$100+W49*01_Supuestos!$I$126+W29*W52</f>
        <v>7.66606412193736</v>
      </c>
      <c r="X54" s="206" t="n">
        <f aca="false">X51*01_Supuestos!$I$100+X49*01_Supuestos!$I$126+X29*X52</f>
        <v>7.76371346727645</v>
      </c>
      <c r="Y54" s="206" t="n">
        <f aca="false">Y51*01_Supuestos!$I$100+Y49*01_Supuestos!$I$126+Y29*Y52</f>
        <v>7.8585386607995</v>
      </c>
      <c r="Z54" s="206" t="n">
        <f aca="false">Z51*01_Supuestos!$I$100+Z49*01_Supuestos!$I$126+Z29*Z52</f>
        <v>7.95053970250651</v>
      </c>
      <c r="AA54" s="206" t="n">
        <f aca="false">AA51*01_Supuestos!$I$100+AA49*01_Supuestos!$I$126+AA29*AA52</f>
        <v>8.03971659239748</v>
      </c>
      <c r="AB54" s="206" t="n">
        <f aca="false">AB51*01_Supuestos!$I$100+AB49*01_Supuestos!$I$126+AB29*AB52</f>
        <v>8.1260693304724</v>
      </c>
      <c r="AC54" s="206" t="n">
        <f aca="false">AC51*01_Supuestos!$I$100+AC49*01_Supuestos!$I$126+AC29*AC52</f>
        <v>8.20959791673128</v>
      </c>
      <c r="AD54" s="206" t="n">
        <f aca="false">AD51*01_Supuestos!$I$100+AD49*01_Supuestos!$I$126+AD29*AD52</f>
        <v>8.29030235117412</v>
      </c>
      <c r="AE54" s="206" t="n">
        <f aca="false">AE51*01_Supuestos!$I$100+AE49*01_Supuestos!$I$126+AE29*AE52</f>
        <v>8.3681826338009</v>
      </c>
      <c r="AF54" s="206" t="n">
        <f aca="false">AF51*01_Supuestos!$I$100+AF49*01_Supuestos!$I$126+AF29*AF52</f>
        <v>8.44323876461165</v>
      </c>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c r="BP54" s="206"/>
      <c r="BQ54" s="206"/>
      <c r="BR54" s="206"/>
      <c r="BS54" s="206"/>
      <c r="BT54" s="206"/>
    </row>
    <row r="55" customFormat="false" ht="14.25" hidden="false" customHeight="true" outlineLevel="0" collapsed="false">
      <c r="B55" s="134" t="s">
        <v>1682</v>
      </c>
      <c r="C55" s="206" t="n">
        <f aca="false">C51*$C$8</f>
        <v>0.06311498368</v>
      </c>
      <c r="D55" s="206" t="n">
        <f aca="false">D51*$C$8</f>
        <v>0.167035688296</v>
      </c>
      <c r="E55" s="206" t="n">
        <f aca="false">E51*$C$8</f>
        <v>0.282315842671</v>
      </c>
      <c r="F55" s="206" t="n">
        <f aca="false">F51*$C$8</f>
        <v>0.304965939850333</v>
      </c>
      <c r="G55" s="206" t="n">
        <f aca="false">G51*$C$8</f>
        <v>0.468620537852995</v>
      </c>
      <c r="H55" s="206" t="n">
        <f aca="false">H51*$C$8</f>
        <v>0.636163861834835</v>
      </c>
      <c r="I55" s="206" t="n">
        <f aca="false">I51*$C$8</f>
        <v>0.807685352493375</v>
      </c>
      <c r="J55" s="206" t="n">
        <f aca="false">J51*$C$8</f>
        <v>0.983276507662177</v>
      </c>
      <c r="K55" s="206" t="n">
        <f aca="false">K51*$C$8</f>
        <v>1.16303092962498</v>
      </c>
      <c r="L55" s="206" t="n">
        <f aca="false">L51*$C$8</f>
        <v>1.22993606561831</v>
      </c>
      <c r="M55" s="206" t="n">
        <f aca="false">M51*$C$8</f>
        <v>1.39240075884679</v>
      </c>
      <c r="N55" s="206" t="n">
        <f aca="false">N51*$C$8</f>
        <v>1.41735707206826</v>
      </c>
      <c r="O55" s="206" t="n">
        <f aca="false">O51*$C$8</f>
        <v>1.44231338528972</v>
      </c>
      <c r="P55" s="206" t="n">
        <f aca="false">P51*$C$8</f>
        <v>1.46726969851118</v>
      </c>
      <c r="Q55" s="206" t="n">
        <f aca="false">Q51*$C$8</f>
        <v>1.49222601173265</v>
      </c>
      <c r="R55" s="206" t="n">
        <f aca="false">R51*$C$8</f>
        <v>1.51658207480189</v>
      </c>
      <c r="S55" s="206" t="n">
        <f aca="false">S51*$C$8</f>
        <v>1.54033788771892</v>
      </c>
      <c r="T55" s="206" t="n">
        <f aca="false">T51*$C$8</f>
        <v>1.56349345048372</v>
      </c>
      <c r="U55" s="206" t="n">
        <f aca="false">U51*$C$8</f>
        <v>1.58604876309631</v>
      </c>
      <c r="V55" s="206" t="n">
        <f aca="false">V51*$C$8</f>
        <v>1.60800382555668</v>
      </c>
      <c r="W55" s="206" t="n">
        <f aca="false">W51*$C$8</f>
        <v>1.62935863786483</v>
      </c>
      <c r="X55" s="206" t="n">
        <f aca="false">X51*$C$8</f>
        <v>1.65011320002076</v>
      </c>
      <c r="Y55" s="206" t="n">
        <f aca="false">Y51*$C$8</f>
        <v>1.67026751202447</v>
      </c>
      <c r="Z55" s="206" t="n">
        <f aca="false">Z51*$C$8</f>
        <v>1.68982157387597</v>
      </c>
      <c r="AA55" s="206" t="n">
        <f aca="false">AA51*$C$8</f>
        <v>1.70877538557524</v>
      </c>
      <c r="AB55" s="206" t="n">
        <f aca="false">AB51*$C$8</f>
        <v>1.7271289471223</v>
      </c>
      <c r="AC55" s="206" t="n">
        <f aca="false">AC51*$C$8</f>
        <v>1.74488225851713</v>
      </c>
      <c r="AD55" s="206" t="n">
        <f aca="false">AD51*$C$8</f>
        <v>1.76203531975975</v>
      </c>
      <c r="AE55" s="206" t="n">
        <f aca="false">AE51*$C$8</f>
        <v>1.77858813085015</v>
      </c>
      <c r="AF55" s="206" t="n">
        <f aca="false">AF51*$C$8</f>
        <v>1.79454069178833</v>
      </c>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6"/>
      <c r="BD55" s="206"/>
      <c r="BE55" s="206"/>
      <c r="BF55" s="206"/>
      <c r="BG55" s="206"/>
      <c r="BH55" s="206"/>
      <c r="BI55" s="206"/>
      <c r="BJ55" s="206"/>
      <c r="BK55" s="206"/>
      <c r="BL55" s="206"/>
      <c r="BM55" s="206"/>
      <c r="BN55" s="206"/>
      <c r="BO55" s="206"/>
      <c r="BP55" s="206"/>
      <c r="BQ55" s="206"/>
      <c r="BR55" s="206"/>
      <c r="BS55" s="206"/>
      <c r="BT55" s="206"/>
    </row>
    <row r="56" customFormat="false" ht="14.25" hidden="false" customHeight="true" outlineLevel="0" collapsed="false">
      <c r="B56" s="134" t="s">
        <v>1683</v>
      </c>
      <c r="C56" s="206" t="n">
        <f aca="false">(C39)*(0.3*$C$5+0.25*01_Supuestos!$I$134)/0.55</f>
        <v>0.00189090909090909</v>
      </c>
      <c r="D56" s="206" t="n">
        <f aca="false">(D39+C69)*(0.3*$C$5+0.25*01_Supuestos!$I$134)/0.55</f>
        <v>0.00378181818181818</v>
      </c>
      <c r="E56" s="206" t="n">
        <f aca="false">(E39+D69)*(0.3*$C$5+0.25*01_Supuestos!$I$134)/0.55</f>
        <v>0.00567272727272727</v>
      </c>
      <c r="F56" s="206" t="n">
        <f aca="false">(F39+E69)*(0.3*$C$5+0.25*01_Supuestos!$I$134)/0.55</f>
        <v>0.738329968808782</v>
      </c>
      <c r="G56" s="206" t="n">
        <f aca="false">(G39+F69)*(0.3*$C$5+0.25*01_Supuestos!$I$134)/0.55</f>
        <v>0.845096301253927</v>
      </c>
      <c r="H56" s="206" t="n">
        <f aca="false">(H39+G69)*(0.3*$C$5+0.25*01_Supuestos!$I$134)/0.55</f>
        <v>0.951862633699073</v>
      </c>
      <c r="I56" s="206" t="n">
        <f aca="false">(I39+H69)*(0.3*$C$5+0.25*01_Supuestos!$I$134)/0.55</f>
        <v>1.05862896614422</v>
      </c>
      <c r="J56" s="206" t="n">
        <f aca="false">(J39+I69)*(0.3*$C$5+0.25*01_Supuestos!$I$134)/0.55</f>
        <v>1.16539529858936</v>
      </c>
      <c r="K56" s="206" t="n">
        <f aca="false">(K39+J69)*(0.3*$C$5+0.25*01_Supuestos!$I$134)/0.55</f>
        <v>1.27216163103451</v>
      </c>
      <c r="L56" s="206" t="n">
        <f aca="false">(L39+K69)*(0.3*$C$5+0.25*01_Supuestos!$I$134)/0.55</f>
        <v>1.37892796347965</v>
      </c>
      <c r="M56" s="206" t="n">
        <f aca="false">(M39+L69)*(0.3*$C$5+0.25*01_Supuestos!$I$134)/0.55</f>
        <v>1.41201887257056</v>
      </c>
      <c r="N56" s="206" t="n">
        <f aca="false">(N39+M69)*(0.3*$C$5+0.25*01_Supuestos!$I$134)/0.55</f>
        <v>1.44510978166147</v>
      </c>
      <c r="O56" s="206" t="n">
        <f aca="false">(O39+N69)*(0.3*$C$5+0.25*01_Supuestos!$I$134)/0.55</f>
        <v>1.47820069075238</v>
      </c>
      <c r="P56" s="206" t="n">
        <f aca="false">(P39+O69)*(0.3*$C$5+0.25*01_Supuestos!$I$134)/0.55</f>
        <v>1.51129159984329</v>
      </c>
      <c r="Q56" s="206" t="n">
        <f aca="false">(Q39+P69)*(0.3*$C$5+0.25*01_Supuestos!$I$134)/0.55</f>
        <v>1.5443825089342</v>
      </c>
      <c r="R56" s="206" t="n">
        <f aca="false">(R39+Q69)*(0.3*$C$5+0.25*01_Supuestos!$I$134)/0.55</f>
        <v>1.57747341802511</v>
      </c>
      <c r="S56" s="206" t="n">
        <f aca="false">(S39+R69)*(0.3*$C$5+0.25*01_Supuestos!$I$134)/0.55</f>
        <v>1.61056432711602</v>
      </c>
      <c r="T56" s="206" t="n">
        <f aca="false">(T39+S69)*(0.3*$C$5+0.25*01_Supuestos!$I$134)/0.55</f>
        <v>1.64365523620693</v>
      </c>
      <c r="U56" s="206" t="n">
        <f aca="false">(U39+T69)*(0.3*$C$5+0.25*01_Supuestos!$I$134)/0.55</f>
        <v>1.67674614529784</v>
      </c>
      <c r="V56" s="206" t="n">
        <f aca="false">(V39+U69)*(0.3*$C$5+0.25*01_Supuestos!$I$134)/0.55</f>
        <v>1.70983705438874</v>
      </c>
      <c r="W56" s="206" t="n">
        <f aca="false">(W39+V69)*(0.3*$C$5+0.25*01_Supuestos!$I$134)/0.55</f>
        <v>1.74292796347965</v>
      </c>
      <c r="X56" s="206" t="n">
        <f aca="false">(X39+W69)*(0.3*$C$5+0.25*01_Supuestos!$I$134)/0.55</f>
        <v>1.77601887257056</v>
      </c>
      <c r="Y56" s="206" t="n">
        <f aca="false">(Y39+X69)*(0.3*$C$5+0.25*01_Supuestos!$I$134)/0.55</f>
        <v>1.80910978166147</v>
      </c>
      <c r="Z56" s="206" t="n">
        <f aca="false">(Z39+Y69)*(0.3*$C$5+0.25*01_Supuestos!$I$134)/0.55</f>
        <v>1.84220069075238</v>
      </c>
      <c r="AA56" s="206" t="n">
        <f aca="false">(AA39+Z69)*(0.3*$C$5+0.25*01_Supuestos!$I$134)/0.55</f>
        <v>1.87529159984329</v>
      </c>
      <c r="AB56" s="206" t="n">
        <f aca="false">(AB39+AA69)*(0.3*$C$5+0.25*01_Supuestos!$I$134)/0.55</f>
        <v>1.9083825089342</v>
      </c>
      <c r="AC56" s="206" t="n">
        <f aca="false">(AC39+AB69)*(0.3*$C$5+0.25*01_Supuestos!$I$134)/0.55</f>
        <v>1.94147341802511</v>
      </c>
      <c r="AD56" s="206" t="n">
        <f aca="false">(AD39+AC69)*(0.3*$C$5+0.25*01_Supuestos!$I$134)/0.55</f>
        <v>1.97456432711602</v>
      </c>
      <c r="AE56" s="206" t="n">
        <f aca="false">(AE39+AD69)*(0.3*$C$5+0.25*01_Supuestos!$I$134)/0.55</f>
        <v>2.00765523620692</v>
      </c>
      <c r="AF56" s="206" t="n">
        <f aca="false">(AF39+AE69)*(0.3*$C$5+0.25*01_Supuestos!$I$134)/0.55</f>
        <v>2.04074614529783</v>
      </c>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6"/>
      <c r="BF56" s="206"/>
      <c r="BG56" s="206"/>
      <c r="BH56" s="206"/>
      <c r="BI56" s="206"/>
      <c r="BJ56" s="206"/>
      <c r="BK56" s="206"/>
      <c r="BL56" s="206"/>
      <c r="BM56" s="206"/>
      <c r="BN56" s="206"/>
      <c r="BO56" s="206"/>
      <c r="BP56" s="206"/>
      <c r="BQ56" s="206"/>
      <c r="BR56" s="206"/>
      <c r="BS56" s="206"/>
      <c r="BT56" s="206"/>
    </row>
    <row r="57" customFormat="false" ht="14.25" hidden="false" customHeight="true" outlineLevel="0" collapsed="false">
      <c r="B57" s="134" t="s">
        <v>1684</v>
      </c>
      <c r="C57" s="206" t="n">
        <f aca="false">0</f>
        <v>0</v>
      </c>
      <c r="D57" s="206" t="n">
        <f aca="false">C68*$C$10</f>
        <v>0.673401547374882</v>
      </c>
      <c r="E57" s="206" t="n">
        <f aca="false">D68*$C$10</f>
        <v>1.32805076258117</v>
      </c>
      <c r="F57" s="206" t="n">
        <f aca="false">E68*$C$10</f>
        <v>1.97228970875719</v>
      </c>
      <c r="G57" s="206" t="n">
        <f aca="false">F68*$C$10</f>
        <v>2.39902234796462</v>
      </c>
      <c r="H57" s="206" t="n">
        <f aca="false">G68*$C$10</f>
        <v>2.85813247034889</v>
      </c>
      <c r="I57" s="206" t="n">
        <f aca="false">H68*$C$10</f>
        <v>3.34839083945666</v>
      </c>
      <c r="J57" s="206" t="n">
        <f aca="false">I68*$C$10</f>
        <v>3.87133530965828</v>
      </c>
      <c r="K57" s="206" t="n">
        <f aca="false">J68*$C$10</f>
        <v>4.4285679082112</v>
      </c>
      <c r="L57" s="206" t="n">
        <f aca="false">K68*$C$10</f>
        <v>5.02175732060647</v>
      </c>
      <c r="M57" s="206" t="n">
        <f aca="false">L68*$C$10</f>
        <v>5.64022375032941</v>
      </c>
      <c r="N57" s="206" t="n">
        <f aca="false">M68*$C$10</f>
        <v>5.66088842176985</v>
      </c>
      <c r="O57" s="206" t="n">
        <f aca="false">N68*$C$10</f>
        <v>5.67957399792018</v>
      </c>
      <c r="P57" s="206" t="n">
        <f aca="false">O68*$C$10</f>
        <v>5.69624117242411</v>
      </c>
      <c r="Q57" s="206" t="n">
        <f aca="false">P68*$C$10</f>
        <v>5.71085001225236</v>
      </c>
      <c r="R57" s="206" t="n">
        <f aca="false">Q68*$C$10</f>
        <v>5.72335995449532</v>
      </c>
      <c r="S57" s="206" t="n">
        <f aca="false">R68*$C$10</f>
        <v>5.73383653148784</v>
      </c>
      <c r="T57" s="206" t="n">
        <f aca="false">S68*$C$10</f>
        <v>5.74234837584082</v>
      </c>
      <c r="U57" s="206" t="n">
        <f aca="false">T68*$C$10</f>
        <v>5.74896734911705</v>
      </c>
      <c r="V57" s="206" t="n">
        <f aca="false">U68*$C$10</f>
        <v>5.7537686755147</v>
      </c>
      <c r="W57" s="206" t="n">
        <f aca="false">V68*$C$10</f>
        <v>5.75683108074663</v>
      </c>
      <c r="X57" s="206" t="n">
        <f aca="false">W68*$C$10</f>
        <v>5.7582369363101</v>
      </c>
      <c r="Y57" s="206" t="n">
        <f aca="false">X68*$C$10</f>
        <v>5.75807240934881</v>
      </c>
      <c r="Z57" s="206" t="n">
        <f aca="false">Y68*$C$10</f>
        <v>5.75642761831663</v>
      </c>
      <c r="AA57" s="206" t="n">
        <f aca="false">Z68*$C$10</f>
        <v>5.75339679465997</v>
      </c>
      <c r="AB57" s="206" t="n">
        <f aca="false">AA68*$C$10</f>
        <v>5.7490784507437</v>
      </c>
      <c r="AC57" s="206" t="n">
        <f aca="false">AB68*$C$10</f>
        <v>5.74357555425371</v>
      </c>
      <c r="AD57" s="206" t="n">
        <f aca="false">AC68*$C$10</f>
        <v>5.73699570931784</v>
      </c>
      <c r="AE57" s="206" t="n">
        <f aca="false">AD68*$C$10</f>
        <v>5.72945134459575</v>
      </c>
      <c r="AF57" s="206" t="n">
        <f aca="false">AE68*$C$10</f>
        <v>5.72105990859713</v>
      </c>
      <c r="AG57" s="206"/>
      <c r="AH57" s="206"/>
      <c r="AI57" s="206"/>
      <c r="AJ57" s="206"/>
      <c r="AK57" s="206"/>
      <c r="AL57" s="206"/>
      <c r="AM57" s="206"/>
      <c r="AN57" s="206"/>
      <c r="AO57" s="206"/>
      <c r="AP57" s="206"/>
      <c r="AQ57" s="206"/>
      <c r="AR57" s="206"/>
      <c r="AS57" s="206"/>
      <c r="AT57" s="206"/>
      <c r="AU57" s="206"/>
      <c r="AV57" s="206"/>
      <c r="AW57" s="206"/>
      <c r="AX57" s="206"/>
      <c r="AY57" s="206"/>
      <c r="AZ57" s="206"/>
      <c r="BA57" s="206"/>
      <c r="BB57" s="206"/>
      <c r="BC57" s="206"/>
      <c r="BD57" s="206"/>
      <c r="BE57" s="206"/>
      <c r="BF57" s="206"/>
      <c r="BG57" s="206"/>
      <c r="BH57" s="206"/>
      <c r="BI57" s="206"/>
      <c r="BJ57" s="206"/>
      <c r="BK57" s="206"/>
      <c r="BL57" s="206"/>
      <c r="BM57" s="206"/>
      <c r="BN57" s="206"/>
      <c r="BO57" s="206"/>
      <c r="BP57" s="206"/>
      <c r="BQ57" s="206"/>
      <c r="BR57" s="206"/>
      <c r="BS57" s="206"/>
      <c r="BT57" s="206"/>
    </row>
    <row r="58" customFormat="false" ht="14.25" hidden="false" customHeight="true" outlineLevel="0" collapsed="false">
      <c r="B58" s="81" t="s">
        <v>1685</v>
      </c>
      <c r="C58" s="138" t="n">
        <f aca="false">C38*01_Supuestos!$I$107</f>
        <v>2.838702</v>
      </c>
      <c r="D58" s="138" t="n">
        <f aca="false">D38*01_Supuestos!$I$107</f>
        <v>4.5189744</v>
      </c>
      <c r="E58" s="138" t="n">
        <f aca="false">E38*01_Supuestos!$I$107</f>
        <v>5.9589744</v>
      </c>
      <c r="F58" s="138" t="n">
        <f aca="false">F38*01_Supuestos!$I$107</f>
        <v>10.7870353570955</v>
      </c>
      <c r="G58" s="138" t="n">
        <f aca="false">G38*01_Supuestos!$I$107</f>
        <v>11.012887214191</v>
      </c>
      <c r="H58" s="138" t="n">
        <f aca="false">H38*01_Supuestos!$I$107</f>
        <v>11.2387390712865</v>
      </c>
      <c r="I58" s="138" t="n">
        <f aca="false">I38*01_Supuestos!$I$107</f>
        <v>11.464590928382</v>
      </c>
      <c r="J58" s="138" t="n">
        <f aca="false">J38*01_Supuestos!$I$107</f>
        <v>11.6904427854775</v>
      </c>
      <c r="K58" s="138" t="n">
        <f aca="false">K38*01_Supuestos!$I$107</f>
        <v>11.916294642573</v>
      </c>
      <c r="L58" s="138" t="n">
        <f aca="false">L38*01_Supuestos!$I$107</f>
        <v>12.1421464996685</v>
      </c>
      <c r="M58" s="138" t="n">
        <f aca="false">M38*01_Supuestos!$I$107</f>
        <v>12.367998356764</v>
      </c>
      <c r="N58" s="138" t="n">
        <f aca="false">N38*01_Supuestos!$I$107</f>
        <v>12.5938502138595</v>
      </c>
      <c r="O58" s="138" t="n">
        <f aca="false">O38*01_Supuestos!$I$107</f>
        <v>12.819702070955</v>
      </c>
      <c r="P58" s="138" t="n">
        <f aca="false">P38*01_Supuestos!$I$107</f>
        <v>13.0455539280505</v>
      </c>
      <c r="Q58" s="138" t="n">
        <f aca="false">Q38*01_Supuestos!$I$107</f>
        <v>13.271405785146</v>
      </c>
      <c r="R58" s="138" t="n">
        <f aca="false">R38*01_Supuestos!$I$107</f>
        <v>13.4922526380539</v>
      </c>
      <c r="S58" s="138" t="n">
        <f aca="false">S38*01_Supuestos!$I$107</f>
        <v>13.7080944867742</v>
      </c>
      <c r="T58" s="138" t="n">
        <f aca="false">T38*01_Supuestos!$I$107</f>
        <v>13.9189313313069</v>
      </c>
      <c r="U58" s="138" t="n">
        <f aca="false">U38*01_Supuestos!$I$107</f>
        <v>14.124763171652</v>
      </c>
      <c r="V58" s="138" t="n">
        <f aca="false">V38*01_Supuestos!$I$107</f>
        <v>14.3255900078095</v>
      </c>
      <c r="W58" s="138" t="n">
        <f aca="false">W38*01_Supuestos!$I$107</f>
        <v>14.5214118397794</v>
      </c>
      <c r="X58" s="138" t="n">
        <f aca="false">X38*01_Supuestos!$I$107</f>
        <v>14.7122286675617</v>
      </c>
      <c r="Y58" s="138" t="n">
        <f aca="false">Y38*01_Supuestos!$I$107</f>
        <v>14.8980404911564</v>
      </c>
      <c r="Z58" s="138" t="n">
        <f aca="false">Z38*01_Supuestos!$I$107</f>
        <v>15.0788473105635</v>
      </c>
      <c r="AA58" s="138" t="n">
        <f aca="false">AA38*01_Supuestos!$I$107</f>
        <v>15.254649125783</v>
      </c>
      <c r="AB58" s="138" t="n">
        <f aca="false">AB38*01_Supuestos!$I$107</f>
        <v>15.4254459368149</v>
      </c>
      <c r="AC58" s="138" t="n">
        <f aca="false">AC38*01_Supuestos!$I$107</f>
        <v>15.5912377436592</v>
      </c>
      <c r="AD58" s="138" t="n">
        <f aca="false">AD38*01_Supuestos!$I$107</f>
        <v>15.7520245463159</v>
      </c>
      <c r="AE58" s="138" t="n">
        <f aca="false">AE38*01_Supuestos!$I$107</f>
        <v>15.907806344785</v>
      </c>
      <c r="AF58" s="138" t="n">
        <f aca="false">AF38*01_Supuestos!$I$107</f>
        <v>16.0585831390665</v>
      </c>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c r="BN58" s="138"/>
      <c r="BO58" s="138"/>
      <c r="BP58" s="138"/>
      <c r="BQ58" s="138"/>
      <c r="BR58" s="138"/>
      <c r="BS58" s="138"/>
      <c r="BT58" s="138"/>
    </row>
    <row r="59" customFormat="false" ht="14.25" hidden="false" customHeight="true" outlineLevel="0" collapsed="false">
      <c r="B59" s="134" t="s">
        <v>1121</v>
      </c>
      <c r="C59" s="206" t="n">
        <f aca="false">C45*$C$7</f>
        <v>0.1521000272</v>
      </c>
      <c r="D59" s="206" t="n">
        <f aca="false">D45*$C$7</f>
        <v>0.24210822784</v>
      </c>
      <c r="E59" s="206" t="n">
        <f aca="false">E45*$C$7</f>
        <v>0.31923782784</v>
      </c>
      <c r="F59" s="206" t="n">
        <f aca="false">F45*$C$7</f>
        <v>0.55694390988382</v>
      </c>
      <c r="G59" s="206" t="n">
        <f aca="false">G45*$C$7</f>
        <v>0.56597798416764</v>
      </c>
      <c r="H59" s="206" t="n">
        <f aca="false">H45*$C$7</f>
        <v>0.57501205845146</v>
      </c>
      <c r="I59" s="206" t="n">
        <f aca="false">I45*$C$7</f>
        <v>0.58404613273528</v>
      </c>
      <c r="J59" s="206" t="n">
        <f aca="false">J45*$C$7</f>
        <v>0.5930802070191</v>
      </c>
      <c r="K59" s="206" t="n">
        <f aca="false">K45*$C$7</f>
        <v>0.60211428130292</v>
      </c>
      <c r="L59" s="206" t="n">
        <f aca="false">L45*$C$7</f>
        <v>0.61114835558674</v>
      </c>
      <c r="M59" s="206" t="n">
        <f aca="false">M45*$C$7</f>
        <v>0.622302015127059</v>
      </c>
      <c r="N59" s="206" t="n">
        <f aca="false">N45*$C$7</f>
        <v>0.633455674667377</v>
      </c>
      <c r="O59" s="206" t="n">
        <f aca="false">O45*$C$7</f>
        <v>0.644609334207696</v>
      </c>
      <c r="P59" s="206" t="n">
        <f aca="false">P45*$C$7</f>
        <v>0.655762993748015</v>
      </c>
      <c r="Q59" s="206" t="n">
        <f aca="false">Q45*$C$7</f>
        <v>0.666916653288334</v>
      </c>
      <c r="R59" s="206" t="n">
        <f aca="false">R45*$C$7</f>
        <v>0.677802044604197</v>
      </c>
      <c r="S59" s="206" t="n">
        <f aca="false">S45*$C$7</f>
        <v>0.688419167695605</v>
      </c>
      <c r="T59" s="206" t="n">
        <f aca="false">T45*$C$7</f>
        <v>0.698768022562558</v>
      </c>
      <c r="U59" s="206" t="n">
        <f aca="false">U45*$C$7</f>
        <v>0.708848609205055</v>
      </c>
      <c r="V59" s="206" t="n">
        <f aca="false">V45*$C$7</f>
        <v>0.718660927623097</v>
      </c>
      <c r="W59" s="206" t="n">
        <f aca="false">W45*$C$7</f>
        <v>0.728204977816684</v>
      </c>
      <c r="X59" s="206" t="n">
        <f aca="false">X45*$C$7</f>
        <v>0.737480759785815</v>
      </c>
      <c r="Y59" s="206" t="n">
        <f aca="false">Y45*$C$7</f>
        <v>0.746488273530491</v>
      </c>
      <c r="Z59" s="206" t="n">
        <f aca="false">Z45*$C$7</f>
        <v>0.755227519050711</v>
      </c>
      <c r="AA59" s="206" t="n">
        <f aca="false">AA45*$C$7</f>
        <v>0.763698496346477</v>
      </c>
      <c r="AB59" s="206" t="n">
        <f aca="false">AB45*$C$7</f>
        <v>0.771901205417787</v>
      </c>
      <c r="AC59" s="206" t="n">
        <f aca="false">AC45*$C$7</f>
        <v>0.779835646264641</v>
      </c>
      <c r="AD59" s="206" t="n">
        <f aca="false">AD45*$C$7</f>
        <v>0.78750181888704</v>
      </c>
      <c r="AE59" s="206" t="n">
        <f aca="false">AE45*$C$7</f>
        <v>0.794899723284984</v>
      </c>
      <c r="AF59" s="206" t="n">
        <f aca="false">AF45*$C$7</f>
        <v>0.802029359458472</v>
      </c>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6"/>
      <c r="BF59" s="206"/>
      <c r="BG59" s="206"/>
      <c r="BH59" s="206"/>
      <c r="BI59" s="206"/>
      <c r="BJ59" s="206"/>
      <c r="BK59" s="206"/>
      <c r="BL59" s="206"/>
      <c r="BM59" s="206"/>
      <c r="BN59" s="206"/>
      <c r="BO59" s="206"/>
      <c r="BP59" s="206"/>
      <c r="BQ59" s="206"/>
      <c r="BR59" s="206"/>
      <c r="BS59" s="206"/>
      <c r="BT59" s="206"/>
    </row>
    <row r="60" customFormat="false" ht="14.25" hidden="false" customHeight="true" outlineLevel="0" collapsed="false">
      <c r="B60" s="81" t="s">
        <v>1122</v>
      </c>
      <c r="C60" s="138" t="n">
        <f aca="false">C54+C56+C57-C58-C59-C55</f>
        <v>-2.42995578928909</v>
      </c>
      <c r="D60" s="138" t="n">
        <f aca="false">D54+D56+D57-D58-D59-D55</f>
        <v>-2.9924867083918</v>
      </c>
      <c r="E60" s="138" t="n">
        <f aca="false">E54+E56+E57-E58-E59-E55</f>
        <v>-3.31734171639929</v>
      </c>
      <c r="F60" s="138" t="n">
        <f aca="false">F54+F56+F57-F58-F59-F55</f>
        <v>-6.36287470662793</v>
      </c>
      <c r="G60" s="138" t="n">
        <f aca="false">G54+G56+G57-G58-G59-G55</f>
        <v>-5.54661058293673</v>
      </c>
      <c r="H60" s="138" t="n">
        <f aca="false">H54+H56+H57-H58-H59-H55</f>
        <v>-4.68618767137517</v>
      </c>
      <c r="I60" s="138" t="n">
        <f aca="false">I54+I56+I57-I58-I59-I55</f>
        <v>-3.78256423838867</v>
      </c>
      <c r="J60" s="138" t="n">
        <f aca="false">J54+J56+J57-J58-J59-J55</f>
        <v>-2.83392522728874</v>
      </c>
      <c r="K60" s="138" t="n">
        <f aca="false">K54+K56+K57-K58-K59-K55</f>
        <v>-1.83838503284648</v>
      </c>
      <c r="L60" s="138" t="n">
        <f aca="false">L54+L56+L57-L58-L59-L55</f>
        <v>-1.14877681527858</v>
      </c>
      <c r="M60" s="138" t="n">
        <f aca="false">M54+M56+M57-M58-M59-M55</f>
        <v>-0.779271278277625</v>
      </c>
      <c r="N60" s="138" t="n">
        <f aca="false">N54+N56+N57-N58-N59-N55</f>
        <v>-0.870059119552158</v>
      </c>
      <c r="O60" s="138" t="n">
        <f aca="false">O54+O56+O57-O58-O59-O55</f>
        <v>-0.962826056116797</v>
      </c>
      <c r="P60" s="138" t="n">
        <f aca="false">P54+P56+P57-P58-P59-P55</f>
        <v>-1.05761139432783</v>
      </c>
      <c r="Q60" s="138" t="n">
        <f aca="false">Q54+Q56+Q57-Q58-Q59-Q55</f>
        <v>-1.15445506721455</v>
      </c>
      <c r="R60" s="138" t="n">
        <f aca="false">R54+R56+R57-R58-R59-R55</f>
        <v>-1.25034826693833</v>
      </c>
      <c r="S60" s="138" t="n">
        <f aca="false">S54+S56+S57-S58-S59-S55</f>
        <v>-1.34522546116433</v>
      </c>
      <c r="T60" s="138" t="n">
        <f aca="false">T54+T56+T57-T58-T59-T55</f>
        <v>-1.43901801728162</v>
      </c>
      <c r="U60" s="138" t="n">
        <f aca="false">U54+U56+U57-U58-U59-U55</f>
        <v>-1.53165407372744</v>
      </c>
      <c r="V60" s="138" t="n">
        <f aca="false">V54+V56+V57-V58-V59-V55</f>
        <v>-1.62305840630361</v>
      </c>
      <c r="W60" s="138" t="n">
        <f aca="false">W54+W56+W57-W58-W59-W55</f>
        <v>-1.71315228929727</v>
      </c>
      <c r="X60" s="138" t="n">
        <f aca="false">X54+X56+X57-X58-X59-X55</f>
        <v>-1.80185335121115</v>
      </c>
      <c r="Y60" s="138" t="n">
        <f aca="false">Y54+Y56+Y57-Y58-Y59-Y55</f>
        <v>-1.88907542490157</v>
      </c>
      <c r="Z60" s="138" t="n">
        <f aca="false">Z54+Z56+Z57-Z58-Z59-Z55</f>
        <v>-1.97472839191465</v>
      </c>
      <c r="AA60" s="138" t="n">
        <f aca="false">AA54+AA56+AA57-AA58-AA59-AA55</f>
        <v>-2.05871802080396</v>
      </c>
      <c r="AB60" s="138" t="n">
        <f aca="false">AB54+AB56+AB57-AB58-AB59-AB55</f>
        <v>-2.14094579920467</v>
      </c>
      <c r="AC60" s="138" t="n">
        <f aca="false">AC54+AC56+AC57-AC58-AC59-AC55</f>
        <v>-2.22130875943087</v>
      </c>
      <c r="AD60" s="138" t="n">
        <f aca="false">AD54+AD56+AD57-AD58-AD59-AD55</f>
        <v>-2.29969929735471</v>
      </c>
      <c r="AE60" s="138" t="n">
        <f aca="false">AE54+AE56+AE57-AE58-AE59-AE55</f>
        <v>-2.37600498431654</v>
      </c>
      <c r="AF60" s="138" t="n">
        <f aca="false">AF54+AF56+AF57-AF58-AF59-AF55</f>
        <v>-2.45010837180667</v>
      </c>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c r="BN60" s="138"/>
      <c r="BO60" s="138"/>
      <c r="BP60" s="138"/>
      <c r="BQ60" s="138"/>
      <c r="BR60" s="138"/>
      <c r="BS60" s="138"/>
      <c r="BT60" s="138"/>
    </row>
    <row r="61" customFormat="false" ht="14.25" hidden="false" customHeight="true" outlineLevel="0" collapsed="false">
      <c r="B61" s="134" t="s">
        <v>1123</v>
      </c>
      <c r="C61" s="206" t="n">
        <f aca="false">C27+C30-C31+(01_Supuestos!$I$144-C34)+C60</f>
        <v>19.2400442107109</v>
      </c>
      <c r="D61" s="206" t="n">
        <f aca="false">C68+D27+D30-D31+(01_Supuestos!$I$144-D34)+D60</f>
        <v>37.9443075023191</v>
      </c>
      <c r="E61" s="206" t="n">
        <f aca="false">D68+E27+E30-E31+(01_Supuestos!$I$144-E34)+E60</f>
        <v>56.3511345359198</v>
      </c>
      <c r="F61" s="206" t="n">
        <f aca="false">E68+F27+F30-F31+(01_Supuestos!$I$144-F34)+F60</f>
        <v>68.5434956561319</v>
      </c>
      <c r="G61" s="206" t="n">
        <f aca="false">F68+G27+G30-G31+(01_Supuestos!$I$144-G34)+G60</f>
        <v>81.6609277242539</v>
      </c>
      <c r="H61" s="206" t="n">
        <f aca="false">G68+H27+H30-H31+(01_Supuestos!$I$144-H34)+H60</f>
        <v>95.6683096987617</v>
      </c>
      <c r="I61" s="206" t="n">
        <f aca="false">H68+I27+I30-I31+(01_Supuestos!$I$144-I34)+I60</f>
        <v>110.609580275951</v>
      </c>
      <c r="J61" s="206" t="n">
        <f aca="false">I68+J27+J30-J31+(01_Supuestos!$I$144-J34)+J60</f>
        <v>126.530511663177</v>
      </c>
      <c r="K61" s="206" t="n">
        <f aca="false">J68+K27+K30-K31+(01_Supuestos!$I$144-K34)+K60</f>
        <v>143.478780588756</v>
      </c>
      <c r="L61" s="206" t="n">
        <f aca="false">K68+L27+L30-L31+(01_Supuestos!$I$144-L34)+L60</f>
        <v>161.149250009412</v>
      </c>
      <c r="M61" s="206" t="n">
        <f aca="false">L68+M27+M30-M31+(01_Supuestos!$I$144-M34)+M60</f>
        <v>161.739669193424</v>
      </c>
      <c r="N61" s="206" t="n">
        <f aca="false">M68+N27+N30-N31+(01_Supuestos!$I$144-N34)+N60</f>
        <v>162.273542797719</v>
      </c>
      <c r="O61" s="206" t="n">
        <f aca="false">N68+O27+O30-O31+(01_Supuestos!$I$144-O34)+O60</f>
        <v>162.749747783546</v>
      </c>
      <c r="P61" s="206" t="n">
        <f aca="false">O68+P27+P30-P31+(01_Supuestos!$I$144-P34)+P60</f>
        <v>163.16714320721</v>
      </c>
      <c r="Q61" s="206" t="n">
        <f aca="false">P68+Q27+Q30-Q31+(01_Supuestos!$I$144-Q34)+Q60</f>
        <v>163.524570128438</v>
      </c>
      <c r="R61" s="206" t="n">
        <f aca="false">Q68+R27+R30-R31+(01_Supuestos!$I$144-R34)+R60</f>
        <v>163.823900899652</v>
      </c>
      <c r="S61" s="206" t="n">
        <f aca="false">R68+S27+S30-S31+(01_Supuestos!$I$144-S34)+S60</f>
        <v>164.067096452595</v>
      </c>
      <c r="T61" s="206" t="n">
        <f aca="false">S68+T27+T30-T31+(01_Supuestos!$I$144-T34)+T60</f>
        <v>164.256209974773</v>
      </c>
      <c r="U61" s="206" t="n">
        <f aca="false">T68+U27+U30-U31+(01_Supuestos!$I$144-U34)+U60</f>
        <v>164.393390728991</v>
      </c>
      <c r="V61" s="206" t="n">
        <f aca="false">U68+V27+V30-V31+(01_Supuestos!$I$144-V34)+V60</f>
        <v>164.480888021332</v>
      </c>
      <c r="W61" s="206" t="n">
        <f aca="false">V68+W27+W30-W31+(01_Supuestos!$I$144-W34)+W60</f>
        <v>164.521055323146</v>
      </c>
      <c r="X61" s="206" t="n">
        <f aca="false">W68+X27+X30-X31+(01_Supuestos!$I$144-X34)+X60</f>
        <v>164.516354552823</v>
      </c>
      <c r="Y61" s="206" t="n">
        <f aca="false">X68+Y27+Y30-Y31+(01_Supuestos!$I$144-Y34)+Y60</f>
        <v>164.469360523332</v>
      </c>
      <c r="Z61" s="206" t="n">
        <f aca="false">Y68+Z27+Z30-Z31+(01_Supuestos!$I$144-Z34)+Z60</f>
        <v>164.382765561714</v>
      </c>
      <c r="AA61" s="206" t="n">
        <f aca="false">Z68+AA27+AA30-AA31+(01_Supuestos!$I$144-AA34)+AA60</f>
        <v>164.259384306963</v>
      </c>
      <c r="AB61" s="206" t="n">
        <f aca="false">AA68+AB27+AB30-AB31+(01_Supuestos!$I$144-AB34)+AB60</f>
        <v>164.102158692963</v>
      </c>
      <c r="AC61" s="206" t="n">
        <f aca="false">AB68+AC27+AC30-AC31+(01_Supuestos!$I$144-AC34)+AC60</f>
        <v>163.914163123367</v>
      </c>
      <c r="AD61" s="206" t="n">
        <f aca="false">AC68+AD27+AD30-AD31+(01_Supuestos!$I$144-AD34)+AD60</f>
        <v>163.698609845593</v>
      </c>
      <c r="AE61" s="206" t="n">
        <f aca="false">AD68+AE27+AE30-AE31+(01_Supuestos!$I$144-AE34)+AE60</f>
        <v>163.458854531347</v>
      </c>
      <c r="AF61" s="206" t="n">
        <f aca="false">AE68+AF27+AF30-AF31+(01_Supuestos!$I$144-AF34)+AF60</f>
        <v>163.198402071362</v>
      </c>
      <c r="AG61" s="206"/>
      <c r="AH61" s="206"/>
      <c r="AI61" s="206"/>
      <c r="AJ61" s="206"/>
      <c r="AK61" s="206"/>
      <c r="AL61" s="206"/>
      <c r="AM61" s="206"/>
      <c r="AN61" s="206"/>
      <c r="AO61" s="206"/>
      <c r="AP61" s="206"/>
      <c r="AQ61" s="206"/>
      <c r="AR61" s="206"/>
      <c r="AS61" s="206"/>
      <c r="AT61" s="206"/>
      <c r="AU61" s="206"/>
      <c r="AV61" s="206"/>
      <c r="AW61" s="206"/>
      <c r="AX61" s="206"/>
      <c r="AY61" s="206"/>
      <c r="AZ61" s="206"/>
      <c r="BA61" s="206"/>
      <c r="BB61" s="206"/>
      <c r="BC61" s="206"/>
      <c r="BD61" s="206"/>
      <c r="BE61" s="206"/>
      <c r="BF61" s="206"/>
      <c r="BG61" s="206"/>
      <c r="BH61" s="206"/>
      <c r="BI61" s="206"/>
      <c r="BJ61" s="206"/>
      <c r="BK61" s="206"/>
      <c r="BL61" s="206"/>
      <c r="BM61" s="206"/>
      <c r="BN61" s="206"/>
      <c r="BO61" s="206"/>
      <c r="BP61" s="206"/>
      <c r="BQ61" s="206"/>
      <c r="BR61" s="206"/>
      <c r="BS61" s="206"/>
      <c r="BT61" s="206"/>
    </row>
    <row r="62" customFormat="false" ht="14.25" hidden="false" customHeight="true" outlineLevel="0" collapsed="false">
      <c r="B62" s="134" t="s">
        <v>1686</v>
      </c>
      <c r="C62" s="206" t="n">
        <f aca="false">IF(C60&gt;0,MIN(C60,01_Supuestos!$I$106*C45),0)</f>
        <v>0</v>
      </c>
      <c r="D62" s="206" t="n">
        <f aca="false">IF(D60&gt;0,MIN(D60,01_Supuestos!$I$106*D45),0)</f>
        <v>0</v>
      </c>
      <c r="E62" s="206" t="n">
        <f aca="false">IF(E60&gt;0,MIN(E60,01_Supuestos!$I$106*E45),0)</f>
        <v>0</v>
      </c>
      <c r="F62" s="206" t="n">
        <f aca="false">IF(F60&gt;0,MIN(F60,01_Supuestos!$I$106*F45),0)</f>
        <v>0</v>
      </c>
      <c r="G62" s="206" t="n">
        <f aca="false">IF(G60&gt;0,MIN(G60,01_Supuestos!$I$106*G45),0)</f>
        <v>0</v>
      </c>
      <c r="H62" s="206" t="n">
        <f aca="false">IF(H60&gt;0,MIN(H60,01_Supuestos!$I$106*H45),0)</f>
        <v>0</v>
      </c>
      <c r="I62" s="206" t="n">
        <f aca="false">IF(I60&gt;0,MIN(I60,01_Supuestos!$I$106*I45),0)</f>
        <v>0</v>
      </c>
      <c r="J62" s="206" t="n">
        <f aca="false">IF(J60&gt;0,MIN(J60,01_Supuestos!$I$106*J45),0)</f>
        <v>0</v>
      </c>
      <c r="K62" s="206" t="n">
        <f aca="false">IF(K60&gt;0,MIN(K60,01_Supuestos!$I$106*K45),0)</f>
        <v>0</v>
      </c>
      <c r="L62" s="206" t="n">
        <f aca="false">IF(L60&gt;0,MIN(L60,01_Supuestos!$I$106*L45),0)</f>
        <v>0</v>
      </c>
      <c r="M62" s="206" t="n">
        <f aca="false">IF(M60&gt;0,MIN(M60,01_Supuestos!$I$106*M45),0)</f>
        <v>0</v>
      </c>
      <c r="N62" s="206" t="n">
        <f aca="false">IF(N60&gt;0,MIN(N60,01_Supuestos!$I$106*N45),0)</f>
        <v>0</v>
      </c>
      <c r="O62" s="206" t="n">
        <f aca="false">IF(O60&gt;0,MIN(O60,01_Supuestos!$I$106*O45),0)</f>
        <v>0</v>
      </c>
      <c r="P62" s="206" t="n">
        <f aca="false">IF(P60&gt;0,MIN(P60,01_Supuestos!$I$106*P45),0)</f>
        <v>0</v>
      </c>
      <c r="Q62" s="206" t="n">
        <f aca="false">IF(Q60&gt;0,MIN(Q60,01_Supuestos!$I$106*Q45),0)</f>
        <v>0</v>
      </c>
      <c r="R62" s="206" t="n">
        <f aca="false">IF(R60&gt;0,MIN(R60,01_Supuestos!$I$106*R45),0)</f>
        <v>0</v>
      </c>
      <c r="S62" s="206" t="n">
        <f aca="false">IF(S60&gt;0,MIN(S60,01_Supuestos!$I$106*S45),0)</f>
        <v>0</v>
      </c>
      <c r="T62" s="206" t="n">
        <f aca="false">IF(T60&gt;0,MIN(T60,01_Supuestos!$I$106*T45),0)</f>
        <v>0</v>
      </c>
      <c r="U62" s="206" t="n">
        <f aca="false">IF(U60&gt;0,MIN(U60,01_Supuestos!$I$106*U45),0)</f>
        <v>0</v>
      </c>
      <c r="V62" s="206" t="n">
        <f aca="false">IF(V60&gt;0,MIN(V60,01_Supuestos!$I$106*V45),0)</f>
        <v>0</v>
      </c>
      <c r="W62" s="206" t="n">
        <f aca="false">IF(W60&gt;0,MIN(W60,01_Supuestos!$I$106*W45),0)</f>
        <v>0</v>
      </c>
      <c r="X62" s="206" t="n">
        <f aca="false">IF(X60&gt;0,MIN(X60,01_Supuestos!$I$106*X45),0)</f>
        <v>0</v>
      </c>
      <c r="Y62" s="206" t="n">
        <f aca="false">IF(Y60&gt;0,MIN(Y60,01_Supuestos!$I$106*Y45),0)</f>
        <v>0</v>
      </c>
      <c r="Z62" s="206" t="n">
        <f aca="false">IF(Z60&gt;0,MIN(Z60,01_Supuestos!$I$106*Z45),0)</f>
        <v>0</v>
      </c>
      <c r="AA62" s="206" t="n">
        <f aca="false">IF(AA60&gt;0,MIN(AA60,01_Supuestos!$I$106*AA45),0)</f>
        <v>0</v>
      </c>
      <c r="AB62" s="206" t="n">
        <f aca="false">IF(AB60&gt;0,MIN(AB60,01_Supuestos!$I$106*AB45),0)</f>
        <v>0</v>
      </c>
      <c r="AC62" s="206" t="n">
        <f aca="false">IF(AC60&gt;0,MIN(AC60,01_Supuestos!$I$106*AC45),0)</f>
        <v>0</v>
      </c>
      <c r="AD62" s="206" t="n">
        <f aca="false">IF(AD60&gt;0,MIN(AD60,01_Supuestos!$I$106*AD45),0)</f>
        <v>0</v>
      </c>
      <c r="AE62" s="206" t="n">
        <f aca="false">IF(AE60&gt;0,MIN(AE60,01_Supuestos!$I$106*AE45),0)</f>
        <v>0</v>
      </c>
      <c r="AF62" s="206" t="n">
        <f aca="false">IF(AF60&gt;0,MIN(AF60,01_Supuestos!$I$106*AF45),0)</f>
        <v>0</v>
      </c>
      <c r="AG62" s="206"/>
      <c r="AH62" s="206"/>
      <c r="AI62" s="206"/>
      <c r="AJ62" s="206"/>
      <c r="AK62" s="206"/>
      <c r="AL62" s="206"/>
      <c r="AM62" s="206"/>
      <c r="AN62" s="206"/>
      <c r="AO62" s="206"/>
      <c r="AP62" s="206"/>
      <c r="AQ62" s="206"/>
      <c r="AR62" s="206"/>
      <c r="AS62" s="206"/>
      <c r="AT62" s="206"/>
      <c r="AU62" s="206"/>
      <c r="AV62" s="206"/>
      <c r="AW62" s="206"/>
      <c r="AX62" s="206"/>
      <c r="AY62" s="206"/>
      <c r="AZ62" s="206"/>
      <c r="BA62" s="206"/>
      <c r="BB62" s="206"/>
      <c r="BC62" s="206"/>
      <c r="BD62" s="206"/>
      <c r="BE62" s="206"/>
      <c r="BF62" s="206"/>
      <c r="BG62" s="206"/>
      <c r="BH62" s="206"/>
      <c r="BI62" s="206"/>
      <c r="BJ62" s="206"/>
      <c r="BK62" s="206"/>
      <c r="BL62" s="206"/>
      <c r="BM62" s="206"/>
      <c r="BN62" s="206"/>
      <c r="BO62" s="206"/>
      <c r="BP62" s="206"/>
      <c r="BQ62" s="206"/>
      <c r="BR62" s="206"/>
      <c r="BS62" s="206"/>
      <c r="BT62" s="206"/>
    </row>
    <row r="63" customFormat="false" ht="14.25" hidden="false" customHeight="true" outlineLevel="0" collapsed="false">
      <c r="B63" s="134" t="s">
        <v>1124</v>
      </c>
      <c r="C63" s="206" t="n">
        <f aca="false">MAX(0,-(C61-C62))</f>
        <v>0</v>
      </c>
      <c r="D63" s="206" t="n">
        <f aca="false">MAX(0,-(D61-D62))</f>
        <v>0</v>
      </c>
      <c r="E63" s="206" t="n">
        <f aca="false">MAX(0,-(E61-E62))</f>
        <v>0</v>
      </c>
      <c r="F63" s="206" t="n">
        <f aca="false">MAX(0,-(F61-F62))</f>
        <v>0</v>
      </c>
      <c r="G63" s="206" t="n">
        <f aca="false">MAX(0,-(G61-G62))</f>
        <v>0</v>
      </c>
      <c r="H63" s="206" t="n">
        <f aca="false">MAX(0,-(H61-H62))</f>
        <v>0</v>
      </c>
      <c r="I63" s="206" t="n">
        <f aca="false">MAX(0,-(I61-I62))</f>
        <v>0</v>
      </c>
      <c r="J63" s="206" t="n">
        <f aca="false">MAX(0,-(J61-J62))</f>
        <v>0</v>
      </c>
      <c r="K63" s="206" t="n">
        <f aca="false">MAX(0,-(K61-K62))</f>
        <v>0</v>
      </c>
      <c r="L63" s="206" t="n">
        <f aca="false">MAX(0,-(L61-L62))</f>
        <v>0</v>
      </c>
      <c r="M63" s="206" t="n">
        <f aca="false">MAX(0,-(M61-M62))</f>
        <v>0</v>
      </c>
      <c r="N63" s="206" t="n">
        <f aca="false">MAX(0,-(N61-N62))</f>
        <v>0</v>
      </c>
      <c r="O63" s="206" t="n">
        <f aca="false">MAX(0,-(O61-O62))</f>
        <v>0</v>
      </c>
      <c r="P63" s="206" t="n">
        <f aca="false">MAX(0,-(P61-P62))</f>
        <v>0</v>
      </c>
      <c r="Q63" s="206" t="n">
        <f aca="false">MAX(0,-(Q61-Q62))</f>
        <v>0</v>
      </c>
      <c r="R63" s="206" t="n">
        <f aca="false">MAX(0,-(R61-R62))</f>
        <v>0</v>
      </c>
      <c r="S63" s="206" t="n">
        <f aca="false">MAX(0,-(S61-S62))</f>
        <v>0</v>
      </c>
      <c r="T63" s="206" t="n">
        <f aca="false">MAX(0,-(T61-T62))</f>
        <v>0</v>
      </c>
      <c r="U63" s="206" t="n">
        <f aca="false">MAX(0,-(U61-U62))</f>
        <v>0</v>
      </c>
      <c r="V63" s="206" t="n">
        <f aca="false">MAX(0,-(V61-V62))</f>
        <v>0</v>
      </c>
      <c r="W63" s="206" t="n">
        <f aca="false">MAX(0,-(W61-W62))</f>
        <v>0</v>
      </c>
      <c r="X63" s="206" t="n">
        <f aca="false">MAX(0,-(X61-X62))</f>
        <v>0</v>
      </c>
      <c r="Y63" s="206" t="n">
        <f aca="false">MAX(0,-(Y61-Y62))</f>
        <v>0</v>
      </c>
      <c r="Z63" s="206" t="n">
        <f aca="false">MAX(0,-(Z61-Z62))</f>
        <v>0</v>
      </c>
      <c r="AA63" s="206" t="n">
        <f aca="false">MAX(0,-(AA61-AA62))</f>
        <v>0</v>
      </c>
      <c r="AB63" s="206" t="n">
        <f aca="false">MAX(0,-(AB61-AB62))</f>
        <v>0</v>
      </c>
      <c r="AC63" s="206" t="n">
        <f aca="false">MAX(0,-(AC61-AC62))</f>
        <v>0</v>
      </c>
      <c r="AD63" s="206" t="n">
        <f aca="false">MAX(0,-(AD61-AD62))</f>
        <v>0</v>
      </c>
      <c r="AE63" s="206" t="n">
        <f aca="false">MAX(0,-(AE61-AE62))</f>
        <v>0</v>
      </c>
      <c r="AF63" s="206" t="n">
        <f aca="false">MAX(0,-(AF61-AF62))</f>
        <v>0</v>
      </c>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6"/>
      <c r="BF63" s="206"/>
      <c r="BG63" s="206"/>
      <c r="BH63" s="206"/>
      <c r="BI63" s="206"/>
      <c r="BJ63" s="206"/>
      <c r="BK63" s="206"/>
      <c r="BL63" s="206"/>
      <c r="BM63" s="206"/>
      <c r="BN63" s="206"/>
      <c r="BO63" s="206"/>
      <c r="BP63" s="206"/>
      <c r="BQ63" s="206"/>
      <c r="BR63" s="206"/>
      <c r="BS63" s="206"/>
      <c r="BT63" s="206"/>
    </row>
    <row r="64" customFormat="false" ht="14.25" hidden="false" customHeight="true" outlineLevel="0" collapsed="false">
      <c r="B64" s="132" t="s">
        <v>1125</v>
      </c>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row>
    <row r="65" customFormat="false" ht="14.25" hidden="false" customHeight="true" outlineLevel="0" collapsed="false">
      <c r="B65" s="81" t="s">
        <v>1687</v>
      </c>
      <c r="C65" s="138" t="n">
        <f aca="false">IF($C$12="Apoyo",C63,0)</f>
        <v>0</v>
      </c>
      <c r="D65" s="138" t="n">
        <f aca="false">IF($C$12="Apoyo",D63,0)</f>
        <v>0</v>
      </c>
      <c r="E65" s="138" t="n">
        <f aca="false">IF($C$12="Apoyo",E63,0)</f>
        <v>0</v>
      </c>
      <c r="F65" s="138" t="n">
        <f aca="false">IF($C$12="Apoyo",F63,0)</f>
        <v>0</v>
      </c>
      <c r="G65" s="138" t="n">
        <f aca="false">IF($C$12="Apoyo",G63,0)</f>
        <v>0</v>
      </c>
      <c r="H65" s="138" t="n">
        <f aca="false">IF($C$12="Apoyo",H63,0)</f>
        <v>0</v>
      </c>
      <c r="I65" s="138" t="n">
        <f aca="false">IF($C$12="Apoyo",I63,0)</f>
        <v>0</v>
      </c>
      <c r="J65" s="138" t="n">
        <f aca="false">IF($C$12="Apoyo",J63,0)</f>
        <v>0</v>
      </c>
      <c r="K65" s="138" t="n">
        <f aca="false">IF($C$12="Apoyo",K63,0)</f>
        <v>0</v>
      </c>
      <c r="L65" s="138" t="n">
        <f aca="false">IF($C$12="Apoyo",L63,0)</f>
        <v>0</v>
      </c>
      <c r="M65" s="138" t="n">
        <f aca="false">IF($C$12="Apoyo",M63,0)</f>
        <v>0</v>
      </c>
      <c r="N65" s="138" t="n">
        <f aca="false">IF($C$12="Apoyo",N63,0)</f>
        <v>0</v>
      </c>
      <c r="O65" s="138" t="n">
        <f aca="false">IF($C$12="Apoyo",O63,0)</f>
        <v>0</v>
      </c>
      <c r="P65" s="138" t="n">
        <f aca="false">IF($C$12="Apoyo",P63,0)</f>
        <v>0</v>
      </c>
      <c r="Q65" s="138" t="n">
        <f aca="false">IF($C$12="Apoyo",Q63,0)</f>
        <v>0</v>
      </c>
      <c r="R65" s="138" t="n">
        <f aca="false">IF($C$12="Apoyo",R63,0)</f>
        <v>0</v>
      </c>
      <c r="S65" s="138" t="n">
        <f aca="false">IF($C$12="Apoyo",S63,0)</f>
        <v>0</v>
      </c>
      <c r="T65" s="138" t="n">
        <f aca="false">IF($C$12="Apoyo",T63,0)</f>
        <v>0</v>
      </c>
      <c r="U65" s="138" t="n">
        <f aca="false">IF($C$12="Apoyo",U63,0)</f>
        <v>0</v>
      </c>
      <c r="V65" s="138" t="n">
        <f aca="false">IF($C$12="Apoyo",V63,0)</f>
        <v>0</v>
      </c>
      <c r="W65" s="138" t="n">
        <f aca="false">IF($C$12="Apoyo",W63,0)</f>
        <v>0</v>
      </c>
      <c r="X65" s="138" t="n">
        <f aca="false">IF($C$12="Apoyo",X63,0)</f>
        <v>0</v>
      </c>
      <c r="Y65" s="138" t="n">
        <f aca="false">IF($C$12="Apoyo",Y63,0)</f>
        <v>0</v>
      </c>
      <c r="Z65" s="138" t="n">
        <f aca="false">IF($C$12="Apoyo",Z63,0)</f>
        <v>0</v>
      </c>
      <c r="AA65" s="138" t="n">
        <f aca="false">IF($C$12="Apoyo",AA63,0)</f>
        <v>0</v>
      </c>
      <c r="AB65" s="138" t="n">
        <f aca="false">IF($C$12="Apoyo",AB63,0)</f>
        <v>0</v>
      </c>
      <c r="AC65" s="138" t="n">
        <f aca="false">IF($C$12="Apoyo",AC63,0)</f>
        <v>0</v>
      </c>
      <c r="AD65" s="138" t="n">
        <f aca="false">IF($C$12="Apoyo",AD63,0)</f>
        <v>0</v>
      </c>
      <c r="AE65" s="138" t="n">
        <f aca="false">IF($C$12="Apoyo",AE63,0)</f>
        <v>0</v>
      </c>
      <c r="AF65" s="138" t="n">
        <f aca="false">IF($C$12="Apoyo",AF63,0)</f>
        <v>0</v>
      </c>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138"/>
      <c r="BP65" s="138"/>
      <c r="BQ65" s="138"/>
      <c r="BR65" s="138"/>
      <c r="BS65" s="138"/>
      <c r="BT65" s="138"/>
    </row>
    <row r="66" customFormat="false" ht="14.25" hidden="false" customHeight="true" outlineLevel="0" collapsed="false">
      <c r="B66" s="134" t="s">
        <v>1127</v>
      </c>
      <c r="C66" s="206" t="n">
        <f aca="false">IF($C$12="Reducir",MIN(C63,C58),0)</f>
        <v>0</v>
      </c>
      <c r="D66" s="206" t="n">
        <f aca="false">IF($C$12="Reducir",MIN(D63,D58),0)</f>
        <v>0</v>
      </c>
      <c r="E66" s="206" t="n">
        <f aca="false">IF($C$12="Reducir",MIN(E63,E58),0)</f>
        <v>0</v>
      </c>
      <c r="F66" s="206" t="n">
        <f aca="false">IF($C$12="Reducir",MIN(F63,F58),0)</f>
        <v>0</v>
      </c>
      <c r="G66" s="206" t="n">
        <f aca="false">IF($C$12="Reducir",MIN(G63,G58),0)</f>
        <v>0</v>
      </c>
      <c r="H66" s="206" t="n">
        <f aca="false">IF($C$12="Reducir",MIN(H63,H58),0)</f>
        <v>0</v>
      </c>
      <c r="I66" s="206" t="n">
        <f aca="false">IF($C$12="Reducir",MIN(I63,I58),0)</f>
        <v>0</v>
      </c>
      <c r="J66" s="206" t="n">
        <f aca="false">IF($C$12="Reducir",MIN(J63,J58),0)</f>
        <v>0</v>
      </c>
      <c r="K66" s="206" t="n">
        <f aca="false">IF($C$12="Reducir",MIN(K63,K58),0)</f>
        <v>0</v>
      </c>
      <c r="L66" s="206" t="n">
        <f aca="false">IF($C$12="Reducir",MIN(L63,L58),0)</f>
        <v>0</v>
      </c>
      <c r="M66" s="206" t="n">
        <f aca="false">IF($C$12="Reducir",MIN(M63,M58),0)</f>
        <v>0</v>
      </c>
      <c r="N66" s="206" t="n">
        <f aca="false">IF($C$12="Reducir",MIN(N63,N58),0)</f>
        <v>0</v>
      </c>
      <c r="O66" s="206" t="n">
        <f aca="false">IF($C$12="Reducir",MIN(O63,O58),0)</f>
        <v>0</v>
      </c>
      <c r="P66" s="206" t="n">
        <f aca="false">IF($C$12="Reducir",MIN(P63,P58),0)</f>
        <v>0</v>
      </c>
      <c r="Q66" s="206" t="n">
        <f aca="false">IF($C$12="Reducir",MIN(Q63,Q58),0)</f>
        <v>0</v>
      </c>
      <c r="R66" s="206" t="n">
        <f aca="false">IF($C$12="Reducir",MIN(R63,R58),0)</f>
        <v>0</v>
      </c>
      <c r="S66" s="206" t="n">
        <f aca="false">IF($C$12="Reducir",MIN(S63,S58),0)</f>
        <v>0</v>
      </c>
      <c r="T66" s="206" t="n">
        <f aca="false">IF($C$12="Reducir",MIN(T63,T58),0)</f>
        <v>0</v>
      </c>
      <c r="U66" s="206" t="n">
        <f aca="false">IF($C$12="Reducir",MIN(U63,U58),0)</f>
        <v>0</v>
      </c>
      <c r="V66" s="206" t="n">
        <f aca="false">IF($C$12="Reducir",MIN(V63,V58),0)</f>
        <v>0</v>
      </c>
      <c r="W66" s="206" t="n">
        <f aca="false">IF($C$12="Reducir",MIN(W63,W58),0)</f>
        <v>0</v>
      </c>
      <c r="X66" s="206" t="n">
        <f aca="false">IF($C$12="Reducir",MIN(X63,X58),0)</f>
        <v>0</v>
      </c>
      <c r="Y66" s="206" t="n">
        <f aca="false">IF($C$12="Reducir",MIN(Y63,Y58),0)</f>
        <v>0</v>
      </c>
      <c r="Z66" s="206" t="n">
        <f aca="false">IF($C$12="Reducir",MIN(Z63,Z58),0)</f>
        <v>0</v>
      </c>
      <c r="AA66" s="206" t="n">
        <f aca="false">IF($C$12="Reducir",MIN(AA63,AA58),0)</f>
        <v>0</v>
      </c>
      <c r="AB66" s="206" t="n">
        <f aca="false">IF($C$12="Reducir",MIN(AB63,AB58),0)</f>
        <v>0</v>
      </c>
      <c r="AC66" s="206" t="n">
        <f aca="false">IF($C$12="Reducir",MIN(AC63,AC58),0)</f>
        <v>0</v>
      </c>
      <c r="AD66" s="206" t="n">
        <f aca="false">IF($C$12="Reducir",MIN(AD63,AD58),0)</f>
        <v>0</v>
      </c>
      <c r="AE66" s="206" t="n">
        <f aca="false">IF($C$12="Reducir",MIN(AE63,AE58),0)</f>
        <v>0</v>
      </c>
      <c r="AF66" s="206" t="n">
        <f aca="false">IF($C$12="Reducir",MIN(AF63,AF58),0)</f>
        <v>0</v>
      </c>
      <c r="AG66" s="206"/>
      <c r="AH66" s="206"/>
      <c r="AI66" s="206"/>
      <c r="AJ66" s="206"/>
      <c r="AK66" s="206"/>
      <c r="AL66" s="206"/>
      <c r="AM66" s="206"/>
      <c r="AN66" s="206"/>
      <c r="AO66" s="206"/>
      <c r="AP66" s="206"/>
      <c r="AQ66" s="206"/>
      <c r="AR66" s="206"/>
      <c r="AS66" s="206"/>
      <c r="AT66" s="206"/>
      <c r="AU66" s="206"/>
      <c r="AV66" s="206"/>
      <c r="AW66" s="206"/>
      <c r="AX66" s="206"/>
      <c r="AY66" s="206"/>
      <c r="AZ66" s="206"/>
      <c r="BA66" s="206"/>
      <c r="BB66" s="206"/>
      <c r="BC66" s="206"/>
      <c r="BD66" s="206"/>
      <c r="BE66" s="206"/>
      <c r="BF66" s="206"/>
      <c r="BG66" s="206"/>
      <c r="BH66" s="206"/>
      <c r="BI66" s="206"/>
      <c r="BJ66" s="206"/>
      <c r="BK66" s="206"/>
      <c r="BL66" s="206"/>
      <c r="BM66" s="206"/>
      <c r="BN66" s="206"/>
      <c r="BO66" s="206"/>
      <c r="BP66" s="206"/>
      <c r="BQ66" s="206"/>
      <c r="BR66" s="206"/>
      <c r="BS66" s="206"/>
      <c r="BT66" s="206"/>
    </row>
    <row r="67" customFormat="false" ht="14.25" hidden="false" customHeight="true" outlineLevel="0" collapsed="false">
      <c r="B67" s="134" t="s">
        <v>1688</v>
      </c>
      <c r="C67" s="210" t="n">
        <f aca="false">1-C66/C58</f>
        <v>1</v>
      </c>
      <c r="D67" s="210" t="n">
        <f aca="false">1-D66/D58</f>
        <v>1</v>
      </c>
      <c r="E67" s="210" t="n">
        <f aca="false">1-E66/E58</f>
        <v>1</v>
      </c>
      <c r="F67" s="210" t="n">
        <f aca="false">1-F66/F58</f>
        <v>1</v>
      </c>
      <c r="G67" s="210" t="n">
        <f aca="false">1-G66/G58</f>
        <v>1</v>
      </c>
      <c r="H67" s="210" t="n">
        <f aca="false">1-H66/H58</f>
        <v>1</v>
      </c>
      <c r="I67" s="210" t="n">
        <f aca="false">1-I66/I58</f>
        <v>1</v>
      </c>
      <c r="J67" s="210" t="n">
        <f aca="false">1-J66/J58</f>
        <v>1</v>
      </c>
      <c r="K67" s="210" t="n">
        <f aca="false">1-K66/K58</f>
        <v>1</v>
      </c>
      <c r="L67" s="210" t="n">
        <f aca="false">1-L66/L58</f>
        <v>1</v>
      </c>
      <c r="M67" s="210" t="n">
        <f aca="false">1-M66/M58</f>
        <v>1</v>
      </c>
      <c r="N67" s="210" t="n">
        <f aca="false">1-N66/N58</f>
        <v>1</v>
      </c>
      <c r="O67" s="210" t="n">
        <f aca="false">1-O66/O58</f>
        <v>1</v>
      </c>
      <c r="P67" s="210" t="n">
        <f aca="false">1-P66/P58</f>
        <v>1</v>
      </c>
      <c r="Q67" s="210" t="n">
        <f aca="false">1-Q66/Q58</f>
        <v>1</v>
      </c>
      <c r="R67" s="210" t="n">
        <f aca="false">1-R66/R58</f>
        <v>1</v>
      </c>
      <c r="S67" s="210" t="n">
        <f aca="false">1-S66/S58</f>
        <v>1</v>
      </c>
      <c r="T67" s="210" t="n">
        <f aca="false">1-T66/T58</f>
        <v>1</v>
      </c>
      <c r="U67" s="210" t="n">
        <f aca="false">1-U66/U58</f>
        <v>1</v>
      </c>
      <c r="V67" s="210" t="n">
        <f aca="false">1-V66/V58</f>
        <v>1</v>
      </c>
      <c r="W67" s="210" t="n">
        <f aca="false">1-W66/W58</f>
        <v>1</v>
      </c>
      <c r="X67" s="210" t="n">
        <f aca="false">1-X66/X58</f>
        <v>1</v>
      </c>
      <c r="Y67" s="210" t="n">
        <f aca="false">1-Y66/Y58</f>
        <v>1</v>
      </c>
      <c r="Z67" s="210" t="n">
        <f aca="false">1-Z66/Z58</f>
        <v>1</v>
      </c>
      <c r="AA67" s="210" t="n">
        <f aca="false">1-AA66/AA58</f>
        <v>1</v>
      </c>
      <c r="AB67" s="210" t="n">
        <f aca="false">1-AB66/AB58</f>
        <v>1</v>
      </c>
      <c r="AC67" s="210" t="n">
        <f aca="false">1-AC66/AC58</f>
        <v>1</v>
      </c>
      <c r="AD67" s="210" t="n">
        <f aca="false">1-AD66/AD58</f>
        <v>1</v>
      </c>
      <c r="AE67" s="210" t="n">
        <f aca="false">1-AE66/AE58</f>
        <v>1</v>
      </c>
      <c r="AF67" s="210" t="n">
        <f aca="false">1-AF66/AF58</f>
        <v>1</v>
      </c>
      <c r="AG67" s="210"/>
      <c r="AH67" s="210"/>
      <c r="AI67" s="210"/>
      <c r="AJ67" s="210"/>
      <c r="AK67" s="210"/>
      <c r="AL67" s="210"/>
      <c r="AM67" s="210"/>
      <c r="AN67" s="210"/>
      <c r="AO67" s="210"/>
      <c r="AP67" s="210"/>
      <c r="AQ67" s="210"/>
      <c r="AR67" s="210"/>
      <c r="AS67" s="210"/>
      <c r="AT67" s="210"/>
      <c r="AU67" s="210"/>
      <c r="AV67" s="210"/>
      <c r="AW67" s="210"/>
      <c r="AX67" s="210"/>
      <c r="AY67" s="210"/>
      <c r="AZ67" s="210"/>
      <c r="BA67" s="210"/>
      <c r="BB67" s="210"/>
      <c r="BC67" s="210"/>
      <c r="BD67" s="210"/>
      <c r="BE67" s="210"/>
      <c r="BF67" s="210"/>
      <c r="BG67" s="210"/>
      <c r="BH67" s="210"/>
      <c r="BI67" s="210"/>
      <c r="BJ67" s="210"/>
      <c r="BK67" s="210"/>
      <c r="BL67" s="210"/>
      <c r="BM67" s="210"/>
      <c r="BN67" s="210"/>
      <c r="BO67" s="210"/>
      <c r="BP67" s="210"/>
      <c r="BQ67" s="210"/>
      <c r="BR67" s="210"/>
      <c r="BS67" s="210"/>
      <c r="BT67" s="210"/>
    </row>
    <row r="68" customFormat="false" ht="14.25" hidden="false" customHeight="true" outlineLevel="0" collapsed="false">
      <c r="B68" s="81" t="s">
        <v>1689</v>
      </c>
      <c r="C68" s="138" t="n">
        <f aca="false">C61-C62+C65+C66</f>
        <v>19.2400442107109</v>
      </c>
      <c r="D68" s="138" t="n">
        <f aca="false">D61-D62+D65+D66</f>
        <v>37.9443075023191</v>
      </c>
      <c r="E68" s="138" t="n">
        <f aca="false">E61-E62+E65+E66</f>
        <v>56.3511345359198</v>
      </c>
      <c r="F68" s="138" t="n">
        <f aca="false">F61-F62+F65+F66</f>
        <v>68.5434956561319</v>
      </c>
      <c r="G68" s="138" t="n">
        <f aca="false">G61-G62+G65+G66</f>
        <v>81.6609277242539</v>
      </c>
      <c r="H68" s="138" t="n">
        <f aca="false">H61-H62+H65+H66</f>
        <v>95.6683096987617</v>
      </c>
      <c r="I68" s="138" t="n">
        <f aca="false">I61-I62+I65+I66</f>
        <v>110.609580275951</v>
      </c>
      <c r="J68" s="138" t="n">
        <f aca="false">J61-J62+J65+J66</f>
        <v>126.530511663177</v>
      </c>
      <c r="K68" s="138" t="n">
        <f aca="false">K61-K62+K65+K66</f>
        <v>143.478780588756</v>
      </c>
      <c r="L68" s="138" t="n">
        <f aca="false">L61-L62+L65+L66</f>
        <v>161.149250009412</v>
      </c>
      <c r="M68" s="138" t="n">
        <f aca="false">M61-M62+M65+M66</f>
        <v>161.739669193424</v>
      </c>
      <c r="N68" s="138" t="n">
        <f aca="false">N61-N62+N65+N66</f>
        <v>162.273542797719</v>
      </c>
      <c r="O68" s="138" t="n">
        <f aca="false">O61-O62+O65+O66</f>
        <v>162.749747783546</v>
      </c>
      <c r="P68" s="138" t="n">
        <f aca="false">P61-P62+P65+P66</f>
        <v>163.16714320721</v>
      </c>
      <c r="Q68" s="138" t="n">
        <f aca="false">Q61-Q62+Q65+Q66</f>
        <v>163.524570128438</v>
      </c>
      <c r="R68" s="138" t="n">
        <f aca="false">R61-R62+R65+R66</f>
        <v>163.823900899652</v>
      </c>
      <c r="S68" s="138" t="n">
        <f aca="false">S61-S62+S65+S66</f>
        <v>164.067096452595</v>
      </c>
      <c r="T68" s="138" t="n">
        <f aca="false">T61-T62+T65+T66</f>
        <v>164.256209974773</v>
      </c>
      <c r="U68" s="138" t="n">
        <f aca="false">U61-U62+U65+U66</f>
        <v>164.393390728991</v>
      </c>
      <c r="V68" s="138" t="n">
        <f aca="false">V61-V62+V65+V66</f>
        <v>164.480888021332</v>
      </c>
      <c r="W68" s="138" t="n">
        <f aca="false">W61-W62+W65+W66</f>
        <v>164.521055323146</v>
      </c>
      <c r="X68" s="138" t="n">
        <f aca="false">X61-X62+X65+X66</f>
        <v>164.516354552823</v>
      </c>
      <c r="Y68" s="138" t="n">
        <f aca="false">Y61-Y62+Y65+Y66</f>
        <v>164.469360523332</v>
      </c>
      <c r="Z68" s="138" t="n">
        <f aca="false">Z61-Z62+Z65+Z66</f>
        <v>164.382765561714</v>
      </c>
      <c r="AA68" s="138" t="n">
        <f aca="false">AA61-AA62+AA65+AA66</f>
        <v>164.259384306963</v>
      </c>
      <c r="AB68" s="138" t="n">
        <f aca="false">AB61-AB62+AB65+AB66</f>
        <v>164.102158692963</v>
      </c>
      <c r="AC68" s="138" t="n">
        <f aca="false">AC61-AC62+AC65+AC66</f>
        <v>163.914163123367</v>
      </c>
      <c r="AD68" s="138" t="n">
        <f aca="false">AD61-AD62+AD65+AD66</f>
        <v>163.698609845593</v>
      </c>
      <c r="AE68" s="138" t="n">
        <f aca="false">AE61-AE62+AE65+AE66</f>
        <v>163.458854531347</v>
      </c>
      <c r="AF68" s="138" t="n">
        <f aca="false">AF61-AF62+AF65+AF66</f>
        <v>163.198402071362</v>
      </c>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c r="BN68" s="138"/>
      <c r="BO68" s="138"/>
      <c r="BP68" s="138"/>
      <c r="BQ68" s="138"/>
      <c r="BR68" s="138"/>
      <c r="BS68" s="138"/>
      <c r="BT68" s="138"/>
    </row>
    <row r="69" customFormat="false" ht="14.25" hidden="false" customHeight="true" outlineLevel="0" collapsed="false">
      <c r="B69" s="134" t="s">
        <v>1129</v>
      </c>
      <c r="C69" s="206" t="n">
        <f aca="false">C62</f>
        <v>0</v>
      </c>
      <c r="D69" s="206" t="n">
        <f aca="false">C69+D62</f>
        <v>0</v>
      </c>
      <c r="E69" s="206" t="n">
        <f aca="false">D69+E62</f>
        <v>0</v>
      </c>
      <c r="F69" s="206" t="n">
        <f aca="false">E69+F62</f>
        <v>0</v>
      </c>
      <c r="G69" s="206" t="n">
        <f aca="false">F69+G62</f>
        <v>0</v>
      </c>
      <c r="H69" s="206" t="n">
        <f aca="false">G69+H62</f>
        <v>0</v>
      </c>
      <c r="I69" s="206" t="n">
        <f aca="false">H69+I62</f>
        <v>0</v>
      </c>
      <c r="J69" s="206" t="n">
        <f aca="false">I69+J62</f>
        <v>0</v>
      </c>
      <c r="K69" s="206" t="n">
        <f aca="false">J69+K62</f>
        <v>0</v>
      </c>
      <c r="L69" s="206" t="n">
        <f aca="false">K69+L62</f>
        <v>0</v>
      </c>
      <c r="M69" s="206" t="n">
        <f aca="false">L69+M62</f>
        <v>0</v>
      </c>
      <c r="N69" s="206" t="n">
        <f aca="false">M69+N62</f>
        <v>0</v>
      </c>
      <c r="O69" s="206" t="n">
        <f aca="false">N69+O62</f>
        <v>0</v>
      </c>
      <c r="P69" s="206" t="n">
        <f aca="false">O69+P62</f>
        <v>0</v>
      </c>
      <c r="Q69" s="206" t="n">
        <f aca="false">P69+Q62</f>
        <v>0</v>
      </c>
      <c r="R69" s="206" t="n">
        <f aca="false">Q69+R62</f>
        <v>0</v>
      </c>
      <c r="S69" s="206" t="n">
        <f aca="false">R69+S62</f>
        <v>0</v>
      </c>
      <c r="T69" s="206" t="n">
        <f aca="false">S69+T62</f>
        <v>0</v>
      </c>
      <c r="U69" s="206" t="n">
        <f aca="false">T69+U62</f>
        <v>0</v>
      </c>
      <c r="V69" s="206" t="n">
        <f aca="false">U69+V62</f>
        <v>0</v>
      </c>
      <c r="W69" s="206" t="n">
        <f aca="false">V69+W62</f>
        <v>0</v>
      </c>
      <c r="X69" s="206" t="n">
        <f aca="false">W69+X62</f>
        <v>0</v>
      </c>
      <c r="Y69" s="206" t="n">
        <f aca="false">X69+Y62</f>
        <v>0</v>
      </c>
      <c r="Z69" s="206" t="n">
        <f aca="false">Y69+Z62</f>
        <v>0</v>
      </c>
      <c r="AA69" s="206" t="n">
        <f aca="false">Z69+AA62</f>
        <v>0</v>
      </c>
      <c r="AB69" s="206" t="n">
        <f aca="false">AA69+AB62</f>
        <v>0</v>
      </c>
      <c r="AC69" s="206" t="n">
        <f aca="false">AB69+AC62</f>
        <v>0</v>
      </c>
      <c r="AD69" s="206" t="n">
        <f aca="false">AC69+AD62</f>
        <v>0</v>
      </c>
      <c r="AE69" s="206" t="n">
        <f aca="false">AD69+AE62</f>
        <v>0</v>
      </c>
      <c r="AF69" s="206" t="n">
        <f aca="false">AE69+AF62</f>
        <v>0</v>
      </c>
      <c r="AG69" s="206"/>
      <c r="AH69" s="206"/>
      <c r="AI69" s="206"/>
      <c r="AJ69" s="206"/>
      <c r="AK69" s="206"/>
      <c r="AL69" s="206"/>
      <c r="AM69" s="206"/>
      <c r="AN69" s="206"/>
      <c r="AO69" s="206"/>
      <c r="AP69" s="206"/>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06"/>
      <c r="BP69" s="206"/>
      <c r="BQ69" s="206"/>
      <c r="BR69" s="206"/>
      <c r="BS69" s="206"/>
      <c r="BT69" s="206"/>
    </row>
    <row r="70" customFormat="false" ht="14.25" hidden="false" customHeight="true" outlineLevel="0" collapsed="false">
      <c r="B70" s="134" t="s">
        <v>1130</v>
      </c>
      <c r="C70" s="210" t="n">
        <f aca="false">C68/(C45+C62)</f>
        <v>0.252991989086389</v>
      </c>
      <c r="D70" s="210" t="n">
        <f aca="false">D68/(D45+D62)</f>
        <v>0.313449136700922</v>
      </c>
      <c r="E70" s="210" t="n">
        <f aca="false">E68/(E45+E62)</f>
        <v>0.353035446439403</v>
      </c>
      <c r="F70" s="210" t="n">
        <f aca="false">F68/(F45+F62)</f>
        <v>0.246141467532809</v>
      </c>
      <c r="G70" s="210" t="n">
        <f aca="false">G68/(G45+G62)</f>
        <v>0.288565739334717</v>
      </c>
      <c r="H70" s="210" t="n">
        <f aca="false">H68/(H45+H62)</f>
        <v>0.332752359859728</v>
      </c>
      <c r="I70" s="210" t="n">
        <f aca="false">I68/(I45+I62)</f>
        <v>0.378770011738387</v>
      </c>
      <c r="J70" s="210" t="n">
        <f aca="false">J68/(J45+J62)</f>
        <v>0.42668937578995</v>
      </c>
      <c r="K70" s="210" t="n">
        <f aca="false">K68/(K45+K62)</f>
        <v>0.476583216987584</v>
      </c>
      <c r="L70" s="210" t="n">
        <f aca="false">L68/(L45+L62)</f>
        <v>0.527365404934121</v>
      </c>
      <c r="M70" s="210" t="n">
        <f aca="false">M68/(M45+M62)</f>
        <v>0.519810848307798</v>
      </c>
      <c r="N70" s="210" t="n">
        <f aca="false">N68/(N45+N62)</f>
        <v>0.512343797008143</v>
      </c>
      <c r="O70" s="210" t="n">
        <f aca="false">O68/(O45+O62)</f>
        <v>0.50495622432643</v>
      </c>
      <c r="P70" s="210" t="n">
        <f aca="false">P68/(P45+P62)</f>
        <v>0.497640595040681</v>
      </c>
      <c r="Q70" s="210" t="n">
        <f aca="false">Q68/(Q45+Q62)</f>
        <v>0.490389824042195</v>
      </c>
      <c r="R70" s="210" t="n">
        <f aca="false">R68/(R45+R62)</f>
        <v>0.483397482211248</v>
      </c>
      <c r="S70" s="210" t="n">
        <f aca="false">S68/(S45+S62)</f>
        <v>0.476648833011982</v>
      </c>
      <c r="T70" s="210" t="n">
        <f aca="false">T68/(T45+T62)</f>
        <v>0.47013087225258</v>
      </c>
      <c r="U70" s="210" t="n">
        <f aca="false">U68/(U45+U62)</f>
        <v>0.463832159911696</v>
      </c>
      <c r="V70" s="210" t="n">
        <f aca="false">V68/(V45+V62)</f>
        <v>0.457742675855044</v>
      </c>
      <c r="W70" s="210" t="n">
        <f aca="false">W68/(W45+W62)</f>
        <v>0.451853695964605</v>
      </c>
      <c r="X70" s="210" t="n">
        <f aca="false">X68/(X45+X62)</f>
        <v>0.44615768579672</v>
      </c>
      <c r="Y70" s="210" t="n">
        <f aca="false">Y68/(Y45+Y62)</f>
        <v>0.440648209369666</v>
      </c>
      <c r="Z70" s="210" t="n">
        <f aca="false">Z68/(Z45+Z62)</f>
        <v>0.43531985107835</v>
      </c>
      <c r="AA70" s="210" t="n">
        <f aca="false">AA68/(AA45+AA62)</f>
        <v>0.43016814906086</v>
      </c>
      <c r="AB70" s="210" t="n">
        <f aca="false">AB68/(AB45+AB62)</f>
        <v>0.425189538612377</v>
      </c>
      <c r="AC70" s="210" t="n">
        <f aca="false">AC68/(AC45+AC62)</f>
        <v>0.420381304467177</v>
      </c>
      <c r="AD70" s="210" t="n">
        <f aca="false">AD68/(AD45+AD62)</f>
        <v>0.415741540957822</v>
      </c>
      <c r="AE70" s="210" t="n">
        <f aca="false">AE68/(AE45+AE62)</f>
        <v>0.411269119218813</v>
      </c>
      <c r="AF70" s="210" t="n">
        <f aca="false">AF68/(AF45+AF62)</f>
        <v>0.406963660735694</v>
      </c>
      <c r="AG70" s="210"/>
      <c r="AH70" s="210"/>
      <c r="AI70" s="210"/>
      <c r="AJ70" s="210"/>
      <c r="AK70" s="210"/>
      <c r="AL70" s="210"/>
      <c r="AM70" s="210"/>
      <c r="AN70" s="210"/>
      <c r="AO70" s="210"/>
      <c r="AP70" s="210"/>
      <c r="AQ70" s="210"/>
      <c r="AR70" s="210"/>
      <c r="AS70" s="210"/>
      <c r="AT70" s="210"/>
      <c r="AU70" s="210"/>
      <c r="AV70" s="210"/>
      <c r="AW70" s="210"/>
      <c r="AX70" s="210"/>
      <c r="AY70" s="210"/>
      <c r="AZ70" s="210"/>
      <c r="BA70" s="210"/>
      <c r="BB70" s="210"/>
      <c r="BC70" s="210"/>
      <c r="BD70" s="210"/>
      <c r="BE70" s="210"/>
      <c r="BF70" s="210"/>
      <c r="BG70" s="210"/>
      <c r="BH70" s="210"/>
      <c r="BI70" s="210"/>
      <c r="BJ70" s="210"/>
      <c r="BK70" s="210"/>
      <c r="BL70" s="210"/>
      <c r="BM70" s="210"/>
      <c r="BN70" s="210"/>
      <c r="BO70" s="210"/>
      <c r="BP70" s="210"/>
      <c r="BQ70" s="210"/>
      <c r="BR70" s="210"/>
      <c r="BS70" s="210"/>
      <c r="BT70" s="210"/>
    </row>
    <row r="71" customFormat="false" ht="14.25" hidden="false" customHeight="true" outlineLevel="0" collapsed="false">
      <c r="B71" s="134" t="s">
        <v>1131</v>
      </c>
      <c r="C71" s="211" t="str">
        <f aca="false">IF(C70&gt;=01_Supuestos!$I$138,"Verde",IF(C70&gt;=0.1,"Amarillo","Rojo"))</f>
        <v>Verde</v>
      </c>
      <c r="D71" s="211" t="str">
        <f aca="false">IF(D70&gt;=01_Supuestos!$I$138,"Verde",IF(D70&gt;=0.1,"Amarillo","Rojo"))</f>
        <v>Verde</v>
      </c>
      <c r="E71" s="211" t="str">
        <f aca="false">IF(E70&gt;=01_Supuestos!$I$138,"Verde",IF(E70&gt;=0.1,"Amarillo","Rojo"))</f>
        <v>Verde</v>
      </c>
      <c r="F71" s="211" t="str">
        <f aca="false">IF(F70&gt;=01_Supuestos!$I$138,"Verde",IF(F70&gt;=0.1,"Amarillo","Rojo"))</f>
        <v>Verde</v>
      </c>
      <c r="G71" s="211" t="str">
        <f aca="false">IF(G70&gt;=01_Supuestos!$I$138,"Verde",IF(G70&gt;=0.1,"Amarillo","Rojo"))</f>
        <v>Verde</v>
      </c>
      <c r="H71" s="211" t="str">
        <f aca="false">IF(H70&gt;=01_Supuestos!$I$138,"Verde",IF(H70&gt;=0.1,"Amarillo","Rojo"))</f>
        <v>Verde</v>
      </c>
      <c r="I71" s="211" t="str">
        <f aca="false">IF(I70&gt;=01_Supuestos!$I$138,"Verde",IF(I70&gt;=0.1,"Amarillo","Rojo"))</f>
        <v>Verde</v>
      </c>
      <c r="J71" s="211" t="str">
        <f aca="false">IF(J70&gt;=01_Supuestos!$I$138,"Verde",IF(J70&gt;=0.1,"Amarillo","Rojo"))</f>
        <v>Verde</v>
      </c>
      <c r="K71" s="211" t="str">
        <f aca="false">IF(K70&gt;=01_Supuestos!$I$138,"Verde",IF(K70&gt;=0.1,"Amarillo","Rojo"))</f>
        <v>Verde</v>
      </c>
      <c r="L71" s="211" t="str">
        <f aca="false">IF(L70&gt;=01_Supuestos!$I$138,"Verde",IF(L70&gt;=0.1,"Amarillo","Rojo"))</f>
        <v>Verde</v>
      </c>
      <c r="M71" s="211" t="str">
        <f aca="false">IF(M70&gt;=01_Supuestos!$I$138,"Verde",IF(M70&gt;=0.1,"Amarillo","Rojo"))</f>
        <v>Verde</v>
      </c>
      <c r="N71" s="211" t="str">
        <f aca="false">IF(N70&gt;=01_Supuestos!$I$138,"Verde",IF(N70&gt;=0.1,"Amarillo","Rojo"))</f>
        <v>Verde</v>
      </c>
      <c r="O71" s="211" t="str">
        <f aca="false">IF(O70&gt;=01_Supuestos!$I$138,"Verde",IF(O70&gt;=0.1,"Amarillo","Rojo"))</f>
        <v>Verde</v>
      </c>
      <c r="P71" s="211" t="str">
        <f aca="false">IF(P70&gt;=01_Supuestos!$I$138,"Verde",IF(P70&gt;=0.1,"Amarillo","Rojo"))</f>
        <v>Verde</v>
      </c>
      <c r="Q71" s="211" t="str">
        <f aca="false">IF(Q70&gt;=01_Supuestos!$I$138,"Verde",IF(Q70&gt;=0.1,"Amarillo","Rojo"))</f>
        <v>Verde</v>
      </c>
      <c r="R71" s="211" t="str">
        <f aca="false">IF(R70&gt;=01_Supuestos!$I$138,"Verde",IF(R70&gt;=0.1,"Amarillo","Rojo"))</f>
        <v>Verde</v>
      </c>
      <c r="S71" s="211" t="str">
        <f aca="false">IF(S70&gt;=01_Supuestos!$I$138,"Verde",IF(S70&gt;=0.1,"Amarillo","Rojo"))</f>
        <v>Verde</v>
      </c>
      <c r="T71" s="211" t="str">
        <f aca="false">IF(T70&gt;=01_Supuestos!$I$138,"Verde",IF(T70&gt;=0.1,"Amarillo","Rojo"))</f>
        <v>Verde</v>
      </c>
      <c r="U71" s="211" t="str">
        <f aca="false">IF(U70&gt;=01_Supuestos!$I$138,"Verde",IF(U70&gt;=0.1,"Amarillo","Rojo"))</f>
        <v>Verde</v>
      </c>
      <c r="V71" s="211" t="str">
        <f aca="false">IF(V70&gt;=01_Supuestos!$I$138,"Verde",IF(V70&gt;=0.1,"Amarillo","Rojo"))</f>
        <v>Verde</v>
      </c>
      <c r="W71" s="211" t="str">
        <f aca="false">IF(W70&gt;=01_Supuestos!$I$138,"Verde",IF(W70&gt;=0.1,"Amarillo","Rojo"))</f>
        <v>Verde</v>
      </c>
      <c r="X71" s="211" t="str">
        <f aca="false">IF(X70&gt;=01_Supuestos!$I$138,"Verde",IF(X70&gt;=0.1,"Amarillo","Rojo"))</f>
        <v>Verde</v>
      </c>
      <c r="Y71" s="211" t="str">
        <f aca="false">IF(Y70&gt;=01_Supuestos!$I$138,"Verde",IF(Y70&gt;=0.1,"Amarillo","Rojo"))</f>
        <v>Verde</v>
      </c>
      <c r="Z71" s="211" t="str">
        <f aca="false">IF(Z70&gt;=01_Supuestos!$I$138,"Verde",IF(Z70&gt;=0.1,"Amarillo","Rojo"))</f>
        <v>Verde</v>
      </c>
      <c r="AA71" s="211" t="str">
        <f aca="false">IF(AA70&gt;=01_Supuestos!$I$138,"Verde",IF(AA70&gt;=0.1,"Amarillo","Rojo"))</f>
        <v>Verde</v>
      </c>
      <c r="AB71" s="211" t="str">
        <f aca="false">IF(AB70&gt;=01_Supuestos!$I$138,"Verde",IF(AB70&gt;=0.1,"Amarillo","Rojo"))</f>
        <v>Verde</v>
      </c>
      <c r="AC71" s="211" t="str">
        <f aca="false">IF(AC70&gt;=01_Supuestos!$I$138,"Verde",IF(AC70&gt;=0.1,"Amarillo","Rojo"))</f>
        <v>Verde</v>
      </c>
      <c r="AD71" s="211" t="str">
        <f aca="false">IF(AD70&gt;=01_Supuestos!$I$138,"Verde",IF(AD70&gt;=0.1,"Amarillo","Rojo"))</f>
        <v>Verde</v>
      </c>
      <c r="AE71" s="211" t="str">
        <f aca="false">IF(AE70&gt;=01_Supuestos!$I$138,"Verde",IF(AE70&gt;=0.1,"Amarillo","Rojo"))</f>
        <v>Verde</v>
      </c>
      <c r="AF71" s="211" t="str">
        <f aca="false">IF(AF70&gt;=01_Supuestos!$I$138,"Verde",IF(AF70&gt;=0.1,"Amarillo","Rojo"))</f>
        <v>Verde</v>
      </c>
      <c r="AG71" s="211"/>
      <c r="AH71" s="211"/>
      <c r="AI71" s="211"/>
      <c r="AJ71" s="211"/>
      <c r="AK71" s="211"/>
      <c r="AL71" s="211"/>
      <c r="AM71" s="211"/>
      <c r="AN71" s="211"/>
      <c r="AO71" s="211"/>
      <c r="AP71" s="211"/>
      <c r="AQ71" s="211"/>
      <c r="AR71" s="211"/>
      <c r="AS71" s="211"/>
      <c r="AT71" s="211"/>
      <c r="AU71" s="211"/>
      <c r="AV71" s="211"/>
      <c r="AW71" s="211"/>
      <c r="AX71" s="211"/>
      <c r="AY71" s="211"/>
      <c r="AZ71" s="211"/>
      <c r="BA71" s="211"/>
      <c r="BB71" s="211"/>
      <c r="BC71" s="211"/>
      <c r="BD71" s="211"/>
      <c r="BE71" s="211"/>
      <c r="BF71" s="211"/>
      <c r="BG71" s="211"/>
      <c r="BH71" s="211"/>
      <c r="BI71" s="211"/>
      <c r="BJ71" s="211"/>
      <c r="BK71" s="211"/>
      <c r="BL71" s="211"/>
      <c r="BM71" s="211"/>
      <c r="BN71" s="211"/>
      <c r="BO71" s="211"/>
      <c r="BP71" s="211"/>
      <c r="BQ71" s="211"/>
      <c r="BR71" s="211"/>
      <c r="BS71" s="211"/>
      <c r="BT71" s="211"/>
    </row>
    <row r="72" customFormat="false" ht="14.25" hidden="false" customHeight="true" outlineLevel="0" collapsed="false">
      <c r="B72" s="134" t="s">
        <v>1690</v>
      </c>
      <c r="C72" s="206" t="n">
        <f aca="false">C65</f>
        <v>0</v>
      </c>
      <c r="D72" s="206" t="n">
        <f aca="false">C72+D65</f>
        <v>0</v>
      </c>
      <c r="E72" s="206" t="n">
        <f aca="false">D72+E65</f>
        <v>0</v>
      </c>
      <c r="F72" s="206" t="n">
        <f aca="false">E72+F65</f>
        <v>0</v>
      </c>
      <c r="G72" s="206" t="n">
        <f aca="false">F72+G65</f>
        <v>0</v>
      </c>
      <c r="H72" s="206" t="n">
        <f aca="false">G72+H65</f>
        <v>0</v>
      </c>
      <c r="I72" s="206" t="n">
        <f aca="false">H72+I65</f>
        <v>0</v>
      </c>
      <c r="J72" s="206" t="n">
        <f aca="false">I72+J65</f>
        <v>0</v>
      </c>
      <c r="K72" s="206" t="n">
        <f aca="false">J72+K65</f>
        <v>0</v>
      </c>
      <c r="L72" s="206" t="n">
        <f aca="false">K72+L65</f>
        <v>0</v>
      </c>
      <c r="M72" s="206" t="n">
        <f aca="false">L72+M65</f>
        <v>0</v>
      </c>
      <c r="N72" s="206" t="n">
        <f aca="false">M72+N65</f>
        <v>0</v>
      </c>
      <c r="O72" s="206" t="n">
        <f aca="false">N72+O65</f>
        <v>0</v>
      </c>
      <c r="P72" s="206" t="n">
        <f aca="false">O72+P65</f>
        <v>0</v>
      </c>
      <c r="Q72" s="206" t="n">
        <f aca="false">P72+Q65</f>
        <v>0</v>
      </c>
      <c r="R72" s="206" t="n">
        <f aca="false">Q72+R65</f>
        <v>0</v>
      </c>
      <c r="S72" s="206" t="n">
        <f aca="false">R72+S65</f>
        <v>0</v>
      </c>
      <c r="T72" s="206" t="n">
        <f aca="false">S72+T65</f>
        <v>0</v>
      </c>
      <c r="U72" s="206" t="n">
        <f aca="false">T72+U65</f>
        <v>0</v>
      </c>
      <c r="V72" s="206" t="n">
        <f aca="false">U72+V65</f>
        <v>0</v>
      </c>
      <c r="W72" s="206" t="n">
        <f aca="false">V72+W65</f>
        <v>0</v>
      </c>
      <c r="X72" s="206" t="n">
        <f aca="false">W72+X65</f>
        <v>0</v>
      </c>
      <c r="Y72" s="206" t="n">
        <f aca="false">X72+Y65</f>
        <v>0</v>
      </c>
      <c r="Z72" s="206" t="n">
        <f aca="false">Y72+Z65</f>
        <v>0</v>
      </c>
      <c r="AA72" s="206" t="n">
        <f aca="false">Z72+AA65</f>
        <v>0</v>
      </c>
      <c r="AB72" s="206" t="n">
        <f aca="false">AA72+AB65</f>
        <v>0</v>
      </c>
      <c r="AC72" s="206" t="n">
        <f aca="false">AB72+AC65</f>
        <v>0</v>
      </c>
      <c r="AD72" s="206" t="n">
        <f aca="false">AC72+AD65</f>
        <v>0</v>
      </c>
      <c r="AE72" s="206" t="n">
        <f aca="false">AD72+AE65</f>
        <v>0</v>
      </c>
      <c r="AF72" s="206" t="n">
        <f aca="false">AE72+AF65</f>
        <v>0</v>
      </c>
      <c r="AG72" s="206"/>
      <c r="AH72" s="206"/>
      <c r="AI72" s="206"/>
      <c r="AJ72" s="206"/>
      <c r="AK72" s="206"/>
      <c r="AL72" s="206"/>
      <c r="AM72" s="206"/>
      <c r="AN72" s="206"/>
      <c r="AO72" s="206"/>
      <c r="AP72" s="206"/>
      <c r="AQ72" s="206"/>
      <c r="AR72" s="206"/>
      <c r="AS72" s="206"/>
      <c r="AT72" s="206"/>
      <c r="AU72" s="206"/>
      <c r="AV72" s="206"/>
      <c r="AW72" s="206"/>
      <c r="AX72" s="206"/>
      <c r="AY72" s="206"/>
      <c r="AZ72" s="206"/>
      <c r="BA72" s="206"/>
      <c r="BB72" s="206"/>
      <c r="BC72" s="206"/>
      <c r="BD72" s="206"/>
      <c r="BE72" s="206"/>
      <c r="BF72" s="206"/>
      <c r="BG72" s="206"/>
      <c r="BH72" s="206"/>
      <c r="BI72" s="206"/>
      <c r="BJ72" s="206"/>
      <c r="BK72" s="206"/>
      <c r="BL72" s="206"/>
      <c r="BM72" s="206"/>
      <c r="BN72" s="206"/>
      <c r="BO72" s="206"/>
      <c r="BP72" s="206"/>
      <c r="BQ72" s="206"/>
      <c r="BR72" s="206"/>
      <c r="BS72" s="206"/>
      <c r="BT72" s="206"/>
    </row>
    <row r="73" customFormat="false" ht="14.25" hidden="false" customHeight="true" outlineLevel="0" collapsed="false">
      <c r="B73" s="134" t="s">
        <v>1691</v>
      </c>
      <c r="C73" s="209" t="n">
        <f aca="false">C65/C18</f>
        <v>0</v>
      </c>
      <c r="D73" s="209" t="n">
        <f aca="false">D65/D18</f>
        <v>0</v>
      </c>
      <c r="E73" s="209" t="n">
        <f aca="false">E65/E18</f>
        <v>0</v>
      </c>
      <c r="F73" s="209" t="n">
        <f aca="false">F65/F18</f>
        <v>0</v>
      </c>
      <c r="G73" s="209" t="n">
        <f aca="false">G65/G18</f>
        <v>0</v>
      </c>
      <c r="H73" s="209" t="n">
        <f aca="false">H65/H18</f>
        <v>0</v>
      </c>
      <c r="I73" s="209" t="n">
        <f aca="false">I65/I18</f>
        <v>0</v>
      </c>
      <c r="J73" s="209" t="n">
        <f aca="false">J65/J18</f>
        <v>0</v>
      </c>
      <c r="K73" s="209" t="n">
        <f aca="false">K65/K18</f>
        <v>0</v>
      </c>
      <c r="L73" s="209" t="n">
        <f aca="false">L65/L18</f>
        <v>0</v>
      </c>
      <c r="M73" s="209" t="n">
        <f aca="false">M65/M18</f>
        <v>0</v>
      </c>
      <c r="N73" s="209" t="n">
        <f aca="false">N65/N18</f>
        <v>0</v>
      </c>
      <c r="O73" s="209" t="n">
        <f aca="false">O65/O18</f>
        <v>0</v>
      </c>
      <c r="P73" s="209" t="n">
        <f aca="false">P65/P18</f>
        <v>0</v>
      </c>
      <c r="Q73" s="209" t="n">
        <f aca="false">Q65/Q18</f>
        <v>0</v>
      </c>
      <c r="R73" s="209" t="n">
        <f aca="false">R65/R18</f>
        <v>0</v>
      </c>
      <c r="S73" s="209" t="n">
        <f aca="false">S65/S18</f>
        <v>0</v>
      </c>
      <c r="T73" s="209" t="n">
        <f aca="false">T65/T18</f>
        <v>0</v>
      </c>
      <c r="U73" s="209" t="n">
        <f aca="false">U65/U18</f>
        <v>0</v>
      </c>
      <c r="V73" s="209" t="n">
        <f aca="false">V65/V18</f>
        <v>0</v>
      </c>
      <c r="W73" s="209" t="n">
        <f aca="false">W65/W18</f>
        <v>0</v>
      </c>
      <c r="X73" s="209" t="n">
        <f aca="false">X65/X18</f>
        <v>0</v>
      </c>
      <c r="Y73" s="209" t="n">
        <f aca="false">Y65/Y18</f>
        <v>0</v>
      </c>
      <c r="Z73" s="209" t="n">
        <f aca="false">Z65/Z18</f>
        <v>0</v>
      </c>
      <c r="AA73" s="209" t="n">
        <f aca="false">AA65/AA18</f>
        <v>0</v>
      </c>
      <c r="AB73" s="209" t="n">
        <f aca="false">AB65/AB18</f>
        <v>0</v>
      </c>
      <c r="AC73" s="209" t="n">
        <f aca="false">AC65/AC18</f>
        <v>0</v>
      </c>
      <c r="AD73" s="209" t="n">
        <f aca="false">AD65/AD18</f>
        <v>0</v>
      </c>
      <c r="AE73" s="209" t="n">
        <f aca="false">AE65/AE18</f>
        <v>0</v>
      </c>
      <c r="AF73" s="209" t="n">
        <f aca="false">AF65/AF18</f>
        <v>0</v>
      </c>
      <c r="AG73" s="209"/>
      <c r="AH73" s="209"/>
      <c r="AI73" s="209"/>
      <c r="AJ73" s="209"/>
      <c r="AK73" s="209"/>
      <c r="AL73" s="209"/>
      <c r="AM73" s="209"/>
      <c r="AN73" s="209"/>
      <c r="AO73" s="209"/>
      <c r="AP73" s="209"/>
      <c r="AQ73" s="209"/>
      <c r="AR73" s="209"/>
      <c r="AS73" s="209"/>
      <c r="AT73" s="209"/>
      <c r="AU73" s="209"/>
      <c r="AV73" s="209"/>
      <c r="AW73" s="209"/>
      <c r="AX73" s="209"/>
      <c r="AY73" s="209"/>
      <c r="AZ73" s="209"/>
      <c r="BA73" s="209"/>
      <c r="BB73" s="209"/>
      <c r="BC73" s="209"/>
      <c r="BD73" s="209"/>
      <c r="BE73" s="209"/>
      <c r="BF73" s="209"/>
      <c r="BG73" s="209"/>
      <c r="BH73" s="209"/>
      <c r="BI73" s="209"/>
      <c r="BJ73" s="209"/>
      <c r="BK73" s="209"/>
      <c r="BL73" s="209"/>
      <c r="BM73" s="209"/>
      <c r="BN73" s="209"/>
      <c r="BO73" s="209"/>
      <c r="BP73" s="209"/>
      <c r="BQ73" s="209"/>
      <c r="BR73" s="209"/>
      <c r="BS73" s="209"/>
      <c r="BT73" s="209"/>
    </row>
    <row r="74" customFormat="false" ht="14.25" hidden="false" customHeight="true" outlineLevel="0" collapsed="false">
      <c r="B74" s="134" t="s">
        <v>1692</v>
      </c>
      <c r="C74" s="206" t="n">
        <f aca="false">01_Supuestos!$I$146*C19</f>
        <v>0.94</v>
      </c>
      <c r="D74" s="206" t="n">
        <f aca="false">01_Supuestos!$I$146*D19</f>
        <v>0.94</v>
      </c>
      <c r="E74" s="206" t="n">
        <f aca="false">01_Supuestos!$I$146*E19</f>
        <v>0.94</v>
      </c>
      <c r="F74" s="206" t="n">
        <f aca="false">01_Supuestos!$I$146*F19</f>
        <v>0.94</v>
      </c>
      <c r="G74" s="206" t="n">
        <f aca="false">01_Supuestos!$I$146*G19</f>
        <v>0.94</v>
      </c>
      <c r="H74" s="206" t="n">
        <f aca="false">01_Supuestos!$I$146*H19</f>
        <v>0.94</v>
      </c>
      <c r="I74" s="206" t="n">
        <f aca="false">01_Supuestos!$I$146*I19</f>
        <v>0.94</v>
      </c>
      <c r="J74" s="206" t="n">
        <f aca="false">01_Supuestos!$I$146*J19</f>
        <v>0.94</v>
      </c>
      <c r="K74" s="206" t="n">
        <f aca="false">01_Supuestos!$I$146*K19</f>
        <v>0.94</v>
      </c>
      <c r="L74" s="206" t="n">
        <f aca="false">01_Supuestos!$I$146*L19</f>
        <v>0.94</v>
      </c>
      <c r="M74" s="206" t="n">
        <f aca="false">01_Supuestos!$I$146*M19</f>
        <v>0.94</v>
      </c>
      <c r="N74" s="206" t="n">
        <f aca="false">01_Supuestos!$I$146*N19</f>
        <v>0.94</v>
      </c>
      <c r="O74" s="206" t="n">
        <f aca="false">01_Supuestos!$I$146*O19</f>
        <v>0.94</v>
      </c>
      <c r="P74" s="206" t="n">
        <f aca="false">01_Supuestos!$I$146*P19</f>
        <v>0.94</v>
      </c>
      <c r="Q74" s="206" t="n">
        <f aca="false">01_Supuestos!$I$146*Q19</f>
        <v>0.94</v>
      </c>
      <c r="R74" s="206" t="n">
        <f aca="false">01_Supuestos!$I$146*R19</f>
        <v>0.94</v>
      </c>
      <c r="S74" s="206" t="n">
        <f aca="false">01_Supuestos!$I$146*S19</f>
        <v>0.94</v>
      </c>
      <c r="T74" s="206" t="n">
        <f aca="false">01_Supuestos!$I$146*T19</f>
        <v>0.94</v>
      </c>
      <c r="U74" s="206" t="n">
        <f aca="false">01_Supuestos!$I$146*U19</f>
        <v>0.94</v>
      </c>
      <c r="V74" s="206" t="n">
        <f aca="false">01_Supuestos!$I$146*V19</f>
        <v>0.94</v>
      </c>
      <c r="W74" s="206" t="n">
        <f aca="false">01_Supuestos!$I$146*W19</f>
        <v>0.94</v>
      </c>
      <c r="X74" s="206" t="n">
        <f aca="false">01_Supuestos!$I$146*X19</f>
        <v>0.94</v>
      </c>
      <c r="Y74" s="206" t="n">
        <f aca="false">01_Supuestos!$I$146*Y19</f>
        <v>0.94</v>
      </c>
      <c r="Z74" s="206" t="n">
        <f aca="false">01_Supuestos!$I$146*Z19</f>
        <v>0.94</v>
      </c>
      <c r="AA74" s="206" t="n">
        <f aca="false">01_Supuestos!$I$146*AA19</f>
        <v>0.94</v>
      </c>
      <c r="AB74" s="206" t="n">
        <f aca="false">01_Supuestos!$I$146*AB19</f>
        <v>0.94</v>
      </c>
      <c r="AC74" s="206" t="n">
        <f aca="false">01_Supuestos!$I$146*AC19</f>
        <v>0.94</v>
      </c>
      <c r="AD74" s="206" t="n">
        <f aca="false">01_Supuestos!$I$146*AD19</f>
        <v>0.94</v>
      </c>
      <c r="AE74" s="206" t="n">
        <f aca="false">01_Supuestos!$I$146*AE19</f>
        <v>0.94</v>
      </c>
      <c r="AF74" s="206" t="n">
        <f aca="false">01_Supuestos!$I$146*AF19</f>
        <v>0.94</v>
      </c>
      <c r="AG74" s="206"/>
      <c r="AH74" s="206"/>
      <c r="AI74" s="206"/>
      <c r="AJ74" s="206"/>
      <c r="AK74" s="206"/>
      <c r="AL74" s="206"/>
      <c r="AM74" s="206"/>
      <c r="AN74" s="206"/>
      <c r="AO74" s="206"/>
      <c r="AP74" s="206"/>
      <c r="AQ74" s="206"/>
      <c r="AR74" s="206"/>
      <c r="AS74" s="206"/>
      <c r="AT74" s="206"/>
      <c r="AU74" s="206"/>
      <c r="AV74" s="206"/>
      <c r="AW74" s="206"/>
      <c r="AX74" s="206"/>
      <c r="AY74" s="206"/>
      <c r="AZ74" s="206"/>
      <c r="BA74" s="206"/>
      <c r="BB74" s="206"/>
      <c r="BC74" s="206"/>
      <c r="BD74" s="206"/>
      <c r="BE74" s="206"/>
      <c r="BF74" s="206"/>
      <c r="BG74" s="206"/>
      <c r="BH74" s="206"/>
      <c r="BI74" s="206"/>
      <c r="BJ74" s="206"/>
      <c r="BK74" s="206"/>
      <c r="BL74" s="206"/>
      <c r="BM74" s="206"/>
      <c r="BN74" s="206"/>
      <c r="BO74" s="206"/>
      <c r="BP74" s="206"/>
      <c r="BQ74" s="206"/>
      <c r="BR74" s="206"/>
      <c r="BS74" s="206"/>
      <c r="BT74" s="206"/>
    </row>
    <row r="75" customFormat="false" ht="14.25" hidden="false" customHeight="true" outlineLevel="0" collapsed="false">
      <c r="B75" s="134" t="s">
        <v>1693</v>
      </c>
      <c r="C75" s="212" t="n">
        <f aca="false">IF(C65+C66&gt;0.000001,C17,999)</f>
        <v>999</v>
      </c>
      <c r="D75" s="212" t="n">
        <f aca="false">IF(D65+D66&gt;0.000001,D17,999)</f>
        <v>999</v>
      </c>
      <c r="E75" s="212" t="n">
        <f aca="false">IF(E65+E66&gt;0.000001,E17,999)</f>
        <v>999</v>
      </c>
      <c r="F75" s="212" t="n">
        <f aca="false">IF(F65+F66&gt;0.000001,F17,999)</f>
        <v>999</v>
      </c>
      <c r="G75" s="212" t="n">
        <f aca="false">IF(G65+G66&gt;0.000001,G17,999)</f>
        <v>999</v>
      </c>
      <c r="H75" s="212" t="n">
        <f aca="false">IF(H65+H66&gt;0.000001,H17,999)</f>
        <v>999</v>
      </c>
      <c r="I75" s="212" t="n">
        <f aca="false">IF(I65+I66&gt;0.000001,I17,999)</f>
        <v>999</v>
      </c>
      <c r="J75" s="212" t="n">
        <f aca="false">IF(J65+J66&gt;0.000001,J17,999)</f>
        <v>999</v>
      </c>
      <c r="K75" s="212" t="n">
        <f aca="false">IF(K65+K66&gt;0.000001,K17,999)</f>
        <v>999</v>
      </c>
      <c r="L75" s="212" t="n">
        <f aca="false">IF(L65+L66&gt;0.000001,L17,999)</f>
        <v>999</v>
      </c>
      <c r="M75" s="212" t="n">
        <f aca="false">IF(M65+M66&gt;0.000001,M17,999)</f>
        <v>999</v>
      </c>
      <c r="N75" s="212" t="n">
        <f aca="false">IF(N65+N66&gt;0.000001,N17,999)</f>
        <v>999</v>
      </c>
      <c r="O75" s="212" t="n">
        <f aca="false">IF(O65+O66&gt;0.000001,O17,999)</f>
        <v>999</v>
      </c>
      <c r="P75" s="212" t="n">
        <f aca="false">IF(P65+P66&gt;0.000001,P17,999)</f>
        <v>999</v>
      </c>
      <c r="Q75" s="212" t="n">
        <f aca="false">IF(Q65+Q66&gt;0.000001,Q17,999)</f>
        <v>999</v>
      </c>
      <c r="R75" s="212" t="n">
        <f aca="false">IF(R65+R66&gt;0.000001,R17,999)</f>
        <v>999</v>
      </c>
      <c r="S75" s="212" t="n">
        <f aca="false">IF(S65+S66&gt;0.000001,S17,999)</f>
        <v>999</v>
      </c>
      <c r="T75" s="212" t="n">
        <f aca="false">IF(T65+T66&gt;0.000001,T17,999)</f>
        <v>999</v>
      </c>
      <c r="U75" s="212" t="n">
        <f aca="false">IF(U65+U66&gt;0.000001,U17,999)</f>
        <v>999</v>
      </c>
      <c r="V75" s="212" t="n">
        <f aca="false">IF(V65+V66&gt;0.000001,V17,999)</f>
        <v>999</v>
      </c>
      <c r="W75" s="212" t="n">
        <f aca="false">IF(W65+W66&gt;0.000001,W17,999)</f>
        <v>999</v>
      </c>
      <c r="X75" s="212" t="n">
        <f aca="false">IF(X65+X66&gt;0.000001,X17,999)</f>
        <v>999</v>
      </c>
      <c r="Y75" s="212" t="n">
        <f aca="false">IF(Y65+Y66&gt;0.000001,Y17,999)</f>
        <v>999</v>
      </c>
      <c r="Z75" s="212" t="n">
        <f aca="false">IF(Z65+Z66&gt;0.000001,Z17,999)</f>
        <v>999</v>
      </c>
      <c r="AA75" s="212" t="n">
        <f aca="false">IF(AA65+AA66&gt;0.000001,AA17,999)</f>
        <v>999</v>
      </c>
      <c r="AB75" s="212" t="n">
        <f aca="false">IF(AB65+AB66&gt;0.000001,AB17,999)</f>
        <v>999</v>
      </c>
      <c r="AC75" s="212" t="n">
        <f aca="false">IF(AC65+AC66&gt;0.000001,AC17,999)</f>
        <v>999</v>
      </c>
      <c r="AD75" s="212" t="n">
        <f aca="false">IF(AD65+AD66&gt;0.000001,AD17,999)</f>
        <v>999</v>
      </c>
      <c r="AE75" s="212" t="n">
        <f aca="false">IF(AE65+AE66&gt;0.000001,AE17,999)</f>
        <v>999</v>
      </c>
      <c r="AF75" s="212" t="n">
        <f aca="false">IF(AF65+AF66&gt;0.000001,AF17,999)</f>
        <v>999</v>
      </c>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c r="BI75" s="212"/>
      <c r="BJ75" s="212"/>
      <c r="BK75" s="212"/>
      <c r="BL75" s="212"/>
      <c r="BM75" s="212"/>
      <c r="BN75" s="212"/>
      <c r="BO75" s="212"/>
      <c r="BP75" s="212"/>
      <c r="BQ75" s="212"/>
      <c r="BR75" s="212"/>
      <c r="BS75" s="212"/>
      <c r="BT75" s="212"/>
    </row>
    <row r="76" customFormat="false" ht="14.25" hidden="false" customHeight="true" outlineLevel="0" collapsed="false">
      <c r="B76" s="132" t="s">
        <v>1694</v>
      </c>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row>
    <row r="77" customFormat="false" ht="14.25" hidden="false" customHeight="true" outlineLevel="0" collapsed="false">
      <c r="B77" s="134" t="s">
        <v>1137</v>
      </c>
      <c r="C77" s="213" t="n">
        <f aca="false">C47/C18</f>
        <v>0.05</v>
      </c>
      <c r="D77" s="213" t="n">
        <f aca="false">D47/D18</f>
        <v>0.0988758553274683</v>
      </c>
      <c r="E77" s="213" t="n">
        <f aca="false">E47/E18</f>
        <v>0.1466528400073</v>
      </c>
      <c r="F77" s="213" t="n">
        <f aca="false">F47/F18</f>
        <v>0.193355659831183</v>
      </c>
      <c r="G77" s="213" t="n">
        <f aca="false">G47/G18</f>
        <v>0.239008465133121</v>
      </c>
      <c r="H77" s="213" t="n">
        <f aca="false">H47/H18</f>
        <v>0.283634863277734</v>
      </c>
      <c r="I77" s="213" t="n">
        <f aca="false">I47/I18</f>
        <v>0.327257930867775</v>
      </c>
      <c r="J77" s="213" t="n">
        <f aca="false">J47/J18</f>
        <v>0.369900225677199</v>
      </c>
      <c r="K77" s="213" t="n">
        <f aca="false">K47/K18</f>
        <v>0.411583798315933</v>
      </c>
      <c r="L77" s="213" t="n">
        <f aca="false">L47/L18</f>
        <v>0.421420130242224</v>
      </c>
      <c r="M77" s="213" t="n">
        <f aca="false">M47/M18</f>
        <v>0.419463525849693</v>
      </c>
      <c r="N77" s="213" t="n">
        <f aca="false">N47/N18</f>
        <v>0.41738188205606</v>
      </c>
      <c r="O77" s="213" t="n">
        <f aca="false">O47/O18</f>
        <v>0.415181810381754</v>
      </c>
      <c r="P77" s="213" t="n">
        <f aca="false">P47/P18</f>
        <v>0.412869688259961</v>
      </c>
      <c r="Q77" s="213" t="n">
        <f aca="false">Q47/Q18</f>
        <v>0.41045166622055</v>
      </c>
      <c r="R77" s="213" t="n">
        <f aca="false">R47/R18</f>
        <v>0.40777228210429</v>
      </c>
      <c r="S77" s="213" t="n">
        <f aca="false">S47/S18</f>
        <v>0.404848139101956</v>
      </c>
      <c r="T77" s="213" t="n">
        <f aca="false">T47/T18</f>
        <v>0.401695144361323</v>
      </c>
      <c r="U77" s="213" t="n">
        <f aca="false">U47/U18</f>
        <v>0.398328533726871</v>
      </c>
      <c r="V77" s="213" t="n">
        <f aca="false">V47/V18</f>
        <v>0.394762895677651</v>
      </c>
      <c r="W77" s="213" t="n">
        <f aca="false">W47/W18</f>
        <v>0.391012194487786</v>
      </c>
      <c r="X77" s="213" t="n">
        <f aca="false">X47/X18</f>
        <v>0.387089792633367</v>
      </c>
      <c r="Y77" s="213" t="n">
        <f aca="false">Y47/Y18</f>
        <v>0.383008472468809</v>
      </c>
      <c r="Z77" s="213" t="n">
        <f aca="false">Z47/Z18</f>
        <v>0.378780457195063</v>
      </c>
      <c r="AA77" s="213" t="n">
        <f aca="false">AA47/AA18</f>
        <v>0.374417431141406</v>
      </c>
      <c r="AB77" s="213" t="n">
        <f aca="false">AB47/AB18</f>
        <v>0.369930559381907</v>
      </c>
      <c r="AC77" s="213" t="n">
        <f aca="false">AC47/AC18</f>
        <v>0.365330506707046</v>
      </c>
      <c r="AD77" s="213" t="n">
        <f aca="false">AD47/AD18</f>
        <v>0.360627455970351</v>
      </c>
      <c r="AE77" s="213" t="n">
        <f aca="false">AE47/AE18</f>
        <v>0.355831125829346</v>
      </c>
      <c r="AF77" s="213" t="n">
        <f aca="false">AF47/AF18</f>
        <v>0.350950787899518</v>
      </c>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row>
    <row r="78" customFormat="false" ht="14.25" hidden="false" customHeight="true" outlineLevel="0" collapsed="false">
      <c r="B78" s="134" t="s">
        <v>1695</v>
      </c>
      <c r="C78" s="213" t="n">
        <f aca="false">C47/(C45+C62)</f>
        <v>0.213675175463742</v>
      </c>
      <c r="D78" s="213" t="n">
        <f aca="false">D47/(D45+D62)</f>
        <v>0.271562435471834</v>
      </c>
      <c r="E78" s="213" t="n">
        <f aca="false">E47/(E45+E62)</f>
        <v>0.312493331930572</v>
      </c>
      <c r="F78" s="213" t="n">
        <f aca="false">F47/(F45+F62)</f>
        <v>0.241593745868535</v>
      </c>
      <c r="G78" s="213" t="n">
        <f aca="false">G47/(G45+G62)</f>
        <v>0.300628144542695</v>
      </c>
      <c r="H78" s="213" t="n">
        <f aca="false">H47/(H45+H62)</f>
        <v>0.359231312030151</v>
      </c>
      <c r="I78" s="213" t="n">
        <f aca="false">I47/(I45+I62)</f>
        <v>0.417455499244904</v>
      </c>
      <c r="J78" s="213" t="n">
        <f aca="false">J47/(J45+J62)</f>
        <v>0.475350503683582</v>
      </c>
      <c r="K78" s="213" t="n">
        <f aca="false">K47/(K45+K62)</f>
        <v>0.532963870022984</v>
      </c>
      <c r="L78" s="213" t="n">
        <f aca="false">L47/(L45+L62)</f>
        <v>0.55</v>
      </c>
      <c r="M78" s="213" t="n">
        <f aca="false">M47/(M45+M62)</f>
        <v>0.55</v>
      </c>
      <c r="N78" s="213" t="n">
        <f aca="false">N47/(N45+N62)</f>
        <v>0.55</v>
      </c>
      <c r="O78" s="213" t="n">
        <f aca="false">O47/(O45+O62)</f>
        <v>0.55</v>
      </c>
      <c r="P78" s="213" t="n">
        <f aca="false">P47/(P45+P62)</f>
        <v>0.55</v>
      </c>
      <c r="Q78" s="213" t="n">
        <f aca="false">Q47/(Q45+Q62)</f>
        <v>0.55</v>
      </c>
      <c r="R78" s="213" t="n">
        <f aca="false">R47/(R45+R62)</f>
        <v>0.55</v>
      </c>
      <c r="S78" s="213" t="n">
        <f aca="false">S47/(S45+S62)</f>
        <v>0.55</v>
      </c>
      <c r="T78" s="213" t="n">
        <f aca="false">T47/(T45+T62)</f>
        <v>0.55</v>
      </c>
      <c r="U78" s="213" t="n">
        <f aca="false">U47/(U45+U62)</f>
        <v>0.55</v>
      </c>
      <c r="V78" s="213" t="n">
        <f aca="false">V47/(V45+V62)</f>
        <v>0.55</v>
      </c>
      <c r="W78" s="213" t="n">
        <f aca="false">W47/(W45+W62)</f>
        <v>0.55</v>
      </c>
      <c r="X78" s="213" t="n">
        <f aca="false">X47/(X45+X62)</f>
        <v>0.55</v>
      </c>
      <c r="Y78" s="213" t="n">
        <f aca="false">Y47/(Y45+Y62)</f>
        <v>0.55</v>
      </c>
      <c r="Z78" s="213" t="n">
        <f aca="false">Z47/(Z45+Z62)</f>
        <v>0.55</v>
      </c>
      <c r="AA78" s="213" t="n">
        <f aca="false">AA47/(AA45+AA62)</f>
        <v>0.55</v>
      </c>
      <c r="AB78" s="213" t="n">
        <f aca="false">AB47/(AB45+AB62)</f>
        <v>0.55</v>
      </c>
      <c r="AC78" s="213" t="n">
        <f aca="false">AC47/(AC45+AC62)</f>
        <v>0.55</v>
      </c>
      <c r="AD78" s="213" t="n">
        <f aca="false">AD47/(AD45+AD62)</f>
        <v>0.55</v>
      </c>
      <c r="AE78" s="213" t="n">
        <f aca="false">AE47/(AE45+AE62)</f>
        <v>0.55</v>
      </c>
      <c r="AF78" s="213" t="n">
        <f aca="false">AF47/(AF45+AF62)</f>
        <v>0.55</v>
      </c>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row>
    <row r="79" customFormat="false" ht="14.25" hidden="false" customHeight="true" outlineLevel="0" collapsed="false">
      <c r="B79" s="134" t="s">
        <v>1696</v>
      </c>
      <c r="C79" s="213" t="n">
        <f aca="false">IF(C47&gt;0,(C68+C39+C69)/C47,0)</f>
        <v>1.18892579758221</v>
      </c>
      <c r="D79" s="213" t="n">
        <f aca="false">IF(D47&gt;0,(D68+D39+D69)/D47,0)</f>
        <v>1.15911046054433</v>
      </c>
      <c r="E79" s="213" t="n">
        <f aca="false">IF(E47&gt;0,(E68+E39+E69)/E47,0)</f>
        <v>1.13454909729037</v>
      </c>
      <c r="F79" s="213" t="n">
        <f aca="false">IF(F47&gt;0,(F68+F39+F69)/F47,0)</f>
        <v>1.483128113961</v>
      </c>
      <c r="G79" s="213" t="n">
        <f aca="false">IF(G47&gt;0,(G68+G39+G69)/G47,0)</f>
        <v>1.38014402981101</v>
      </c>
      <c r="H79" s="213" t="n">
        <f aca="false">IF(H47&gt;0,(H68+H39+H69)/H47,0)</f>
        <v>1.31620723924237</v>
      </c>
      <c r="I79" s="213" t="n">
        <f aca="false">IF(I47&gt;0,(I68+I39+I69)/I47,0)</f>
        <v>1.27472740833695</v>
      </c>
      <c r="J79" s="213" t="n">
        <f aca="false">IF(J47&gt;0,(J68+J39+J69)/J47,0)</f>
        <v>1.24741124558639</v>
      </c>
      <c r="K79" s="213" t="n">
        <f aca="false">IF(K47&gt;0,(K68+K39+K69)/K47,0)</f>
        <v>1.22965305351161</v>
      </c>
      <c r="L79" s="213" t="n">
        <f aca="false">IF(L47&gt;0,(L68+L39+L69)/L47,0)</f>
        <v>1.30596773938382</v>
      </c>
      <c r="M79" s="213" t="n">
        <f aca="false">IF(M47&gt;0,(M68+M39+M69)/M47,0)</f>
        <v>1.29419141307324</v>
      </c>
      <c r="N79" s="213" t="n">
        <f aca="false">IF(N47&gt;0,(N68+N39+N69)/N47,0)</f>
        <v>1.28250519248121</v>
      </c>
      <c r="O79" s="213" t="n">
        <f aca="false">IF(O47&gt;0,(O68+O39+O69)/O47,0)</f>
        <v>1.27089806504177</v>
      </c>
      <c r="P79" s="213" t="n">
        <f aca="false">IF(P47&gt;0,(P68+P39+P69)/P47,0)</f>
        <v>1.25935966813838</v>
      </c>
      <c r="Q79" s="213" t="n">
        <f aca="false">IF(Q47&gt;0,(Q68+Q39+Q69)/Q47,0)</f>
        <v>1.24788023425476</v>
      </c>
      <c r="R79" s="213" t="n">
        <f aca="false">IF(R47&gt;0,(R68+R39+R69)/R47,0)</f>
        <v>1.23695627776696</v>
      </c>
      <c r="S79" s="213" t="n">
        <f aca="false">IF(S47&gt;0,(S68+S39+S69)/S47,0)</f>
        <v>1.22655903602899</v>
      </c>
      <c r="T79" s="213" t="n">
        <f aca="false">IF(T47&gt;0,(T68+T39+T69)/T47,0)</f>
        <v>1.21666320994617</v>
      </c>
      <c r="U79" s="213" t="n">
        <f aca="false">IF(U47&gt;0,(U68+U39+U69)/U47,0)</f>
        <v>1.20724662843813</v>
      </c>
      <c r="V79" s="213" t="n">
        <f aca="false">IF(V47&gt;0,(V68+V39+V69)/V47,0)</f>
        <v>1.19828996053415</v>
      </c>
      <c r="W79" s="213" t="n">
        <f aca="false">IF(W47&gt;0,(W68+W39+W69)/W47,0)</f>
        <v>1.18977646816308</v>
      </c>
      <c r="X79" s="213" t="n">
        <f aca="false">IF(X47&gt;0,(X68+X39+X69)/X47,0)</f>
        <v>1.18169179388389</v>
      </c>
      <c r="Y79" s="213" t="n">
        <f aca="false">IF(Y47&gt;0,(Y68+Y39+Y69)/Y47,0)</f>
        <v>1.17402377876911</v>
      </c>
      <c r="Z79" s="213" t="n">
        <f aca="false">IF(Z47&gt;0,(Z68+Z39+Z69)/Z47,0)</f>
        <v>1.16676230644519</v>
      </c>
      <c r="AA79" s="213" t="n">
        <f aca="false">IF(AA47&gt;0,(AA68+AA39+AA69)/AA47,0)</f>
        <v>1.1598991699459</v>
      </c>
      <c r="AB79" s="213" t="n">
        <f aca="false">IF(AB47&gt;0,(AB68+AB39+AB69)/AB47,0)</f>
        <v>1.15342795857506</v>
      </c>
      <c r="AC79" s="213" t="n">
        <f aca="false">IF(AC47&gt;0,(AC68+AC39+AC69)/AC47,0)</f>
        <v>1.14734396242367</v>
      </c>
      <c r="AD79" s="213" t="n">
        <f aca="false">IF(AD47&gt;0,(AD68+AD39+AD69)/AD47,0)</f>
        <v>1.14164409256224</v>
      </c>
      <c r="AE79" s="213" t="n">
        <f aca="false">IF(AE47&gt;0,(AE68+AE39+AE69)/AE47,0)</f>
        <v>1.13632681524426</v>
      </c>
      <c r="AF79" s="213" t="n">
        <f aca="false">IF(AF47&gt;0,(AF68+AF39+AF69)/AF47,0)</f>
        <v>1.13139209872325</v>
      </c>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row>
    <row r="80" customFormat="false" ht="14.25" hidden="false" customHeight="true" outlineLevel="0" collapsed="false">
      <c r="B80" s="132" t="s">
        <v>1697</v>
      </c>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3"/>
      <c r="BD80" s="133"/>
      <c r="BE80" s="133"/>
      <c r="BF80" s="133"/>
      <c r="BG80" s="133"/>
      <c r="BH80" s="133"/>
      <c r="BI80" s="133"/>
      <c r="BJ80" s="133"/>
      <c r="BK80" s="133"/>
      <c r="BL80" s="133"/>
      <c r="BM80" s="133"/>
      <c r="BN80" s="133"/>
      <c r="BO80" s="133"/>
      <c r="BP80" s="133"/>
      <c r="BQ80" s="133"/>
      <c r="BR80" s="133"/>
      <c r="BS80" s="133"/>
      <c r="BT80" s="133"/>
    </row>
    <row r="81" customFormat="false" ht="14.25" hidden="false" customHeight="true" outlineLevel="0" collapsed="false">
      <c r="B81" s="134" t="s">
        <v>1141</v>
      </c>
      <c r="C81" s="206" t="n">
        <f aca="false">-C27</f>
        <v>-20.6</v>
      </c>
      <c r="D81" s="206" t="n">
        <f aca="false">-D27</f>
        <v>-20.6</v>
      </c>
      <c r="E81" s="206" t="n">
        <f aca="false">-E27</f>
        <v>-20.6</v>
      </c>
      <c r="F81" s="206" t="n">
        <f aca="false">-F27</f>
        <v>-20.6</v>
      </c>
      <c r="G81" s="206" t="n">
        <f aca="false">-G27</f>
        <v>-20.6</v>
      </c>
      <c r="H81" s="206" t="n">
        <f aca="false">-H27</f>
        <v>-20.6</v>
      </c>
      <c r="I81" s="206" t="n">
        <f aca="false">-I27</f>
        <v>-20.6</v>
      </c>
      <c r="J81" s="206" t="n">
        <f aca="false">-J27</f>
        <v>-20.6</v>
      </c>
      <c r="K81" s="206" t="n">
        <f aca="false">-K27</f>
        <v>-20.6</v>
      </c>
      <c r="L81" s="206" t="n">
        <f aca="false">-L27</f>
        <v>-20.6</v>
      </c>
      <c r="M81" s="206" t="n">
        <f aca="false">-M27</f>
        <v>-0</v>
      </c>
      <c r="N81" s="206" t="n">
        <f aca="false">-N27</f>
        <v>-0</v>
      </c>
      <c r="O81" s="206" t="n">
        <f aca="false">-O27</f>
        <v>-0</v>
      </c>
      <c r="P81" s="206" t="n">
        <f aca="false">-P27</f>
        <v>-0</v>
      </c>
      <c r="Q81" s="206" t="n">
        <f aca="false">-Q27</f>
        <v>-0</v>
      </c>
      <c r="R81" s="206" t="n">
        <f aca="false">-R27</f>
        <v>-0</v>
      </c>
      <c r="S81" s="206" t="n">
        <f aca="false">-S27</f>
        <v>-0</v>
      </c>
      <c r="T81" s="206" t="n">
        <f aca="false">-T27</f>
        <v>-0</v>
      </c>
      <c r="U81" s="206" t="n">
        <f aca="false">-U27</f>
        <v>-0</v>
      </c>
      <c r="V81" s="206" t="n">
        <f aca="false">-V27</f>
        <v>-0</v>
      </c>
      <c r="W81" s="206" t="n">
        <f aca="false">-W27</f>
        <v>-0</v>
      </c>
      <c r="X81" s="206" t="n">
        <f aca="false">-X27</f>
        <v>-0</v>
      </c>
      <c r="Y81" s="206" t="n">
        <f aca="false">-Y27</f>
        <v>-0</v>
      </c>
      <c r="Z81" s="206" t="n">
        <f aca="false">-Z27</f>
        <v>-0</v>
      </c>
      <c r="AA81" s="206" t="n">
        <f aca="false">-AA27</f>
        <v>-0</v>
      </c>
      <c r="AB81" s="206" t="n">
        <f aca="false">-AB27</f>
        <v>-0</v>
      </c>
      <c r="AC81" s="206" t="n">
        <f aca="false">-AC27</f>
        <v>-0</v>
      </c>
      <c r="AD81" s="206" t="n">
        <f aca="false">-AD27</f>
        <v>-0</v>
      </c>
      <c r="AE81" s="206" t="n">
        <f aca="false">-AE27</f>
        <v>-0</v>
      </c>
      <c r="AF81" s="206" t="n">
        <f aca="false">-AF27</f>
        <v>-0</v>
      </c>
      <c r="AG81" s="206"/>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206"/>
      <c r="BF81" s="206"/>
      <c r="BG81" s="206"/>
      <c r="BH81" s="206"/>
      <c r="BI81" s="206"/>
      <c r="BJ81" s="206"/>
      <c r="BK81" s="206"/>
      <c r="BL81" s="206"/>
      <c r="BM81" s="206"/>
      <c r="BN81" s="206"/>
      <c r="BO81" s="206"/>
      <c r="BP81" s="206"/>
      <c r="BQ81" s="206"/>
      <c r="BR81" s="206"/>
      <c r="BS81" s="206"/>
      <c r="BT81" s="206"/>
    </row>
    <row r="82" customFormat="false" ht="14.25" hidden="false" customHeight="true" outlineLevel="0" collapsed="false">
      <c r="B82" s="134" t="s">
        <v>1698</v>
      </c>
      <c r="C82" s="206" t="n">
        <f aca="false">-C30</f>
        <v>-1.07</v>
      </c>
      <c r="D82" s="206" t="n">
        <f aca="false">-D30</f>
        <v>-1.09675</v>
      </c>
      <c r="E82" s="206" t="n">
        <f aca="false">-E30</f>
        <v>-1.12416875</v>
      </c>
      <c r="F82" s="206" t="n">
        <f aca="false">-F30</f>
        <v>-1.15227296875</v>
      </c>
      <c r="G82" s="206" t="n">
        <f aca="false">-G30</f>
        <v>-1.18107979296875</v>
      </c>
      <c r="H82" s="206" t="n">
        <f aca="false">-H30</f>
        <v>-1.21060678779297</v>
      </c>
      <c r="I82" s="206" t="n">
        <f aca="false">-I30</f>
        <v>-1.24087195748779</v>
      </c>
      <c r="J82" s="206" t="n">
        <f aca="false">-J30</f>
        <v>-1.27189375642499</v>
      </c>
      <c r="K82" s="206" t="n">
        <f aca="false">-K30</f>
        <v>-1.30369110033561</v>
      </c>
      <c r="L82" s="206" t="n">
        <f aca="false">-L30</f>
        <v>-1.336283377844</v>
      </c>
      <c r="M82" s="206" t="n">
        <f aca="false">-M30</f>
        <v>-1.3696904622901</v>
      </c>
      <c r="N82" s="206" t="n">
        <f aca="false">-N30</f>
        <v>-1.40393272384735</v>
      </c>
      <c r="O82" s="206" t="n">
        <f aca="false">-O30</f>
        <v>-1.43903104194354</v>
      </c>
      <c r="P82" s="206" t="n">
        <f aca="false">-P30</f>
        <v>-1.47500681799213</v>
      </c>
      <c r="Q82" s="206" t="n">
        <f aca="false">-Q30</f>
        <v>-1.51188198844193</v>
      </c>
      <c r="R82" s="206" t="n">
        <f aca="false">-R30</f>
        <v>-1.54967903815298</v>
      </c>
      <c r="S82" s="206" t="n">
        <f aca="false">-S30</f>
        <v>-1.5884210141068</v>
      </c>
      <c r="T82" s="206" t="n">
        <f aca="false">-T30</f>
        <v>-1.62813153945947</v>
      </c>
      <c r="U82" s="206" t="n">
        <f aca="false">-U30</f>
        <v>-1.66883482794596</v>
      </c>
      <c r="V82" s="206" t="n">
        <f aca="false">-V30</f>
        <v>-1.71055569864461</v>
      </c>
      <c r="W82" s="206" t="n">
        <f aca="false">-W30</f>
        <v>-1.75331959111072</v>
      </c>
      <c r="X82" s="206" t="n">
        <f aca="false">-X30</f>
        <v>-1.79715258088849</v>
      </c>
      <c r="Y82" s="206" t="n">
        <f aca="false">-Y30</f>
        <v>-1.8420813954107</v>
      </c>
      <c r="Z82" s="206" t="n">
        <f aca="false">-Z30</f>
        <v>-1.88813343029597</v>
      </c>
      <c r="AA82" s="206" t="n">
        <f aca="false">-AA30</f>
        <v>-1.93533676605337</v>
      </c>
      <c r="AB82" s="206" t="n">
        <f aca="false">-AB30</f>
        <v>-1.9837201852047</v>
      </c>
      <c r="AC82" s="206" t="n">
        <f aca="false">-AC30</f>
        <v>-2.03331318983482</v>
      </c>
      <c r="AD82" s="206" t="n">
        <f aca="false">-AD30</f>
        <v>-2.08414601958069</v>
      </c>
      <c r="AE82" s="206" t="n">
        <f aca="false">-AE30</f>
        <v>-2.13624967007021</v>
      </c>
      <c r="AF82" s="206" t="n">
        <f aca="false">-AF30</f>
        <v>-2.18965591182196</v>
      </c>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206"/>
      <c r="BG82" s="206"/>
      <c r="BH82" s="206"/>
      <c r="BI82" s="206"/>
      <c r="BJ82" s="206"/>
      <c r="BK82" s="206"/>
      <c r="BL82" s="206"/>
      <c r="BM82" s="206"/>
      <c r="BN82" s="206"/>
      <c r="BO82" s="206"/>
      <c r="BP82" s="206"/>
      <c r="BQ82" s="206"/>
      <c r="BR82" s="206"/>
      <c r="BS82" s="206"/>
      <c r="BT82" s="206"/>
    </row>
    <row r="83" customFormat="false" ht="14.25" hidden="false" customHeight="true" outlineLevel="0" collapsed="false">
      <c r="B83" s="134" t="s">
        <v>1143</v>
      </c>
      <c r="C83" s="206" t="n">
        <f aca="false">01_Supuestos!$I$147</f>
        <v>2.8387</v>
      </c>
      <c r="D83" s="206" t="n">
        <f aca="false">01_Supuestos!$I$147</f>
        <v>2.8387</v>
      </c>
      <c r="E83" s="206" t="n">
        <f aca="false">01_Supuestos!$I$147</f>
        <v>2.8387</v>
      </c>
      <c r="F83" s="206" t="n">
        <f aca="false">01_Supuestos!$I$147</f>
        <v>2.8387</v>
      </c>
      <c r="G83" s="206" t="n">
        <f aca="false">01_Supuestos!$I$147</f>
        <v>2.8387</v>
      </c>
      <c r="H83" s="206" t="n">
        <f aca="false">01_Supuestos!$I$147</f>
        <v>2.8387</v>
      </c>
      <c r="I83" s="206" t="n">
        <f aca="false">01_Supuestos!$I$147</f>
        <v>2.8387</v>
      </c>
      <c r="J83" s="206" t="n">
        <f aca="false">01_Supuestos!$I$147</f>
        <v>2.8387</v>
      </c>
      <c r="K83" s="206" t="n">
        <f aca="false">01_Supuestos!$I$147</f>
        <v>2.8387</v>
      </c>
      <c r="L83" s="206" t="n">
        <f aca="false">01_Supuestos!$I$147</f>
        <v>2.8387</v>
      </c>
      <c r="M83" s="206" t="n">
        <f aca="false">01_Supuestos!$I$147</f>
        <v>2.8387</v>
      </c>
      <c r="N83" s="206" t="n">
        <f aca="false">01_Supuestos!$I$147</f>
        <v>2.8387</v>
      </c>
      <c r="O83" s="206" t="n">
        <f aca="false">01_Supuestos!$I$147</f>
        <v>2.8387</v>
      </c>
      <c r="P83" s="206" t="n">
        <f aca="false">01_Supuestos!$I$147</f>
        <v>2.8387</v>
      </c>
      <c r="Q83" s="206" t="n">
        <f aca="false">01_Supuestos!$I$147</f>
        <v>2.8387</v>
      </c>
      <c r="R83" s="206" t="n">
        <f aca="false">01_Supuestos!$I$147</f>
        <v>2.8387</v>
      </c>
      <c r="S83" s="206" t="n">
        <f aca="false">01_Supuestos!$I$147</f>
        <v>2.8387</v>
      </c>
      <c r="T83" s="206" t="n">
        <f aca="false">01_Supuestos!$I$147</f>
        <v>2.8387</v>
      </c>
      <c r="U83" s="206" t="n">
        <f aca="false">01_Supuestos!$I$147</f>
        <v>2.8387</v>
      </c>
      <c r="V83" s="206" t="n">
        <f aca="false">01_Supuestos!$I$147</f>
        <v>2.8387</v>
      </c>
      <c r="W83" s="206" t="n">
        <f aca="false">01_Supuestos!$I$147</f>
        <v>2.8387</v>
      </c>
      <c r="X83" s="206" t="n">
        <f aca="false">01_Supuestos!$I$147</f>
        <v>2.8387</v>
      </c>
      <c r="Y83" s="206" t="n">
        <f aca="false">01_Supuestos!$I$147</f>
        <v>2.8387</v>
      </c>
      <c r="Z83" s="206" t="n">
        <f aca="false">01_Supuestos!$I$147</f>
        <v>2.8387</v>
      </c>
      <c r="AA83" s="206" t="n">
        <f aca="false">01_Supuestos!$I$147</f>
        <v>2.8387</v>
      </c>
      <c r="AB83" s="206" t="n">
        <f aca="false">01_Supuestos!$I$147</f>
        <v>2.8387</v>
      </c>
      <c r="AC83" s="206" t="n">
        <f aca="false">01_Supuestos!$I$147</f>
        <v>2.8387</v>
      </c>
      <c r="AD83" s="206" t="n">
        <f aca="false">01_Supuestos!$I$147</f>
        <v>2.8387</v>
      </c>
      <c r="AE83" s="206" t="n">
        <f aca="false">01_Supuestos!$I$147</f>
        <v>2.8387</v>
      </c>
      <c r="AF83" s="206" t="n">
        <f aca="false">01_Supuestos!$I$147</f>
        <v>2.8387</v>
      </c>
      <c r="AG83" s="206"/>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206"/>
      <c r="BF83" s="206"/>
      <c r="BG83" s="206"/>
      <c r="BH83" s="206"/>
      <c r="BI83" s="206"/>
      <c r="BJ83" s="206"/>
      <c r="BK83" s="206"/>
      <c r="BL83" s="206"/>
      <c r="BM83" s="206"/>
      <c r="BN83" s="206"/>
      <c r="BO83" s="206"/>
      <c r="BP83" s="206"/>
      <c r="BQ83" s="206"/>
      <c r="BR83" s="206"/>
      <c r="BS83" s="206"/>
      <c r="BT83" s="206"/>
    </row>
    <row r="84" customFormat="false" ht="14.25" hidden="false" customHeight="true" outlineLevel="0" collapsed="false">
      <c r="B84" s="134" t="s">
        <v>1699</v>
      </c>
      <c r="C84" s="206" t="n">
        <f aca="false">01_Supuestos!$I$148</f>
        <v>0.429</v>
      </c>
      <c r="D84" s="206" t="n">
        <f aca="false">01_Supuestos!$I$148</f>
        <v>0.429</v>
      </c>
      <c r="E84" s="206" t="n">
        <f aca="false">01_Supuestos!$I$148</f>
        <v>0.429</v>
      </c>
      <c r="F84" s="206" t="n">
        <f aca="false">01_Supuestos!$I$148</f>
        <v>0.429</v>
      </c>
      <c r="G84" s="206" t="n">
        <f aca="false">01_Supuestos!$I$148</f>
        <v>0.429</v>
      </c>
      <c r="H84" s="206" t="n">
        <f aca="false">01_Supuestos!$I$148</f>
        <v>0.429</v>
      </c>
      <c r="I84" s="206" t="n">
        <f aca="false">01_Supuestos!$I$148</f>
        <v>0.429</v>
      </c>
      <c r="J84" s="206" t="n">
        <f aca="false">01_Supuestos!$I$148</f>
        <v>0.429</v>
      </c>
      <c r="K84" s="206" t="n">
        <f aca="false">01_Supuestos!$I$148</f>
        <v>0.429</v>
      </c>
      <c r="L84" s="206" t="n">
        <f aca="false">01_Supuestos!$I$148</f>
        <v>0.429</v>
      </c>
      <c r="M84" s="206" t="n">
        <f aca="false">01_Supuestos!$I$148</f>
        <v>0.429</v>
      </c>
      <c r="N84" s="206" t="n">
        <f aca="false">01_Supuestos!$I$148</f>
        <v>0.429</v>
      </c>
      <c r="O84" s="206" t="n">
        <f aca="false">01_Supuestos!$I$148</f>
        <v>0.429</v>
      </c>
      <c r="P84" s="206" t="n">
        <f aca="false">01_Supuestos!$I$148</f>
        <v>0.429</v>
      </c>
      <c r="Q84" s="206" t="n">
        <f aca="false">01_Supuestos!$I$148</f>
        <v>0.429</v>
      </c>
      <c r="R84" s="206" t="n">
        <f aca="false">01_Supuestos!$I$148</f>
        <v>0.429</v>
      </c>
      <c r="S84" s="206" t="n">
        <f aca="false">01_Supuestos!$I$148</f>
        <v>0.429</v>
      </c>
      <c r="T84" s="206" t="n">
        <f aca="false">01_Supuestos!$I$148</f>
        <v>0.429</v>
      </c>
      <c r="U84" s="206" t="n">
        <f aca="false">01_Supuestos!$I$148</f>
        <v>0.429</v>
      </c>
      <c r="V84" s="206" t="n">
        <f aca="false">01_Supuestos!$I$148</f>
        <v>0.429</v>
      </c>
      <c r="W84" s="206" t="n">
        <f aca="false">01_Supuestos!$I$148</f>
        <v>0.429</v>
      </c>
      <c r="X84" s="206" t="n">
        <f aca="false">01_Supuestos!$I$148</f>
        <v>0.429</v>
      </c>
      <c r="Y84" s="206" t="n">
        <f aca="false">01_Supuestos!$I$148</f>
        <v>0.429</v>
      </c>
      <c r="Z84" s="206" t="n">
        <f aca="false">01_Supuestos!$I$148</f>
        <v>0.429</v>
      </c>
      <c r="AA84" s="206" t="n">
        <f aca="false">01_Supuestos!$I$148</f>
        <v>0.429</v>
      </c>
      <c r="AB84" s="206" t="n">
        <f aca="false">01_Supuestos!$I$148</f>
        <v>0.429</v>
      </c>
      <c r="AC84" s="206" t="n">
        <f aca="false">01_Supuestos!$I$148</f>
        <v>0.429</v>
      </c>
      <c r="AD84" s="206" t="n">
        <f aca="false">01_Supuestos!$I$148</f>
        <v>0.429</v>
      </c>
      <c r="AE84" s="206" t="n">
        <f aca="false">01_Supuestos!$I$148</f>
        <v>0.429</v>
      </c>
      <c r="AF84" s="206" t="n">
        <f aca="false">01_Supuestos!$I$148</f>
        <v>0.429</v>
      </c>
      <c r="AG84" s="206"/>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206"/>
      <c r="BG84" s="206"/>
      <c r="BH84" s="206"/>
      <c r="BI84" s="206"/>
      <c r="BJ84" s="206"/>
      <c r="BK84" s="206"/>
      <c r="BL84" s="206"/>
      <c r="BM84" s="206"/>
      <c r="BN84" s="206"/>
      <c r="BO84" s="206"/>
      <c r="BP84" s="206"/>
      <c r="BQ84" s="206"/>
      <c r="BR84" s="206"/>
      <c r="BS84" s="206"/>
      <c r="BT84" s="206"/>
    </row>
    <row r="85" customFormat="false" ht="14.25" hidden="false" customHeight="true" outlineLevel="0" collapsed="false">
      <c r="B85" s="134" t="s">
        <v>1145</v>
      </c>
      <c r="C85" s="206" t="n">
        <f aca="false">01_Supuestos!$I$149</f>
        <v>0</v>
      </c>
      <c r="D85" s="206" t="n">
        <f aca="false">01_Supuestos!$I$149</f>
        <v>0</v>
      </c>
      <c r="E85" s="206" t="n">
        <f aca="false">01_Supuestos!$I$149</f>
        <v>0</v>
      </c>
      <c r="F85" s="206" t="n">
        <f aca="false">01_Supuestos!$I$149</f>
        <v>0</v>
      </c>
      <c r="G85" s="206" t="n">
        <f aca="false">01_Supuestos!$I$149</f>
        <v>0</v>
      </c>
      <c r="H85" s="206" t="n">
        <f aca="false">01_Supuestos!$I$149</f>
        <v>0</v>
      </c>
      <c r="I85" s="206" t="n">
        <f aca="false">01_Supuestos!$I$149</f>
        <v>0</v>
      </c>
      <c r="J85" s="206" t="n">
        <f aca="false">01_Supuestos!$I$149</f>
        <v>0</v>
      </c>
      <c r="K85" s="206" t="n">
        <f aca="false">01_Supuestos!$I$149</f>
        <v>0</v>
      </c>
      <c r="L85" s="206" t="n">
        <f aca="false">01_Supuestos!$I$149</f>
        <v>0</v>
      </c>
      <c r="M85" s="206" t="n">
        <f aca="false">01_Supuestos!$I$149</f>
        <v>0</v>
      </c>
      <c r="N85" s="206" t="n">
        <f aca="false">01_Supuestos!$I$149</f>
        <v>0</v>
      </c>
      <c r="O85" s="206" t="n">
        <f aca="false">01_Supuestos!$I$149</f>
        <v>0</v>
      </c>
      <c r="P85" s="206" t="n">
        <f aca="false">01_Supuestos!$I$149</f>
        <v>0</v>
      </c>
      <c r="Q85" s="206" t="n">
        <f aca="false">01_Supuestos!$I$149</f>
        <v>0</v>
      </c>
      <c r="R85" s="206" t="n">
        <f aca="false">01_Supuestos!$I$149</f>
        <v>0</v>
      </c>
      <c r="S85" s="206" t="n">
        <f aca="false">01_Supuestos!$I$149</f>
        <v>0</v>
      </c>
      <c r="T85" s="206" t="n">
        <f aca="false">01_Supuestos!$I$149</f>
        <v>0</v>
      </c>
      <c r="U85" s="206" t="n">
        <f aca="false">01_Supuestos!$I$149</f>
        <v>0</v>
      </c>
      <c r="V85" s="206" t="n">
        <f aca="false">01_Supuestos!$I$149</f>
        <v>0</v>
      </c>
      <c r="W85" s="206" t="n">
        <f aca="false">01_Supuestos!$I$149</f>
        <v>0</v>
      </c>
      <c r="X85" s="206" t="n">
        <f aca="false">01_Supuestos!$I$149</f>
        <v>0</v>
      </c>
      <c r="Y85" s="206" t="n">
        <f aca="false">01_Supuestos!$I$149</f>
        <v>0</v>
      </c>
      <c r="Z85" s="206" t="n">
        <f aca="false">01_Supuestos!$I$149</f>
        <v>0</v>
      </c>
      <c r="AA85" s="206" t="n">
        <f aca="false">01_Supuestos!$I$149</f>
        <v>0</v>
      </c>
      <c r="AB85" s="206" t="n">
        <f aca="false">01_Supuestos!$I$149</f>
        <v>0</v>
      </c>
      <c r="AC85" s="206" t="n">
        <f aca="false">01_Supuestos!$I$149</f>
        <v>0</v>
      </c>
      <c r="AD85" s="206" t="n">
        <f aca="false">01_Supuestos!$I$149</f>
        <v>0</v>
      </c>
      <c r="AE85" s="206" t="n">
        <f aca="false">01_Supuestos!$I$149</f>
        <v>0</v>
      </c>
      <c r="AF85" s="206" t="n">
        <f aca="false">01_Supuestos!$I$149</f>
        <v>0</v>
      </c>
      <c r="AG85" s="206"/>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206"/>
      <c r="BF85" s="206"/>
      <c r="BG85" s="206"/>
      <c r="BH85" s="206"/>
      <c r="BI85" s="206"/>
      <c r="BJ85" s="206"/>
      <c r="BK85" s="206"/>
      <c r="BL85" s="206"/>
      <c r="BM85" s="206"/>
      <c r="BN85" s="206"/>
      <c r="BO85" s="206"/>
      <c r="BP85" s="206"/>
      <c r="BQ85" s="206"/>
      <c r="BR85" s="206"/>
      <c r="BS85" s="206"/>
      <c r="BT85" s="206"/>
    </row>
    <row r="86" customFormat="false" ht="14.25" hidden="false" customHeight="true" outlineLevel="0" collapsed="false">
      <c r="B86" s="134" t="s">
        <v>1146</v>
      </c>
      <c r="C86" s="206" t="n">
        <f aca="false">01_Supuestos!$I$62*01_Supuestos!$I$30*12/1000000000000*IF(C17&lt;5,0,IF(C17&gt;=30,01_Supuestos!$I$150,(C17-5)/25*01_Supuestos!$I$150))</f>
        <v>0</v>
      </c>
      <c r="D86" s="206" t="n">
        <f aca="false">01_Supuestos!$I$62*01_Supuestos!$I$30*12/1000000000000*IF(D17&lt;5,0,IF(D17&gt;=30,01_Supuestos!$I$150,(D17-5)/25*01_Supuestos!$I$150))</f>
        <v>0</v>
      </c>
      <c r="E86" s="206" t="n">
        <f aca="false">01_Supuestos!$I$62*01_Supuestos!$I$30*12/1000000000000*IF(E17&lt;5,0,IF(E17&gt;=30,01_Supuestos!$I$150,(E17-5)/25*01_Supuestos!$I$150))</f>
        <v>0</v>
      </c>
      <c r="F86" s="206" t="n">
        <f aca="false">01_Supuestos!$I$62*01_Supuestos!$I$30*12/1000000000000*IF(F17&lt;5,0,IF(F17&gt;=30,01_Supuestos!$I$150,(F17-5)/25*01_Supuestos!$I$150))</f>
        <v>0</v>
      </c>
      <c r="G86" s="206" t="n">
        <f aca="false">01_Supuestos!$I$62*01_Supuestos!$I$30*12/1000000000000*IF(G17&lt;5,0,IF(G17&gt;=30,01_Supuestos!$I$150,(G17-5)/25*01_Supuestos!$I$150))</f>
        <v>0</v>
      </c>
      <c r="H86" s="206" t="n">
        <f aca="false">01_Supuestos!$I$62*01_Supuestos!$I$30*12/1000000000000*IF(H17&lt;5,0,IF(H17&gt;=30,01_Supuestos!$I$150,(H17-5)/25*01_Supuestos!$I$150))</f>
        <v>0</v>
      </c>
      <c r="I86" s="206" t="n">
        <f aca="false">01_Supuestos!$I$62*01_Supuestos!$I$30*12/1000000000000*IF(I17&lt;5,0,IF(I17&gt;=30,01_Supuestos!$I$150,(I17-5)/25*01_Supuestos!$I$150))</f>
        <v>0</v>
      </c>
      <c r="J86" s="206" t="n">
        <f aca="false">01_Supuestos!$I$62*01_Supuestos!$I$30*12/1000000000000*IF(J17&lt;5,0,IF(J17&gt;=30,01_Supuestos!$I$150,(J17-5)/25*01_Supuestos!$I$150))</f>
        <v>0</v>
      </c>
      <c r="K86" s="206" t="n">
        <f aca="false">01_Supuestos!$I$62*01_Supuestos!$I$30*12/1000000000000*IF(K17&lt;5,0,IF(K17&gt;=30,01_Supuestos!$I$150,(K17-5)/25*01_Supuestos!$I$150))</f>
        <v>0</v>
      </c>
      <c r="L86" s="206" t="n">
        <f aca="false">01_Supuestos!$I$62*01_Supuestos!$I$30*12/1000000000000*IF(L17&lt;5,0,IF(L17&gt;=30,01_Supuestos!$I$150,(L17-5)/25*01_Supuestos!$I$150))</f>
        <v>0</v>
      </c>
      <c r="M86" s="206" t="n">
        <f aca="false">01_Supuestos!$I$62*01_Supuestos!$I$30*12/1000000000000*IF(M17&lt;5,0,IF(M17&gt;=30,01_Supuestos!$I$150,(M17-5)/25*01_Supuestos!$I$150))</f>
        <v>0</v>
      </c>
      <c r="N86" s="206" t="n">
        <f aca="false">01_Supuestos!$I$62*01_Supuestos!$I$30*12/1000000000000*IF(N17&lt;5,0,IF(N17&gt;=30,01_Supuestos!$I$150,(N17-5)/25*01_Supuestos!$I$150))</f>
        <v>0</v>
      </c>
      <c r="O86" s="206" t="n">
        <f aca="false">01_Supuestos!$I$62*01_Supuestos!$I$30*12/1000000000000*IF(O17&lt;5,0,IF(O17&gt;=30,01_Supuestos!$I$150,(O17-5)/25*01_Supuestos!$I$150))</f>
        <v>0</v>
      </c>
      <c r="P86" s="206" t="n">
        <f aca="false">01_Supuestos!$I$62*01_Supuestos!$I$30*12/1000000000000*IF(P17&lt;5,0,IF(P17&gt;=30,01_Supuestos!$I$150,(P17-5)/25*01_Supuestos!$I$150))</f>
        <v>0</v>
      </c>
      <c r="Q86" s="206" t="n">
        <f aca="false">01_Supuestos!$I$62*01_Supuestos!$I$30*12/1000000000000*IF(Q17&lt;5,0,IF(Q17&gt;=30,01_Supuestos!$I$150,(Q17-5)/25*01_Supuestos!$I$150))</f>
        <v>0</v>
      </c>
      <c r="R86" s="206" t="n">
        <f aca="false">01_Supuestos!$I$62*01_Supuestos!$I$30*12/1000000000000*IF(R17&lt;5,0,IF(R17&gt;=30,01_Supuestos!$I$150,(R17-5)/25*01_Supuestos!$I$150))</f>
        <v>0</v>
      </c>
      <c r="S86" s="206" t="n">
        <f aca="false">01_Supuestos!$I$62*01_Supuestos!$I$30*12/1000000000000*IF(S17&lt;5,0,IF(S17&gt;=30,01_Supuestos!$I$150,(S17-5)/25*01_Supuestos!$I$150))</f>
        <v>0</v>
      </c>
      <c r="T86" s="206" t="n">
        <f aca="false">01_Supuestos!$I$62*01_Supuestos!$I$30*12/1000000000000*IF(T17&lt;5,0,IF(T17&gt;=30,01_Supuestos!$I$150,(T17-5)/25*01_Supuestos!$I$150))</f>
        <v>0</v>
      </c>
      <c r="U86" s="206" t="n">
        <f aca="false">01_Supuestos!$I$62*01_Supuestos!$I$30*12/1000000000000*IF(U17&lt;5,0,IF(U17&gt;=30,01_Supuestos!$I$150,(U17-5)/25*01_Supuestos!$I$150))</f>
        <v>0</v>
      </c>
      <c r="V86" s="206" t="n">
        <f aca="false">01_Supuestos!$I$62*01_Supuestos!$I$30*12/1000000000000*IF(V17&lt;5,0,IF(V17&gt;=30,01_Supuestos!$I$150,(V17-5)/25*01_Supuestos!$I$150))</f>
        <v>0</v>
      </c>
      <c r="W86" s="206" t="n">
        <f aca="false">01_Supuestos!$I$62*01_Supuestos!$I$30*12/1000000000000*IF(W17&lt;5,0,IF(W17&gt;=30,01_Supuestos!$I$150,(W17-5)/25*01_Supuestos!$I$150))</f>
        <v>0</v>
      </c>
      <c r="X86" s="206" t="n">
        <f aca="false">01_Supuestos!$I$62*01_Supuestos!$I$30*12/1000000000000*IF(X17&lt;5,0,IF(X17&gt;=30,01_Supuestos!$I$150,(X17-5)/25*01_Supuestos!$I$150))</f>
        <v>0</v>
      </c>
      <c r="Y86" s="206" t="n">
        <f aca="false">01_Supuestos!$I$62*01_Supuestos!$I$30*12/1000000000000*IF(Y17&lt;5,0,IF(Y17&gt;=30,01_Supuestos!$I$150,(Y17-5)/25*01_Supuestos!$I$150))</f>
        <v>0</v>
      </c>
      <c r="Z86" s="206" t="n">
        <f aca="false">01_Supuestos!$I$62*01_Supuestos!$I$30*12/1000000000000*IF(Z17&lt;5,0,IF(Z17&gt;=30,01_Supuestos!$I$150,(Z17-5)/25*01_Supuestos!$I$150))</f>
        <v>0</v>
      </c>
      <c r="AA86" s="206" t="n">
        <f aca="false">01_Supuestos!$I$62*01_Supuestos!$I$30*12/1000000000000*IF(AA17&lt;5,0,IF(AA17&gt;=30,01_Supuestos!$I$150,(AA17-5)/25*01_Supuestos!$I$150))</f>
        <v>0</v>
      </c>
      <c r="AB86" s="206" t="n">
        <f aca="false">01_Supuestos!$I$62*01_Supuestos!$I$30*12/1000000000000*IF(AB17&lt;5,0,IF(AB17&gt;=30,01_Supuestos!$I$150,(AB17-5)/25*01_Supuestos!$I$150))</f>
        <v>0</v>
      </c>
      <c r="AC86" s="206" t="n">
        <f aca="false">01_Supuestos!$I$62*01_Supuestos!$I$30*12/1000000000000*IF(AC17&lt;5,0,IF(AC17&gt;=30,01_Supuestos!$I$150,(AC17-5)/25*01_Supuestos!$I$150))</f>
        <v>0</v>
      </c>
      <c r="AD86" s="206" t="n">
        <f aca="false">01_Supuestos!$I$62*01_Supuestos!$I$30*12/1000000000000*IF(AD17&lt;5,0,IF(AD17&gt;=30,01_Supuestos!$I$150,(AD17-5)/25*01_Supuestos!$I$150))</f>
        <v>0</v>
      </c>
      <c r="AE86" s="206" t="n">
        <f aca="false">01_Supuestos!$I$62*01_Supuestos!$I$30*12/1000000000000*IF(AE17&lt;5,0,IF(AE17&gt;=30,01_Supuestos!$I$150,(AE17-5)/25*01_Supuestos!$I$150))</f>
        <v>0</v>
      </c>
      <c r="AF86" s="206" t="n">
        <f aca="false">01_Supuestos!$I$62*01_Supuestos!$I$30*12/1000000000000*IF(AF17&lt;5,0,IF(AF17&gt;=30,01_Supuestos!$I$150,(AF17-5)/25*01_Supuestos!$I$150))</f>
        <v>0</v>
      </c>
      <c r="AG86" s="206"/>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206"/>
      <c r="BF86" s="206"/>
      <c r="BG86" s="206"/>
      <c r="BH86" s="206"/>
      <c r="BI86" s="206"/>
      <c r="BJ86" s="206"/>
      <c r="BK86" s="206"/>
      <c r="BL86" s="206"/>
      <c r="BM86" s="206"/>
      <c r="BN86" s="206"/>
      <c r="BO86" s="206"/>
      <c r="BP86" s="206"/>
      <c r="BQ86" s="206"/>
      <c r="BR86" s="206"/>
      <c r="BS86" s="206"/>
      <c r="BT86" s="206"/>
    </row>
    <row r="87" customFormat="false" ht="14.25" hidden="false" customHeight="true" outlineLevel="0" collapsed="false">
      <c r="B87" s="134" t="s">
        <v>1700</v>
      </c>
      <c r="C87" s="206" t="n">
        <f aca="false">(1-C29)*C52</f>
        <v>0.0411328125</v>
      </c>
      <c r="D87" s="206" t="n">
        <f aca="false">(1-D29)*D52</f>
        <v>0.0832116796875</v>
      </c>
      <c r="E87" s="206" t="n">
        <f aca="false">(1-E29)*E52</f>
        <v>0.126258360820313</v>
      </c>
      <c r="F87" s="206" t="n">
        <f aca="false">(1-F29)*F52</f>
        <v>0.17029511561918</v>
      </c>
      <c r="G87" s="206" t="n">
        <f aca="false">(1-G29)*G52</f>
        <v>0.215344715778421</v>
      </c>
      <c r="H87" s="206" t="n">
        <f aca="false">(1-H29)*H52</f>
        <v>0.261430456741325</v>
      </c>
      <c r="I87" s="206" t="n">
        <f aca="false">(1-I29)*I52</f>
        <v>0.308576169746375</v>
      </c>
      <c r="J87" s="206" t="n">
        <f aca="false">(1-J29)*J52</f>
        <v>0.356806234150542</v>
      </c>
      <c r="K87" s="206" t="n">
        <f aca="false">(1-K29)*K52</f>
        <v>0.406145590036004</v>
      </c>
      <c r="L87" s="206" t="n">
        <f aca="false">(1-L29)*L52</f>
        <v>0.425416550646707</v>
      </c>
      <c r="M87" s="206" t="n">
        <f aca="false">(1-M29)*M52</f>
        <v>0.433180543342351</v>
      </c>
      <c r="N87" s="206" t="n">
        <f aca="false">(1-N29)*N52</f>
        <v>0.440944536037995</v>
      </c>
      <c r="O87" s="206" t="n">
        <f aca="false">(1-O29)*O52</f>
        <v>0.448708528733639</v>
      </c>
      <c r="P87" s="206" t="n">
        <f aca="false">(1-P29)*P52</f>
        <v>0.456472521429282</v>
      </c>
      <c r="Q87" s="206" t="n">
        <f aca="false">(1-Q29)*Q52</f>
        <v>0.464236514124926</v>
      </c>
      <c r="R87" s="206" t="n">
        <f aca="false">(1-R29)*R52</f>
        <v>0.471813766986203</v>
      </c>
      <c r="S87" s="206" t="n">
        <f aca="false">(1-S29)*S52</f>
        <v>0.479204280013113</v>
      </c>
      <c r="T87" s="206" t="n">
        <f aca="false">(1-T29)*T52</f>
        <v>0.486408053205656</v>
      </c>
      <c r="U87" s="206" t="n">
        <f aca="false">(1-U29)*U52</f>
        <v>0.493425086563831</v>
      </c>
      <c r="V87" s="206" t="n">
        <f aca="false">(1-V29)*V52</f>
        <v>0.500255380087641</v>
      </c>
      <c r="W87" s="206" t="n">
        <f aca="false">(1-W29)*W52</f>
        <v>0.506898933777082</v>
      </c>
      <c r="X87" s="206" t="n">
        <f aca="false">(1-X29)*X52</f>
        <v>0.513355747632158</v>
      </c>
      <c r="Y87" s="206" t="n">
        <f aca="false">(1-Y29)*Y52</f>
        <v>0.519625821652865</v>
      </c>
      <c r="Z87" s="206" t="n">
        <f aca="false">(1-Z29)*Z52</f>
        <v>0.525709155839206</v>
      </c>
      <c r="AA87" s="206" t="n">
        <f aca="false">(1-AA29)*AA52</f>
        <v>0.53160575019118</v>
      </c>
      <c r="AB87" s="206" t="n">
        <f aca="false">(1-AB29)*AB52</f>
        <v>0.537315604708788</v>
      </c>
      <c r="AC87" s="206" t="n">
        <f aca="false">(1-AC29)*AC52</f>
        <v>0.542838719392028</v>
      </c>
      <c r="AD87" s="206" t="n">
        <f aca="false">(1-AD29)*AD52</f>
        <v>0.548175094240901</v>
      </c>
      <c r="AE87" s="206" t="n">
        <f aca="false">(1-AE29)*AE52</f>
        <v>0.553324729255407</v>
      </c>
      <c r="AF87" s="206" t="n">
        <f aca="false">(1-AF29)*AF52</f>
        <v>0.558287624435546</v>
      </c>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row>
    <row r="88" customFormat="false" ht="14.25" hidden="false" customHeight="true" outlineLevel="0" collapsed="false">
      <c r="B88" s="81" t="s">
        <v>1156</v>
      </c>
      <c r="C88" s="138" t="n">
        <f aca="false">SUM(C81:C87)</f>
        <v>-18.3611671875</v>
      </c>
      <c r="D88" s="138" t="n">
        <f aca="false">SUM(D81:D87)</f>
        <v>-18.3458383203125</v>
      </c>
      <c r="E88" s="138" t="n">
        <f aca="false">SUM(E81:E87)</f>
        <v>-18.3302103891797</v>
      </c>
      <c r="F88" s="138" t="n">
        <f aca="false">SUM(F81:F87)</f>
        <v>-18.3142778531308</v>
      </c>
      <c r="G88" s="138" t="n">
        <f aca="false">SUM(G81:G87)</f>
        <v>-18.2980350771903</v>
      </c>
      <c r="H88" s="138" t="n">
        <f aca="false">SUM(H81:H87)</f>
        <v>-18.2814763310516</v>
      </c>
      <c r="I88" s="138" t="n">
        <f aca="false">SUM(I81:I87)</f>
        <v>-18.2645957877414</v>
      </c>
      <c r="J88" s="138" t="n">
        <f aca="false">SUM(J81:J87)</f>
        <v>-18.2473875222744</v>
      </c>
      <c r="K88" s="138" t="n">
        <f aca="false">SUM(K81:K87)</f>
        <v>-18.2298455102996</v>
      </c>
      <c r="L88" s="138" t="n">
        <f aca="false">SUM(L81:L87)</f>
        <v>-18.2431668271973</v>
      </c>
      <c r="M88" s="138" t="n">
        <f aca="false">SUM(M81:M87)</f>
        <v>2.33119008105225</v>
      </c>
      <c r="N88" s="138" t="n">
        <f aca="false">SUM(N81:N87)</f>
        <v>2.30471181219064</v>
      </c>
      <c r="O88" s="138" t="n">
        <f aca="false">SUM(O81:O87)</f>
        <v>2.2773774867901</v>
      </c>
      <c r="P88" s="138" t="n">
        <f aca="false">SUM(P81:P87)</f>
        <v>2.24916570343716</v>
      </c>
      <c r="Q88" s="138" t="n">
        <f aca="false">SUM(Q81:Q87)</f>
        <v>2.220054525683</v>
      </c>
      <c r="R88" s="138" t="n">
        <f aca="false">SUM(R81:R87)</f>
        <v>2.18983472883323</v>
      </c>
      <c r="S88" s="138" t="n">
        <f aca="false">SUM(S81:S87)</f>
        <v>2.15848326590631</v>
      </c>
      <c r="T88" s="138" t="n">
        <f aca="false">SUM(T81:T87)</f>
        <v>2.12597651374618</v>
      </c>
      <c r="U88" s="138" t="n">
        <f aca="false">SUM(U81:U87)</f>
        <v>2.09229025861787</v>
      </c>
      <c r="V88" s="138" t="n">
        <f aca="false">SUM(V81:V87)</f>
        <v>2.05739968144303</v>
      </c>
      <c r="W88" s="138" t="n">
        <f aca="false">SUM(W81:W87)</f>
        <v>2.02127934266636</v>
      </c>
      <c r="X88" s="138" t="n">
        <f aca="false">SUM(X81:X87)</f>
        <v>1.98390316674367</v>
      </c>
      <c r="Y88" s="138" t="n">
        <f aca="false">SUM(Y81:Y87)</f>
        <v>1.94524442624216</v>
      </c>
      <c r="Z88" s="138" t="n">
        <f aca="false">SUM(Z81:Z87)</f>
        <v>1.90527572554324</v>
      </c>
      <c r="AA88" s="138" t="n">
        <f aca="false">SUM(AA81:AA87)</f>
        <v>1.86396898413781</v>
      </c>
      <c r="AB88" s="138" t="n">
        <f aca="false">SUM(AB81:AB87)</f>
        <v>1.82129541950409</v>
      </c>
      <c r="AC88" s="138" t="n">
        <f aca="false">SUM(AC81:AC87)</f>
        <v>1.77722552955721</v>
      </c>
      <c r="AD88" s="138" t="n">
        <f aca="false">SUM(AD81:AD87)</f>
        <v>1.73172907466021</v>
      </c>
      <c r="AE88" s="138" t="n">
        <f aca="false">SUM(AE81:AE87)</f>
        <v>1.6847750591852</v>
      </c>
      <c r="AF88" s="138" t="n">
        <f aca="false">SUM(AF81:AF87)</f>
        <v>1.63633171261358</v>
      </c>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c r="BN88" s="138"/>
      <c r="BO88" s="138"/>
      <c r="BP88" s="138"/>
      <c r="BQ88" s="138"/>
      <c r="BR88" s="138"/>
      <c r="BS88" s="138"/>
      <c r="BT88" s="138"/>
    </row>
    <row r="89" customFormat="false" ht="14.25" hidden="false" customHeight="true" outlineLevel="0" collapsed="false">
      <c r="B89" s="81" t="s">
        <v>1157</v>
      </c>
      <c r="C89" s="138" t="n">
        <f aca="false">C88</f>
        <v>-18.3611671875</v>
      </c>
      <c r="D89" s="138" t="n">
        <f aca="false">C89+D88</f>
        <v>-36.7070055078125</v>
      </c>
      <c r="E89" s="138" t="n">
        <f aca="false">D89+E88</f>
        <v>-55.0372158969922</v>
      </c>
      <c r="F89" s="138" t="n">
        <f aca="false">E89+F88</f>
        <v>-73.351493750123</v>
      </c>
      <c r="G89" s="138" t="n">
        <f aca="false">F89+G88</f>
        <v>-91.6495288273134</v>
      </c>
      <c r="H89" s="138" t="n">
        <f aca="false">G89+H88</f>
        <v>-109.931005158365</v>
      </c>
      <c r="I89" s="138" t="n">
        <f aca="false">H89+I88</f>
        <v>-128.195600946106</v>
      </c>
      <c r="J89" s="138" t="n">
        <f aca="false">I89+J88</f>
        <v>-146.442988468381</v>
      </c>
      <c r="K89" s="138" t="n">
        <f aca="false">J89+K88</f>
        <v>-164.67283397868</v>
      </c>
      <c r="L89" s="138" t="n">
        <f aca="false">K89+L88</f>
        <v>-182.916000805878</v>
      </c>
      <c r="M89" s="138" t="n">
        <f aca="false">L89+M88</f>
        <v>-180.584810724826</v>
      </c>
      <c r="N89" s="138" t="n">
        <f aca="false">M89+N88</f>
        <v>-178.280098912635</v>
      </c>
      <c r="O89" s="138" t="n">
        <f aca="false">N89+O88</f>
        <v>-176.002721425845</v>
      </c>
      <c r="P89" s="138" t="n">
        <f aca="false">O89+P88</f>
        <v>-173.753555722408</v>
      </c>
      <c r="Q89" s="138" t="n">
        <f aca="false">P89+Q88</f>
        <v>-171.533501196725</v>
      </c>
      <c r="R89" s="138" t="n">
        <f aca="false">Q89+R88</f>
        <v>-169.343666467891</v>
      </c>
      <c r="S89" s="138" t="n">
        <f aca="false">R89+S88</f>
        <v>-167.185183201985</v>
      </c>
      <c r="T89" s="138" t="n">
        <f aca="false">S89+T88</f>
        <v>-165.059206688239</v>
      </c>
      <c r="U89" s="138" t="n">
        <f aca="false">T89+U88</f>
        <v>-162.966916429621</v>
      </c>
      <c r="V89" s="138" t="n">
        <f aca="false">U89+V88</f>
        <v>-160.909516748178</v>
      </c>
      <c r="W89" s="138" t="n">
        <f aca="false">V89+W88</f>
        <v>-158.888237405512</v>
      </c>
      <c r="X89" s="138" t="n">
        <f aca="false">W89+X88</f>
        <v>-156.904334238768</v>
      </c>
      <c r="Y89" s="138" t="n">
        <f aca="false">X89+Y88</f>
        <v>-154.959089812526</v>
      </c>
      <c r="Z89" s="138" t="n">
        <f aca="false">Y89+Z88</f>
        <v>-153.053814086983</v>
      </c>
      <c r="AA89" s="138" t="n">
        <f aca="false">Z89+AA88</f>
        <v>-151.189845102845</v>
      </c>
      <c r="AB89" s="138" t="n">
        <f aca="false">AA89+AB88</f>
        <v>-149.368549683341</v>
      </c>
      <c r="AC89" s="138" t="n">
        <f aca="false">AB89+AC88</f>
        <v>-147.591324153783</v>
      </c>
      <c r="AD89" s="138" t="n">
        <f aca="false">AC89+AD88</f>
        <v>-145.859595079123</v>
      </c>
      <c r="AE89" s="138" t="n">
        <f aca="false">AD89+AE88</f>
        <v>-144.174820019938</v>
      </c>
      <c r="AF89" s="138" t="n">
        <f aca="false">AE89+AF88</f>
        <v>-142.538488307324</v>
      </c>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c r="BN89" s="138"/>
      <c r="BO89" s="138"/>
      <c r="BP89" s="138"/>
      <c r="BQ89" s="138"/>
      <c r="BR89" s="138"/>
      <c r="BS89" s="138"/>
      <c r="BT89" s="138"/>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7" topLeftCell="C18" activePane="bottomRight" state="frozen"/>
      <selection pane="topLeft" activeCell="A1" activeCellId="0" sqref="A1"/>
      <selection pane="topRight" activeCell="C1" activeCellId="0" sqref="C1"/>
      <selection pane="bottomLeft" activeCell="A18" activeCellId="0" sqref="A18"/>
      <selection pane="bottomRigh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4"/>
    <col collapsed="false" customWidth="true" hidden="false" outlineLevel="0" max="72" min="3" style="1" width="9"/>
  </cols>
  <sheetData>
    <row r="2" customFormat="false" ht="17.25" hidden="false" customHeight="true" outlineLevel="0" collapsed="false">
      <c r="B2" s="18" t="s">
        <v>1701</v>
      </c>
    </row>
    <row r="3" customFormat="false" ht="43.5" hidden="false" customHeight="true" outlineLevel="0" collapsed="false">
      <c r="B3" s="123" t="s">
        <v>1661</v>
      </c>
      <c r="C3" s="123"/>
      <c r="D3" s="123"/>
      <c r="E3" s="123"/>
      <c r="F3" s="123"/>
      <c r="G3" s="123"/>
      <c r="H3" s="123"/>
      <c r="I3" s="123"/>
      <c r="J3" s="123"/>
      <c r="K3" s="123"/>
      <c r="L3" s="123"/>
      <c r="M3" s="123"/>
      <c r="N3" s="123"/>
      <c r="O3" s="123"/>
      <c r="P3" s="123"/>
    </row>
    <row r="5" customFormat="false" ht="14.25" hidden="false" customHeight="true" outlineLevel="0" collapsed="false">
      <c r="B5" s="1" t="s">
        <v>348</v>
      </c>
      <c r="C5" s="82" t="n">
        <v>0.0425</v>
      </c>
    </row>
    <row r="6" customFormat="false" ht="14.25" hidden="false" customHeight="true" outlineLevel="0" collapsed="false">
      <c r="B6" s="1" t="s">
        <v>1662</v>
      </c>
      <c r="C6" s="82" t="s">
        <v>398</v>
      </c>
    </row>
    <row r="7" customFormat="false" ht="14.25" hidden="false" customHeight="true" outlineLevel="0" collapsed="false">
      <c r="B7" s="1" t="s">
        <v>1002</v>
      </c>
      <c r="C7" s="82" t="n">
        <v>0.002</v>
      </c>
    </row>
    <row r="8" customFormat="false" ht="14.25" hidden="false" customHeight="true" outlineLevel="0" collapsed="false">
      <c r="B8" s="1" t="s">
        <v>1663</v>
      </c>
      <c r="C8" s="82" t="n">
        <v>0.01</v>
      </c>
    </row>
    <row r="9" customFormat="false" ht="14.25" hidden="false" customHeight="true" outlineLevel="0" collapsed="false">
      <c r="B9" s="1" t="s">
        <v>1005</v>
      </c>
      <c r="C9" s="82" t="n">
        <v>0.55</v>
      </c>
    </row>
    <row r="10" customFormat="false" ht="14.25" hidden="false" customHeight="true" outlineLevel="0" collapsed="false">
      <c r="B10" s="1" t="s">
        <v>1664</v>
      </c>
      <c r="C10" s="82" t="n">
        <f aca="false">C5</f>
        <v>0.0425</v>
      </c>
    </row>
    <row r="11" customFormat="false" ht="14.25" hidden="false" customHeight="true" outlineLevel="0" collapsed="false">
      <c r="B11" s="1" t="s">
        <v>1665</v>
      </c>
      <c r="C11" s="82" t="s">
        <v>1009</v>
      </c>
    </row>
    <row r="12" customFormat="false" ht="14.25" hidden="false" customHeight="true" outlineLevel="0" collapsed="false">
      <c r="B12" s="1" t="s">
        <v>1010</v>
      </c>
      <c r="C12" s="82" t="s">
        <v>1011</v>
      </c>
    </row>
    <row r="13" customFormat="false" ht="14.25" hidden="false" customHeight="true" outlineLevel="0" collapsed="false">
      <c r="B13" s="1" t="s">
        <v>1666</v>
      </c>
      <c r="C13" s="82" t="s">
        <v>1667</v>
      </c>
    </row>
    <row r="16" customFormat="false" ht="14.25" hidden="false" customHeight="true" outlineLevel="0" collapsed="false">
      <c r="B16" s="132" t="s">
        <v>1054</v>
      </c>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row>
    <row r="17" customFormat="false" ht="14.25" hidden="false" customHeight="true" outlineLevel="0" collapsed="false">
      <c r="B17" s="134" t="s">
        <v>784</v>
      </c>
      <c r="C17" s="205" t="n">
        <v>1</v>
      </c>
      <c r="D17" s="205" t="n">
        <v>2</v>
      </c>
      <c r="E17" s="205" t="n">
        <v>3</v>
      </c>
      <c r="F17" s="205" t="n">
        <v>4</v>
      </c>
      <c r="G17" s="205" t="n">
        <v>5</v>
      </c>
      <c r="H17" s="205" t="n">
        <v>6</v>
      </c>
      <c r="I17" s="205" t="n">
        <v>7</v>
      </c>
      <c r="J17" s="205" t="n">
        <v>8</v>
      </c>
      <c r="K17" s="205" t="n">
        <v>9</v>
      </c>
      <c r="L17" s="205" t="n">
        <v>10</v>
      </c>
      <c r="M17" s="205" t="n">
        <v>11</v>
      </c>
      <c r="N17" s="205" t="n">
        <v>12</v>
      </c>
      <c r="O17" s="205" t="n">
        <v>13</v>
      </c>
      <c r="P17" s="205" t="n">
        <v>14</v>
      </c>
      <c r="Q17" s="205" t="n">
        <v>15</v>
      </c>
      <c r="R17" s="205" t="n">
        <v>16</v>
      </c>
      <c r="S17" s="205" t="n">
        <v>17</v>
      </c>
      <c r="T17" s="205" t="n">
        <v>18</v>
      </c>
      <c r="U17" s="205" t="n">
        <v>19</v>
      </c>
      <c r="V17" s="205" t="n">
        <v>20</v>
      </c>
      <c r="W17" s="205" t="n">
        <v>21</v>
      </c>
      <c r="X17" s="205" t="n">
        <v>22</v>
      </c>
      <c r="Y17" s="205" t="n">
        <v>23</v>
      </c>
      <c r="Z17" s="205" t="n">
        <v>24</v>
      </c>
      <c r="AA17" s="205" t="n">
        <v>25</v>
      </c>
      <c r="AB17" s="205" t="n">
        <v>26</v>
      </c>
      <c r="AC17" s="205" t="n">
        <v>27</v>
      </c>
      <c r="AD17" s="205" t="n">
        <v>28</v>
      </c>
      <c r="AE17" s="205" t="n">
        <v>29</v>
      </c>
      <c r="AF17" s="205" t="n">
        <v>30</v>
      </c>
      <c r="AG17" s="205"/>
      <c r="AH17" s="205"/>
      <c r="AI17" s="205"/>
      <c r="AJ17" s="205"/>
      <c r="AK17" s="205"/>
      <c r="AL17" s="205"/>
      <c r="AM17" s="205"/>
      <c r="AN17" s="205"/>
      <c r="AO17" s="205"/>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5"/>
      <c r="BP17" s="205"/>
      <c r="BQ17" s="205"/>
      <c r="BR17" s="205"/>
      <c r="BS17" s="205"/>
      <c r="BT17" s="205"/>
    </row>
    <row r="18" customFormat="false" ht="14.25" hidden="false" customHeight="true" outlineLevel="0" collapsed="false">
      <c r="B18" s="134" t="s">
        <v>1055</v>
      </c>
      <c r="C18" s="206" t="n">
        <f aca="false">01_Supuestos!$I$25*(1+01_Supuestos!$I$9)^(C17-1)</f>
        <v>325</v>
      </c>
      <c r="D18" s="206" t="n">
        <f aca="false">01_Supuestos!$I$25*(1+01_Supuestos!$I$9)^(D17-1)</f>
        <v>332.475</v>
      </c>
      <c r="E18" s="206" t="n">
        <f aca="false">01_Supuestos!$I$25*(1+01_Supuestos!$I$9)^(E17-1)</f>
        <v>340.121925</v>
      </c>
      <c r="F18" s="206" t="n">
        <f aca="false">01_Supuestos!$I$25*(1+01_Supuestos!$I$9)^(F17-1)</f>
        <v>347.944729275</v>
      </c>
      <c r="G18" s="206" t="n">
        <f aca="false">01_Supuestos!$I$25*(1+01_Supuestos!$I$9)^(G17-1)</f>
        <v>355.947458048325</v>
      </c>
      <c r="H18" s="206" t="n">
        <f aca="false">01_Supuestos!$I$25*(1+01_Supuestos!$I$9)^(H17-1)</f>
        <v>364.134249583436</v>
      </c>
      <c r="I18" s="206" t="n">
        <f aca="false">01_Supuestos!$I$25*(1+01_Supuestos!$I$9)^(I17-1)</f>
        <v>372.509337323855</v>
      </c>
      <c r="J18" s="206" t="n">
        <f aca="false">01_Supuestos!$I$25*(1+01_Supuestos!$I$9)^(J17-1)</f>
        <v>381.077052082304</v>
      </c>
      <c r="K18" s="206" t="n">
        <f aca="false">01_Supuestos!$I$25*(1+01_Supuestos!$I$9)^(K17-1)</f>
        <v>389.841824280197</v>
      </c>
      <c r="L18" s="206" t="n">
        <f aca="false">01_Supuestos!$I$25*(1+01_Supuestos!$I$9)^(L17-1)</f>
        <v>398.808186238641</v>
      </c>
      <c r="M18" s="206" t="n">
        <f aca="false">01_Supuestos!$I$25*(1+01_Supuestos!$I$9)^(M17-1)</f>
        <v>407.98077452213</v>
      </c>
      <c r="N18" s="206" t="n">
        <f aca="false">01_Supuestos!$I$25*(1+01_Supuestos!$I$9)^(N17-1)</f>
        <v>417.364332336139</v>
      </c>
      <c r="O18" s="206" t="n">
        <f aca="false">01_Supuestos!$I$25*(1+01_Supuestos!$I$9)^(O17-1)</f>
        <v>426.96371197987</v>
      </c>
      <c r="P18" s="206" t="n">
        <f aca="false">01_Supuestos!$I$25*(1+01_Supuestos!$I$9)^(P17-1)</f>
        <v>436.783877355407</v>
      </c>
      <c r="Q18" s="206" t="n">
        <f aca="false">01_Supuestos!$I$25*(1+01_Supuestos!$I$9)^(Q17-1)</f>
        <v>446.829906534582</v>
      </c>
      <c r="R18" s="206" t="n">
        <f aca="false">01_Supuestos!$I$25*(1+01_Supuestos!$I$9)^(R17-1)</f>
        <v>457.106994384877</v>
      </c>
      <c r="S18" s="206" t="n">
        <f aca="false">01_Supuestos!$I$25*(1+01_Supuestos!$I$9)^(S17-1)</f>
        <v>467.620455255729</v>
      </c>
      <c r="T18" s="206" t="n">
        <f aca="false">01_Supuestos!$I$25*(1+01_Supuestos!$I$9)^(T17-1)</f>
        <v>478.375725726611</v>
      </c>
      <c r="U18" s="206" t="n">
        <f aca="false">01_Supuestos!$I$25*(1+01_Supuestos!$I$9)^(U17-1)</f>
        <v>489.378367418323</v>
      </c>
      <c r="V18" s="206" t="n">
        <f aca="false">01_Supuestos!$I$25*(1+01_Supuestos!$I$9)^(V17-1)</f>
        <v>500.634069868944</v>
      </c>
      <c r="W18" s="206" t="n">
        <f aca="false">01_Supuestos!$I$25*(1+01_Supuestos!$I$9)^(W17-1)</f>
        <v>512.14865347593</v>
      </c>
      <c r="X18" s="206" t="n">
        <f aca="false">01_Supuestos!$I$25*(1+01_Supuestos!$I$9)^(X17-1)</f>
        <v>523.928072505876</v>
      </c>
      <c r="Y18" s="206" t="n">
        <f aca="false">01_Supuestos!$I$25*(1+01_Supuestos!$I$9)^(Y17-1)</f>
        <v>535.978418173511</v>
      </c>
      <c r="Z18" s="206" t="n">
        <f aca="false">01_Supuestos!$I$25*(1+01_Supuestos!$I$9)^(Z17-1)</f>
        <v>548.305921791502</v>
      </c>
      <c r="AA18" s="206" t="n">
        <f aca="false">01_Supuestos!$I$25*(1+01_Supuestos!$I$9)^(AA17-1)</f>
        <v>560.916957992706</v>
      </c>
      <c r="AB18" s="206" t="n">
        <f aca="false">01_Supuestos!$I$25*(1+01_Supuestos!$I$9)^(AB17-1)</f>
        <v>573.818048026539</v>
      </c>
      <c r="AC18" s="206" t="n">
        <f aca="false">01_Supuestos!$I$25*(1+01_Supuestos!$I$9)^(AC17-1)</f>
        <v>587.015863131149</v>
      </c>
      <c r="AD18" s="206" t="n">
        <f aca="false">01_Supuestos!$I$25*(1+01_Supuestos!$I$9)^(AD17-1)</f>
        <v>600.517227983165</v>
      </c>
      <c r="AE18" s="206" t="n">
        <f aca="false">01_Supuestos!$I$25*(1+01_Supuestos!$I$9)^(AE17-1)</f>
        <v>614.329124226778</v>
      </c>
      <c r="AF18" s="206" t="n">
        <f aca="false">01_Supuestos!$I$25*(1+01_Supuestos!$I$9)^(AF17-1)</f>
        <v>628.458694083994</v>
      </c>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row>
    <row r="19" customFormat="false" ht="14.25" hidden="false" customHeight="true" outlineLevel="0" collapsed="false">
      <c r="B19" s="134" t="s">
        <v>1056</v>
      </c>
      <c r="C19" s="207" t="n">
        <f aca="false">IF($C$6="Sí",(1+01_Supuestos!$I$104)^C17,1)</f>
        <v>1.015</v>
      </c>
      <c r="D19" s="207" t="n">
        <f aca="false">IF($C$6="Sí",(1+01_Supuestos!$I$104)^D17,1)</f>
        <v>1.030225</v>
      </c>
      <c r="E19" s="207" t="n">
        <f aca="false">IF($C$6="Sí",(1+01_Supuestos!$I$104)^E17,1)</f>
        <v>1.045678375</v>
      </c>
      <c r="F19" s="207" t="n">
        <f aca="false">IF($C$6="Sí",(1+01_Supuestos!$I$104)^F17,1)</f>
        <v>1.061363550625</v>
      </c>
      <c r="G19" s="207" t="n">
        <f aca="false">IF($C$6="Sí",(1+01_Supuestos!$I$104)^G17,1)</f>
        <v>1.07728400388437</v>
      </c>
      <c r="H19" s="207" t="n">
        <f aca="false">IF($C$6="Sí",(1+01_Supuestos!$I$104)^H17,1)</f>
        <v>1.09344326394264</v>
      </c>
      <c r="I19" s="207" t="n">
        <f aca="false">IF($C$6="Sí",(1+01_Supuestos!$I$104)^I17,1)</f>
        <v>1.10984491290178</v>
      </c>
      <c r="J19" s="207" t="n">
        <f aca="false">IF($C$6="Sí",(1+01_Supuestos!$I$104)^J17,1)</f>
        <v>1.12649258659531</v>
      </c>
      <c r="K19" s="207" t="n">
        <f aca="false">IF($C$6="Sí",(1+01_Supuestos!$I$104)^K17,1)</f>
        <v>1.14338997539424</v>
      </c>
      <c r="L19" s="207" t="n">
        <f aca="false">IF($C$6="Sí",(1+01_Supuestos!$I$104)^L17,1)</f>
        <v>1.16054082502515</v>
      </c>
      <c r="M19" s="207" t="n">
        <f aca="false">IF($C$6="Sí",(1+01_Supuestos!$I$104)^M17,1)</f>
        <v>1.17794893740053</v>
      </c>
      <c r="N19" s="207" t="n">
        <f aca="false">IF($C$6="Sí",(1+01_Supuestos!$I$104)^N17,1)</f>
        <v>1.19561817146153</v>
      </c>
      <c r="O19" s="207" t="n">
        <f aca="false">IF($C$6="Sí",(1+01_Supuestos!$I$104)^O17,1)</f>
        <v>1.21355244403346</v>
      </c>
      <c r="P19" s="207" t="n">
        <f aca="false">IF($C$6="Sí",(1+01_Supuestos!$I$104)^P17,1)</f>
        <v>1.23175573069396</v>
      </c>
      <c r="Q19" s="207" t="n">
        <f aca="false">IF($C$6="Sí",(1+01_Supuestos!$I$104)^Q17,1)</f>
        <v>1.25023206665437</v>
      </c>
      <c r="R19" s="207" t="n">
        <f aca="false">IF($C$6="Sí",(1+01_Supuestos!$I$104)^R17,1)</f>
        <v>1.26898554765418</v>
      </c>
      <c r="S19" s="207" t="n">
        <f aca="false">IF($C$6="Sí",(1+01_Supuestos!$I$104)^S17,1)</f>
        <v>1.288020330869</v>
      </c>
      <c r="T19" s="207" t="n">
        <f aca="false">IF($C$6="Sí",(1+01_Supuestos!$I$104)^T17,1)</f>
        <v>1.30734063583203</v>
      </c>
      <c r="U19" s="207" t="n">
        <f aca="false">IF($C$6="Sí",(1+01_Supuestos!$I$104)^U17,1)</f>
        <v>1.32695074536951</v>
      </c>
      <c r="V19" s="207" t="n">
        <f aca="false">IF($C$6="Sí",(1+01_Supuestos!$I$104)^V17,1)</f>
        <v>1.34685500655005</v>
      </c>
      <c r="W19" s="207" t="n">
        <f aca="false">IF($C$6="Sí",(1+01_Supuestos!$I$104)^W17,1)</f>
        <v>1.3670578316483</v>
      </c>
      <c r="X19" s="207" t="n">
        <f aca="false">IF($C$6="Sí",(1+01_Supuestos!$I$104)^X17,1)</f>
        <v>1.38756369912303</v>
      </c>
      <c r="Y19" s="207" t="n">
        <f aca="false">IF($C$6="Sí",(1+01_Supuestos!$I$104)^Y17,1)</f>
        <v>1.40837715460987</v>
      </c>
      <c r="Z19" s="207" t="n">
        <f aca="false">IF($C$6="Sí",(1+01_Supuestos!$I$104)^Z17,1)</f>
        <v>1.42950281192902</v>
      </c>
      <c r="AA19" s="207" t="n">
        <f aca="false">IF($C$6="Sí",(1+01_Supuestos!$I$104)^AA17,1)</f>
        <v>1.45094535410796</v>
      </c>
      <c r="AB19" s="207" t="n">
        <f aca="false">IF($C$6="Sí",(1+01_Supuestos!$I$104)^AB17,1)</f>
        <v>1.47270953441958</v>
      </c>
      <c r="AC19" s="207" t="n">
        <f aca="false">IF($C$6="Sí",(1+01_Supuestos!$I$104)^AC17,1)</f>
        <v>1.49480017743587</v>
      </c>
      <c r="AD19" s="207" t="n">
        <f aca="false">IF($C$6="Sí",(1+01_Supuestos!$I$104)^AD17,1)</f>
        <v>1.51722218009741</v>
      </c>
      <c r="AE19" s="207" t="n">
        <f aca="false">IF($C$6="Sí",(1+01_Supuestos!$I$104)^AE17,1)</f>
        <v>1.53998051279887</v>
      </c>
      <c r="AF19" s="207" t="n">
        <f aca="false">IF($C$6="Sí",(1+01_Supuestos!$I$104)^AF17,1)</f>
        <v>1.56308022049085</v>
      </c>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07"/>
      <c r="BP19" s="207"/>
      <c r="BQ19" s="207"/>
      <c r="BR19" s="207"/>
      <c r="BS19" s="207"/>
      <c r="BT19" s="207"/>
    </row>
    <row r="20" customFormat="false" ht="14.25" hidden="false" customHeight="true" outlineLevel="0" collapsed="false">
      <c r="B20" s="134" t="s">
        <v>1057</v>
      </c>
      <c r="C20" s="207" t="n">
        <f aca="false">(1+01_Supuestos!$I$10)^(C17-1)</f>
        <v>1</v>
      </c>
      <c r="D20" s="207" t="n">
        <f aca="false">(1+01_Supuestos!$I$10)^(D17-1)</f>
        <v>1.035</v>
      </c>
      <c r="E20" s="207" t="n">
        <f aca="false">(1+01_Supuestos!$I$10)^(E17-1)</f>
        <v>1.071225</v>
      </c>
      <c r="F20" s="207" t="n">
        <f aca="false">(1+01_Supuestos!$I$10)^(F17-1)</f>
        <v>1.108717875</v>
      </c>
      <c r="G20" s="207" t="n">
        <f aca="false">(1+01_Supuestos!$I$10)^(G17-1)</f>
        <v>1.147523000625</v>
      </c>
      <c r="H20" s="207" t="n">
        <f aca="false">(1+01_Supuestos!$I$10)^(H17-1)</f>
        <v>1.18768630564687</v>
      </c>
      <c r="I20" s="207" t="n">
        <f aca="false">(1+01_Supuestos!$I$10)^(I17-1)</f>
        <v>1.22925532634452</v>
      </c>
      <c r="J20" s="207" t="n">
        <f aca="false">(1+01_Supuestos!$I$10)^(J17-1)</f>
        <v>1.27227926276657</v>
      </c>
      <c r="K20" s="207" t="n">
        <f aca="false">(1+01_Supuestos!$I$10)^(K17-1)</f>
        <v>1.3168090369634</v>
      </c>
      <c r="L20" s="207" t="n">
        <f aca="false">(1+01_Supuestos!$I$10)^(L17-1)</f>
        <v>1.36289735325712</v>
      </c>
      <c r="M20" s="207" t="n">
        <f aca="false">(1+01_Supuestos!$I$10)^(M17-1)</f>
        <v>1.41059876062112</v>
      </c>
      <c r="N20" s="207" t="n">
        <f aca="false">(1+01_Supuestos!$I$10)^(N17-1)</f>
        <v>1.45996971724286</v>
      </c>
      <c r="O20" s="207" t="n">
        <f aca="false">(1+01_Supuestos!$I$10)^(O17-1)</f>
        <v>1.51106865734636</v>
      </c>
      <c r="P20" s="207" t="n">
        <f aca="false">(1+01_Supuestos!$I$10)^(P17-1)</f>
        <v>1.56395606035348</v>
      </c>
      <c r="Q20" s="207" t="n">
        <f aca="false">(1+01_Supuestos!$I$10)^(Q17-1)</f>
        <v>1.61869452246585</v>
      </c>
      <c r="R20" s="207" t="n">
        <f aca="false">(1+01_Supuestos!$I$10)^(R17-1)</f>
        <v>1.67534883075216</v>
      </c>
      <c r="S20" s="207" t="n">
        <f aca="false">(1+01_Supuestos!$I$10)^(S17-1)</f>
        <v>1.73398603982848</v>
      </c>
      <c r="T20" s="207" t="n">
        <f aca="false">(1+01_Supuestos!$I$10)^(T17-1)</f>
        <v>1.79467555122248</v>
      </c>
      <c r="U20" s="207" t="n">
        <f aca="false">(1+01_Supuestos!$I$10)^(U17-1)</f>
        <v>1.85748919551527</v>
      </c>
      <c r="V20" s="207" t="n">
        <f aca="false">(1+01_Supuestos!$I$10)^(V17-1)</f>
        <v>1.9225013173583</v>
      </c>
      <c r="W20" s="207" t="n">
        <f aca="false">(1+01_Supuestos!$I$10)^(W17-1)</f>
        <v>1.98978886346584</v>
      </c>
      <c r="X20" s="207" t="n">
        <f aca="false">(1+01_Supuestos!$I$10)^(X17-1)</f>
        <v>2.05943147368715</v>
      </c>
      <c r="Y20" s="207" t="n">
        <f aca="false">(1+01_Supuestos!$I$10)^(Y17-1)</f>
        <v>2.1315115752662</v>
      </c>
      <c r="Z20" s="207" t="n">
        <f aca="false">(1+01_Supuestos!$I$10)^(Z17-1)</f>
        <v>2.20611448040051</v>
      </c>
      <c r="AA20" s="207" t="n">
        <f aca="false">(1+01_Supuestos!$I$10)^(AA17-1)</f>
        <v>2.28332848721453</v>
      </c>
      <c r="AB20" s="207" t="n">
        <f aca="false">(1+01_Supuestos!$I$10)^(AB17-1)</f>
        <v>2.36324498426704</v>
      </c>
      <c r="AC20" s="207" t="n">
        <f aca="false">(1+01_Supuestos!$I$10)^(AC17-1)</f>
        <v>2.44595855871639</v>
      </c>
      <c r="AD20" s="207" t="n">
        <f aca="false">(1+01_Supuestos!$I$10)^(AD17-1)</f>
        <v>2.53156710827146</v>
      </c>
      <c r="AE20" s="207" t="n">
        <f aca="false">(1+01_Supuestos!$I$10)^(AE17-1)</f>
        <v>2.62017195706096</v>
      </c>
      <c r="AF20" s="207" t="n">
        <f aca="false">(1+01_Supuestos!$I$10)^(AF17-1)</f>
        <v>2.71187797555809</v>
      </c>
      <c r="AG20" s="207"/>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207"/>
      <c r="BH20" s="207"/>
      <c r="BI20" s="207"/>
      <c r="BJ20" s="207"/>
      <c r="BK20" s="207"/>
      <c r="BL20" s="207"/>
      <c r="BM20" s="207"/>
      <c r="BN20" s="207"/>
      <c r="BO20" s="207"/>
      <c r="BP20" s="207"/>
      <c r="BQ20" s="207"/>
      <c r="BR20" s="207"/>
      <c r="BS20" s="207"/>
      <c r="BT20" s="207"/>
    </row>
    <row r="21" customFormat="false" ht="14.25" hidden="false" customHeight="true" outlineLevel="0" collapsed="false">
      <c r="B21" s="132" t="s">
        <v>1058</v>
      </c>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row>
    <row r="22" customFormat="false" ht="14.25" hidden="false" customHeight="true" outlineLevel="0" collapsed="false">
      <c r="B22" s="134" t="s">
        <v>1668</v>
      </c>
      <c r="C22" s="206" t="n">
        <f aca="false">18_Motor_v662!C16</f>
        <v>56.77404</v>
      </c>
      <c r="D22" s="206" t="n">
        <f aca="false">18_Motor_v662!D16</f>
        <v>33.605448</v>
      </c>
      <c r="E22" s="206" t="n">
        <f aca="false">18_Motor_v662!E16</f>
        <v>28.8</v>
      </c>
      <c r="F22" s="206" t="n">
        <f aca="false">18_Motor_v662!F16</f>
        <v>65.644182</v>
      </c>
      <c r="G22" s="206" t="n">
        <f aca="false">18_Motor_v662!G16</f>
        <v>0</v>
      </c>
      <c r="H22" s="206" t="n">
        <f aca="false">18_Motor_v662!H16</f>
        <v>0</v>
      </c>
      <c r="I22" s="206" t="n">
        <f aca="false">18_Motor_v662!I16</f>
        <v>0</v>
      </c>
      <c r="J22" s="206" t="n">
        <f aca="false">18_Motor_v662!J16</f>
        <v>0</v>
      </c>
      <c r="K22" s="206" t="n">
        <f aca="false">18_Motor_v662!K16</f>
        <v>0</v>
      </c>
      <c r="L22" s="206" t="n">
        <f aca="false">18_Motor_v662!L16</f>
        <v>0</v>
      </c>
      <c r="M22" s="206" t="n">
        <f aca="false">18_Motor_v662!M16</f>
        <v>0</v>
      </c>
      <c r="N22" s="206" t="n">
        <f aca="false">18_Motor_v662!N16</f>
        <v>0</v>
      </c>
      <c r="O22" s="206" t="n">
        <f aca="false">18_Motor_v662!O16</f>
        <v>0</v>
      </c>
      <c r="P22" s="206" t="n">
        <f aca="false">18_Motor_v662!P16</f>
        <v>0</v>
      </c>
      <c r="Q22" s="206" t="n">
        <f aca="false">18_Motor_v662!Q16</f>
        <v>0</v>
      </c>
      <c r="R22" s="206" t="n">
        <f aca="false">18_Motor_v662!R16</f>
        <v>0</v>
      </c>
      <c r="S22" s="206" t="n">
        <f aca="false">18_Motor_v662!S16</f>
        <v>0</v>
      </c>
      <c r="T22" s="206" t="n">
        <f aca="false">18_Motor_v662!T16</f>
        <v>0</v>
      </c>
      <c r="U22" s="206" t="n">
        <f aca="false">18_Motor_v662!U16</f>
        <v>0</v>
      </c>
      <c r="V22" s="206" t="n">
        <f aca="false">18_Motor_v662!V16</f>
        <v>0</v>
      </c>
      <c r="W22" s="206" t="n">
        <f aca="false">18_Motor_v662!W16</f>
        <v>0</v>
      </c>
      <c r="X22" s="206" t="n">
        <f aca="false">18_Motor_v662!X16</f>
        <v>0</v>
      </c>
      <c r="Y22" s="206" t="n">
        <f aca="false">18_Motor_v662!Y16</f>
        <v>0</v>
      </c>
      <c r="Z22" s="206" t="n">
        <f aca="false">18_Motor_v662!Z16</f>
        <v>0</v>
      </c>
      <c r="AA22" s="206" t="n">
        <f aca="false">18_Motor_v662!AA16</f>
        <v>0</v>
      </c>
      <c r="AB22" s="206" t="n">
        <f aca="false">18_Motor_v662!AB16</f>
        <v>0</v>
      </c>
      <c r="AC22" s="206" t="n">
        <f aca="false">18_Motor_v662!AC16</f>
        <v>0</v>
      </c>
      <c r="AD22" s="206" t="n">
        <f aca="false">18_Motor_v662!AD16</f>
        <v>0</v>
      </c>
      <c r="AE22" s="206" t="n">
        <f aca="false">18_Motor_v662!AE16</f>
        <v>0</v>
      </c>
      <c r="AF22" s="206" t="n">
        <f aca="false">18_Motor_v662!AF16</f>
        <v>0</v>
      </c>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6"/>
      <c r="BP22" s="206"/>
      <c r="BQ22" s="206"/>
      <c r="BR22" s="206"/>
      <c r="BS22" s="206"/>
      <c r="BT22" s="206"/>
    </row>
    <row r="23" customFormat="false" ht="14.25" hidden="false" customHeight="true" outlineLevel="0" collapsed="false">
      <c r="B23" s="134" t="s">
        <v>1669</v>
      </c>
      <c r="C23" s="206" t="n">
        <f aca="false">18_Motor_v662!C17</f>
        <v>0</v>
      </c>
      <c r="D23" s="206" t="n">
        <f aca="false">18_Motor_v662!D17</f>
        <v>0</v>
      </c>
      <c r="E23" s="206" t="n">
        <f aca="false">18_Motor_v662!E17</f>
        <v>0</v>
      </c>
      <c r="F23" s="206" t="n">
        <f aca="false">18_Motor_v662!F17</f>
        <v>26.4</v>
      </c>
      <c r="G23" s="206" t="n">
        <f aca="false">18_Motor_v662!G17</f>
        <v>0</v>
      </c>
      <c r="H23" s="206" t="n">
        <f aca="false">18_Motor_v662!H17</f>
        <v>0</v>
      </c>
      <c r="I23" s="206" t="n">
        <f aca="false">18_Motor_v662!I17</f>
        <v>0</v>
      </c>
      <c r="J23" s="206" t="n">
        <f aca="false">18_Motor_v662!J17</f>
        <v>0</v>
      </c>
      <c r="K23" s="206" t="n">
        <f aca="false">18_Motor_v662!K17</f>
        <v>0</v>
      </c>
      <c r="L23" s="206" t="n">
        <f aca="false">18_Motor_v662!L17</f>
        <v>0</v>
      </c>
      <c r="M23" s="206" t="n">
        <f aca="false">18_Motor_v662!M17</f>
        <v>0</v>
      </c>
      <c r="N23" s="206" t="n">
        <f aca="false">18_Motor_v662!N17</f>
        <v>0</v>
      </c>
      <c r="O23" s="206" t="n">
        <f aca="false">18_Motor_v662!O17</f>
        <v>0</v>
      </c>
      <c r="P23" s="206" t="n">
        <f aca="false">18_Motor_v662!P17</f>
        <v>0</v>
      </c>
      <c r="Q23" s="206" t="n">
        <f aca="false">18_Motor_v662!Q17</f>
        <v>0</v>
      </c>
      <c r="R23" s="206" t="n">
        <f aca="false">18_Motor_v662!R17</f>
        <v>0</v>
      </c>
      <c r="S23" s="206" t="n">
        <f aca="false">18_Motor_v662!S17</f>
        <v>0</v>
      </c>
      <c r="T23" s="206" t="n">
        <f aca="false">18_Motor_v662!T17</f>
        <v>0</v>
      </c>
      <c r="U23" s="206" t="n">
        <f aca="false">18_Motor_v662!U17</f>
        <v>0</v>
      </c>
      <c r="V23" s="206" t="n">
        <f aca="false">18_Motor_v662!V17</f>
        <v>0</v>
      </c>
      <c r="W23" s="206" t="n">
        <f aca="false">18_Motor_v662!W17</f>
        <v>0</v>
      </c>
      <c r="X23" s="206" t="n">
        <f aca="false">18_Motor_v662!X17</f>
        <v>0</v>
      </c>
      <c r="Y23" s="206" t="n">
        <f aca="false">18_Motor_v662!Y17</f>
        <v>0</v>
      </c>
      <c r="Z23" s="206" t="n">
        <f aca="false">18_Motor_v662!Z17</f>
        <v>0</v>
      </c>
      <c r="AA23" s="206" t="n">
        <f aca="false">18_Motor_v662!AA17</f>
        <v>0</v>
      </c>
      <c r="AB23" s="206" t="n">
        <f aca="false">18_Motor_v662!AB17</f>
        <v>0</v>
      </c>
      <c r="AC23" s="206" t="n">
        <f aca="false">18_Motor_v662!AC17</f>
        <v>0</v>
      </c>
      <c r="AD23" s="206" t="n">
        <f aca="false">18_Motor_v662!AD17</f>
        <v>0</v>
      </c>
      <c r="AE23" s="206" t="n">
        <f aca="false">18_Motor_v662!AE17</f>
        <v>0</v>
      </c>
      <c r="AF23" s="206" t="n">
        <f aca="false">18_Motor_v662!AF17</f>
        <v>0</v>
      </c>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6"/>
      <c r="BF23" s="206"/>
      <c r="BG23" s="206"/>
      <c r="BH23" s="206"/>
      <c r="BI23" s="206"/>
      <c r="BJ23" s="206"/>
      <c r="BK23" s="206"/>
      <c r="BL23" s="206"/>
      <c r="BM23" s="206"/>
      <c r="BN23" s="206"/>
      <c r="BO23" s="206"/>
      <c r="BP23" s="206"/>
      <c r="BQ23" s="206"/>
      <c r="BR23" s="206"/>
      <c r="BS23" s="206"/>
      <c r="BT23" s="206"/>
    </row>
    <row r="24" customFormat="false" ht="14.25" hidden="false" customHeight="true" outlineLevel="0" collapsed="false">
      <c r="B24" s="134" t="s">
        <v>1670</v>
      </c>
      <c r="C24" s="206" t="n">
        <f aca="false">IF(OR(C17&lt;4,C17&gt;01_Supuestos!$I$145),0,(10_Motor!C35-10_Motor!C62)/(1+10_Motor!C8)^(C17-4)*IF($C$6="Sí",MAX(0,01_Supuestos!$I$63-01_Supuestos!$I$64*(C19-1))/01_Supuestos!$I$63,1)+10_Motor!C62/(1+10_Motor!C8)^(C17-4))</f>
        <v>0</v>
      </c>
      <c r="D24" s="206" t="n">
        <f aca="false">IF(OR(D17&lt;4,D17&gt;01_Supuestos!$I$145),0,(10_Motor!D35-10_Motor!D62)/(1+10_Motor!D8)^(D17-4)*IF($C$6="Sí",MAX(0,01_Supuestos!$I$63-01_Supuestos!$I$64*(D19-1))/01_Supuestos!$I$63,1)+10_Motor!D62/(1+10_Motor!D8)^(D17-4))</f>
        <v>0</v>
      </c>
      <c r="E24" s="206" t="n">
        <f aca="false">IF(OR(E17&lt;4,E17&gt;01_Supuestos!$I$145),0,(10_Motor!E35-10_Motor!E62)/(1+10_Motor!E8)^(E17-4)*IF($C$6="Sí",MAX(0,01_Supuestos!$I$63-01_Supuestos!$I$64*(E19-1))/01_Supuestos!$I$63,1)+10_Motor!E62/(1+10_Motor!E8)^(E17-4))</f>
        <v>0</v>
      </c>
      <c r="F24" s="206" t="n">
        <f aca="false">IF(OR(F17&lt;4,F17&gt;01_Supuestos!$I$145),0,(10_Motor!F35-10_Motor!F62)/(1+10_Motor!F8)^(F17-4)*IF($C$6="Sí",MAX(0,01_Supuestos!$I$63-01_Supuestos!$I$64*(F19-1))/01_Supuestos!$I$63,1)+10_Motor!F62/(1+10_Motor!F8)^(F17-4))</f>
        <v>3.15071870662724</v>
      </c>
      <c r="G24" s="206" t="n">
        <f aca="false">IF(OR(G17&lt;4,G17&gt;01_Supuestos!$I$145),0,(10_Motor!G35-10_Motor!G62)/(1+10_Motor!G8)^(G17-4)*IF($C$6="Sí",MAX(0,01_Supuestos!$I$63-01_Supuestos!$I$64*(G19-1))/01_Supuestos!$I$63,1)+10_Motor!G62/(1+10_Motor!G8)^(G17-4))</f>
        <v>3.138701630098</v>
      </c>
      <c r="H24" s="206" t="n">
        <f aca="false">IF(OR(H17&lt;4,H17&gt;01_Supuestos!$I$145),0,(10_Motor!H35-10_Motor!H62)/(1+10_Motor!H8)^(H17-4)*IF($C$6="Sí",MAX(0,01_Supuestos!$I$63-01_Supuestos!$I$64*(H19-1))/01_Supuestos!$I$63,1)+10_Motor!H62/(1+10_Motor!H8)^(H17-4))</f>
        <v>3.12650429742082</v>
      </c>
      <c r="I24" s="206" t="n">
        <f aca="false">IF(OR(I17&lt;4,I17&gt;01_Supuestos!$I$145),0,(10_Motor!I35-10_Motor!I62)/(1+10_Motor!I8)^(I17-4)*IF($C$6="Sí",MAX(0,01_Supuestos!$I$63-01_Supuestos!$I$64*(I19-1))/01_Supuestos!$I$63,1)+10_Motor!I62/(1+10_Motor!I8)^(I17-4))</f>
        <v>3.11412400475348</v>
      </c>
      <c r="J24" s="206" t="n">
        <f aca="false">IF(OR(J17&lt;4,J17&gt;01_Supuestos!$I$145),0,(10_Motor!J35-10_Motor!J62)/(1+10_Motor!J8)^(J17-4)*IF($C$6="Sí",MAX(0,01_Supuestos!$I$63-01_Supuestos!$I$64*(J19-1))/01_Supuestos!$I$63,1)+10_Motor!J62/(1+10_Motor!J8)^(J17-4))</f>
        <v>3.10155800769613</v>
      </c>
      <c r="K24" s="206" t="n">
        <f aca="false">IF(OR(K17&lt;4,K17&gt;01_Supuestos!$I$145),0,(10_Motor!K35-10_Motor!K62)/(1+10_Motor!K8)^(K17-4)*IF($C$6="Sí",MAX(0,01_Supuestos!$I$63-01_Supuestos!$I$64*(K19-1))/01_Supuestos!$I$63,1)+10_Motor!K62/(1+10_Motor!K8)^(K17-4))</f>
        <v>3.08880352068292</v>
      </c>
      <c r="L24" s="206" t="n">
        <f aca="false">IF(OR(L17&lt;4,L17&gt;01_Supuestos!$I$145),0,(10_Motor!L35-10_Motor!L62)/(1+10_Motor!L8)^(L17-4)*IF($C$6="Sí",MAX(0,01_Supuestos!$I$63-01_Supuestos!$I$64*(L19-1))/01_Supuestos!$I$63,1)+10_Motor!L62/(1+10_Motor!L8)^(L17-4))</f>
        <v>3.07585771636452</v>
      </c>
      <c r="M24" s="206" t="n">
        <f aca="false">IF(OR(M17&lt;4,M17&gt;01_Supuestos!$I$145),0,(10_Motor!M35-10_Motor!M62)/(1+10_Motor!M8)^(M17-4)*IF($C$6="Sí",MAX(0,01_Supuestos!$I$63-01_Supuestos!$I$64*(M19-1))/01_Supuestos!$I$63,1)+10_Motor!M62/(1+10_Motor!M8)^(M17-4))</f>
        <v>3.06271772498134</v>
      </c>
      <c r="N24" s="206" t="n">
        <f aca="false">IF(OR(N17&lt;4,N17&gt;01_Supuestos!$I$145),0,(10_Motor!N35-10_Motor!N62)/(1+10_Motor!N8)^(N17-4)*IF($C$6="Sí",MAX(0,01_Supuestos!$I$63-01_Supuestos!$I$64*(N19-1))/01_Supuestos!$I$63,1)+10_Motor!N62/(1+10_Motor!N8)^(N17-4))</f>
        <v>3.04938063372741</v>
      </c>
      <c r="O24" s="206" t="n">
        <f aca="false">IF(OR(O17&lt;4,O17&gt;01_Supuestos!$I$145),0,(10_Motor!O35-10_Motor!O62)/(1+10_Motor!O8)^(O17-4)*IF($C$6="Sí",MAX(0,01_Supuestos!$I$63-01_Supuestos!$I$64*(O19-1))/01_Supuestos!$I$63,1)+10_Motor!O62/(1+10_Motor!O8)^(O17-4))</f>
        <v>3.03584348610467</v>
      </c>
      <c r="P24" s="206" t="n">
        <f aca="false">IF(OR(P17&lt;4,P17&gt;01_Supuestos!$I$145),0,(10_Motor!P35-10_Motor!P62)/(1+10_Motor!P8)^(P17-4)*IF($C$6="Sí",MAX(0,01_Supuestos!$I$63-01_Supuestos!$I$64*(P19-1))/01_Supuestos!$I$63,1)+10_Motor!P62/(1+10_Motor!P8)^(P17-4))</f>
        <v>3.02210328126759</v>
      </c>
      <c r="Q24" s="206" t="n">
        <f aca="false">IF(OR(Q17&lt;4,Q17&gt;01_Supuestos!$I$145),0,(10_Motor!Q35-10_Motor!Q62)/(1+10_Motor!Q8)^(Q17-4)*IF($C$6="Sí",MAX(0,01_Supuestos!$I$63-01_Supuestos!$I$64*(Q19-1))/01_Supuestos!$I$63,1)+10_Motor!Q62/(1+10_Motor!Q8)^(Q17-4))</f>
        <v>3.00815697335795</v>
      </c>
      <c r="R24" s="206" t="n">
        <f aca="false">IF(OR(R17&lt;4,R17&gt;01_Supuestos!$I$145),0,(10_Motor!R35-10_Motor!R62)/(1+10_Motor!R8)^(R17-4)*IF($C$6="Sí",MAX(0,01_Supuestos!$I$63-01_Supuestos!$I$64*(R19-1))/01_Supuestos!$I$63,1)+10_Motor!R62/(1+10_Motor!R8)^(R17-4))</f>
        <v>2.90472995620195</v>
      </c>
      <c r="S24" s="206" t="n">
        <f aca="false">IF(OR(S17&lt;4,S17&gt;01_Supuestos!$I$145),0,(10_Motor!S35-10_Motor!S62)/(1+10_Motor!S8)^(S17-4)*IF($C$6="Sí",MAX(0,01_Supuestos!$I$63-01_Supuestos!$I$64*(S19-1))/01_Supuestos!$I$63,1)+10_Motor!S62/(1+10_Motor!S8)^(S17-4))</f>
        <v>2.80262317558176</v>
      </c>
      <c r="T24" s="206" t="n">
        <f aca="false">IF(OR(T17&lt;4,T17&gt;01_Supuestos!$I$145),0,(10_Motor!T35-10_Motor!T62)/(1+10_Motor!T8)^(T17-4)*IF($C$6="Sí",MAX(0,01_Supuestos!$I$63-01_Supuestos!$I$64*(T19-1))/01_Supuestos!$I$63,1)+10_Motor!T62/(1+10_Motor!T8)^(T17-4))</f>
        <v>2.70186792931346</v>
      </c>
      <c r="U24" s="206" t="n">
        <f aca="false">IF(OR(U17&lt;4,U17&gt;01_Supuestos!$I$145),0,(10_Motor!U35-10_Motor!U62)/(1+10_Motor!U8)^(U17-4)*IF($C$6="Sí",MAX(0,01_Supuestos!$I$63-01_Supuestos!$I$64*(U19-1))/01_Supuestos!$I$63,1)+10_Motor!U62/(1+10_Motor!U8)^(U17-4))</f>
        <v>2.60249615709441</v>
      </c>
      <c r="V24" s="206" t="n">
        <f aca="false">IF(OR(V17&lt;4,V17&gt;01_Supuestos!$I$145),0,(10_Motor!V35-10_Motor!V62)/(1+10_Motor!V8)^(V17-4)*IF($C$6="Sí",MAX(0,01_Supuestos!$I$63-01_Supuestos!$I$64*(V19-1))/01_Supuestos!$I$63,1)+10_Motor!V62/(1+10_Motor!V8)^(V17-4))</f>
        <v>2.50454045271765</v>
      </c>
      <c r="W24" s="206" t="n">
        <f aca="false">IF(OR(W17&lt;4,W17&gt;01_Supuestos!$I$145),0,(10_Motor!W35-10_Motor!W62)/(1+10_Motor!W8)^(W17-4)*IF($C$6="Sí",MAX(0,01_Supuestos!$I$63-01_Supuestos!$I$64*(W19-1))/01_Supuestos!$I$63,1)+10_Motor!W62/(1+10_Motor!W8)^(W17-4))</f>
        <v>2.40803407650835</v>
      </c>
      <c r="X24" s="206" t="n">
        <f aca="false">IF(OR(X17&lt;4,X17&gt;01_Supuestos!$I$145),0,(10_Motor!X35-10_Motor!X62)/(1+10_Motor!X8)^(X17-4)*IF($C$6="Sí",MAX(0,01_Supuestos!$I$63-01_Supuestos!$I$64*(X19-1))/01_Supuestos!$I$63,1)+10_Motor!X62/(1+10_Motor!X8)^(X17-4))</f>
        <v>2.31301096798619</v>
      </c>
      <c r="Y24" s="206" t="n">
        <f aca="false">IF(OR(Y17&lt;4,Y17&gt;01_Supuestos!$I$145),0,(10_Motor!Y35-10_Motor!Y62)/(1+10_Motor!Y8)^(Y17-4)*IF($C$6="Sí",MAX(0,01_Supuestos!$I$63-01_Supuestos!$I$64*(Y19-1))/01_Supuestos!$I$63,1)+10_Motor!Y62/(1+10_Motor!Y8)^(Y17-4))</f>
        <v>2.21950575875756</v>
      </c>
      <c r="Z24" s="206" t="n">
        <f aca="false">IF(OR(Z17&lt;4,Z17&gt;01_Supuestos!$I$145),0,(10_Motor!Z35-10_Motor!Z62)/(1+10_Motor!Z8)^(Z17-4)*IF($C$6="Sí",MAX(0,01_Supuestos!$I$63-01_Supuestos!$I$64*(Z19-1))/01_Supuestos!$I$63,1)+10_Motor!Z62/(1+10_Motor!Z8)^(Z17-4))</f>
        <v>2.12755378564186</v>
      </c>
      <c r="AA24" s="206" t="n">
        <f aca="false">IF(OR(AA17&lt;4,AA17&gt;01_Supuestos!$I$145),0,(10_Motor!AA35-10_Motor!AA62)/(1+10_Motor!AA8)^(AA17-4)*IF($C$6="Sí",MAX(0,01_Supuestos!$I$63-01_Supuestos!$I$64*(AA19-1))/01_Supuestos!$I$63,1)+10_Motor!AA62/(1+10_Motor!AA8)^(AA17-4))</f>
        <v>2.03719110403571</v>
      </c>
      <c r="AB24" s="206" t="n">
        <f aca="false">IF(OR(AB17&lt;4,AB17&gt;01_Supuestos!$I$145),0,(10_Motor!AB35-10_Motor!AB62)/(1+10_Motor!AB8)^(AB17-4)*IF($C$6="Sí",MAX(0,01_Supuestos!$I$63-01_Supuestos!$I$64*(AB19-1))/01_Supuestos!$I$63,1)+10_Motor!AB62/(1+10_Motor!AB8)^(AB17-4))</f>
        <v>1.94845450151949</v>
      </c>
      <c r="AC24" s="206" t="n">
        <f aca="false">IF(OR(AC17&lt;4,AC17&gt;01_Supuestos!$I$145),0,(10_Motor!AC35-10_Motor!AC62)/(1+10_Motor!AC8)^(AC17-4)*IF($C$6="Sí",MAX(0,01_Supuestos!$I$63-01_Supuestos!$I$64*(AC19-1))/01_Supuestos!$I$63,1)+10_Motor!AC62/(1+10_Motor!AC8)^(AC17-4))</f>
        <v>1.86138151171043</v>
      </c>
      <c r="AD24" s="206" t="n">
        <f aca="false">IF(OR(AD17&lt;4,AD17&gt;01_Supuestos!$I$145),0,(10_Motor!AD35-10_Motor!AD62)/(1+10_Motor!AD8)^(AD17-4)*IF($C$6="Sí",MAX(0,01_Supuestos!$I$63-01_Supuestos!$I$64*(AD19-1))/01_Supuestos!$I$63,1)+10_Motor!AD62/(1+10_Motor!AD8)^(AD17-4))</f>
        <v>1.77601042836646</v>
      </c>
      <c r="AE24" s="206" t="n">
        <f aca="false">IF(OR(AE17&lt;4,AE17&gt;01_Supuestos!$I$145),0,(10_Motor!AE35-10_Motor!AE62)/(1+10_Motor!AE8)^(AE17-4)*IF($C$6="Sí",MAX(0,01_Supuestos!$I$63-01_Supuestos!$I$64*(AE19-1))/01_Supuestos!$I$63,1)+10_Motor!AE62/(1+10_Motor!AE8)^(AE17-4))</f>
        <v>1.69238031974539</v>
      </c>
      <c r="AF24" s="206" t="n">
        <f aca="false">IF(OR(AF17&lt;4,AF17&gt;01_Supuestos!$I$145),0,(10_Motor!AF35-10_Motor!AF62)/(1+10_Motor!AF8)^(AF17-4)*IF($C$6="Sí",MAX(0,01_Supuestos!$I$63-01_Supuestos!$I$64*(AF19-1))/01_Supuestos!$I$63,1)+10_Motor!AF62/(1+10_Motor!AF8)^(AF17-4))</f>
        <v>1.61053104322382</v>
      </c>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6"/>
      <c r="BP24" s="206"/>
      <c r="BQ24" s="206"/>
      <c r="BR24" s="206"/>
      <c r="BS24" s="206"/>
      <c r="BT24" s="206"/>
    </row>
    <row r="25" customFormat="false" ht="14.25" hidden="false" customHeight="true" outlineLevel="0" collapsed="false">
      <c r="B25" s="134" t="s">
        <v>1065</v>
      </c>
      <c r="C25" s="206" t="n">
        <f aca="false">IF(C17&lt;4,0,01_Supuestos!$I$21*01_Supuestos!$I$64/1000000000000*C19)</f>
        <v>0</v>
      </c>
      <c r="D25" s="206" t="n">
        <f aca="false">IF(D17&lt;4,0,01_Supuestos!$I$21*01_Supuestos!$I$64/1000000000000*D19)</f>
        <v>0</v>
      </c>
      <c r="E25" s="206" t="n">
        <f aca="false">IF(E17&lt;4,0,01_Supuestos!$I$21*01_Supuestos!$I$64/1000000000000*E19)</f>
        <v>0</v>
      </c>
      <c r="F25" s="206" t="n">
        <f aca="false">IF(F17&lt;4,0,01_Supuestos!$I$21*01_Supuestos!$I$64/1000000000000*F19)</f>
        <v>1.400999886825</v>
      </c>
      <c r="G25" s="206" t="n">
        <f aca="false">IF(G17&lt;4,0,01_Supuestos!$I$21*01_Supuestos!$I$64/1000000000000*G19)</f>
        <v>1.42201488512737</v>
      </c>
      <c r="H25" s="206" t="n">
        <f aca="false">IF(H17&lt;4,0,01_Supuestos!$I$21*01_Supuestos!$I$64/1000000000000*H19)</f>
        <v>1.44334510840428</v>
      </c>
      <c r="I25" s="206" t="n">
        <f aca="false">IF(I17&lt;4,0,01_Supuestos!$I$21*01_Supuestos!$I$64/1000000000000*I19)</f>
        <v>1.46499528503035</v>
      </c>
      <c r="J25" s="206" t="n">
        <f aca="false">IF(J17&lt;4,0,01_Supuestos!$I$21*01_Supuestos!$I$64/1000000000000*J19)</f>
        <v>1.4869702143058</v>
      </c>
      <c r="K25" s="206" t="n">
        <f aca="false">IF(K17&lt;4,0,01_Supuestos!$I$21*01_Supuestos!$I$64/1000000000000*K19)</f>
        <v>1.50927476752039</v>
      </c>
      <c r="L25" s="206" t="n">
        <f aca="false">IF(L17&lt;4,0,01_Supuestos!$I$21*01_Supuestos!$I$64/1000000000000*L19)</f>
        <v>1.5319138890332</v>
      </c>
      <c r="M25" s="206" t="n">
        <f aca="false">IF(M17&lt;4,0,01_Supuestos!$I$21*01_Supuestos!$I$64/1000000000000*M19)</f>
        <v>1.55489259736869</v>
      </c>
      <c r="N25" s="206" t="n">
        <f aca="false">IF(N17&lt;4,0,01_Supuestos!$I$21*01_Supuestos!$I$64/1000000000000*N19)</f>
        <v>1.57821598632922</v>
      </c>
      <c r="O25" s="206" t="n">
        <f aca="false">IF(O17&lt;4,0,01_Supuestos!$I$21*01_Supuestos!$I$64/1000000000000*O19)</f>
        <v>1.60188922612416</v>
      </c>
      <c r="P25" s="206" t="n">
        <f aca="false">IF(P17&lt;4,0,01_Supuestos!$I$21*01_Supuestos!$I$64/1000000000000*P19)</f>
        <v>1.62591756451603</v>
      </c>
      <c r="Q25" s="206" t="n">
        <f aca="false">IF(Q17&lt;4,0,01_Supuestos!$I$21*01_Supuestos!$I$64/1000000000000*Q19)</f>
        <v>1.65030632798377</v>
      </c>
      <c r="R25" s="206" t="n">
        <f aca="false">IF(R17&lt;4,0,01_Supuestos!$I$21*01_Supuestos!$I$64/1000000000000*R19)</f>
        <v>1.67506092290352</v>
      </c>
      <c r="S25" s="206" t="n">
        <f aca="false">IF(S17&lt;4,0,01_Supuestos!$I$21*01_Supuestos!$I$64/1000000000000*S19)</f>
        <v>1.70018683674707</v>
      </c>
      <c r="T25" s="206" t="n">
        <f aca="false">IF(T17&lt;4,0,01_Supuestos!$I$21*01_Supuestos!$I$64/1000000000000*T19)</f>
        <v>1.72568963929828</v>
      </c>
      <c r="U25" s="206" t="n">
        <f aca="false">IF(U17&lt;4,0,01_Supuestos!$I$21*01_Supuestos!$I$64/1000000000000*U19)</f>
        <v>1.75157498388775</v>
      </c>
      <c r="V25" s="206" t="n">
        <f aca="false">IF(V17&lt;4,0,01_Supuestos!$I$21*01_Supuestos!$I$64/1000000000000*V19)</f>
        <v>1.77784860864607</v>
      </c>
      <c r="W25" s="206" t="n">
        <f aca="false">IF(W17&lt;4,0,01_Supuestos!$I$21*01_Supuestos!$I$64/1000000000000*W19)</f>
        <v>1.80451633777576</v>
      </c>
      <c r="X25" s="206" t="n">
        <f aca="false">IF(X17&lt;4,0,01_Supuestos!$I$21*01_Supuestos!$I$64/1000000000000*X19)</f>
        <v>1.8315840828424</v>
      </c>
      <c r="Y25" s="206" t="n">
        <f aca="false">IF(Y17&lt;4,0,01_Supuestos!$I$21*01_Supuestos!$I$64/1000000000000*Y19)</f>
        <v>1.85905784408503</v>
      </c>
      <c r="Z25" s="206" t="n">
        <f aca="false">IF(Z17&lt;4,0,01_Supuestos!$I$21*01_Supuestos!$I$64/1000000000000*Z19)</f>
        <v>1.88694371174631</v>
      </c>
      <c r="AA25" s="206" t="n">
        <f aca="false">IF(AA17&lt;4,0,01_Supuestos!$I$21*01_Supuestos!$I$64/1000000000000*AA19)</f>
        <v>1.9152478674225</v>
      </c>
      <c r="AB25" s="206" t="n">
        <f aca="false">IF(AB17&lt;4,0,01_Supuestos!$I$21*01_Supuestos!$I$64/1000000000000*AB19)</f>
        <v>1.94397658543384</v>
      </c>
      <c r="AC25" s="206" t="n">
        <f aca="false">IF(AC17&lt;4,0,01_Supuestos!$I$21*01_Supuestos!$I$64/1000000000000*AC19)</f>
        <v>1.97313623421535</v>
      </c>
      <c r="AD25" s="206" t="n">
        <f aca="false">IF(AD17&lt;4,0,01_Supuestos!$I$21*01_Supuestos!$I$64/1000000000000*AD19)</f>
        <v>2.00273327772858</v>
      </c>
      <c r="AE25" s="206" t="n">
        <f aca="false">IF(AE17&lt;4,0,01_Supuestos!$I$21*01_Supuestos!$I$64/1000000000000*AE19)</f>
        <v>2.03277427689451</v>
      </c>
      <c r="AF25" s="206" t="n">
        <f aca="false">IF(AF17&lt;4,0,01_Supuestos!$I$21*01_Supuestos!$I$64/1000000000000*AF19)</f>
        <v>2.06326589104792</v>
      </c>
      <c r="AG25" s="206"/>
      <c r="AH25" s="206"/>
      <c r="AI25" s="206"/>
      <c r="AJ25" s="206"/>
      <c r="AK25" s="206"/>
      <c r="AL25" s="206"/>
      <c r="AM25" s="206"/>
      <c r="AN25" s="206"/>
      <c r="AO25" s="206"/>
      <c r="AP25" s="206"/>
      <c r="AQ25" s="206"/>
      <c r="AR25" s="206"/>
      <c r="AS25" s="206"/>
      <c r="AT25" s="206"/>
      <c r="AU25" s="206"/>
      <c r="AV25" s="206"/>
      <c r="AW25" s="206"/>
      <c r="AX25" s="206"/>
      <c r="AY25" s="206"/>
      <c r="AZ25" s="206"/>
      <c r="BA25" s="206"/>
      <c r="BB25" s="206"/>
      <c r="BC25" s="206"/>
      <c r="BD25" s="206"/>
      <c r="BE25" s="206"/>
      <c r="BF25" s="206"/>
      <c r="BG25" s="206"/>
      <c r="BH25" s="206"/>
      <c r="BI25" s="206"/>
      <c r="BJ25" s="206"/>
      <c r="BK25" s="206"/>
      <c r="BL25" s="206"/>
      <c r="BM25" s="206"/>
      <c r="BN25" s="206"/>
      <c r="BO25" s="206"/>
      <c r="BP25" s="206"/>
      <c r="BQ25" s="206"/>
      <c r="BR25" s="206"/>
      <c r="BS25" s="206"/>
      <c r="BT25" s="206"/>
    </row>
    <row r="26" customFormat="false" ht="14.25" hidden="false" customHeight="true" outlineLevel="0" collapsed="false">
      <c r="B26" s="132" t="s">
        <v>1066</v>
      </c>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row>
    <row r="27" customFormat="false" ht="14.25" hidden="false" customHeight="true" outlineLevel="0" collapsed="false">
      <c r="B27" s="134" t="s">
        <v>1671</v>
      </c>
      <c r="C27" s="206" t="n">
        <f aca="false">IF(C17&lt;=01_Supuestos!$I$29,01_Supuestos!$I$28/IF(01_Supuestos!$I$143="Sí",1,C20),0)</f>
        <v>20.6</v>
      </c>
      <c r="D27" s="206" t="n">
        <f aca="false">IF(D17&lt;=01_Supuestos!$I$29,01_Supuestos!$I$28/IF(01_Supuestos!$I$143="Sí",1,D20),0)</f>
        <v>20.6</v>
      </c>
      <c r="E27" s="206" t="n">
        <f aca="false">IF(E17&lt;=01_Supuestos!$I$29,01_Supuestos!$I$28/IF(01_Supuestos!$I$143="Sí",1,E20),0)</f>
        <v>20.6</v>
      </c>
      <c r="F27" s="206" t="n">
        <f aca="false">IF(F17&lt;=01_Supuestos!$I$29,01_Supuestos!$I$28/IF(01_Supuestos!$I$143="Sí",1,F20),0)</f>
        <v>20.6</v>
      </c>
      <c r="G27" s="206" t="n">
        <f aca="false">IF(G17&lt;=01_Supuestos!$I$29,01_Supuestos!$I$28/IF(01_Supuestos!$I$143="Sí",1,G20),0)</f>
        <v>20.6</v>
      </c>
      <c r="H27" s="206" t="n">
        <f aca="false">IF(H17&lt;=01_Supuestos!$I$29,01_Supuestos!$I$28/IF(01_Supuestos!$I$143="Sí",1,H20),0)</f>
        <v>20.6</v>
      </c>
      <c r="I27" s="206" t="n">
        <f aca="false">IF(I17&lt;=01_Supuestos!$I$29,01_Supuestos!$I$28/IF(01_Supuestos!$I$143="Sí",1,I20),0)</f>
        <v>20.6</v>
      </c>
      <c r="J27" s="206" t="n">
        <f aca="false">IF(J17&lt;=01_Supuestos!$I$29,01_Supuestos!$I$28/IF(01_Supuestos!$I$143="Sí",1,J20),0)</f>
        <v>20.6</v>
      </c>
      <c r="K27" s="206" t="n">
        <f aca="false">IF(K17&lt;=01_Supuestos!$I$29,01_Supuestos!$I$28/IF(01_Supuestos!$I$143="Sí",1,K20),0)</f>
        <v>20.6</v>
      </c>
      <c r="L27" s="206" t="n">
        <f aca="false">IF(L17&lt;=01_Supuestos!$I$29,01_Supuestos!$I$28/IF(01_Supuestos!$I$143="Sí",1,L20),0)</f>
        <v>20.6</v>
      </c>
      <c r="M27" s="206" t="n">
        <f aca="false">IF(M17&lt;=01_Supuestos!$I$29,01_Supuestos!$I$28/IF(01_Supuestos!$I$143="Sí",1,M20),0)</f>
        <v>0</v>
      </c>
      <c r="N27" s="206" t="n">
        <f aca="false">IF(N17&lt;=01_Supuestos!$I$29,01_Supuestos!$I$28/IF(01_Supuestos!$I$143="Sí",1,N20),0)</f>
        <v>0</v>
      </c>
      <c r="O27" s="206" t="n">
        <f aca="false">IF(O17&lt;=01_Supuestos!$I$29,01_Supuestos!$I$28/IF(01_Supuestos!$I$143="Sí",1,O20),0)</f>
        <v>0</v>
      </c>
      <c r="P27" s="206" t="n">
        <f aca="false">IF(P17&lt;=01_Supuestos!$I$29,01_Supuestos!$I$28/IF(01_Supuestos!$I$143="Sí",1,P20),0)</f>
        <v>0</v>
      </c>
      <c r="Q27" s="206" t="n">
        <f aca="false">IF(Q17&lt;=01_Supuestos!$I$29,01_Supuestos!$I$28/IF(01_Supuestos!$I$143="Sí",1,Q20),0)</f>
        <v>0</v>
      </c>
      <c r="R27" s="206" t="n">
        <f aca="false">IF(R17&lt;=01_Supuestos!$I$29,01_Supuestos!$I$28/IF(01_Supuestos!$I$143="Sí",1,R20),0)</f>
        <v>0</v>
      </c>
      <c r="S27" s="206" t="n">
        <f aca="false">IF(S17&lt;=01_Supuestos!$I$29,01_Supuestos!$I$28/IF(01_Supuestos!$I$143="Sí",1,S20),0)</f>
        <v>0</v>
      </c>
      <c r="T27" s="206" t="n">
        <f aca="false">IF(T17&lt;=01_Supuestos!$I$29,01_Supuestos!$I$28/IF(01_Supuestos!$I$143="Sí",1,T20),0)</f>
        <v>0</v>
      </c>
      <c r="U27" s="206" t="n">
        <f aca="false">IF(U17&lt;=01_Supuestos!$I$29,01_Supuestos!$I$28/IF(01_Supuestos!$I$143="Sí",1,U20),0)</f>
        <v>0</v>
      </c>
      <c r="V27" s="206" t="n">
        <f aca="false">IF(V17&lt;=01_Supuestos!$I$29,01_Supuestos!$I$28/IF(01_Supuestos!$I$143="Sí",1,V20),0)</f>
        <v>0</v>
      </c>
      <c r="W27" s="206" t="n">
        <f aca="false">IF(W17&lt;=01_Supuestos!$I$29,01_Supuestos!$I$28/IF(01_Supuestos!$I$143="Sí",1,W20),0)</f>
        <v>0</v>
      </c>
      <c r="X27" s="206" t="n">
        <f aca="false">IF(X17&lt;=01_Supuestos!$I$29,01_Supuestos!$I$28/IF(01_Supuestos!$I$143="Sí",1,X20),0)</f>
        <v>0</v>
      </c>
      <c r="Y27" s="206" t="n">
        <f aca="false">IF(Y17&lt;=01_Supuestos!$I$29,01_Supuestos!$I$28/IF(01_Supuestos!$I$143="Sí",1,Y20),0)</f>
        <v>0</v>
      </c>
      <c r="Z27" s="206" t="n">
        <f aca="false">IF(Z17&lt;=01_Supuestos!$I$29,01_Supuestos!$I$28/IF(01_Supuestos!$I$143="Sí",1,Z20),0)</f>
        <v>0</v>
      </c>
      <c r="AA27" s="206" t="n">
        <f aca="false">IF(AA17&lt;=01_Supuestos!$I$29,01_Supuestos!$I$28/IF(01_Supuestos!$I$143="Sí",1,AA20),0)</f>
        <v>0</v>
      </c>
      <c r="AB27" s="206" t="n">
        <f aca="false">IF(AB17&lt;=01_Supuestos!$I$29,01_Supuestos!$I$28/IF(01_Supuestos!$I$143="Sí",1,AB20),0)</f>
        <v>0</v>
      </c>
      <c r="AC27" s="206" t="n">
        <f aca="false">IF(AC17&lt;=01_Supuestos!$I$29,01_Supuestos!$I$28/IF(01_Supuestos!$I$143="Sí",1,AC20),0)</f>
        <v>0</v>
      </c>
      <c r="AD27" s="206" t="n">
        <f aca="false">IF(AD17&lt;=01_Supuestos!$I$29,01_Supuestos!$I$28/IF(01_Supuestos!$I$143="Sí",1,AD20),0)</f>
        <v>0</v>
      </c>
      <c r="AE27" s="206" t="n">
        <f aca="false">IF(AE17&lt;=01_Supuestos!$I$29,01_Supuestos!$I$28/IF(01_Supuestos!$I$143="Sí",1,AE20),0)</f>
        <v>0</v>
      </c>
      <c r="AF27" s="206" t="n">
        <f aca="false">IF(AF17&lt;=01_Supuestos!$I$29,01_Supuestos!$I$28/IF(01_Supuestos!$I$143="Sí",1,AF20),0)</f>
        <v>0</v>
      </c>
      <c r="AG27" s="206"/>
      <c r="AH27" s="206"/>
      <c r="AI27" s="206"/>
      <c r="AJ27" s="206"/>
      <c r="AK27" s="206"/>
      <c r="AL27" s="206"/>
      <c r="AM27" s="206"/>
      <c r="AN27" s="206"/>
      <c r="AO27" s="206"/>
      <c r="AP27" s="206"/>
      <c r="AQ27" s="206"/>
      <c r="AR27" s="206"/>
      <c r="AS27" s="206"/>
      <c r="AT27" s="206"/>
      <c r="AU27" s="206"/>
      <c r="AV27" s="206"/>
      <c r="AW27" s="206"/>
      <c r="AX27" s="206"/>
      <c r="AY27" s="206"/>
      <c r="AZ27" s="206"/>
      <c r="BA27" s="206"/>
      <c r="BB27" s="206"/>
      <c r="BC27" s="206"/>
      <c r="BD27" s="206"/>
      <c r="BE27" s="206"/>
      <c r="BF27" s="206"/>
      <c r="BG27" s="206"/>
      <c r="BH27" s="206"/>
      <c r="BI27" s="206"/>
      <c r="BJ27" s="206"/>
      <c r="BK27" s="206"/>
      <c r="BL27" s="206"/>
      <c r="BM27" s="206"/>
      <c r="BN27" s="206"/>
      <c r="BO27" s="206"/>
      <c r="BP27" s="206"/>
      <c r="BQ27" s="206"/>
      <c r="BR27" s="206"/>
      <c r="BS27" s="206"/>
      <c r="BT27" s="206"/>
    </row>
    <row r="28" customFormat="false" ht="14.25" hidden="false" customHeight="true" outlineLevel="0" collapsed="false">
      <c r="B28" s="134" t="s">
        <v>1672</v>
      </c>
      <c r="C28" s="206" t="n">
        <f aca="false">01_Supuestos!$I$132*(1+01_Supuestos!$I$133)^(C17-1)</f>
        <v>10.7</v>
      </c>
      <c r="D28" s="206" t="n">
        <f aca="false">01_Supuestos!$I$132*(1+01_Supuestos!$I$133)^(D17-1)</f>
        <v>10.9675</v>
      </c>
      <c r="E28" s="206" t="n">
        <f aca="false">01_Supuestos!$I$132*(1+01_Supuestos!$I$133)^(E17-1)</f>
        <v>11.2416875</v>
      </c>
      <c r="F28" s="206" t="n">
        <f aca="false">01_Supuestos!$I$132*(1+01_Supuestos!$I$133)^(F17-1)</f>
        <v>11.5227296875</v>
      </c>
      <c r="G28" s="206" t="n">
        <f aca="false">01_Supuestos!$I$132*(1+01_Supuestos!$I$133)^(G17-1)</f>
        <v>11.8107979296875</v>
      </c>
      <c r="H28" s="206" t="n">
        <f aca="false">01_Supuestos!$I$132*(1+01_Supuestos!$I$133)^(H17-1)</f>
        <v>12.1060678779297</v>
      </c>
      <c r="I28" s="206" t="n">
        <f aca="false">01_Supuestos!$I$132*(1+01_Supuestos!$I$133)^(I17-1)</f>
        <v>12.4087195748779</v>
      </c>
      <c r="J28" s="206" t="n">
        <f aca="false">01_Supuestos!$I$132*(1+01_Supuestos!$I$133)^(J17-1)</f>
        <v>12.7189375642499</v>
      </c>
      <c r="K28" s="206" t="n">
        <f aca="false">01_Supuestos!$I$132*(1+01_Supuestos!$I$133)^(K17-1)</f>
        <v>13.0369110033561</v>
      </c>
      <c r="L28" s="206" t="n">
        <f aca="false">01_Supuestos!$I$132*(1+01_Supuestos!$I$133)^(L17-1)</f>
        <v>13.36283377844</v>
      </c>
      <c r="M28" s="206" t="n">
        <f aca="false">01_Supuestos!$I$132*(1+01_Supuestos!$I$133)^(M17-1)</f>
        <v>13.696904622901</v>
      </c>
      <c r="N28" s="206" t="n">
        <f aca="false">01_Supuestos!$I$132*(1+01_Supuestos!$I$133)^(N17-1)</f>
        <v>14.0393272384735</v>
      </c>
      <c r="O28" s="206" t="n">
        <f aca="false">01_Supuestos!$I$132*(1+01_Supuestos!$I$133)^(O17-1)</f>
        <v>14.3903104194354</v>
      </c>
      <c r="P28" s="206" t="n">
        <f aca="false">01_Supuestos!$I$132*(1+01_Supuestos!$I$133)^(P17-1)</f>
        <v>14.7500681799213</v>
      </c>
      <c r="Q28" s="206" t="n">
        <f aca="false">01_Supuestos!$I$132*(1+01_Supuestos!$I$133)^(Q17-1)</f>
        <v>15.1188198844193</v>
      </c>
      <c r="R28" s="206" t="n">
        <f aca="false">01_Supuestos!$I$132*(1+01_Supuestos!$I$133)^(R17-1)</f>
        <v>15.4967903815298</v>
      </c>
      <c r="S28" s="206" t="n">
        <f aca="false">01_Supuestos!$I$132*(1+01_Supuestos!$I$133)^(S17-1)</f>
        <v>15.884210141068</v>
      </c>
      <c r="T28" s="206" t="n">
        <f aca="false">01_Supuestos!$I$132*(1+01_Supuestos!$I$133)^(T17-1)</f>
        <v>16.2813153945947</v>
      </c>
      <c r="U28" s="206" t="n">
        <f aca="false">01_Supuestos!$I$132*(1+01_Supuestos!$I$133)^(U17-1)</f>
        <v>16.6883482794596</v>
      </c>
      <c r="V28" s="206" t="n">
        <f aca="false">01_Supuestos!$I$132*(1+01_Supuestos!$I$133)^(V17-1)</f>
        <v>17.1055569864461</v>
      </c>
      <c r="W28" s="206" t="n">
        <f aca="false">01_Supuestos!$I$132*(1+01_Supuestos!$I$133)^(W17-1)</f>
        <v>17.5331959111072</v>
      </c>
      <c r="X28" s="206" t="n">
        <f aca="false">01_Supuestos!$I$132*(1+01_Supuestos!$I$133)^(X17-1)</f>
        <v>17.9715258088849</v>
      </c>
      <c r="Y28" s="206" t="n">
        <f aca="false">01_Supuestos!$I$132*(1+01_Supuestos!$I$133)^(Y17-1)</f>
        <v>18.420813954107</v>
      </c>
      <c r="Z28" s="206" t="n">
        <f aca="false">01_Supuestos!$I$132*(1+01_Supuestos!$I$133)^(Z17-1)</f>
        <v>18.8813343029597</v>
      </c>
      <c r="AA28" s="206" t="n">
        <f aca="false">01_Supuestos!$I$132*(1+01_Supuestos!$I$133)^(AA17-1)</f>
        <v>19.3533676605337</v>
      </c>
      <c r="AB28" s="206" t="n">
        <f aca="false">01_Supuestos!$I$132*(1+01_Supuestos!$I$133)^(AB17-1)</f>
        <v>19.837201852047</v>
      </c>
      <c r="AC28" s="206" t="n">
        <f aca="false">01_Supuestos!$I$132*(1+01_Supuestos!$I$133)^(AC17-1)</f>
        <v>20.3331318983482</v>
      </c>
      <c r="AD28" s="206" t="n">
        <f aca="false">01_Supuestos!$I$132*(1+01_Supuestos!$I$133)^(AD17-1)</f>
        <v>20.8414601958069</v>
      </c>
      <c r="AE28" s="206" t="n">
        <f aca="false">01_Supuestos!$I$132*(1+01_Supuestos!$I$133)^(AE17-1)</f>
        <v>21.3624967007021</v>
      </c>
      <c r="AF28" s="206" t="n">
        <f aca="false">01_Supuestos!$I$132*(1+01_Supuestos!$I$133)^(AF17-1)</f>
        <v>21.8965591182196</v>
      </c>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row>
    <row r="29" customFormat="false" ht="14.25" hidden="false" customHeight="true" outlineLevel="0" collapsed="false">
      <c r="B29" s="134" t="s">
        <v>1673</v>
      </c>
      <c r="C29" s="210" t="n">
        <f aca="false">01_Supuestos!$I$141</f>
        <v>0.1</v>
      </c>
      <c r="D29" s="210" t="n">
        <f aca="false">IF(AND(01_Supuestos!$I$142="Sí",C70&lt;01_Supuestos!$I$138),MIN(C29+01_Supuestos!$I$139,01_Supuestos!$I$140),C29)</f>
        <v>0.1</v>
      </c>
      <c r="E29" s="210" t="n">
        <f aca="false">IF(AND(01_Supuestos!$I$142="Sí",D70&lt;01_Supuestos!$I$138),MIN(D29+01_Supuestos!$I$139,01_Supuestos!$I$140),D29)</f>
        <v>0.1</v>
      </c>
      <c r="F29" s="210" t="n">
        <f aca="false">IF(AND(01_Supuestos!$I$142="Sí",E70&lt;01_Supuestos!$I$138),MIN(E29+01_Supuestos!$I$139,01_Supuestos!$I$140),E29)</f>
        <v>0.1</v>
      </c>
      <c r="G29" s="210" t="n">
        <f aca="false">IF(AND(01_Supuestos!$I$142="Sí",F70&lt;01_Supuestos!$I$138),MIN(F29+01_Supuestos!$I$139,01_Supuestos!$I$140),F29)</f>
        <v>0.1</v>
      </c>
      <c r="H29" s="210" t="n">
        <f aca="false">IF(AND(01_Supuestos!$I$142="Sí",G70&lt;01_Supuestos!$I$138),MIN(G29+01_Supuestos!$I$139,01_Supuestos!$I$140),G29)</f>
        <v>0.1</v>
      </c>
      <c r="I29" s="210" t="n">
        <f aca="false">IF(AND(01_Supuestos!$I$142="Sí",H70&lt;01_Supuestos!$I$138),MIN(H29+01_Supuestos!$I$139,01_Supuestos!$I$140),H29)</f>
        <v>0.1</v>
      </c>
      <c r="J29" s="210" t="n">
        <f aca="false">IF(AND(01_Supuestos!$I$142="Sí",I70&lt;01_Supuestos!$I$138),MIN(I29+01_Supuestos!$I$139,01_Supuestos!$I$140),I29)</f>
        <v>0.1</v>
      </c>
      <c r="K29" s="210" t="n">
        <f aca="false">IF(AND(01_Supuestos!$I$142="Sí",J70&lt;01_Supuestos!$I$138),MIN(J29+01_Supuestos!$I$139,01_Supuestos!$I$140),J29)</f>
        <v>0.1</v>
      </c>
      <c r="L29" s="210" t="n">
        <f aca="false">IF(AND(01_Supuestos!$I$142="Sí",K70&lt;01_Supuestos!$I$138),MIN(K29+01_Supuestos!$I$139,01_Supuestos!$I$140),K29)</f>
        <v>0.1</v>
      </c>
      <c r="M29" s="210" t="n">
        <f aca="false">IF(AND(01_Supuestos!$I$142="Sí",L70&lt;01_Supuestos!$I$138),MIN(L29+01_Supuestos!$I$139,01_Supuestos!$I$140),L29)</f>
        <v>0.1</v>
      </c>
      <c r="N29" s="210" t="n">
        <f aca="false">IF(AND(01_Supuestos!$I$142="Sí",M70&lt;01_Supuestos!$I$138),MIN(M29+01_Supuestos!$I$139,01_Supuestos!$I$140),M29)</f>
        <v>0.1</v>
      </c>
      <c r="O29" s="210" t="n">
        <f aca="false">IF(AND(01_Supuestos!$I$142="Sí",N70&lt;01_Supuestos!$I$138),MIN(N29+01_Supuestos!$I$139,01_Supuestos!$I$140),N29)</f>
        <v>0.1</v>
      </c>
      <c r="P29" s="210" t="n">
        <f aca="false">IF(AND(01_Supuestos!$I$142="Sí",O70&lt;01_Supuestos!$I$138),MIN(O29+01_Supuestos!$I$139,01_Supuestos!$I$140),O29)</f>
        <v>0.1</v>
      </c>
      <c r="Q29" s="210" t="n">
        <f aca="false">IF(AND(01_Supuestos!$I$142="Sí",P70&lt;01_Supuestos!$I$138),MIN(P29+01_Supuestos!$I$139,01_Supuestos!$I$140),P29)</f>
        <v>0.1</v>
      </c>
      <c r="R29" s="210" t="n">
        <f aca="false">IF(AND(01_Supuestos!$I$142="Sí",Q70&lt;01_Supuestos!$I$138),MIN(Q29+01_Supuestos!$I$139,01_Supuestos!$I$140),Q29)</f>
        <v>0.1</v>
      </c>
      <c r="S29" s="210" t="n">
        <f aca="false">IF(AND(01_Supuestos!$I$142="Sí",R70&lt;01_Supuestos!$I$138),MIN(R29+01_Supuestos!$I$139,01_Supuestos!$I$140),R29)</f>
        <v>0.1</v>
      </c>
      <c r="T29" s="210" t="n">
        <f aca="false">IF(AND(01_Supuestos!$I$142="Sí",S70&lt;01_Supuestos!$I$138),MIN(S29+01_Supuestos!$I$139,01_Supuestos!$I$140),S29)</f>
        <v>0.1</v>
      </c>
      <c r="U29" s="210" t="n">
        <f aca="false">IF(AND(01_Supuestos!$I$142="Sí",T70&lt;01_Supuestos!$I$138),MIN(T29+01_Supuestos!$I$139,01_Supuestos!$I$140),T29)</f>
        <v>0.1</v>
      </c>
      <c r="V29" s="210" t="n">
        <f aca="false">IF(AND(01_Supuestos!$I$142="Sí",U70&lt;01_Supuestos!$I$138),MIN(U29+01_Supuestos!$I$139,01_Supuestos!$I$140),U29)</f>
        <v>0.1</v>
      </c>
      <c r="W29" s="210" t="n">
        <f aca="false">IF(AND(01_Supuestos!$I$142="Sí",V70&lt;01_Supuestos!$I$138),MIN(V29+01_Supuestos!$I$139,01_Supuestos!$I$140),V29)</f>
        <v>0.1</v>
      </c>
      <c r="X29" s="210" t="n">
        <f aca="false">IF(AND(01_Supuestos!$I$142="Sí",W70&lt;01_Supuestos!$I$138),MIN(W29+01_Supuestos!$I$139,01_Supuestos!$I$140),W29)</f>
        <v>0.1</v>
      </c>
      <c r="Y29" s="210" t="n">
        <f aca="false">IF(AND(01_Supuestos!$I$142="Sí",X70&lt;01_Supuestos!$I$138),MIN(X29+01_Supuestos!$I$139,01_Supuestos!$I$140),X29)</f>
        <v>0.1</v>
      </c>
      <c r="Z29" s="210" t="n">
        <f aca="false">IF(AND(01_Supuestos!$I$142="Sí",Y70&lt;01_Supuestos!$I$138),MIN(Y29+01_Supuestos!$I$139,01_Supuestos!$I$140),Y29)</f>
        <v>0.1</v>
      </c>
      <c r="AA29" s="210" t="n">
        <f aca="false">IF(AND(01_Supuestos!$I$142="Sí",Z70&lt;01_Supuestos!$I$138),MIN(Z29+01_Supuestos!$I$139,01_Supuestos!$I$140),Z29)</f>
        <v>0.1</v>
      </c>
      <c r="AB29" s="210" t="n">
        <f aca="false">IF(AND(01_Supuestos!$I$142="Sí",AA70&lt;01_Supuestos!$I$138),MIN(AA29+01_Supuestos!$I$139,01_Supuestos!$I$140),AA29)</f>
        <v>0.1</v>
      </c>
      <c r="AC29" s="210" t="n">
        <f aca="false">IF(AND(01_Supuestos!$I$142="Sí",AB70&lt;01_Supuestos!$I$138),MIN(AB29+01_Supuestos!$I$139,01_Supuestos!$I$140),AB29)</f>
        <v>0.1</v>
      </c>
      <c r="AD29" s="210" t="n">
        <f aca="false">IF(AND(01_Supuestos!$I$142="Sí",AC70&lt;01_Supuestos!$I$138),MIN(AC29+01_Supuestos!$I$139,01_Supuestos!$I$140),AC29)</f>
        <v>0.1</v>
      </c>
      <c r="AE29" s="210" t="n">
        <f aca="false">IF(AND(01_Supuestos!$I$142="Sí",AD70&lt;01_Supuestos!$I$138),MIN(AD29+01_Supuestos!$I$139,01_Supuestos!$I$140),AD29)</f>
        <v>0.1</v>
      </c>
      <c r="AF29" s="210" t="n">
        <f aca="false">IF(AND(01_Supuestos!$I$142="Sí",AE70&lt;01_Supuestos!$I$138),MIN(AE29+01_Supuestos!$I$139,01_Supuestos!$I$140),AE29)</f>
        <v>0.1</v>
      </c>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0"/>
      <c r="BR29" s="210"/>
      <c r="BS29" s="210"/>
      <c r="BT29" s="210"/>
    </row>
    <row r="30" customFormat="false" ht="14.25" hidden="false" customHeight="true" outlineLevel="0" collapsed="false">
      <c r="B30" s="81" t="s">
        <v>1070</v>
      </c>
      <c r="C30" s="138" t="n">
        <f aca="false">IF($C$11="Libro",C29*C28,IF(C17&lt;=20,01_Supuestos!$I$26+(01_Supuestos!$I$27-01_Supuestos!$I$26)*(C17-1)/19,01_Supuestos!$I$27*IF($C$6="Sí",(1+01_Supuestos!$I$9)^(C17-20),1))*C29/0.1)</f>
        <v>1.07</v>
      </c>
      <c r="D30" s="138" t="n">
        <f aca="false">IF($C$11="Libro",D29*D28,IF(D17&lt;=20,01_Supuestos!$I$26+(01_Supuestos!$I$27-01_Supuestos!$I$26)*(D17-1)/19,01_Supuestos!$I$27*IF($C$6="Sí",(1+01_Supuestos!$I$9)^(D17-20),1))*D29/0.1)</f>
        <v>1.09675</v>
      </c>
      <c r="E30" s="138" t="n">
        <f aca="false">IF($C$11="Libro",E29*E28,IF(E17&lt;=20,01_Supuestos!$I$26+(01_Supuestos!$I$27-01_Supuestos!$I$26)*(E17-1)/19,01_Supuestos!$I$27*IF($C$6="Sí",(1+01_Supuestos!$I$9)^(E17-20),1))*E29/0.1)</f>
        <v>1.12416875</v>
      </c>
      <c r="F30" s="138" t="n">
        <f aca="false">IF($C$11="Libro",F29*F28,IF(F17&lt;=20,01_Supuestos!$I$26+(01_Supuestos!$I$27-01_Supuestos!$I$26)*(F17-1)/19,01_Supuestos!$I$27*IF($C$6="Sí",(1+01_Supuestos!$I$9)^(F17-20),1))*F29/0.1)</f>
        <v>1.15227296875</v>
      </c>
      <c r="G30" s="138" t="n">
        <f aca="false">IF($C$11="Libro",G29*G28,IF(G17&lt;=20,01_Supuestos!$I$26+(01_Supuestos!$I$27-01_Supuestos!$I$26)*(G17-1)/19,01_Supuestos!$I$27*IF($C$6="Sí",(1+01_Supuestos!$I$9)^(G17-20),1))*G29/0.1)</f>
        <v>1.18107979296875</v>
      </c>
      <c r="H30" s="138" t="n">
        <f aca="false">IF($C$11="Libro",H29*H28,IF(H17&lt;=20,01_Supuestos!$I$26+(01_Supuestos!$I$27-01_Supuestos!$I$26)*(H17-1)/19,01_Supuestos!$I$27*IF($C$6="Sí",(1+01_Supuestos!$I$9)^(H17-20),1))*H29/0.1)</f>
        <v>1.21060678779297</v>
      </c>
      <c r="I30" s="138" t="n">
        <f aca="false">IF($C$11="Libro",I29*I28,IF(I17&lt;=20,01_Supuestos!$I$26+(01_Supuestos!$I$27-01_Supuestos!$I$26)*(I17-1)/19,01_Supuestos!$I$27*IF($C$6="Sí",(1+01_Supuestos!$I$9)^(I17-20),1))*I29/0.1)</f>
        <v>1.24087195748779</v>
      </c>
      <c r="J30" s="138" t="n">
        <f aca="false">IF($C$11="Libro",J29*J28,IF(J17&lt;=20,01_Supuestos!$I$26+(01_Supuestos!$I$27-01_Supuestos!$I$26)*(J17-1)/19,01_Supuestos!$I$27*IF($C$6="Sí",(1+01_Supuestos!$I$9)^(J17-20),1))*J29/0.1)</f>
        <v>1.27189375642499</v>
      </c>
      <c r="K30" s="138" t="n">
        <f aca="false">IF($C$11="Libro",K29*K28,IF(K17&lt;=20,01_Supuestos!$I$26+(01_Supuestos!$I$27-01_Supuestos!$I$26)*(K17-1)/19,01_Supuestos!$I$27*IF($C$6="Sí",(1+01_Supuestos!$I$9)^(K17-20),1))*K29/0.1)</f>
        <v>1.30369110033561</v>
      </c>
      <c r="L30" s="138" t="n">
        <f aca="false">IF($C$11="Libro",L29*L28,IF(L17&lt;=20,01_Supuestos!$I$26+(01_Supuestos!$I$27-01_Supuestos!$I$26)*(L17-1)/19,01_Supuestos!$I$27*IF($C$6="Sí",(1+01_Supuestos!$I$9)^(L17-20),1))*L29/0.1)</f>
        <v>1.336283377844</v>
      </c>
      <c r="M30" s="138" t="n">
        <f aca="false">IF($C$11="Libro",M29*M28,IF(M17&lt;=20,01_Supuestos!$I$26+(01_Supuestos!$I$27-01_Supuestos!$I$26)*(M17-1)/19,01_Supuestos!$I$27*IF($C$6="Sí",(1+01_Supuestos!$I$9)^(M17-20),1))*M29/0.1)</f>
        <v>1.3696904622901</v>
      </c>
      <c r="N30" s="138" t="n">
        <f aca="false">IF($C$11="Libro",N29*N28,IF(N17&lt;=20,01_Supuestos!$I$26+(01_Supuestos!$I$27-01_Supuestos!$I$26)*(N17-1)/19,01_Supuestos!$I$27*IF($C$6="Sí",(1+01_Supuestos!$I$9)^(N17-20),1))*N29/0.1)</f>
        <v>1.40393272384735</v>
      </c>
      <c r="O30" s="138" t="n">
        <f aca="false">IF($C$11="Libro",O29*O28,IF(O17&lt;=20,01_Supuestos!$I$26+(01_Supuestos!$I$27-01_Supuestos!$I$26)*(O17-1)/19,01_Supuestos!$I$27*IF($C$6="Sí",(1+01_Supuestos!$I$9)^(O17-20),1))*O29/0.1)</f>
        <v>1.43903104194354</v>
      </c>
      <c r="P30" s="138" t="n">
        <f aca="false">IF($C$11="Libro",P29*P28,IF(P17&lt;=20,01_Supuestos!$I$26+(01_Supuestos!$I$27-01_Supuestos!$I$26)*(P17-1)/19,01_Supuestos!$I$27*IF($C$6="Sí",(1+01_Supuestos!$I$9)^(P17-20),1))*P29/0.1)</f>
        <v>1.47500681799213</v>
      </c>
      <c r="Q30" s="138" t="n">
        <f aca="false">IF($C$11="Libro",Q29*Q28,IF(Q17&lt;=20,01_Supuestos!$I$26+(01_Supuestos!$I$27-01_Supuestos!$I$26)*(Q17-1)/19,01_Supuestos!$I$27*IF($C$6="Sí",(1+01_Supuestos!$I$9)^(Q17-20),1))*Q29/0.1)</f>
        <v>1.51188198844193</v>
      </c>
      <c r="R30" s="138" t="n">
        <f aca="false">IF($C$11="Libro",R29*R28,IF(R17&lt;=20,01_Supuestos!$I$26+(01_Supuestos!$I$27-01_Supuestos!$I$26)*(R17-1)/19,01_Supuestos!$I$27*IF($C$6="Sí",(1+01_Supuestos!$I$9)^(R17-20),1))*R29/0.1)</f>
        <v>1.54967903815298</v>
      </c>
      <c r="S30" s="138" t="n">
        <f aca="false">IF($C$11="Libro",S29*S28,IF(S17&lt;=20,01_Supuestos!$I$26+(01_Supuestos!$I$27-01_Supuestos!$I$26)*(S17-1)/19,01_Supuestos!$I$27*IF($C$6="Sí",(1+01_Supuestos!$I$9)^(S17-20),1))*S29/0.1)</f>
        <v>1.5884210141068</v>
      </c>
      <c r="T30" s="138" t="n">
        <f aca="false">IF($C$11="Libro",T29*T28,IF(T17&lt;=20,01_Supuestos!$I$26+(01_Supuestos!$I$27-01_Supuestos!$I$26)*(T17-1)/19,01_Supuestos!$I$27*IF($C$6="Sí",(1+01_Supuestos!$I$9)^(T17-20),1))*T29/0.1)</f>
        <v>1.62813153945947</v>
      </c>
      <c r="U30" s="138" t="n">
        <f aca="false">IF($C$11="Libro",U29*U28,IF(U17&lt;=20,01_Supuestos!$I$26+(01_Supuestos!$I$27-01_Supuestos!$I$26)*(U17-1)/19,01_Supuestos!$I$27*IF($C$6="Sí",(1+01_Supuestos!$I$9)^(U17-20),1))*U29/0.1)</f>
        <v>1.66883482794596</v>
      </c>
      <c r="V30" s="138" t="n">
        <f aca="false">IF($C$11="Libro",V29*V28,IF(V17&lt;=20,01_Supuestos!$I$26+(01_Supuestos!$I$27-01_Supuestos!$I$26)*(V17-1)/19,01_Supuestos!$I$27*IF($C$6="Sí",(1+01_Supuestos!$I$9)^(V17-20),1))*V29/0.1)</f>
        <v>1.71055569864461</v>
      </c>
      <c r="W30" s="138" t="n">
        <f aca="false">IF($C$11="Libro",W29*W28,IF(W17&lt;=20,01_Supuestos!$I$26+(01_Supuestos!$I$27-01_Supuestos!$I$26)*(W17-1)/19,01_Supuestos!$I$27*IF($C$6="Sí",(1+01_Supuestos!$I$9)^(W17-20),1))*W29/0.1)</f>
        <v>1.75331959111072</v>
      </c>
      <c r="X30" s="138" t="n">
        <f aca="false">IF($C$11="Libro",X29*X28,IF(X17&lt;=20,01_Supuestos!$I$26+(01_Supuestos!$I$27-01_Supuestos!$I$26)*(X17-1)/19,01_Supuestos!$I$27*IF($C$6="Sí",(1+01_Supuestos!$I$9)^(X17-20),1))*X29/0.1)</f>
        <v>1.79715258088849</v>
      </c>
      <c r="Y30" s="138" t="n">
        <f aca="false">IF($C$11="Libro",Y29*Y28,IF(Y17&lt;=20,01_Supuestos!$I$26+(01_Supuestos!$I$27-01_Supuestos!$I$26)*(Y17-1)/19,01_Supuestos!$I$27*IF($C$6="Sí",(1+01_Supuestos!$I$9)^(Y17-20),1))*Y29/0.1)</f>
        <v>1.8420813954107</v>
      </c>
      <c r="Z30" s="138" t="n">
        <f aca="false">IF($C$11="Libro",Z29*Z28,IF(Z17&lt;=20,01_Supuestos!$I$26+(01_Supuestos!$I$27-01_Supuestos!$I$26)*(Z17-1)/19,01_Supuestos!$I$27*IF($C$6="Sí",(1+01_Supuestos!$I$9)^(Z17-20),1))*Z29/0.1)</f>
        <v>1.88813343029597</v>
      </c>
      <c r="AA30" s="138" t="n">
        <f aca="false">IF($C$11="Libro",AA29*AA28,IF(AA17&lt;=20,01_Supuestos!$I$26+(01_Supuestos!$I$27-01_Supuestos!$I$26)*(AA17-1)/19,01_Supuestos!$I$27*IF($C$6="Sí",(1+01_Supuestos!$I$9)^(AA17-20),1))*AA29/0.1)</f>
        <v>1.93533676605337</v>
      </c>
      <c r="AB30" s="138" t="n">
        <f aca="false">IF($C$11="Libro",AB29*AB28,IF(AB17&lt;=20,01_Supuestos!$I$26+(01_Supuestos!$I$27-01_Supuestos!$I$26)*(AB17-1)/19,01_Supuestos!$I$27*IF($C$6="Sí",(1+01_Supuestos!$I$9)^(AB17-20),1))*AB29/0.1)</f>
        <v>1.9837201852047</v>
      </c>
      <c r="AC30" s="138" t="n">
        <f aca="false">IF($C$11="Libro",AC29*AC28,IF(AC17&lt;=20,01_Supuestos!$I$26+(01_Supuestos!$I$27-01_Supuestos!$I$26)*(AC17-1)/19,01_Supuestos!$I$27*IF($C$6="Sí",(1+01_Supuestos!$I$9)^(AC17-20),1))*AC29/0.1)</f>
        <v>2.03331318983482</v>
      </c>
      <c r="AD30" s="138" t="n">
        <f aca="false">IF($C$11="Libro",AD29*AD28,IF(AD17&lt;=20,01_Supuestos!$I$26+(01_Supuestos!$I$27-01_Supuestos!$I$26)*(AD17-1)/19,01_Supuestos!$I$27*IF($C$6="Sí",(1+01_Supuestos!$I$9)^(AD17-20),1))*AD29/0.1)</f>
        <v>2.08414601958069</v>
      </c>
      <c r="AE30" s="138" t="n">
        <f aca="false">IF($C$11="Libro",AE29*AE28,IF(AE17&lt;=20,01_Supuestos!$I$26+(01_Supuestos!$I$27-01_Supuestos!$I$26)*(AE17-1)/19,01_Supuestos!$I$27*IF($C$6="Sí",(1+01_Supuestos!$I$9)^(AE17-20),1))*AE29/0.1)</f>
        <v>2.13624967007021</v>
      </c>
      <c r="AF30" s="138" t="n">
        <f aca="false">IF($C$11="Libro",AF29*AF28,IF(AF17&lt;=20,01_Supuestos!$I$26+(01_Supuestos!$I$27-01_Supuestos!$I$26)*(AF17-1)/19,01_Supuestos!$I$27*IF($C$6="Sí",(1+01_Supuestos!$I$9)^(AF17-20),1))*AF29/0.1)</f>
        <v>2.18965591182196</v>
      </c>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row>
    <row r="31" customFormat="false" ht="14.25" hidden="false" customHeight="true" outlineLevel="0" collapsed="false">
      <c r="B31" s="134" t="s">
        <v>1071</v>
      </c>
      <c r="C31" s="206" t="n">
        <f aca="false">IF(C17&lt;=01_Supuestos!$I$29,MIN(C24,C27+C30),0)</f>
        <v>0</v>
      </c>
      <c r="D31" s="206" t="n">
        <f aca="false">IF(D17&lt;=01_Supuestos!$I$29,MIN(D24,D27+D30),0)</f>
        <v>0</v>
      </c>
      <c r="E31" s="206" t="n">
        <f aca="false">IF(E17&lt;=01_Supuestos!$I$29,MIN(E24,E27+E30),0)</f>
        <v>0</v>
      </c>
      <c r="F31" s="206" t="n">
        <f aca="false">IF(F17&lt;=01_Supuestos!$I$29,MIN(F24,F27+F30),0)</f>
        <v>3.15071870662724</v>
      </c>
      <c r="G31" s="206" t="n">
        <f aca="false">IF(G17&lt;=01_Supuestos!$I$29,MIN(G24,G27+G30),0)</f>
        <v>3.138701630098</v>
      </c>
      <c r="H31" s="206" t="n">
        <f aca="false">IF(H17&lt;=01_Supuestos!$I$29,MIN(H24,H27+H30),0)</f>
        <v>3.12650429742082</v>
      </c>
      <c r="I31" s="206" t="n">
        <f aca="false">IF(I17&lt;=01_Supuestos!$I$29,MIN(I24,I27+I30),0)</f>
        <v>3.11412400475348</v>
      </c>
      <c r="J31" s="206" t="n">
        <f aca="false">IF(J17&lt;=01_Supuestos!$I$29,MIN(J24,J27+J30),0)</f>
        <v>3.10155800769613</v>
      </c>
      <c r="K31" s="206" t="n">
        <f aca="false">IF(K17&lt;=01_Supuestos!$I$29,MIN(K24,K27+K30),0)</f>
        <v>3.08880352068292</v>
      </c>
      <c r="L31" s="206" t="n">
        <f aca="false">IF(L17&lt;=01_Supuestos!$I$29,MIN(L24,L27+L30),0)</f>
        <v>3.07585771636452</v>
      </c>
      <c r="M31" s="206" t="n">
        <f aca="false">IF(M17&lt;=01_Supuestos!$I$29,MIN(M24,M27+M30),0)</f>
        <v>0</v>
      </c>
      <c r="N31" s="206" t="n">
        <f aca="false">IF(N17&lt;=01_Supuestos!$I$29,MIN(N24,N27+N30),0)</f>
        <v>0</v>
      </c>
      <c r="O31" s="206" t="n">
        <f aca="false">IF(O17&lt;=01_Supuestos!$I$29,MIN(O24,O27+O30),0)</f>
        <v>0</v>
      </c>
      <c r="P31" s="206" t="n">
        <f aca="false">IF(P17&lt;=01_Supuestos!$I$29,MIN(P24,P27+P30),0)</f>
        <v>0</v>
      </c>
      <c r="Q31" s="206" t="n">
        <f aca="false">IF(Q17&lt;=01_Supuestos!$I$29,MIN(Q24,Q27+Q30),0)</f>
        <v>0</v>
      </c>
      <c r="R31" s="206" t="n">
        <f aca="false">IF(R17&lt;=01_Supuestos!$I$29,MIN(R24,R27+R30),0)</f>
        <v>0</v>
      </c>
      <c r="S31" s="206" t="n">
        <f aca="false">IF(S17&lt;=01_Supuestos!$I$29,MIN(S24,S27+S30),0)</f>
        <v>0</v>
      </c>
      <c r="T31" s="206" t="n">
        <f aca="false">IF(T17&lt;=01_Supuestos!$I$29,MIN(T24,T27+T30),0)</f>
        <v>0</v>
      </c>
      <c r="U31" s="206" t="n">
        <f aca="false">IF(U17&lt;=01_Supuestos!$I$29,MIN(U24,U27+U30),0)</f>
        <v>0</v>
      </c>
      <c r="V31" s="206" t="n">
        <f aca="false">IF(V17&lt;=01_Supuestos!$I$29,MIN(V24,V27+V30),0)</f>
        <v>0</v>
      </c>
      <c r="W31" s="206" t="n">
        <f aca="false">IF(W17&lt;=01_Supuestos!$I$29,MIN(W24,W27+W30),0)</f>
        <v>0</v>
      </c>
      <c r="X31" s="206" t="n">
        <f aca="false">IF(X17&lt;=01_Supuestos!$I$29,MIN(X24,X27+X30),0)</f>
        <v>0</v>
      </c>
      <c r="Y31" s="206" t="n">
        <f aca="false">IF(Y17&lt;=01_Supuestos!$I$29,MIN(Y24,Y27+Y30),0)</f>
        <v>0</v>
      </c>
      <c r="Z31" s="206" t="n">
        <f aca="false">IF(Z17&lt;=01_Supuestos!$I$29,MIN(Z24,Z27+Z30),0)</f>
        <v>0</v>
      </c>
      <c r="AA31" s="206" t="n">
        <f aca="false">IF(AA17&lt;=01_Supuestos!$I$29,MIN(AA24,AA27+AA30),0)</f>
        <v>0</v>
      </c>
      <c r="AB31" s="206" t="n">
        <f aca="false">IF(AB17&lt;=01_Supuestos!$I$29,MIN(AB24,AB27+AB30),0)</f>
        <v>0</v>
      </c>
      <c r="AC31" s="206" t="n">
        <f aca="false">IF(AC17&lt;=01_Supuestos!$I$29,MIN(AC24,AC27+AC30),0)</f>
        <v>0</v>
      </c>
      <c r="AD31" s="206" t="n">
        <f aca="false">IF(AD17&lt;=01_Supuestos!$I$29,MIN(AD24,AD27+AD30),0)</f>
        <v>0</v>
      </c>
      <c r="AE31" s="206" t="n">
        <f aca="false">IF(AE17&lt;=01_Supuestos!$I$29,MIN(AE24,AE27+AE30),0)</f>
        <v>0</v>
      </c>
      <c r="AF31" s="206" t="n">
        <f aca="false">IF(AF17&lt;=01_Supuestos!$I$29,MIN(AF24,AF27+AF30),0)</f>
        <v>0</v>
      </c>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6"/>
      <c r="BF31" s="206"/>
      <c r="BG31" s="206"/>
      <c r="BH31" s="206"/>
      <c r="BI31" s="206"/>
      <c r="BJ31" s="206"/>
      <c r="BK31" s="206"/>
      <c r="BL31" s="206"/>
      <c r="BM31" s="206"/>
      <c r="BN31" s="206"/>
      <c r="BO31" s="206"/>
      <c r="BP31" s="206"/>
      <c r="BQ31" s="206"/>
      <c r="BR31" s="206"/>
      <c r="BS31" s="206"/>
      <c r="BT31" s="206"/>
    </row>
    <row r="32" customFormat="false" ht="14.25" hidden="false" customHeight="true" outlineLevel="0" collapsed="false">
      <c r="B32" s="132" t="s">
        <v>1074</v>
      </c>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row>
    <row r="33" customFormat="false" ht="14.25" hidden="false" customHeight="true" outlineLevel="0" collapsed="false">
      <c r="B33" s="134" t="s">
        <v>1076</v>
      </c>
      <c r="C33" s="206" t="n">
        <f aca="false">C22+C24-C31</f>
        <v>56.77404</v>
      </c>
      <c r="D33" s="206" t="n">
        <f aca="false">D22+D24-D31</f>
        <v>33.605448</v>
      </c>
      <c r="E33" s="206" t="n">
        <f aca="false">E22+E24-E31</f>
        <v>28.8</v>
      </c>
      <c r="F33" s="206" t="n">
        <f aca="false">F22+F24-F31</f>
        <v>65.644182</v>
      </c>
      <c r="G33" s="206" t="n">
        <f aca="false">G22+G24-G31</f>
        <v>0</v>
      </c>
      <c r="H33" s="206" t="n">
        <f aca="false">H22+H24-H31</f>
        <v>0</v>
      </c>
      <c r="I33" s="206" t="n">
        <f aca="false">I22+I24-I31</f>
        <v>0</v>
      </c>
      <c r="J33" s="206" t="n">
        <f aca="false">J22+J24-J31</f>
        <v>0</v>
      </c>
      <c r="K33" s="206" t="n">
        <f aca="false">K22+K24-K31</f>
        <v>0</v>
      </c>
      <c r="L33" s="206" t="n">
        <f aca="false">L22+L24-L31</f>
        <v>0</v>
      </c>
      <c r="M33" s="206" t="n">
        <f aca="false">M22+M24-M31</f>
        <v>3.06271772498134</v>
      </c>
      <c r="N33" s="206" t="n">
        <f aca="false">N22+N24-N31</f>
        <v>3.04938063372741</v>
      </c>
      <c r="O33" s="206" t="n">
        <f aca="false">O22+O24-O31</f>
        <v>3.03584348610467</v>
      </c>
      <c r="P33" s="206" t="n">
        <f aca="false">P22+P24-P31</f>
        <v>3.02210328126759</v>
      </c>
      <c r="Q33" s="206" t="n">
        <f aca="false">Q22+Q24-Q31</f>
        <v>3.00815697335795</v>
      </c>
      <c r="R33" s="206" t="n">
        <f aca="false">R22+R24-R31</f>
        <v>2.90472995620195</v>
      </c>
      <c r="S33" s="206" t="n">
        <f aca="false">S22+S24-S31</f>
        <v>2.80262317558176</v>
      </c>
      <c r="T33" s="206" t="n">
        <f aca="false">T22+T24-T31</f>
        <v>2.70186792931346</v>
      </c>
      <c r="U33" s="206" t="n">
        <f aca="false">U22+U24-U31</f>
        <v>2.60249615709441</v>
      </c>
      <c r="V33" s="206" t="n">
        <f aca="false">V22+V24-V31</f>
        <v>2.50454045271765</v>
      </c>
      <c r="W33" s="206" t="n">
        <f aca="false">W22+W24-W31</f>
        <v>2.40803407650835</v>
      </c>
      <c r="X33" s="206" t="n">
        <f aca="false">X22+X24-X31</f>
        <v>2.31301096798619</v>
      </c>
      <c r="Y33" s="206" t="n">
        <f aca="false">Y22+Y24-Y31</f>
        <v>2.21950575875756</v>
      </c>
      <c r="Z33" s="206" t="n">
        <f aca="false">Z22+Z24-Z31</f>
        <v>2.12755378564186</v>
      </c>
      <c r="AA33" s="206" t="n">
        <f aca="false">AA22+AA24-AA31</f>
        <v>2.03719110403571</v>
      </c>
      <c r="AB33" s="206" t="n">
        <f aca="false">AB22+AB24-AB31</f>
        <v>1.94845450151949</v>
      </c>
      <c r="AC33" s="206" t="n">
        <f aca="false">AC22+AC24-AC31</f>
        <v>1.86138151171043</v>
      </c>
      <c r="AD33" s="206" t="n">
        <f aca="false">AD22+AD24-AD31</f>
        <v>1.77601042836646</v>
      </c>
      <c r="AE33" s="206" t="n">
        <f aca="false">AE22+AE24-AE31</f>
        <v>1.69238031974539</v>
      </c>
      <c r="AF33" s="206" t="n">
        <f aca="false">AF22+AF24-AF31</f>
        <v>1.61053104322382</v>
      </c>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c r="BK33" s="206"/>
      <c r="BL33" s="206"/>
      <c r="BM33" s="206"/>
      <c r="BN33" s="206"/>
      <c r="BO33" s="206"/>
      <c r="BP33" s="206"/>
      <c r="BQ33" s="206"/>
      <c r="BR33" s="206"/>
      <c r="BS33" s="206"/>
      <c r="BT33" s="206"/>
    </row>
    <row r="34" customFormat="false" ht="14.25" hidden="false" customHeight="true" outlineLevel="0" collapsed="false">
      <c r="B34" s="134" t="s">
        <v>1077</v>
      </c>
      <c r="C34" s="206" t="n">
        <f aca="false">MIN(01_Supuestos!$I$144,C33)</f>
        <v>0.08</v>
      </c>
      <c r="D34" s="206" t="n">
        <f aca="false">MIN(01_Supuestos!$I$144,D33)</f>
        <v>0.08</v>
      </c>
      <c r="E34" s="206" t="n">
        <f aca="false">MIN(01_Supuestos!$I$144,E33)</f>
        <v>0.08</v>
      </c>
      <c r="F34" s="206" t="n">
        <f aca="false">MIN(01_Supuestos!$I$144,F33)</f>
        <v>0.08</v>
      </c>
      <c r="G34" s="206" t="n">
        <f aca="false">MIN(01_Supuestos!$I$144,G33)</f>
        <v>0</v>
      </c>
      <c r="H34" s="206" t="n">
        <f aca="false">MIN(01_Supuestos!$I$144,H33)</f>
        <v>0</v>
      </c>
      <c r="I34" s="206" t="n">
        <f aca="false">MIN(01_Supuestos!$I$144,I33)</f>
        <v>0</v>
      </c>
      <c r="J34" s="206" t="n">
        <f aca="false">MIN(01_Supuestos!$I$144,J33)</f>
        <v>0</v>
      </c>
      <c r="K34" s="206" t="n">
        <f aca="false">MIN(01_Supuestos!$I$144,K33)</f>
        <v>0</v>
      </c>
      <c r="L34" s="206" t="n">
        <f aca="false">MIN(01_Supuestos!$I$144,L33)</f>
        <v>0</v>
      </c>
      <c r="M34" s="206" t="n">
        <f aca="false">MIN(01_Supuestos!$I$144,M33)</f>
        <v>0.08</v>
      </c>
      <c r="N34" s="206" t="n">
        <f aca="false">MIN(01_Supuestos!$I$144,N33)</f>
        <v>0.08</v>
      </c>
      <c r="O34" s="206" t="n">
        <f aca="false">MIN(01_Supuestos!$I$144,O33)</f>
        <v>0.08</v>
      </c>
      <c r="P34" s="206" t="n">
        <f aca="false">MIN(01_Supuestos!$I$144,P33)</f>
        <v>0.08</v>
      </c>
      <c r="Q34" s="206" t="n">
        <f aca="false">MIN(01_Supuestos!$I$144,Q33)</f>
        <v>0.08</v>
      </c>
      <c r="R34" s="206" t="n">
        <f aca="false">MIN(01_Supuestos!$I$144,R33)</f>
        <v>0.08</v>
      </c>
      <c r="S34" s="206" t="n">
        <f aca="false">MIN(01_Supuestos!$I$144,S33)</f>
        <v>0.08</v>
      </c>
      <c r="T34" s="206" t="n">
        <f aca="false">MIN(01_Supuestos!$I$144,T33)</f>
        <v>0.08</v>
      </c>
      <c r="U34" s="206" t="n">
        <f aca="false">MIN(01_Supuestos!$I$144,U33)</f>
        <v>0.08</v>
      </c>
      <c r="V34" s="206" t="n">
        <f aca="false">MIN(01_Supuestos!$I$144,V33)</f>
        <v>0.08</v>
      </c>
      <c r="W34" s="206" t="n">
        <f aca="false">MIN(01_Supuestos!$I$144,W33)</f>
        <v>0.08</v>
      </c>
      <c r="X34" s="206" t="n">
        <f aca="false">MIN(01_Supuestos!$I$144,X33)</f>
        <v>0.08</v>
      </c>
      <c r="Y34" s="206" t="n">
        <f aca="false">MIN(01_Supuestos!$I$144,Y33)</f>
        <v>0.08</v>
      </c>
      <c r="Z34" s="206" t="n">
        <f aca="false">MIN(01_Supuestos!$I$144,Z33)</f>
        <v>0.08</v>
      </c>
      <c r="AA34" s="206" t="n">
        <f aca="false">MIN(01_Supuestos!$I$144,AA33)</f>
        <v>0.08</v>
      </c>
      <c r="AB34" s="206" t="n">
        <f aca="false">MIN(01_Supuestos!$I$144,AB33)</f>
        <v>0.08</v>
      </c>
      <c r="AC34" s="206" t="n">
        <f aca="false">MIN(01_Supuestos!$I$144,AC33)</f>
        <v>0.08</v>
      </c>
      <c r="AD34" s="206" t="n">
        <f aca="false">MIN(01_Supuestos!$I$144,AD33)</f>
        <v>0.08</v>
      </c>
      <c r="AE34" s="206" t="n">
        <f aca="false">MIN(01_Supuestos!$I$144,AE33)</f>
        <v>0.08</v>
      </c>
      <c r="AF34" s="206" t="n">
        <f aca="false">MIN(01_Supuestos!$I$144,AF33)</f>
        <v>0.08</v>
      </c>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row>
    <row r="35" customFormat="false" ht="14.25" hidden="false" customHeight="true" outlineLevel="0" collapsed="false">
      <c r="B35" s="134" t="s">
        <v>1078</v>
      </c>
      <c r="C35" s="206" t="n">
        <f aca="false">C33-C34</f>
        <v>56.69404</v>
      </c>
      <c r="D35" s="206" t="n">
        <f aca="false">D33-D34</f>
        <v>33.525448</v>
      </c>
      <c r="E35" s="206" t="n">
        <f aca="false">E33-E34</f>
        <v>28.72</v>
      </c>
      <c r="F35" s="206" t="n">
        <f aca="false">F33-F34</f>
        <v>65.564182</v>
      </c>
      <c r="G35" s="206" t="n">
        <f aca="false">G33-G34</f>
        <v>0</v>
      </c>
      <c r="H35" s="206" t="n">
        <f aca="false">H33-H34</f>
        <v>0</v>
      </c>
      <c r="I35" s="206" t="n">
        <f aca="false">I33-I34</f>
        <v>0</v>
      </c>
      <c r="J35" s="206" t="n">
        <f aca="false">J33-J34</f>
        <v>0</v>
      </c>
      <c r="K35" s="206" t="n">
        <f aca="false">K33-K34</f>
        <v>0</v>
      </c>
      <c r="L35" s="206" t="n">
        <f aca="false">L33-L34</f>
        <v>0</v>
      </c>
      <c r="M35" s="206" t="n">
        <f aca="false">M33-M34</f>
        <v>2.98271772498134</v>
      </c>
      <c r="N35" s="206" t="n">
        <f aca="false">N33-N34</f>
        <v>2.96938063372741</v>
      </c>
      <c r="O35" s="206" t="n">
        <f aca="false">O33-O34</f>
        <v>2.95584348610467</v>
      </c>
      <c r="P35" s="206" t="n">
        <f aca="false">P33-P34</f>
        <v>2.94210328126759</v>
      </c>
      <c r="Q35" s="206" t="n">
        <f aca="false">Q33-Q34</f>
        <v>2.92815697335795</v>
      </c>
      <c r="R35" s="206" t="n">
        <f aca="false">R33-R34</f>
        <v>2.82472995620195</v>
      </c>
      <c r="S35" s="206" t="n">
        <f aca="false">S33-S34</f>
        <v>2.72262317558176</v>
      </c>
      <c r="T35" s="206" t="n">
        <f aca="false">T33-T34</f>
        <v>2.62186792931346</v>
      </c>
      <c r="U35" s="206" t="n">
        <f aca="false">U33-U34</f>
        <v>2.52249615709441</v>
      </c>
      <c r="V35" s="206" t="n">
        <f aca="false">V33-V34</f>
        <v>2.42454045271765</v>
      </c>
      <c r="W35" s="206" t="n">
        <f aca="false">W33-W34</f>
        <v>2.32803407650835</v>
      </c>
      <c r="X35" s="206" t="n">
        <f aca="false">X33-X34</f>
        <v>2.23301096798619</v>
      </c>
      <c r="Y35" s="206" t="n">
        <f aca="false">Y33-Y34</f>
        <v>2.13950575875756</v>
      </c>
      <c r="Z35" s="206" t="n">
        <f aca="false">Z33-Z34</f>
        <v>2.04755378564186</v>
      </c>
      <c r="AA35" s="206" t="n">
        <f aca="false">AA33-AA34</f>
        <v>1.95719110403571</v>
      </c>
      <c r="AB35" s="206" t="n">
        <f aca="false">AB33-AB34</f>
        <v>1.86845450151949</v>
      </c>
      <c r="AC35" s="206" t="n">
        <f aca="false">AC33-AC34</f>
        <v>1.78138151171043</v>
      </c>
      <c r="AD35" s="206" t="n">
        <f aca="false">AD33-AD34</f>
        <v>1.69601042836646</v>
      </c>
      <c r="AE35" s="206" t="n">
        <f aca="false">AE33-AE34</f>
        <v>1.61238031974539</v>
      </c>
      <c r="AF35" s="206" t="n">
        <f aca="false">AF33-AF34</f>
        <v>1.53053104322382</v>
      </c>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row>
    <row r="36" customFormat="false" ht="14.25" hidden="false" customHeight="true" outlineLevel="0" collapsed="false">
      <c r="B36" s="134" t="s">
        <v>1079</v>
      </c>
      <c r="C36" s="206" t="n">
        <f aca="false">C35</f>
        <v>56.69404</v>
      </c>
      <c r="D36" s="206" t="n">
        <f aca="false">C36+D35</f>
        <v>90.219488</v>
      </c>
      <c r="E36" s="206" t="n">
        <f aca="false">D36+E35</f>
        <v>118.939488</v>
      </c>
      <c r="F36" s="206" t="n">
        <f aca="false">E36+F35</f>
        <v>184.50367</v>
      </c>
      <c r="G36" s="206" t="n">
        <f aca="false">F36+G35</f>
        <v>184.50367</v>
      </c>
      <c r="H36" s="206" t="n">
        <f aca="false">G36+H35</f>
        <v>184.50367</v>
      </c>
      <c r="I36" s="206" t="n">
        <f aca="false">H36+I35</f>
        <v>184.50367</v>
      </c>
      <c r="J36" s="206" t="n">
        <f aca="false">I36+J35</f>
        <v>184.50367</v>
      </c>
      <c r="K36" s="206" t="n">
        <f aca="false">J36+K35</f>
        <v>184.50367</v>
      </c>
      <c r="L36" s="206" t="n">
        <f aca="false">K36+L35</f>
        <v>184.50367</v>
      </c>
      <c r="M36" s="206" t="n">
        <f aca="false">L36+M35</f>
        <v>187.486387724981</v>
      </c>
      <c r="N36" s="206" t="n">
        <f aca="false">M36+N35</f>
        <v>190.455768358709</v>
      </c>
      <c r="O36" s="206" t="n">
        <f aca="false">N36+O35</f>
        <v>193.411611844813</v>
      </c>
      <c r="P36" s="206" t="n">
        <f aca="false">O36+P35</f>
        <v>196.353715126081</v>
      </c>
      <c r="Q36" s="206" t="n">
        <f aca="false">P36+Q35</f>
        <v>199.281872099439</v>
      </c>
      <c r="R36" s="206" t="n">
        <f aca="false">Q36+R35</f>
        <v>202.106602055641</v>
      </c>
      <c r="S36" s="206" t="n">
        <f aca="false">R36+S35</f>
        <v>204.829225231223</v>
      </c>
      <c r="T36" s="206" t="n">
        <f aca="false">S36+T35</f>
        <v>207.451093160536</v>
      </c>
      <c r="U36" s="206" t="n">
        <f aca="false">T36+U35</f>
        <v>209.973589317631</v>
      </c>
      <c r="V36" s="206" t="n">
        <f aca="false">U36+V35</f>
        <v>212.398129770348</v>
      </c>
      <c r="W36" s="206" t="n">
        <f aca="false">V36+W35</f>
        <v>214.726163846857</v>
      </c>
      <c r="X36" s="206" t="n">
        <f aca="false">W36+X35</f>
        <v>216.959174814843</v>
      </c>
      <c r="Y36" s="206" t="n">
        <f aca="false">X36+Y35</f>
        <v>219.0986805736</v>
      </c>
      <c r="Z36" s="206" t="n">
        <f aca="false">Y36+Z35</f>
        <v>221.146234359242</v>
      </c>
      <c r="AA36" s="206" t="n">
        <f aca="false">Z36+AA35</f>
        <v>223.103425463278</v>
      </c>
      <c r="AB36" s="206" t="n">
        <f aca="false">AA36+AB35</f>
        <v>224.971879964797</v>
      </c>
      <c r="AC36" s="206" t="n">
        <f aca="false">AB36+AC35</f>
        <v>226.753261476508</v>
      </c>
      <c r="AD36" s="206" t="n">
        <f aca="false">AC36+AD35</f>
        <v>228.449271904874</v>
      </c>
      <c r="AE36" s="206" t="n">
        <f aca="false">AD36+AE35</f>
        <v>230.06165222462</v>
      </c>
      <c r="AF36" s="206" t="n">
        <f aca="false">AE36+AF35</f>
        <v>231.592183267843</v>
      </c>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c r="BK36" s="206"/>
      <c r="BL36" s="206"/>
      <c r="BM36" s="206"/>
      <c r="BN36" s="206"/>
      <c r="BO36" s="206"/>
      <c r="BP36" s="206"/>
      <c r="BQ36" s="206"/>
      <c r="BR36" s="206"/>
      <c r="BS36" s="206"/>
      <c r="BT36" s="206"/>
    </row>
    <row r="37" customFormat="false" ht="14.25" hidden="false" customHeight="true" outlineLevel="0" collapsed="false">
      <c r="B37" s="134" t="s">
        <v>1674</v>
      </c>
      <c r="C37" s="206" t="n">
        <f aca="false">(01_Supuestos!$I$125-1)*C35</f>
        <v>19.2759736</v>
      </c>
      <c r="D37" s="206" t="n">
        <f aca="false">C37+(01_Supuestos!$I$125-1)*D35</f>
        <v>30.67462592</v>
      </c>
      <c r="E37" s="206" t="n">
        <f aca="false">D37+(01_Supuestos!$I$125-1)*E35</f>
        <v>40.43942592</v>
      </c>
      <c r="F37" s="206" t="n">
        <f aca="false">E37+(01_Supuestos!$I$125-1)*F35</f>
        <v>62.7312478</v>
      </c>
      <c r="G37" s="206" t="n">
        <f aca="false">F37+(01_Supuestos!$I$125-1)*G35</f>
        <v>62.7312478</v>
      </c>
      <c r="H37" s="206" t="n">
        <f aca="false">G37+(01_Supuestos!$I$125-1)*H35</f>
        <v>62.7312478</v>
      </c>
      <c r="I37" s="206" t="n">
        <f aca="false">H37+(01_Supuestos!$I$125-1)*I35</f>
        <v>62.7312478</v>
      </c>
      <c r="J37" s="206" t="n">
        <f aca="false">I37+(01_Supuestos!$I$125-1)*J35</f>
        <v>62.7312478</v>
      </c>
      <c r="K37" s="206" t="n">
        <f aca="false">J37+(01_Supuestos!$I$125-1)*K35</f>
        <v>62.7312478</v>
      </c>
      <c r="L37" s="206" t="n">
        <f aca="false">K37+(01_Supuestos!$I$125-1)*L35</f>
        <v>62.7312478</v>
      </c>
      <c r="M37" s="206" t="n">
        <f aca="false">L37+(01_Supuestos!$I$125-1)*M35</f>
        <v>63.7453718264937</v>
      </c>
      <c r="N37" s="206" t="n">
        <f aca="false">M37+(01_Supuestos!$I$125-1)*N35</f>
        <v>64.754961241961</v>
      </c>
      <c r="O37" s="206" t="n">
        <f aca="false">N37+(01_Supuestos!$I$125-1)*O35</f>
        <v>65.7599480272366</v>
      </c>
      <c r="P37" s="206" t="n">
        <f aca="false">O37+(01_Supuestos!$I$125-1)*P35</f>
        <v>66.7602631428676</v>
      </c>
      <c r="Q37" s="206" t="n">
        <f aca="false">P37+(01_Supuestos!$I$125-1)*Q35</f>
        <v>67.7558365138093</v>
      </c>
      <c r="R37" s="206" t="n">
        <f aca="false">Q37+(01_Supuestos!$I$125-1)*R35</f>
        <v>68.7162446989179</v>
      </c>
      <c r="S37" s="206" t="n">
        <f aca="false">R37+(01_Supuestos!$I$125-1)*S35</f>
        <v>69.6419365786157</v>
      </c>
      <c r="T37" s="206" t="n">
        <f aca="false">S37+(01_Supuestos!$I$125-1)*T35</f>
        <v>70.5333716745823</v>
      </c>
      <c r="U37" s="206" t="n">
        <f aca="false">T37+(01_Supuestos!$I$125-1)*U35</f>
        <v>71.3910203679944</v>
      </c>
      <c r="V37" s="206" t="n">
        <f aca="false">U37+(01_Supuestos!$I$125-1)*V35</f>
        <v>72.2153641219184</v>
      </c>
      <c r="W37" s="206" t="n">
        <f aca="false">V37+(01_Supuestos!$I$125-1)*W35</f>
        <v>73.0068957079312</v>
      </c>
      <c r="X37" s="206" t="n">
        <f aca="false">W37+(01_Supuestos!$I$125-1)*X35</f>
        <v>73.7661194370465</v>
      </c>
      <c r="Y37" s="206" t="n">
        <f aca="false">X37+(01_Supuestos!$I$125-1)*Y35</f>
        <v>74.4935513950241</v>
      </c>
      <c r="Z37" s="206" t="n">
        <f aca="false">Y37+(01_Supuestos!$I$125-1)*Z35</f>
        <v>75.1897196821424</v>
      </c>
      <c r="AA37" s="206" t="n">
        <f aca="false">Z37+(01_Supuestos!$I$125-1)*AA35</f>
        <v>75.8551646575145</v>
      </c>
      <c r="AB37" s="206" t="n">
        <f aca="false">AA37+(01_Supuestos!$I$125-1)*AB35</f>
        <v>76.4904391880311</v>
      </c>
      <c r="AC37" s="206" t="n">
        <f aca="false">AB37+(01_Supuestos!$I$125-1)*AC35</f>
        <v>77.0961089020127</v>
      </c>
      <c r="AD37" s="206" t="n">
        <f aca="false">AC37+(01_Supuestos!$I$125-1)*AD35</f>
        <v>77.6727524476573</v>
      </c>
      <c r="AE37" s="206" t="n">
        <f aca="false">AD37+(01_Supuestos!$I$125-1)*AE35</f>
        <v>78.2209617563707</v>
      </c>
      <c r="AF37" s="206" t="n">
        <f aca="false">AE37+(01_Supuestos!$I$125-1)*AF35</f>
        <v>78.7413423110668</v>
      </c>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c r="BK37" s="206"/>
      <c r="BL37" s="206"/>
      <c r="BM37" s="206"/>
      <c r="BN37" s="206"/>
      <c r="BO37" s="206"/>
      <c r="BP37" s="206"/>
      <c r="BQ37" s="206"/>
      <c r="BR37" s="206"/>
      <c r="BS37" s="206"/>
      <c r="BT37" s="206"/>
    </row>
    <row r="38" customFormat="false" ht="14.25" hidden="false" customHeight="true" outlineLevel="0" collapsed="false">
      <c r="B38" s="81" t="s">
        <v>1081</v>
      </c>
      <c r="C38" s="138" t="n">
        <f aca="false">C22+C23+C24+C25</f>
        <v>56.77404</v>
      </c>
      <c r="D38" s="138" t="n">
        <f aca="false">C38+D22+D23+D24+D25</f>
        <v>90.379488</v>
      </c>
      <c r="E38" s="138" t="n">
        <f aca="false">D38+E22+E23+E24+E25</f>
        <v>119.179488</v>
      </c>
      <c r="F38" s="138" t="n">
        <f aca="false">E38+F22+F23+F24+F25</f>
        <v>215.775388593452</v>
      </c>
      <c r="G38" s="138" t="n">
        <f aca="false">F38+G22+G23+G24+G25</f>
        <v>220.336105108678</v>
      </c>
      <c r="H38" s="138" t="n">
        <f aca="false">G38+H22+H23+H24+H25</f>
        <v>224.905954514503</v>
      </c>
      <c r="I38" s="138" t="n">
        <f aca="false">H38+I22+I23+I24+I25</f>
        <v>229.485073804287</v>
      </c>
      <c r="J38" s="138" t="n">
        <f aca="false">I38+J22+J23+J24+J25</f>
        <v>234.073602026288</v>
      </c>
      <c r="K38" s="138" t="n">
        <f aca="false">J38+K22+K23+K24+K25</f>
        <v>238.671680314492</v>
      </c>
      <c r="L38" s="138" t="n">
        <f aca="false">K38+L22+L23+L24+L25</f>
        <v>243.279451919889</v>
      </c>
      <c r="M38" s="138" t="n">
        <f aca="false">L38+M22+M23+M24+M25</f>
        <v>247.897062242239</v>
      </c>
      <c r="N38" s="138" t="n">
        <f aca="false">M38+N22+N23+N24+N25</f>
        <v>252.524658862296</v>
      </c>
      <c r="O38" s="138" t="n">
        <f aca="false">N38+O22+O23+O24+O25</f>
        <v>257.162391574525</v>
      </c>
      <c r="P38" s="138" t="n">
        <f aca="false">O38+P22+P23+P24+P25</f>
        <v>261.810412420309</v>
      </c>
      <c r="Q38" s="138" t="n">
        <f aca="false">P38+Q22+Q23+Q24+Q25</f>
        <v>266.46887572165</v>
      </c>
      <c r="R38" s="138" t="n">
        <f aca="false">Q38+R22+R23+R24+R25</f>
        <v>271.048666600756</v>
      </c>
      <c r="S38" s="138" t="n">
        <f aca="false">R38+S22+S23+S24+S25</f>
        <v>275.551476613085</v>
      </c>
      <c r="T38" s="138" t="n">
        <f aca="false">S38+T22+T23+T24+T25</f>
        <v>279.979034181696</v>
      </c>
      <c r="U38" s="138" t="n">
        <f aca="false">T38+U22+U23+U24+U25</f>
        <v>284.333105322678</v>
      </c>
      <c r="V38" s="138" t="n">
        <f aca="false">U38+V22+V23+V24+V25</f>
        <v>288.615494384042</v>
      </c>
      <c r="W38" s="138" t="n">
        <f aca="false">V38+W22+W23+W24+W25</f>
        <v>292.828044798326</v>
      </c>
      <c r="X38" s="138" t="n">
        <f aca="false">W38+X22+X23+X24+X25</f>
        <v>296.972639849155</v>
      </c>
      <c r="Y38" s="138" t="n">
        <f aca="false">X38+Y22+Y23+Y24+Y25</f>
        <v>301.051203451997</v>
      </c>
      <c r="Z38" s="138" t="n">
        <f aca="false">Y38+Z22+Z23+Z24+Z25</f>
        <v>305.065700949386</v>
      </c>
      <c r="AA38" s="138" t="n">
        <f aca="false">Z38+AA22+AA23+AA24+AA25</f>
        <v>309.018139920844</v>
      </c>
      <c r="AB38" s="138" t="n">
        <f aca="false">AA38+AB22+AB23+AB24+AB25</f>
        <v>312.910571007797</v>
      </c>
      <c r="AC38" s="138" t="n">
        <f aca="false">AB38+AC22+AC23+AC24+AC25</f>
        <v>316.745088753723</v>
      </c>
      <c r="AD38" s="138" t="n">
        <f aca="false">AC38+AD22+AD23+AD24+AD25</f>
        <v>320.523832459818</v>
      </c>
      <c r="AE38" s="138" t="n">
        <f aca="false">AD38+AE22+AE23+AE24+AE25</f>
        <v>324.248987056458</v>
      </c>
      <c r="AF38" s="138" t="n">
        <f aca="false">AE38+AF22+AF23+AF24+AF25</f>
        <v>327.92278399073</v>
      </c>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row>
    <row r="39" customFormat="false" ht="14.25" hidden="false" customHeight="true" outlineLevel="0" collapsed="false">
      <c r="B39" s="134" t="s">
        <v>1082</v>
      </c>
      <c r="C39" s="206" t="n">
        <f aca="false">C23+C25+C31+C34</f>
        <v>0.08</v>
      </c>
      <c r="D39" s="206" t="n">
        <f aca="false">C39+D23+D25+D31+D34</f>
        <v>0.16</v>
      </c>
      <c r="E39" s="206" t="n">
        <f aca="false">D39+E23+E25+E31+E34</f>
        <v>0.24</v>
      </c>
      <c r="F39" s="206" t="n">
        <f aca="false">E39+F23+F25+F31+F34</f>
        <v>31.2717185934522</v>
      </c>
      <c r="G39" s="206" t="n">
        <f aca="false">F39+G23+G25+G31+G34</f>
        <v>35.8324351086776</v>
      </c>
      <c r="H39" s="206" t="n">
        <f aca="false">G39+H23+H25+H31+H34</f>
        <v>40.4022845145027</v>
      </c>
      <c r="I39" s="206" t="n">
        <f aca="false">H39+I23+I25+I31+I34</f>
        <v>44.9814038042865</v>
      </c>
      <c r="J39" s="206" t="n">
        <f aca="false">I39+J23+J25+J31+J34</f>
        <v>49.5699320262885</v>
      </c>
      <c r="K39" s="206" t="n">
        <f aca="false">J39+K23+K25+K31+K34</f>
        <v>54.1680103144918</v>
      </c>
      <c r="L39" s="206" t="n">
        <f aca="false">K39+L23+L25+L31+L34</f>
        <v>58.7757819198895</v>
      </c>
      <c r="M39" s="206" t="n">
        <f aca="false">L39+M23+M25+M31+M34</f>
        <v>60.4106745172582</v>
      </c>
      <c r="N39" s="206" t="n">
        <f aca="false">M39+N23+N25+N31+N34</f>
        <v>62.0688905035874</v>
      </c>
      <c r="O39" s="206" t="n">
        <f aca="false">N39+O23+O25+O31+O34</f>
        <v>63.7507797297116</v>
      </c>
      <c r="P39" s="206" t="n">
        <f aca="false">O39+P23+P25+P31+P34</f>
        <v>65.4566972942276</v>
      </c>
      <c r="Q39" s="206" t="n">
        <f aca="false">P39+Q23+Q25+Q31+Q34</f>
        <v>67.1870036222114</v>
      </c>
      <c r="R39" s="206" t="n">
        <f aca="false">Q39+R23+R25+R31+R34</f>
        <v>68.9420645451149</v>
      </c>
      <c r="S39" s="206" t="n">
        <f aca="false">R39+S23+S25+S31+S34</f>
        <v>70.722251381862</v>
      </c>
      <c r="T39" s="206" t="n">
        <f aca="false">S39+T23+T25+T31+T34</f>
        <v>72.5279410211603</v>
      </c>
      <c r="U39" s="206" t="n">
        <f aca="false">T39+U23+U25+U31+U34</f>
        <v>74.359516005048</v>
      </c>
      <c r="V39" s="206" t="n">
        <f aca="false">U39+V23+V25+V31+V34</f>
        <v>76.2173646136941</v>
      </c>
      <c r="W39" s="206" t="n">
        <f aca="false">V39+W23+W25+W31+W34</f>
        <v>78.1018809514698</v>
      </c>
      <c r="X39" s="206" t="n">
        <f aca="false">W39+X23+X25+X31+X34</f>
        <v>80.0134650343122</v>
      </c>
      <c r="Y39" s="206" t="n">
        <f aca="false">X39+Y23+Y25+Y31+Y34</f>
        <v>81.9525228783973</v>
      </c>
      <c r="Z39" s="206" t="n">
        <f aca="false">Y39+Z23+Z25+Z31+Z34</f>
        <v>83.9194665901436</v>
      </c>
      <c r="AA39" s="206" t="n">
        <f aca="false">Z39+AA23+AA25+AA31+AA34</f>
        <v>85.9147144575661</v>
      </c>
      <c r="AB39" s="206" t="n">
        <f aca="false">AA39+AB23+AB25+AB31+AB34</f>
        <v>87.9386910429999</v>
      </c>
      <c r="AC39" s="206" t="n">
        <f aca="false">AB39+AC23+AC25+AC31+AC34</f>
        <v>89.9918272772153</v>
      </c>
      <c r="AD39" s="206" t="n">
        <f aca="false">AC39+AD23+AD25+AD31+AD34</f>
        <v>92.0745605549438</v>
      </c>
      <c r="AE39" s="206" t="n">
        <f aca="false">AD39+AE23+AE25+AE31+AE34</f>
        <v>94.1873348318383</v>
      </c>
      <c r="AF39" s="206" t="n">
        <f aca="false">AE39+AF23+AF25+AF31+AF34</f>
        <v>96.3306007228863</v>
      </c>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c r="BK39" s="206"/>
      <c r="BL39" s="206"/>
      <c r="BM39" s="206"/>
      <c r="BN39" s="206"/>
      <c r="BO39" s="206"/>
      <c r="BP39" s="206"/>
      <c r="BQ39" s="206"/>
      <c r="BR39" s="206"/>
      <c r="BS39" s="206"/>
      <c r="BT39" s="206"/>
    </row>
    <row r="40" customFormat="false" ht="14.25" hidden="false" customHeight="true" outlineLevel="0" collapsed="false">
      <c r="B40" s="132" t="s">
        <v>1089</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4.25" hidden="false" customHeight="true" outlineLevel="0" collapsed="false">
      <c r="B41" s="134" t="s">
        <v>1675</v>
      </c>
      <c r="C41" s="206" t="n">
        <f aca="false">01_Supuestos!$I$135*C18</f>
        <v>16.25</v>
      </c>
      <c r="D41" s="206" t="n">
        <f aca="false">C47+01_Supuestos!$I$135*D18</f>
        <v>32.87375</v>
      </c>
      <c r="E41" s="206" t="n">
        <f aca="false">D47+01_Supuestos!$I$135*E18</f>
        <v>49.87984625</v>
      </c>
      <c r="F41" s="206" t="n">
        <f aca="false">E47+01_Supuestos!$I$135*F18</f>
        <v>67.27708271375</v>
      </c>
      <c r="G41" s="206" t="n">
        <f aca="false">F47+01_Supuestos!$I$135*G18</f>
        <v>85.0744556161662</v>
      </c>
      <c r="H41" s="206" t="n">
        <f aca="false">G47+01_Supuestos!$I$135*H18</f>
        <v>103.281168095338</v>
      </c>
      <c r="I41" s="206" t="n">
        <f aca="false">H47+01_Supuestos!$I$135*I18</f>
        <v>121.906634961531</v>
      </c>
      <c r="J41" s="206" t="n">
        <f aca="false">I47+01_Supuestos!$I$135*J18</f>
        <v>140.960487565646</v>
      </c>
      <c r="K41" s="206" t="n">
        <f aca="false">J47+01_Supuestos!$I$135*K18</f>
        <v>160.452578779656</v>
      </c>
      <c r="L41" s="206" t="n">
        <f aca="false">K47+01_Supuestos!$I$135*L18</f>
        <v>180.392988091588</v>
      </c>
      <c r="M41" s="206" t="n">
        <f aca="false">L47+01_Supuestos!$I$135*M18</f>
        <v>188.704923572046</v>
      </c>
      <c r="N41" s="206" t="n">
        <f aca="false">M47+01_Supuestos!$I$135*N18</f>
        <v>192.515388717755</v>
      </c>
      <c r="O41" s="206" t="n">
        <f aca="false">N47+01_Supuestos!$I$135*O18</f>
        <v>196.660061770711</v>
      </c>
      <c r="P41" s="206" t="n">
        <f aca="false">O47+01_Supuestos!$I$135*P18</f>
        <v>200.817938317968</v>
      </c>
      <c r="Q41" s="206" t="n">
        <f aca="false">P47+01_Supuestos!$I$135*Q18</f>
        <v>204.990207777169</v>
      </c>
      <c r="R41" s="206" t="n">
        <f aca="false">Q47+01_Supuestos!$I$135*R18</f>
        <v>209.178125647919</v>
      </c>
      <c r="S41" s="206" t="n">
        <f aca="false">R47+01_Supuestos!$I$135*S18</f>
        <v>213.317223598538</v>
      </c>
      <c r="T41" s="206" t="n">
        <f aca="false">S47+01_Supuestos!$I$135*T18</f>
        <v>217.411524243933</v>
      </c>
      <c r="U41" s="206" t="n">
        <f aca="false">T47+01_Supuestos!$I$135*U18</f>
        <v>221.465189317418</v>
      </c>
      <c r="V41" s="206" t="n">
        <f aca="false">U47+01_Supuestos!$I$135*V18</f>
        <v>225.482524839996</v>
      </c>
      <c r="W41" s="206" t="n">
        <f aca="false">V47+01_Supuestos!$I$135*W18</f>
        <v>229.46798649565</v>
      </c>
      <c r="X41" s="206" t="n">
        <f aca="false">W47+01_Supuestos!$I$135*X18</f>
        <v>233.426185221189</v>
      </c>
      <c r="Y41" s="206" t="n">
        <f aca="false">X47+01_Supuestos!$I$135*Y18</f>
        <v>237.361893019562</v>
      </c>
      <c r="Z41" s="206" t="n">
        <f aca="false">Y47+01_Supuestos!$I$135*Z18</f>
        <v>241.280049005895</v>
      </c>
      <c r="AA41" s="206" t="n">
        <f aca="false">Z47+01_Supuestos!$I$135*AA18</f>
        <v>245.185765695951</v>
      </c>
      <c r="AB41" s="206" t="n">
        <f aca="false">AA47+01_Supuestos!$I$135*AB18</f>
        <v>249.084335547062</v>
      </c>
      <c r="AC41" s="206" t="n">
        <f aca="false">AB47+01_Supuestos!$I$135*AC18</f>
        <v>252.981237762058</v>
      </c>
      <c r="AD41" s="206" t="n">
        <f aca="false">AC47+01_Supuestos!$I$135*AD18</f>
        <v>256.882145367124</v>
      </c>
      <c r="AE41" s="206" t="n">
        <f aca="false">AD47+01_Supuestos!$I$135*AE18</f>
        <v>260.792932575011</v>
      </c>
      <c r="AF41" s="206" t="n">
        <f aca="false">AE47+01_Supuestos!$I$135*AF18</f>
        <v>264.719682445465</v>
      </c>
      <c r="AG41" s="206"/>
      <c r="AH41" s="206"/>
      <c r="AI41" s="206"/>
      <c r="AJ41" s="206"/>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c r="BK41" s="206"/>
      <c r="BL41" s="206"/>
      <c r="BM41" s="206"/>
      <c r="BN41" s="206"/>
      <c r="BO41" s="206"/>
      <c r="BP41" s="206"/>
      <c r="BQ41" s="206"/>
      <c r="BR41" s="206"/>
      <c r="BS41" s="206"/>
      <c r="BT41" s="206"/>
    </row>
    <row r="42" customFormat="false" ht="14.25" hidden="false" customHeight="true" outlineLevel="0" collapsed="false">
      <c r="B42" s="134" t="s">
        <v>1676</v>
      </c>
      <c r="C42" s="206" t="n">
        <f aca="false">C38</f>
        <v>56.77404</v>
      </c>
      <c r="D42" s="206" t="n">
        <f aca="false">D38+C44+C69</f>
        <v>109.6554616</v>
      </c>
      <c r="E42" s="206" t="n">
        <f aca="false">E38+D44+D69</f>
        <v>149.85411392</v>
      </c>
      <c r="F42" s="206" t="n">
        <f aca="false">F38+E44+E69</f>
        <v>256.214814513452</v>
      </c>
      <c r="G42" s="206" t="n">
        <f aca="false">G38+F44+F69</f>
        <v>283.067352908678</v>
      </c>
      <c r="H42" s="206" t="n">
        <f aca="false">H38+G44+G69</f>
        <v>287.637202314503</v>
      </c>
      <c r="I42" s="206" t="n">
        <f aca="false">I38+H44+H69</f>
        <v>292.216321604287</v>
      </c>
      <c r="J42" s="206" t="n">
        <f aca="false">J38+I44+I69</f>
        <v>296.804849826288</v>
      </c>
      <c r="K42" s="206" t="n">
        <f aca="false">K38+J44+J69</f>
        <v>301.402928114492</v>
      </c>
      <c r="L42" s="206" t="n">
        <f aca="false">L38+K44+K69</f>
        <v>306.01069971989</v>
      </c>
      <c r="M42" s="206" t="n">
        <f aca="false">M38+L44+L69</f>
        <v>311.071643429775</v>
      </c>
      <c r="N42" s="206" t="n">
        <f aca="false">N38+M44+M69</f>
        <v>317.739276351292</v>
      </c>
      <c r="O42" s="206" t="n">
        <f aca="false">O38+N44+N69</f>
        <v>324.410912215084</v>
      </c>
      <c r="P42" s="206" t="n">
        <f aca="false">P38+O44+O69</f>
        <v>331.088252976077</v>
      </c>
      <c r="Q42" s="206" t="n">
        <f aca="false">Q38+P44+P69</f>
        <v>337.77311013574</v>
      </c>
      <c r="R42" s="206" t="n">
        <f aca="false">R38+Q44+Q69</f>
        <v>344.378138788985</v>
      </c>
      <c r="S42" s="206" t="n">
        <f aca="false">S38+R44+R69</f>
        <v>350.879286225033</v>
      </c>
      <c r="T42" s="206" t="n">
        <f aca="false">T38+S44+S69</f>
        <v>357.283602988582</v>
      </c>
      <c r="U42" s="206" t="n">
        <f aca="false">U38+T44+T69</f>
        <v>363.598390118495</v>
      </c>
      <c r="V42" s="206" t="n">
        <f aca="false">V38+U44+U69</f>
        <v>369.831208649446</v>
      </c>
      <c r="W42" s="206" t="n">
        <f aca="false">W38+V44+V69</f>
        <v>375.989889497433</v>
      </c>
      <c r="X42" s="206" t="n">
        <f aca="false">X38+W44+W69</f>
        <v>382.082543745223</v>
      </c>
      <c r="Y42" s="206" t="n">
        <f aca="false">Y38+X44+X69</f>
        <v>388.117573344422</v>
      </c>
      <c r="Z42" s="206" t="n">
        <f aca="false">Z38+Y44+Y69</f>
        <v>394.103682251637</v>
      </c>
      <c r="AA42" s="206" t="n">
        <f aca="false">AA38+Z44+Z69</f>
        <v>400.049888016873</v>
      </c>
      <c r="AB42" s="206" t="n">
        <f aca="false">AB38+AA44+AA69</f>
        <v>405.96553384312</v>
      </c>
      <c r="AC42" s="206" t="n">
        <f aca="false">AC38+AB44+AB69</f>
        <v>411.860301136866</v>
      </c>
      <c r="AD42" s="206" t="n">
        <f aca="false">AD38+AC44+AC69</f>
        <v>417.744222570122</v>
      </c>
      <c r="AE42" s="206" t="n">
        <f aca="false">AE38+AD44+AD69</f>
        <v>423.627695675405</v>
      </c>
      <c r="AF42" s="206" t="n">
        <f aca="false">AF38+AE44+AE69</f>
        <v>429.521496996041</v>
      </c>
      <c r="AG42" s="206"/>
      <c r="AH42" s="206"/>
      <c r="AI42" s="206"/>
      <c r="AJ42" s="206"/>
      <c r="AK42" s="206"/>
      <c r="AL42" s="206"/>
      <c r="AM42" s="206"/>
      <c r="AN42" s="206"/>
      <c r="AO42" s="206"/>
      <c r="AP42" s="206"/>
      <c r="AQ42" s="206"/>
      <c r="AR42" s="206"/>
      <c r="AS42" s="206"/>
      <c r="AT42" s="206"/>
      <c r="AU42" s="206"/>
      <c r="AV42" s="206"/>
      <c r="AW42" s="206"/>
      <c r="AX42" s="206"/>
      <c r="AY42" s="206"/>
      <c r="AZ42" s="206"/>
      <c r="BA42" s="206"/>
      <c r="BB42" s="206"/>
      <c r="BC42" s="206"/>
      <c r="BD42" s="206"/>
      <c r="BE42" s="206"/>
      <c r="BF42" s="206"/>
      <c r="BG42" s="206"/>
      <c r="BH42" s="206"/>
      <c r="BI42" s="206"/>
      <c r="BJ42" s="206"/>
      <c r="BK42" s="206"/>
      <c r="BL42" s="206"/>
      <c r="BM42" s="206"/>
      <c r="BN42" s="206"/>
      <c r="BO42" s="206"/>
      <c r="BP42" s="206"/>
      <c r="BQ42" s="206"/>
      <c r="BR42" s="206"/>
      <c r="BS42" s="206"/>
      <c r="BT42" s="206"/>
    </row>
    <row r="43" customFormat="false" ht="14.25" hidden="false" customHeight="true" outlineLevel="0" collapsed="false">
      <c r="B43" s="134" t="s">
        <v>1091</v>
      </c>
      <c r="C43" s="206" t="n">
        <f aca="false">IF($C$13="Entrada",MAX(0,MIN(C36,$C$9*(C38+C37),C41)),MAX(0,MIN(C36,$C$9*C42,C41)))</f>
        <v>16.25</v>
      </c>
      <c r="D43" s="206" t="n">
        <f aca="false">IF($C$13="Entrada",MAX(0,MIN(D36,$C$9*(D38+D37+C69),D41)),MAX(0,MIN(D36,$C$9*D42-C44,D41-C44)))</f>
        <v>32.87375</v>
      </c>
      <c r="E43" s="206" t="n">
        <f aca="false">IF($C$13="Entrada",MAX(0,MIN(E36,$C$9*(E38+E37+D69),E41)),MAX(0,MIN(E36,$C$9*E42-D44,E41-D44)))</f>
        <v>49.87984625</v>
      </c>
      <c r="F43" s="206" t="n">
        <f aca="false">IF($C$13="Entrada",MAX(0,MIN(F36,$C$9*(F38+F37+E69),F41)),MAX(0,MIN(F36,$C$9*F42-E44,F41-E44)))</f>
        <v>67.27708271375</v>
      </c>
      <c r="G43" s="206" t="n">
        <f aca="false">IF($C$13="Entrada",MAX(0,MIN(G36,$C$9*(G38+G37+F69),G41)),MAX(0,MIN(G36,$C$9*G42-F44,G41-F44)))</f>
        <v>85.0744556161662</v>
      </c>
      <c r="H43" s="206" t="n">
        <f aca="false">IF($C$13="Entrada",MAX(0,MIN(H36,$C$9*(H38+H37+G69),H41)),MAX(0,MIN(H36,$C$9*H42-G44,H41-G44)))</f>
        <v>103.281168095338</v>
      </c>
      <c r="I43" s="206" t="n">
        <f aca="false">IF($C$13="Entrada",MAX(0,MIN(I36,$C$9*(I38+I37+H69),I41)),MAX(0,MIN(I36,$C$9*I42-H44,I41-H44)))</f>
        <v>121.906634961531</v>
      </c>
      <c r="J43" s="206" t="n">
        <f aca="false">IF($C$13="Entrada",MAX(0,MIN(J36,$C$9*(J38+J37+I69),J41)),MAX(0,MIN(J36,$C$9*J42-I44,J41-I44)))</f>
        <v>140.960487565646</v>
      </c>
      <c r="K43" s="206" t="n">
        <f aca="false">IF($C$13="Entrada",MAX(0,MIN(K36,$C$9*(K38+K37+J69),K41)),MAX(0,MIN(K36,$C$9*K42-J44,K41-J44)))</f>
        <v>160.452578779656</v>
      </c>
      <c r="L43" s="206" t="n">
        <f aca="false">IF($C$13="Entrada",MAX(0,MIN(L36,$C$9*(L38+L37+K69),L41)),MAX(0,MIN(L36,$C$9*L42-K44,L41-K44)))</f>
        <v>168.305884845939</v>
      </c>
      <c r="M43" s="206" t="n">
        <f aca="false">IF($C$13="Entrada",MAX(0,MIN(M36,$C$9*(M38+M37+L69),M41)),MAX(0,MIN(M36,$C$9*M42-L44,M41-L44)))</f>
        <v>171.647172100948</v>
      </c>
      <c r="N43" s="206" t="n">
        <f aca="false">IF($C$13="Entrada",MAX(0,MIN(N36,$C$9*(N38+N37+M69),N41)),MAX(0,MIN(N36,$C$9*N42-M44,N41-M44)))</f>
        <v>175.311876171717</v>
      </c>
      <c r="O43" s="206" t="n">
        <f aca="false">IF($C$13="Entrada",MAX(0,MIN(O36,$C$9*(O38+O37+N69),O41)),MAX(0,MIN(O36,$C$9*O42-N44,O41-N44)))</f>
        <v>178.978744450198</v>
      </c>
      <c r="P43" s="206" t="n">
        <f aca="false">IF($C$13="Entrada",MAX(0,MIN(P36,$C$9*(P38+P37+O69),P41)),MAX(0,MIN(P36,$C$9*P42-O44,P41-O44)))</f>
        <v>182.64871245044</v>
      </c>
      <c r="Q43" s="206" t="n">
        <f aca="false">IF($C$13="Entrada",MAX(0,MIN(Q36,$C$9*(Q38+Q37+P69),Q41)),MAX(0,MIN(Q36,$C$9*Q42-P44,Q41-P44)))</f>
        <v>186.322775928675</v>
      </c>
      <c r="R43" s="206" t="n">
        <f aca="false">IF($C$13="Entrada",MAX(0,MIN(R36,$C$9*(R38+R37+Q69),R41)),MAX(0,MIN(R36,$C$9*R42-Q44,R41-Q44)))</f>
        <v>189.936200835751</v>
      </c>
      <c r="S43" s="206" t="n">
        <f aca="false">IF($C$13="Entrada",MAX(0,MIN(S36,$C$9*(S38+S37+R69),S41)),MAX(0,MIN(S36,$C$9*S42-R44,S41-R44)))</f>
        <v>193.492737957602</v>
      </c>
      <c r="T43" s="206" t="n">
        <f aca="false">IF($C$13="Entrada",MAX(0,MIN(T36,$C$9*(T38+T37+S69),T41)),MAX(0,MIN(T36,$C$9*T42-S44,T41-S44)))</f>
        <v>196.996270946502</v>
      </c>
      <c r="U43" s="206" t="n">
        <f aca="false">IF($C$13="Entrada",MAX(0,MIN(U36,$C$9*(U38+U37+T69),U41)),MAX(0,MIN(U36,$C$9*U42-T44,U41-T44)))</f>
        <v>200.450821346549</v>
      </c>
      <c r="V43" s="206" t="n">
        <f aca="false">IF($C$13="Entrada",MAX(0,MIN(V36,$C$9*(V38+V37+U69),V41)),MAX(0,MIN(V36,$C$9*V42-U44,V41-U44)))</f>
        <v>203.860553821853</v>
      </c>
      <c r="W43" s="206" t="n">
        <f aca="false">IF($C$13="Entrada",MAX(0,MIN(W36,$C$9*(W38+W37+V69),W41)),MAX(0,MIN(W36,$C$9*W42-V44,W41-V44)))</f>
        <v>207.229781595895</v>
      </c>
      <c r="X43" s="206" t="n">
        <f aca="false">IF($C$13="Entrada",MAX(0,MIN(X36,$C$9*(X38+X37+W69),X41)),MAX(0,MIN(X36,$C$9*X42-W44,X41-W44)))</f>
        <v>210.562972110886</v>
      </c>
      <c r="Y43" s="206" t="n">
        <f aca="false">IF($C$13="Entrada",MAX(0,MIN(Y36,$C$9*(Y38+Y37+X69),Y41)),MAX(0,MIN(Y36,$C$9*Y42-X44,Y41-X44)))</f>
        <v>213.86475291632</v>
      </c>
      <c r="Z43" s="206" t="n">
        <f aca="false">IF($C$13="Entrada",MAX(0,MIN(Z36,$C$9*(Z38+Z37+Y69),Z41)),MAX(0,MIN(Z36,$C$9*Z42-Y44,Z41-Y44)))</f>
        <v>217.139917796315</v>
      </c>
      <c r="AA43" s="206" t="n">
        <f aca="false">IF($C$13="Entrada",MAX(0,MIN(AA36,$C$9*(AA38+AA37+Z69),AA41)),MAX(0,MIN(AA36,$C$9*AA42-Z44,AA41-Z44)))</f>
        <v>220.393433145735</v>
      </c>
      <c r="AB43" s="206" t="n">
        <f aca="false">IF($C$13="Entrada",MAX(0,MIN(AB36,$C$9*(AB38+AB37+AA69),AB41)),MAX(0,MIN(AB36,$C$9*AB42-AA44,AB41-AA44)))</f>
        <v>223.6304446055</v>
      </c>
      <c r="AC43" s="206" t="n">
        <f aca="false">IF($C$13="Entrada",MAX(0,MIN(AC36,$C$9*(AC38+AC37+AB69),AC41)),MAX(0,MIN(AC36,$C$9*AC42-AB44,AC41-AB44)))</f>
        <v>226.753261476508</v>
      </c>
      <c r="AD43" s="206" t="n">
        <f aca="false">IF($C$13="Entrada",MAX(0,MIN(AD36,$C$9*(AD38+AD37+AC69),AD41)),MAX(0,MIN(AD36,$C$9*AD42-AC44,AD41-AC44)))</f>
        <v>228.449271904874</v>
      </c>
      <c r="AE43" s="206" t="n">
        <f aca="false">IF($C$13="Entrada",MAX(0,MIN(AE36,$C$9*(AE38+AE37+AD69),AE41)),MAX(0,MIN(AE36,$C$9*AE42-AD44,AE41-AD44)))</f>
        <v>230.06165222462</v>
      </c>
      <c r="AF43" s="206" t="n">
        <f aca="false">IF($C$13="Entrada",MAX(0,MIN(AF36,$C$9*(AF38+AF37+AE69),AF41)),MAX(0,MIN(AF36,$C$9*AF42-AE44,AF41-AE44)))</f>
        <v>231.592183267843</v>
      </c>
      <c r="AG43" s="206"/>
      <c r="AH43" s="206"/>
      <c r="AI43" s="206"/>
      <c r="AJ43" s="206"/>
      <c r="AK43" s="206"/>
      <c r="AL43" s="206"/>
      <c r="AM43" s="206"/>
      <c r="AN43" s="206"/>
      <c r="AO43" s="206"/>
      <c r="AP43" s="206"/>
      <c r="AQ43" s="206"/>
      <c r="AR43" s="206"/>
      <c r="AS43" s="206"/>
      <c r="AT43" s="206"/>
      <c r="AU43" s="206"/>
      <c r="AV43" s="206"/>
      <c r="AW43" s="206"/>
      <c r="AX43" s="206"/>
      <c r="AY43" s="206"/>
      <c r="AZ43" s="206"/>
      <c r="BA43" s="206"/>
      <c r="BB43" s="206"/>
      <c r="BC43" s="206"/>
      <c r="BD43" s="206"/>
      <c r="BE43" s="206"/>
      <c r="BF43" s="206"/>
      <c r="BG43" s="206"/>
      <c r="BH43" s="206"/>
      <c r="BI43" s="206"/>
      <c r="BJ43" s="206"/>
      <c r="BK43" s="206"/>
      <c r="BL43" s="206"/>
      <c r="BM43" s="206"/>
      <c r="BN43" s="206"/>
      <c r="BO43" s="206"/>
      <c r="BP43" s="206"/>
      <c r="BQ43" s="206"/>
      <c r="BR43" s="206"/>
      <c r="BS43" s="206"/>
      <c r="BT43" s="206"/>
    </row>
    <row r="44" customFormat="false" ht="14.25" hidden="false" customHeight="true" outlineLevel="0" collapsed="false">
      <c r="B44" s="134" t="s">
        <v>1092</v>
      </c>
      <c r="C44" s="206" t="n">
        <f aca="false">IF($C$13="Entrada",C37,MAX(0,MIN(C37,($C$9*C42-C43)/(1-$C$9),C41-C43)))</f>
        <v>19.2759736</v>
      </c>
      <c r="D44" s="206" t="n">
        <f aca="false">IF($C$13="Entrada",D37,C44+MAX(0,MIN(D37-C44,($C$9*D42-D43-C44)/(1-$C$9),D41-D43-C44)))</f>
        <v>30.67462592</v>
      </c>
      <c r="E44" s="206" t="n">
        <f aca="false">IF($C$13="Entrada",E37,D44+MAX(0,MIN(E37-D44,($C$9*E42-E43-D44)/(1-$C$9),E41-E43-D44)))</f>
        <v>40.43942592</v>
      </c>
      <c r="F44" s="206" t="n">
        <f aca="false">IF($C$13="Entrada",F37,E44+MAX(0,MIN(F37-E44,($C$9*F42-F43-E44)/(1-$C$9),F41-F43-E44)))</f>
        <v>62.7312478</v>
      </c>
      <c r="G44" s="206" t="n">
        <f aca="false">IF($C$13="Entrada",G37,F44+MAX(0,MIN(G37-F44,($C$9*G42-G43-F44)/(1-$C$9),G41-G43-F44)))</f>
        <v>62.7312478</v>
      </c>
      <c r="H44" s="206" t="n">
        <f aca="false">IF($C$13="Entrada",H37,G44+MAX(0,MIN(H37-G44,($C$9*H42-H43-G44)/(1-$C$9),H41-H43-G44)))</f>
        <v>62.7312478</v>
      </c>
      <c r="I44" s="206" t="n">
        <f aca="false">IF($C$13="Entrada",I37,H44+MAX(0,MIN(I37-H44,($C$9*I42-I43-H44)/(1-$C$9),I41-I43-H44)))</f>
        <v>62.7312478</v>
      </c>
      <c r="J44" s="206" t="n">
        <f aca="false">IF($C$13="Entrada",J37,I44+MAX(0,MIN(J37-I44,($C$9*J42-J43-I44)/(1-$C$9),J41-J43-I44)))</f>
        <v>62.7312478</v>
      </c>
      <c r="K44" s="206" t="n">
        <f aca="false">IF($C$13="Entrada",K37,J44+MAX(0,MIN(K37-J44,($C$9*K42-K43-J44)/(1-$C$9),K41-K43-J44)))</f>
        <v>62.7312478</v>
      </c>
      <c r="L44" s="206" t="n">
        <f aca="false">IF($C$13="Entrada",L37,K44+MAX(0,MIN(L37-K44,($C$9*L42-L43-K44)/(1-$C$9),L41-L43-K44)))</f>
        <v>62.7312478</v>
      </c>
      <c r="M44" s="206" t="n">
        <f aca="false">IF($C$13="Entrada",M37,L44+MAX(0,MIN(M37-L44,($C$9*M42-M43-L44)/(1-$C$9),M41-M43-L44)))</f>
        <v>63.7453718264937</v>
      </c>
      <c r="N44" s="206" t="n">
        <f aca="false">IF($C$13="Entrada",N37,M44+MAX(0,MIN(N37-M44,($C$9*N42-N43-M44)/(1-$C$9),N41-N43-M44)))</f>
        <v>64.754961241961</v>
      </c>
      <c r="O44" s="206" t="n">
        <f aca="false">IF($C$13="Entrada",O37,N44+MAX(0,MIN(O37-N44,($C$9*O42-O43-N44)/(1-$C$9),O41-O43-N44)))</f>
        <v>65.7599480272366</v>
      </c>
      <c r="P44" s="206" t="n">
        <f aca="false">IF($C$13="Entrada",P37,O44+MAX(0,MIN(P37-O44,($C$9*P42-P43-O44)/(1-$C$9),P41-P43-O44)))</f>
        <v>66.7602631428676</v>
      </c>
      <c r="Q44" s="206" t="n">
        <f aca="false">IF($C$13="Entrada",Q37,P44+MAX(0,MIN(Q37-P44,($C$9*Q42-Q43-P44)/(1-$C$9),Q41-Q43-P44)))</f>
        <v>67.7558365138093</v>
      </c>
      <c r="R44" s="206" t="n">
        <f aca="false">IF($C$13="Entrada",R37,Q44+MAX(0,MIN(R37-Q44,($C$9*R42-R43-Q44)/(1-$C$9),R41-R43-Q44)))</f>
        <v>68.7162446989179</v>
      </c>
      <c r="S44" s="206" t="n">
        <f aca="false">IF($C$13="Entrada",S37,R44+MAX(0,MIN(S37-R44,($C$9*S42-S43-R44)/(1-$C$9),S41-S43-R44)))</f>
        <v>69.6419365786157</v>
      </c>
      <c r="T44" s="206" t="n">
        <f aca="false">IF($C$13="Entrada",T37,S44+MAX(0,MIN(T37-S44,($C$9*T42-T43-S44)/(1-$C$9),T41-T43-S44)))</f>
        <v>70.5333716745823</v>
      </c>
      <c r="U44" s="206" t="n">
        <f aca="false">IF($C$13="Entrada",U37,T44+MAX(0,MIN(U37-T44,($C$9*U42-U43-T44)/(1-$C$9),U41-U43-T44)))</f>
        <v>71.3910203679944</v>
      </c>
      <c r="V44" s="206" t="n">
        <f aca="false">IF($C$13="Entrada",V37,U44+MAX(0,MIN(V37-U44,($C$9*V42-V43-U44)/(1-$C$9),V41-V43-U44)))</f>
        <v>72.2153641219184</v>
      </c>
      <c r="W44" s="206" t="n">
        <f aca="false">IF($C$13="Entrada",W37,V44+MAX(0,MIN(W37-V44,($C$9*W42-W43-V44)/(1-$C$9),W41-W43-V44)))</f>
        <v>73.0068957079312</v>
      </c>
      <c r="X44" s="206" t="n">
        <f aca="false">IF($C$13="Entrada",X37,W44+MAX(0,MIN(X37-W44,($C$9*X42-X43-W44)/(1-$C$9),X41-X43-W44)))</f>
        <v>73.7661194370465</v>
      </c>
      <c r="Y44" s="206" t="n">
        <f aca="false">IF($C$13="Entrada",Y37,X44+MAX(0,MIN(Y37-X44,($C$9*Y42-Y43-X44)/(1-$C$9),Y41-Y43-X44)))</f>
        <v>74.4935513950241</v>
      </c>
      <c r="Z44" s="206" t="n">
        <f aca="false">IF($C$13="Entrada",Z37,Y44+MAX(0,MIN(Z37-Y44,($C$9*Z42-Z43-Y44)/(1-$C$9),Z41-Z43-Y44)))</f>
        <v>75.1897196821424</v>
      </c>
      <c r="AA44" s="206" t="n">
        <f aca="false">IF($C$13="Entrada",AA37,Z44+MAX(0,MIN(AA37-Z44,($C$9*AA42-AA43-Z44)/(1-$C$9),AA41-AA43-Z44)))</f>
        <v>75.8551646575145</v>
      </c>
      <c r="AB44" s="206" t="n">
        <f aca="false">IF($C$13="Entrada",AB37,AA44+MAX(0,MIN(AB37-AA44,($C$9*AB42-AB43-AA44)/(1-$C$9),AB41-AB43-AA44)))</f>
        <v>76.4904391880311</v>
      </c>
      <c r="AC44" s="206" t="n">
        <f aca="false">IF($C$13="Entrada",AC37,AB44+MAX(0,MIN(AC37-AB44,($C$9*AC42-AC43-AB44)/(1-$C$9),AC41-AC43-AB44)))</f>
        <v>77.0961089020127</v>
      </c>
      <c r="AD44" s="206" t="n">
        <f aca="false">IF($C$13="Entrada",AD37,AC44+MAX(0,MIN(AD37-AC44,($C$9*AD42-AD43-AC44)/(1-$C$9),AD41-AD43-AC44)))</f>
        <v>77.6727524476573</v>
      </c>
      <c r="AE44" s="206" t="n">
        <f aca="false">IF($C$13="Entrada",AE37,AD44+MAX(0,MIN(AE37-AD44,($C$9*AE42-AE43-AD44)/(1-$C$9),AE41-AE43-AD44)))</f>
        <v>78.2209617563707</v>
      </c>
      <c r="AF44" s="206" t="n">
        <f aca="false">IF($C$13="Entrada",AF37,AE44+MAX(0,MIN(AF37-AE44,($C$9*AF42-AF43-AE44)/(1-$C$9),AF41-AF43-AE44)))</f>
        <v>78.7413423110668</v>
      </c>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row>
    <row r="45" customFormat="false" ht="14.25" hidden="false" customHeight="true" outlineLevel="0" collapsed="false">
      <c r="B45" s="134" t="s">
        <v>1677</v>
      </c>
      <c r="C45" s="206" t="n">
        <f aca="false">C38+C44</f>
        <v>76.0500136</v>
      </c>
      <c r="D45" s="206" t="n">
        <f aca="false">D38+D44+C69</f>
        <v>121.05411392</v>
      </c>
      <c r="E45" s="206" t="n">
        <f aca="false">E38+E44+D69</f>
        <v>159.61891392</v>
      </c>
      <c r="F45" s="206" t="n">
        <f aca="false">F38+F44+E69</f>
        <v>278.506636393452</v>
      </c>
      <c r="G45" s="206" t="n">
        <f aca="false">G38+G44+F69</f>
        <v>283.067352908678</v>
      </c>
      <c r="H45" s="206" t="n">
        <f aca="false">H38+H44+G69</f>
        <v>287.637202314503</v>
      </c>
      <c r="I45" s="206" t="n">
        <f aca="false">I38+I44+H69</f>
        <v>292.216321604287</v>
      </c>
      <c r="J45" s="206" t="n">
        <f aca="false">J38+J44+I69</f>
        <v>296.804849826288</v>
      </c>
      <c r="K45" s="206" t="n">
        <f aca="false">K38+K44+J69</f>
        <v>301.402928114492</v>
      </c>
      <c r="L45" s="206" t="n">
        <f aca="false">L38+L44+K69</f>
        <v>306.01069971989</v>
      </c>
      <c r="M45" s="206" t="n">
        <f aca="false">M38+M44+L69</f>
        <v>312.085767456268</v>
      </c>
      <c r="N45" s="206" t="n">
        <f aca="false">N38+N44+M69</f>
        <v>318.748865766759</v>
      </c>
      <c r="O45" s="206" t="n">
        <f aca="false">O38+O44+N69</f>
        <v>325.415899000359</v>
      </c>
      <c r="P45" s="206" t="n">
        <f aca="false">P38+P44+O69</f>
        <v>332.088568091708</v>
      </c>
      <c r="Q45" s="206" t="n">
        <f aca="false">Q38+Q44+P69</f>
        <v>338.768683506682</v>
      </c>
      <c r="R45" s="206" t="n">
        <f aca="false">R38+R44+Q69</f>
        <v>345.338546974093</v>
      </c>
      <c r="S45" s="206" t="n">
        <f aca="false">S38+S44+R69</f>
        <v>351.804978104731</v>
      </c>
      <c r="T45" s="206" t="n">
        <f aca="false">T38+T44+S69</f>
        <v>358.175038084549</v>
      </c>
      <c r="U45" s="206" t="n">
        <f aca="false">U38+U44+T69</f>
        <v>364.456038811907</v>
      </c>
      <c r="V45" s="206" t="n">
        <f aca="false">V38+V44+U69</f>
        <v>370.65555240337</v>
      </c>
      <c r="W45" s="206" t="n">
        <f aca="false">W38+W44+V69</f>
        <v>376.781421083446</v>
      </c>
      <c r="X45" s="206" t="n">
        <f aca="false">X38+X44+W69</f>
        <v>382.841767474338</v>
      </c>
      <c r="Y45" s="206" t="n">
        <f aca="false">Y38+Y44+X69</f>
        <v>388.845005302399</v>
      </c>
      <c r="Z45" s="206" t="n">
        <f aca="false">Z38+Z44+Y69</f>
        <v>394.799850538755</v>
      </c>
      <c r="AA45" s="206" t="n">
        <f aca="false">AA38+AA44+Z69</f>
        <v>400.715332992245</v>
      </c>
      <c r="AB45" s="206" t="n">
        <f aca="false">AB38+AB44+AA69</f>
        <v>406.600808373637</v>
      </c>
      <c r="AC45" s="206" t="n">
        <f aca="false">AC38+AC44+AB69</f>
        <v>412.465970850847</v>
      </c>
      <c r="AD45" s="206" t="n">
        <f aca="false">AD38+AD44+AC69</f>
        <v>418.320866115767</v>
      </c>
      <c r="AE45" s="206" t="n">
        <f aca="false">AE38+AE44+AD69</f>
        <v>424.175904984118</v>
      </c>
      <c r="AF45" s="206" t="n">
        <f aca="false">AF38+AF44+AE69</f>
        <v>430.041877550737</v>
      </c>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206"/>
      <c r="BO45" s="206"/>
      <c r="BP45" s="206"/>
      <c r="BQ45" s="206"/>
      <c r="BR45" s="206"/>
      <c r="BS45" s="206"/>
      <c r="BT45" s="206"/>
    </row>
    <row r="46" customFormat="false" ht="14.25" hidden="false" customHeight="true" outlineLevel="0" collapsed="false">
      <c r="B46" s="134" t="s">
        <v>1094</v>
      </c>
      <c r="C46" s="206" t="n">
        <f aca="false">IF($C$13="Entrada",MAX(0,MIN(C44,$C$9*C45-C43,C41-C43)),C44)</f>
        <v>0</v>
      </c>
      <c r="D46" s="206" t="n">
        <f aca="false">IF($C$13="Entrada",MAX(0,MIN(D44,$C$9*D45-D43,D41-D43)),D44)</f>
        <v>0</v>
      </c>
      <c r="E46" s="206" t="n">
        <f aca="false">IF($C$13="Entrada",MAX(0,MIN(E44,$C$9*E45-E43,E41-E43)),E44)</f>
        <v>0</v>
      </c>
      <c r="F46" s="206" t="n">
        <f aca="false">IF($C$13="Entrada",MAX(0,MIN(F44,$C$9*F45-F43,F41-F43)),F44)</f>
        <v>0</v>
      </c>
      <c r="G46" s="206" t="n">
        <f aca="false">IF($C$13="Entrada",MAX(0,MIN(G44,$C$9*G45-G43,G41-G43)),G44)</f>
        <v>0</v>
      </c>
      <c r="H46" s="206" t="n">
        <f aca="false">IF($C$13="Entrada",MAX(0,MIN(H44,$C$9*H45-H43,H41-H43)),H44)</f>
        <v>0</v>
      </c>
      <c r="I46" s="206" t="n">
        <f aca="false">IF($C$13="Entrada",MAX(0,MIN(I44,$C$9*I45-I43,I41-I43)),I44)</f>
        <v>0</v>
      </c>
      <c r="J46" s="206" t="n">
        <f aca="false">IF($C$13="Entrada",MAX(0,MIN(J44,$C$9*J45-J43,J41-J43)),J44)</f>
        <v>0</v>
      </c>
      <c r="K46" s="206" t="n">
        <f aca="false">IF($C$13="Entrada",MAX(0,MIN(K44,$C$9*K45-K43,K41-K43)),K44)</f>
        <v>0</v>
      </c>
      <c r="L46" s="206" t="n">
        <f aca="false">IF($C$13="Entrada",MAX(0,MIN(L44,$C$9*L45-L43,L41-L43)),L44)</f>
        <v>0</v>
      </c>
      <c r="M46" s="206" t="n">
        <f aca="false">IF($C$13="Entrada",MAX(0,MIN(M44,$C$9*M45-M43,M41-M43)),M44)</f>
        <v>0</v>
      </c>
      <c r="N46" s="206" t="n">
        <f aca="false">IF($C$13="Entrada",MAX(0,MIN(N44,$C$9*N45-N43,N41-N43)),N44)</f>
        <v>0</v>
      </c>
      <c r="O46" s="206" t="n">
        <f aca="false">IF($C$13="Entrada",MAX(0,MIN(O44,$C$9*O45-O43,O41-O43)),O44)</f>
        <v>0</v>
      </c>
      <c r="P46" s="206" t="n">
        <f aca="false">IF($C$13="Entrada",MAX(0,MIN(P44,$C$9*P45-P43,P41-P43)),P44)</f>
        <v>0</v>
      </c>
      <c r="Q46" s="206" t="n">
        <f aca="false">IF($C$13="Entrada",MAX(0,MIN(Q44,$C$9*Q45-Q43,Q41-Q43)),Q44)</f>
        <v>0</v>
      </c>
      <c r="R46" s="206" t="n">
        <f aca="false">IF($C$13="Entrada",MAX(0,MIN(R44,$C$9*R45-R43,R41-R43)),R44)</f>
        <v>0</v>
      </c>
      <c r="S46" s="206" t="n">
        <f aca="false">IF($C$13="Entrada",MAX(0,MIN(S44,$C$9*S45-S43,S41-S43)),S44)</f>
        <v>0</v>
      </c>
      <c r="T46" s="206" t="n">
        <f aca="false">IF($C$13="Entrada",MAX(0,MIN(T44,$C$9*T45-T43,T41-T43)),T44)</f>
        <v>0</v>
      </c>
      <c r="U46" s="206" t="n">
        <f aca="false">IF($C$13="Entrada",MAX(0,MIN(U44,$C$9*U45-U43,U41-U43)),U44)</f>
        <v>0</v>
      </c>
      <c r="V46" s="206" t="n">
        <f aca="false">IF($C$13="Entrada",MAX(0,MIN(V44,$C$9*V45-V43,V41-V43)),V44)</f>
        <v>0</v>
      </c>
      <c r="W46" s="206" t="n">
        <f aca="false">IF($C$13="Entrada",MAX(0,MIN(W44,$C$9*W45-W43,W41-W43)),W44)</f>
        <v>0</v>
      </c>
      <c r="X46" s="206" t="n">
        <f aca="false">IF($C$13="Entrada",MAX(0,MIN(X44,$C$9*X45-X43,X41-X43)),X44)</f>
        <v>0</v>
      </c>
      <c r="Y46" s="206" t="n">
        <f aca="false">IF($C$13="Entrada",MAX(0,MIN(Y44,$C$9*Y45-Y43,Y41-Y43)),Y44)</f>
        <v>0</v>
      </c>
      <c r="Z46" s="206" t="n">
        <f aca="false">IF($C$13="Entrada",MAX(0,MIN(Z44,$C$9*Z45-Z43,Z41-Z43)),Z44)</f>
        <v>0</v>
      </c>
      <c r="AA46" s="206" t="n">
        <f aca="false">IF($C$13="Entrada",MAX(0,MIN(AA44,$C$9*AA45-AA43,AA41-AA43)),AA44)</f>
        <v>0</v>
      </c>
      <c r="AB46" s="206" t="n">
        <f aca="false">IF($C$13="Entrada",MAX(0,MIN(AB44,$C$9*AB45-AB43,AB41-AB43)),AB44)</f>
        <v>0</v>
      </c>
      <c r="AC46" s="206" t="n">
        <f aca="false">IF($C$13="Entrada",MAX(0,MIN(AC44,$C$9*AC45-AC43,AC41-AC43)),AC44)</f>
        <v>0.103022491458319</v>
      </c>
      <c r="AD46" s="206" t="n">
        <f aca="false">IF($C$13="Entrada",MAX(0,MIN(AD44,$C$9*AD45-AD43,AD41-AD43)),AD44)</f>
        <v>1.62720445879742</v>
      </c>
      <c r="AE46" s="206" t="n">
        <f aca="false">IF($C$13="Entrada",MAX(0,MIN(AE44,$C$9*AE45-AE43,AE41-AE43)),AE44)</f>
        <v>3.23509551664546</v>
      </c>
      <c r="AF46" s="206" t="n">
        <f aca="false">IF($C$13="Entrada",MAX(0,MIN(AF44,$C$9*AF45-AF43,AF41-AF43)),AF44)</f>
        <v>4.93084938506206</v>
      </c>
      <c r="AG46" s="206"/>
      <c r="AH46" s="206"/>
      <c r="AI46" s="206"/>
      <c r="AJ46" s="206"/>
      <c r="AK46" s="206"/>
      <c r="AL46" s="206"/>
      <c r="AM46" s="206"/>
      <c r="AN46" s="206"/>
      <c r="AO46" s="206"/>
      <c r="AP46" s="206"/>
      <c r="AQ46" s="206"/>
      <c r="AR46" s="206"/>
      <c r="AS46" s="206"/>
      <c r="AT46" s="206"/>
      <c r="AU46" s="206"/>
      <c r="AV46" s="206"/>
      <c r="AW46" s="206"/>
      <c r="AX46" s="206"/>
      <c r="AY46" s="206"/>
      <c r="AZ46" s="206"/>
      <c r="BA46" s="206"/>
      <c r="BB46" s="206"/>
      <c r="BC46" s="206"/>
      <c r="BD46" s="206"/>
      <c r="BE46" s="206"/>
      <c r="BF46" s="206"/>
      <c r="BG46" s="206"/>
      <c r="BH46" s="206"/>
      <c r="BI46" s="206"/>
      <c r="BJ46" s="206"/>
      <c r="BK46" s="206"/>
      <c r="BL46" s="206"/>
      <c r="BM46" s="206"/>
      <c r="BN46" s="206"/>
      <c r="BO46" s="206"/>
      <c r="BP46" s="206"/>
      <c r="BQ46" s="206"/>
      <c r="BR46" s="206"/>
      <c r="BS46" s="206"/>
      <c r="BT46" s="206"/>
    </row>
    <row r="47" customFormat="false" ht="14.25" hidden="false" customHeight="true" outlineLevel="0" collapsed="false">
      <c r="B47" s="81" t="s">
        <v>1678</v>
      </c>
      <c r="C47" s="138" t="n">
        <f aca="false">C43+C46</f>
        <v>16.25</v>
      </c>
      <c r="D47" s="138" t="n">
        <f aca="false">D43+D46</f>
        <v>32.87375</v>
      </c>
      <c r="E47" s="138" t="n">
        <f aca="false">E43+E46</f>
        <v>49.87984625</v>
      </c>
      <c r="F47" s="138" t="n">
        <f aca="false">F43+F46</f>
        <v>67.27708271375</v>
      </c>
      <c r="G47" s="138" t="n">
        <f aca="false">G43+G46</f>
        <v>85.0744556161662</v>
      </c>
      <c r="H47" s="138" t="n">
        <f aca="false">H43+H46</f>
        <v>103.281168095338</v>
      </c>
      <c r="I47" s="138" t="n">
        <f aca="false">I43+I46</f>
        <v>121.906634961531</v>
      </c>
      <c r="J47" s="138" t="n">
        <f aca="false">J43+J46</f>
        <v>140.960487565646</v>
      </c>
      <c r="K47" s="138" t="n">
        <f aca="false">K43+K46</f>
        <v>160.452578779656</v>
      </c>
      <c r="L47" s="138" t="n">
        <f aca="false">L43+L46</f>
        <v>168.305884845939</v>
      </c>
      <c r="M47" s="138" t="n">
        <f aca="false">M43+M46</f>
        <v>171.647172100948</v>
      </c>
      <c r="N47" s="138" t="n">
        <f aca="false">N43+N46</f>
        <v>175.311876171717</v>
      </c>
      <c r="O47" s="138" t="n">
        <f aca="false">O43+O46</f>
        <v>178.978744450198</v>
      </c>
      <c r="P47" s="138" t="n">
        <f aca="false">P43+P46</f>
        <v>182.64871245044</v>
      </c>
      <c r="Q47" s="138" t="n">
        <f aca="false">Q43+Q46</f>
        <v>186.322775928675</v>
      </c>
      <c r="R47" s="138" t="n">
        <f aca="false">R43+R46</f>
        <v>189.936200835751</v>
      </c>
      <c r="S47" s="138" t="n">
        <f aca="false">S43+S46</f>
        <v>193.492737957602</v>
      </c>
      <c r="T47" s="138" t="n">
        <f aca="false">T43+T46</f>
        <v>196.996270946502</v>
      </c>
      <c r="U47" s="138" t="n">
        <f aca="false">U43+U46</f>
        <v>200.450821346549</v>
      </c>
      <c r="V47" s="138" t="n">
        <f aca="false">V43+V46</f>
        <v>203.860553821853</v>
      </c>
      <c r="W47" s="138" t="n">
        <f aca="false">W43+W46</f>
        <v>207.229781595895</v>
      </c>
      <c r="X47" s="138" t="n">
        <f aca="false">X43+X46</f>
        <v>210.562972110886</v>
      </c>
      <c r="Y47" s="138" t="n">
        <f aca="false">Y43+Y46</f>
        <v>213.86475291632</v>
      </c>
      <c r="Z47" s="138" t="n">
        <f aca="false">Z43+Z46</f>
        <v>217.139917796315</v>
      </c>
      <c r="AA47" s="138" t="n">
        <f aca="false">AA43+AA46</f>
        <v>220.393433145735</v>
      </c>
      <c r="AB47" s="138" t="n">
        <f aca="false">AB43+AB46</f>
        <v>223.6304446055</v>
      </c>
      <c r="AC47" s="138" t="n">
        <f aca="false">AC43+AC46</f>
        <v>226.856283967966</v>
      </c>
      <c r="AD47" s="138" t="n">
        <f aca="false">AD43+AD46</f>
        <v>230.076476363672</v>
      </c>
      <c r="AE47" s="138" t="n">
        <f aca="false">AE43+AE46</f>
        <v>233.296747741265</v>
      </c>
      <c r="AF47" s="138" t="n">
        <f aca="false">AF43+AF46</f>
        <v>236.523032652906</v>
      </c>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c r="BN47" s="138"/>
      <c r="BO47" s="138"/>
      <c r="BP47" s="138"/>
      <c r="BQ47" s="138"/>
      <c r="BR47" s="138"/>
      <c r="BS47" s="138"/>
      <c r="BT47" s="138"/>
    </row>
    <row r="48" customFormat="false" ht="14.25" hidden="false" customHeight="true" outlineLevel="0" collapsed="false">
      <c r="B48" s="134" t="s">
        <v>791</v>
      </c>
      <c r="C48" s="206" t="n">
        <f aca="false">C36-C43+C44-C46</f>
        <v>59.7200136</v>
      </c>
      <c r="D48" s="206" t="n">
        <f aca="false">D36-D43+D44-D46</f>
        <v>88.02036392</v>
      </c>
      <c r="E48" s="206" t="n">
        <f aca="false">E36-E43+E44-E46</f>
        <v>109.49906767</v>
      </c>
      <c r="F48" s="206" t="n">
        <f aca="false">F36-F43+F44-F46</f>
        <v>179.95783508625</v>
      </c>
      <c r="G48" s="206" t="n">
        <f aca="false">G36-G43+G44-G46</f>
        <v>162.160462183834</v>
      </c>
      <c r="H48" s="206" t="n">
        <f aca="false">H36-H43+H44-H46</f>
        <v>143.953749704662</v>
      </c>
      <c r="I48" s="206" t="n">
        <f aca="false">I36-I43+I44-I46</f>
        <v>125.328282838469</v>
      </c>
      <c r="J48" s="206" t="n">
        <f aca="false">J36-J43+J44-J46</f>
        <v>106.274430234354</v>
      </c>
      <c r="K48" s="206" t="n">
        <f aca="false">K36-K43+K44-K46</f>
        <v>86.7823390203441</v>
      </c>
      <c r="L48" s="206" t="n">
        <f aca="false">L36-L43+L44-L46</f>
        <v>78.9290329540608</v>
      </c>
      <c r="M48" s="206" t="n">
        <f aca="false">M36-M43+M44-M46</f>
        <v>79.5845874505274</v>
      </c>
      <c r="N48" s="206" t="n">
        <f aca="false">N36-N43+N44-N46</f>
        <v>79.8988534289523</v>
      </c>
      <c r="O48" s="206" t="n">
        <f aca="false">O36-O43+O44-O46</f>
        <v>80.1928154218525</v>
      </c>
      <c r="P48" s="206" t="n">
        <f aca="false">P36-P43+P44-P46</f>
        <v>80.4652658185089</v>
      </c>
      <c r="Q48" s="206" t="n">
        <f aca="false">Q36-Q43+Q44-Q46</f>
        <v>80.7149326845733</v>
      </c>
      <c r="R48" s="206" t="n">
        <f aca="false">R36-R43+R44-R46</f>
        <v>80.8866459188075</v>
      </c>
      <c r="S48" s="206" t="n">
        <f aca="false">S36-S43+S44-S46</f>
        <v>80.9784238522364</v>
      </c>
      <c r="T48" s="206" t="n">
        <f aca="false">T36-T43+T44-T46</f>
        <v>80.9881938886167</v>
      </c>
      <c r="U48" s="206" t="n">
        <f aca="false">U36-U43+U44-U46</f>
        <v>80.9137883390759</v>
      </c>
      <c r="V48" s="206" t="n">
        <f aca="false">V36-V43+V44-V46</f>
        <v>80.7529400704132</v>
      </c>
      <c r="W48" s="206" t="n">
        <f aca="false">W36-W43+W44-W46</f>
        <v>80.5032779588923</v>
      </c>
      <c r="X48" s="206" t="n">
        <f aca="false">X36-X43+X44-X46</f>
        <v>80.1623221410033</v>
      </c>
      <c r="Y48" s="206" t="n">
        <f aca="false">Y36-Y43+Y44-Y46</f>
        <v>79.7274790523047</v>
      </c>
      <c r="Z48" s="206" t="n">
        <f aca="false">Z36-Z43+Z44-Z46</f>
        <v>79.1960362450691</v>
      </c>
      <c r="AA48" s="206" t="n">
        <f aca="false">AA36-AA43+AA44-AA46</f>
        <v>78.5651569750574</v>
      </c>
      <c r="AB48" s="206" t="n">
        <f aca="false">AB36-AB43+AB44-AB46</f>
        <v>77.8318745473283</v>
      </c>
      <c r="AC48" s="206" t="n">
        <f aca="false">AC36-AC43+AC44-AC46</f>
        <v>76.9930864105543</v>
      </c>
      <c r="AD48" s="206" t="n">
        <f aca="false">AD36-AD43+AD44-AD46</f>
        <v>76.0455479888598</v>
      </c>
      <c r="AE48" s="206" t="n">
        <f aca="false">AE36-AE43+AE44-AE46</f>
        <v>74.9858662397252</v>
      </c>
      <c r="AF48" s="206" t="n">
        <f aca="false">AF36-AF43+AF44-AF46</f>
        <v>73.8104929260047</v>
      </c>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c r="BE48" s="206"/>
      <c r="BF48" s="206"/>
      <c r="BG48" s="206"/>
      <c r="BH48" s="206"/>
      <c r="BI48" s="206"/>
      <c r="BJ48" s="206"/>
      <c r="BK48" s="206"/>
      <c r="BL48" s="206"/>
      <c r="BM48" s="206"/>
      <c r="BN48" s="206"/>
      <c r="BO48" s="206"/>
      <c r="BP48" s="206"/>
      <c r="BQ48" s="206"/>
      <c r="BR48" s="206"/>
      <c r="BS48" s="206"/>
      <c r="BT48" s="206"/>
    </row>
    <row r="49" customFormat="false" ht="14.25" hidden="false" customHeight="true" outlineLevel="0" collapsed="false">
      <c r="B49" s="134" t="s">
        <v>1679</v>
      </c>
      <c r="C49" s="206" t="n">
        <f aca="false">MIN(IF(C17&lt;=10,01_Supuestos!$I$136,01_Supuestos!$I$137)*C45,C47)</f>
        <v>9.126001632</v>
      </c>
      <c r="D49" s="206" t="n">
        <f aca="false">MIN(IF(D17&lt;=10,01_Supuestos!$I$136,01_Supuestos!$I$137)*D45,D47)</f>
        <v>14.5264936704</v>
      </c>
      <c r="E49" s="206" t="n">
        <f aca="false">MIN(IF(E17&lt;=10,01_Supuestos!$I$136,01_Supuestos!$I$137)*E45,E47)</f>
        <v>19.1542696704</v>
      </c>
      <c r="F49" s="206" t="n">
        <f aca="false">MIN(IF(F17&lt;=10,01_Supuestos!$I$136,01_Supuestos!$I$137)*F45,F47)</f>
        <v>33.4207963672143</v>
      </c>
      <c r="G49" s="206" t="n">
        <f aca="false">MIN(IF(G17&lt;=10,01_Supuestos!$I$136,01_Supuestos!$I$137)*G45,G47)</f>
        <v>33.9680823490413</v>
      </c>
      <c r="H49" s="206" t="n">
        <f aca="false">MIN(IF(H17&lt;=10,01_Supuestos!$I$136,01_Supuestos!$I$137)*H45,H47)</f>
        <v>34.5164642777403</v>
      </c>
      <c r="I49" s="206" t="n">
        <f aca="false">MIN(IF(I17&lt;=10,01_Supuestos!$I$136,01_Supuestos!$I$137)*I45,I47)</f>
        <v>35.0659585925144</v>
      </c>
      <c r="J49" s="206" t="n">
        <f aca="false">MIN(IF(J17&lt;=10,01_Supuestos!$I$136,01_Supuestos!$I$137)*J45,J47)</f>
        <v>35.6165819791546</v>
      </c>
      <c r="K49" s="206" t="n">
        <f aca="false">MIN(IF(K17&lt;=10,01_Supuestos!$I$136,01_Supuestos!$I$137)*K45,K47)</f>
        <v>36.168351373739</v>
      </c>
      <c r="L49" s="206" t="n">
        <f aca="false">MIN(IF(L17&lt;=10,01_Supuestos!$I$136,01_Supuestos!$I$137)*L45,L47)</f>
        <v>36.7212839663867</v>
      </c>
      <c r="M49" s="206" t="n">
        <f aca="false">MIN(IF(M17&lt;=10,01_Supuestos!$I$136,01_Supuestos!$I$137)*M45,M47)</f>
        <v>23.4064325592201</v>
      </c>
      <c r="N49" s="206" t="n">
        <f aca="false">MIN(IF(N17&lt;=10,01_Supuestos!$I$136,01_Supuestos!$I$137)*N45,N47)</f>
        <v>23.9061649325069</v>
      </c>
      <c r="O49" s="206" t="n">
        <f aca="false">MIN(IF(O17&lt;=10,01_Supuestos!$I$136,01_Supuestos!$I$137)*O45,O47)</f>
        <v>24.4061924250269</v>
      </c>
      <c r="P49" s="206" t="n">
        <f aca="false">MIN(IF(P17&lt;=10,01_Supuestos!$I$136,01_Supuestos!$I$137)*P45,P47)</f>
        <v>24.9066426068781</v>
      </c>
      <c r="Q49" s="206" t="n">
        <f aca="false">MIN(IF(Q17&lt;=10,01_Supuestos!$I$136,01_Supuestos!$I$137)*Q45,Q47)</f>
        <v>25.4076512630011</v>
      </c>
      <c r="R49" s="206" t="n">
        <f aca="false">MIN(IF(R17&lt;=10,01_Supuestos!$I$136,01_Supuestos!$I$137)*R45,R47)</f>
        <v>25.900391023057</v>
      </c>
      <c r="S49" s="206" t="n">
        <f aca="false">MIN(IF(S17&lt;=10,01_Supuestos!$I$136,01_Supuestos!$I$137)*S45,S47)</f>
        <v>26.3853733578548</v>
      </c>
      <c r="T49" s="206" t="n">
        <f aca="false">MIN(IF(T17&lt;=10,01_Supuestos!$I$136,01_Supuestos!$I$137)*T45,T47)</f>
        <v>26.8631278563411</v>
      </c>
      <c r="U49" s="206" t="n">
        <f aca="false">MIN(IF(U17&lt;=10,01_Supuestos!$I$136,01_Supuestos!$I$137)*U45,U47)</f>
        <v>27.3342029108931</v>
      </c>
      <c r="V49" s="206" t="n">
        <f aca="false">MIN(IF(V17&lt;=10,01_Supuestos!$I$136,01_Supuestos!$I$137)*V45,V47)</f>
        <v>27.7991664302527</v>
      </c>
      <c r="W49" s="206" t="n">
        <f aca="false">MIN(IF(W17&lt;=10,01_Supuestos!$I$136,01_Supuestos!$I$137)*W45,W47)</f>
        <v>28.2586065812585</v>
      </c>
      <c r="X49" s="206" t="n">
        <f aca="false">MIN(IF(X17&lt;=10,01_Supuestos!$I$136,01_Supuestos!$I$137)*X45,X47)</f>
        <v>28.7131325605754</v>
      </c>
      <c r="Y49" s="206" t="n">
        <f aca="false">MIN(IF(Y17&lt;=10,01_Supuestos!$I$136,01_Supuestos!$I$137)*Y45,Y47)</f>
        <v>29.16337539768</v>
      </c>
      <c r="Z49" s="206" t="n">
        <f aca="false">MIN(IF(Z17&lt;=10,01_Supuestos!$I$136,01_Supuestos!$I$137)*Z45,Z47)</f>
        <v>29.6099887904066</v>
      </c>
      <c r="AA49" s="206" t="n">
        <f aca="false">MIN(IF(AA17&lt;=10,01_Supuestos!$I$136,01_Supuestos!$I$137)*AA45,AA47)</f>
        <v>30.0536499744184</v>
      </c>
      <c r="AB49" s="206" t="n">
        <f aca="false">MIN(IF(AB17&lt;=10,01_Supuestos!$I$136,01_Supuestos!$I$137)*AB45,AB47)</f>
        <v>30.4950606280228</v>
      </c>
      <c r="AC49" s="206" t="n">
        <f aca="false">MIN(IF(AC17&lt;=10,01_Supuestos!$I$136,01_Supuestos!$I$137)*AC45,AC47)</f>
        <v>30.9349478138136</v>
      </c>
      <c r="AD49" s="206" t="n">
        <f aca="false">MIN(IF(AD17&lt;=10,01_Supuestos!$I$136,01_Supuestos!$I$137)*AD45,AD47)</f>
        <v>31.3740649586825</v>
      </c>
      <c r="AE49" s="206" t="n">
        <f aca="false">MIN(IF(AE17&lt;=10,01_Supuestos!$I$136,01_Supuestos!$I$137)*AE45,AE47)</f>
        <v>31.8131928738089</v>
      </c>
      <c r="AF49" s="206" t="n">
        <f aca="false">MIN(IF(AF17&lt;=10,01_Supuestos!$I$136,01_Supuestos!$I$137)*AF45,AF47)</f>
        <v>32.2531408163053</v>
      </c>
      <c r="AG49" s="206"/>
      <c r="AH49" s="206"/>
      <c r="AI49" s="206"/>
      <c r="AJ49" s="206"/>
      <c r="AK49" s="206"/>
      <c r="AL49" s="206"/>
      <c r="AM49" s="206"/>
      <c r="AN49" s="206"/>
      <c r="AO49" s="206"/>
      <c r="AP49" s="206"/>
      <c r="AQ49" s="206"/>
      <c r="AR49" s="206"/>
      <c r="AS49" s="206"/>
      <c r="AT49" s="206"/>
      <c r="AU49" s="206"/>
      <c r="AV49" s="206"/>
      <c r="AW49" s="206"/>
      <c r="AX49" s="206"/>
      <c r="AY49" s="206"/>
      <c r="AZ49" s="206"/>
      <c r="BA49" s="206"/>
      <c r="BB49" s="206"/>
      <c r="BC49" s="206"/>
      <c r="BD49" s="206"/>
      <c r="BE49" s="206"/>
      <c r="BF49" s="206"/>
      <c r="BG49" s="206"/>
      <c r="BH49" s="206"/>
      <c r="BI49" s="206"/>
      <c r="BJ49" s="206"/>
      <c r="BK49" s="206"/>
      <c r="BL49" s="206"/>
      <c r="BM49" s="206"/>
      <c r="BN49" s="206"/>
      <c r="BO49" s="206"/>
      <c r="BP49" s="206"/>
      <c r="BQ49" s="206"/>
      <c r="BR49" s="206"/>
      <c r="BS49" s="206"/>
      <c r="BT49" s="206"/>
    </row>
    <row r="50" customFormat="false" ht="14.25" hidden="false" customHeight="true" outlineLevel="0" collapsed="false">
      <c r="B50" s="134" t="s">
        <v>1098</v>
      </c>
      <c r="C50" s="206" t="n">
        <f aca="false">01_Supuestos!$I$127*C47</f>
        <v>0.8125</v>
      </c>
      <c r="D50" s="206" t="n">
        <f aca="false">01_Supuestos!$I$127*D47</f>
        <v>1.6436875</v>
      </c>
      <c r="E50" s="206" t="n">
        <f aca="false">01_Supuestos!$I$127*E47</f>
        <v>2.4939923125</v>
      </c>
      <c r="F50" s="206" t="n">
        <f aca="false">01_Supuestos!$I$127*F47</f>
        <v>3.3638541356875</v>
      </c>
      <c r="G50" s="206" t="n">
        <f aca="false">01_Supuestos!$I$127*G47</f>
        <v>4.25372278080831</v>
      </c>
      <c r="H50" s="206" t="n">
        <f aca="false">01_Supuestos!$I$127*H47</f>
        <v>5.1640584047669</v>
      </c>
      <c r="I50" s="206" t="n">
        <f aca="false">01_Supuestos!$I$127*I47</f>
        <v>6.09533174807654</v>
      </c>
      <c r="J50" s="206" t="n">
        <f aca="false">01_Supuestos!$I$127*J47</f>
        <v>7.0480243782823</v>
      </c>
      <c r="K50" s="206" t="n">
        <f aca="false">01_Supuestos!$I$127*K47</f>
        <v>8.0226289389828</v>
      </c>
      <c r="L50" s="206" t="n">
        <f aca="false">01_Supuestos!$I$127*L47</f>
        <v>8.41529424229696</v>
      </c>
      <c r="M50" s="206" t="n">
        <f aca="false">01_Supuestos!$I$127*M47</f>
        <v>8.58235860504738</v>
      </c>
      <c r="N50" s="206" t="n">
        <f aca="false">01_Supuestos!$I$127*N47</f>
        <v>8.76559380858587</v>
      </c>
      <c r="O50" s="206" t="n">
        <f aca="false">01_Supuestos!$I$127*O47</f>
        <v>8.94893722250988</v>
      </c>
      <c r="P50" s="206" t="n">
        <f aca="false">01_Supuestos!$I$127*P47</f>
        <v>9.13243562252198</v>
      </c>
      <c r="Q50" s="206" t="n">
        <f aca="false">01_Supuestos!$I$127*Q47</f>
        <v>9.31613879643375</v>
      </c>
      <c r="R50" s="206" t="n">
        <f aca="false">01_Supuestos!$I$127*R47</f>
        <v>9.49681004178757</v>
      </c>
      <c r="S50" s="206" t="n">
        <f aca="false">01_Supuestos!$I$127*S47</f>
        <v>9.6746368978801</v>
      </c>
      <c r="T50" s="206" t="n">
        <f aca="false">01_Supuestos!$I$127*T47</f>
        <v>9.84981354732509</v>
      </c>
      <c r="U50" s="206" t="n">
        <f aca="false">01_Supuestos!$I$127*U47</f>
        <v>10.0225410673275</v>
      </c>
      <c r="V50" s="206" t="n">
        <f aca="false">01_Supuestos!$I$127*V47</f>
        <v>10.1930276910927</v>
      </c>
      <c r="W50" s="206" t="n">
        <f aca="false">01_Supuestos!$I$127*W47</f>
        <v>10.3614890797948</v>
      </c>
      <c r="X50" s="206" t="n">
        <f aca="false">01_Supuestos!$I$127*X47</f>
        <v>10.5281486055443</v>
      </c>
      <c r="Y50" s="206" t="n">
        <f aca="false">01_Supuestos!$I$127*Y47</f>
        <v>10.693237645816</v>
      </c>
      <c r="Z50" s="206" t="n">
        <f aca="false">01_Supuestos!$I$127*Z47</f>
        <v>10.8569958898158</v>
      </c>
      <c r="AA50" s="206" t="n">
        <f aca="false">01_Supuestos!$I$127*AA47</f>
        <v>11.0196716572868</v>
      </c>
      <c r="AB50" s="206" t="n">
        <f aca="false">01_Supuestos!$I$127*AB47</f>
        <v>11.181522230275</v>
      </c>
      <c r="AC50" s="206" t="n">
        <f aca="false">01_Supuestos!$I$127*AC47</f>
        <v>11.3428141983983</v>
      </c>
      <c r="AD50" s="206" t="n">
        <f aca="false">01_Supuestos!$I$127*AD47</f>
        <v>11.5038238181836</v>
      </c>
      <c r="AE50" s="206" t="n">
        <f aca="false">01_Supuestos!$I$127*AE47</f>
        <v>11.6648373870633</v>
      </c>
      <c r="AF50" s="206" t="n">
        <f aca="false">01_Supuestos!$I$127*AF47</f>
        <v>11.8261516326453</v>
      </c>
      <c r="AG50" s="206"/>
      <c r="AH50" s="206"/>
      <c r="AI50" s="206"/>
      <c r="AJ50" s="206"/>
      <c r="AK50" s="206"/>
      <c r="AL50" s="206"/>
      <c r="AM50" s="206"/>
      <c r="AN50" s="206"/>
      <c r="AO50" s="206"/>
      <c r="AP50" s="206"/>
      <c r="AQ50" s="206"/>
      <c r="AR50" s="206"/>
      <c r="AS50" s="206"/>
      <c r="AT50" s="206"/>
      <c r="AU50" s="206"/>
      <c r="AV50" s="206"/>
      <c r="AW50" s="206"/>
      <c r="AX50" s="206"/>
      <c r="AY50" s="206"/>
      <c r="AZ50" s="206"/>
      <c r="BA50" s="206"/>
      <c r="BB50" s="206"/>
      <c r="BC50" s="206"/>
      <c r="BD50" s="206"/>
      <c r="BE50" s="206"/>
      <c r="BF50" s="206"/>
      <c r="BG50" s="206"/>
      <c r="BH50" s="206"/>
      <c r="BI50" s="206"/>
      <c r="BJ50" s="206"/>
      <c r="BK50" s="206"/>
      <c r="BL50" s="206"/>
      <c r="BM50" s="206"/>
      <c r="BN50" s="206"/>
      <c r="BO50" s="206"/>
      <c r="BP50" s="206"/>
      <c r="BQ50" s="206"/>
      <c r="BR50" s="206"/>
      <c r="BS50" s="206"/>
      <c r="BT50" s="206"/>
    </row>
    <row r="51" customFormat="false" ht="14.25" hidden="false" customHeight="true" outlineLevel="0" collapsed="false">
      <c r="B51" s="134" t="s">
        <v>1099</v>
      </c>
      <c r="C51" s="206" t="n">
        <f aca="false">C47-C49-C50</f>
        <v>6.311498368</v>
      </c>
      <c r="D51" s="206" t="n">
        <f aca="false">D47-D49-D50</f>
        <v>16.7035688296</v>
      </c>
      <c r="E51" s="206" t="n">
        <f aca="false">E47-E49-E50</f>
        <v>28.2315842671</v>
      </c>
      <c r="F51" s="206" t="n">
        <f aca="false">F47-F49-F50</f>
        <v>30.4924322108482</v>
      </c>
      <c r="G51" s="206" t="n">
        <f aca="false">G47-G49-G50</f>
        <v>46.8526504863166</v>
      </c>
      <c r="H51" s="206" t="n">
        <f aca="false">H47-H49-H50</f>
        <v>63.6006454128308</v>
      </c>
      <c r="I51" s="206" t="n">
        <f aca="false">I47-I49-I50</f>
        <v>80.7453446209399</v>
      </c>
      <c r="J51" s="206" t="n">
        <f aca="false">J47-J49-J50</f>
        <v>98.2958812082091</v>
      </c>
      <c r="K51" s="206" t="n">
        <f aca="false">K47-K49-K50</f>
        <v>116.261598466934</v>
      </c>
      <c r="L51" s="206" t="n">
        <f aca="false">L47-L49-L50</f>
        <v>123.169306637256</v>
      </c>
      <c r="M51" s="206" t="n">
        <f aca="false">M47-M49-M50</f>
        <v>139.65838093668</v>
      </c>
      <c r="N51" s="206" t="n">
        <f aca="false">N47-N49-N50</f>
        <v>142.640117430625</v>
      </c>
      <c r="O51" s="206" t="n">
        <f aca="false">O47-O49-O50</f>
        <v>145.623614802661</v>
      </c>
      <c r="P51" s="206" t="n">
        <f aca="false">P47-P49-P50</f>
        <v>148.60963422104</v>
      </c>
      <c r="Q51" s="206" t="n">
        <f aca="false">Q47-Q49-Q50</f>
        <v>151.59898586924</v>
      </c>
      <c r="R51" s="206" t="n">
        <f aca="false">R47-R49-R50</f>
        <v>154.538999770907</v>
      </c>
      <c r="S51" s="206" t="n">
        <f aca="false">S47-S49-S50</f>
        <v>157.432727701867</v>
      </c>
      <c r="T51" s="206" t="n">
        <f aca="false">T47-T49-T50</f>
        <v>160.283329542836</v>
      </c>
      <c r="U51" s="206" t="n">
        <f aca="false">U47-U49-U50</f>
        <v>163.094077368329</v>
      </c>
      <c r="V51" s="206" t="n">
        <f aca="false">V47-V49-V50</f>
        <v>165.868359700508</v>
      </c>
      <c r="W51" s="206" t="n">
        <f aca="false">W47-W49-W50</f>
        <v>168.609685934842</v>
      </c>
      <c r="X51" s="206" t="n">
        <f aca="false">X47-X49-X50</f>
        <v>171.321690944766</v>
      </c>
      <c r="Y51" s="206" t="n">
        <f aca="false">Y47-Y49-Y50</f>
        <v>174.008139872824</v>
      </c>
      <c r="Z51" s="206" t="n">
        <f aca="false">Z47-Z49-Z50</f>
        <v>176.672933116093</v>
      </c>
      <c r="AA51" s="206" t="n">
        <f aca="false">AA47-AA49-AA50</f>
        <v>179.32011151403</v>
      </c>
      <c r="AB51" s="206" t="n">
        <f aca="false">AB47-AB49-AB50</f>
        <v>181.953861747202</v>
      </c>
      <c r="AC51" s="206" t="n">
        <f aca="false">AC47-AC49-AC50</f>
        <v>184.578521955754</v>
      </c>
      <c r="AD51" s="206" t="n">
        <f aca="false">AD47-AD49-AD50</f>
        <v>187.198587586806</v>
      </c>
      <c r="AE51" s="206" t="n">
        <f aca="false">AE47-AE49-AE50</f>
        <v>189.818717480393</v>
      </c>
      <c r="AF51" s="206" t="n">
        <f aca="false">AF47-AF49-AF50</f>
        <v>192.443740203955</v>
      </c>
      <c r="AG51" s="206"/>
      <c r="AH51" s="206"/>
      <c r="AI51" s="206"/>
      <c r="AJ51" s="206"/>
      <c r="AK51" s="206"/>
      <c r="AL51" s="206"/>
      <c r="AM51" s="206"/>
      <c r="AN51" s="206"/>
      <c r="AO51" s="206"/>
      <c r="AP51" s="206"/>
      <c r="AQ51" s="206"/>
      <c r="AR51" s="206"/>
      <c r="AS51" s="206"/>
      <c r="AT51" s="206"/>
      <c r="AU51" s="206"/>
      <c r="AV51" s="206"/>
      <c r="AW51" s="206"/>
      <c r="AX51" s="206"/>
      <c r="AY51" s="206"/>
      <c r="AZ51" s="206"/>
      <c r="BA51" s="206"/>
      <c r="BB51" s="206"/>
      <c r="BC51" s="206"/>
      <c r="BD51" s="206"/>
      <c r="BE51" s="206"/>
      <c r="BF51" s="206"/>
      <c r="BG51" s="206"/>
      <c r="BH51" s="206"/>
      <c r="BI51" s="206"/>
      <c r="BJ51" s="206"/>
      <c r="BK51" s="206"/>
      <c r="BL51" s="206"/>
      <c r="BM51" s="206"/>
      <c r="BN51" s="206"/>
      <c r="BO51" s="206"/>
      <c r="BP51" s="206"/>
      <c r="BQ51" s="206"/>
      <c r="BR51" s="206"/>
      <c r="BS51" s="206"/>
      <c r="BT51" s="206"/>
    </row>
    <row r="52" customFormat="false" ht="14.25" hidden="false" customHeight="true" outlineLevel="0" collapsed="false">
      <c r="B52" s="134" t="s">
        <v>1680</v>
      </c>
      <c r="C52" s="206" t="n">
        <f aca="false">C50/01_Supuestos!$I$131*01_Supuestos!$I$129*01_Supuestos!$I$130*01_Supuestos!$I$128</f>
        <v>0.045703125</v>
      </c>
      <c r="D52" s="206" t="n">
        <f aca="false">D50/01_Supuestos!$I$131*01_Supuestos!$I$129*01_Supuestos!$I$130*01_Supuestos!$I$128</f>
        <v>0.092457421875</v>
      </c>
      <c r="E52" s="206" t="n">
        <f aca="false">E50/01_Supuestos!$I$131*01_Supuestos!$I$129*01_Supuestos!$I$130*01_Supuestos!$I$128</f>
        <v>0.140287067578125</v>
      </c>
      <c r="F52" s="206" t="n">
        <f aca="false">F50/01_Supuestos!$I$131*01_Supuestos!$I$129*01_Supuestos!$I$130*01_Supuestos!$I$128</f>
        <v>0.189216795132422</v>
      </c>
      <c r="G52" s="206" t="n">
        <f aca="false">G50/01_Supuestos!$I$131*01_Supuestos!$I$129*01_Supuestos!$I$130*01_Supuestos!$I$128</f>
        <v>0.239271906420468</v>
      </c>
      <c r="H52" s="206" t="n">
        <f aca="false">H50/01_Supuestos!$I$131*01_Supuestos!$I$129*01_Supuestos!$I$130*01_Supuestos!$I$128</f>
        <v>0.290478285268138</v>
      </c>
      <c r="I52" s="206" t="n">
        <f aca="false">I50/01_Supuestos!$I$131*01_Supuestos!$I$129*01_Supuestos!$I$130*01_Supuestos!$I$128</f>
        <v>0.342862410829305</v>
      </c>
      <c r="J52" s="206" t="n">
        <f aca="false">J50/01_Supuestos!$I$131*01_Supuestos!$I$129*01_Supuestos!$I$130*01_Supuestos!$I$128</f>
        <v>0.39645137127838</v>
      </c>
      <c r="K52" s="206" t="n">
        <f aca="false">K50/01_Supuestos!$I$131*01_Supuestos!$I$129*01_Supuestos!$I$130*01_Supuestos!$I$128</f>
        <v>0.451272877817782</v>
      </c>
      <c r="L52" s="206" t="n">
        <f aca="false">L50/01_Supuestos!$I$131*01_Supuestos!$I$129*01_Supuestos!$I$130*01_Supuestos!$I$128</f>
        <v>0.473360301129204</v>
      </c>
      <c r="M52" s="206" t="n">
        <f aca="false">M50/01_Supuestos!$I$131*01_Supuestos!$I$129*01_Supuestos!$I$130*01_Supuestos!$I$128</f>
        <v>0.482757671533915</v>
      </c>
      <c r="N52" s="206" t="n">
        <f aca="false">N50/01_Supuestos!$I$131*01_Supuestos!$I$129*01_Supuestos!$I$130*01_Supuestos!$I$128</f>
        <v>0.493064651732955</v>
      </c>
      <c r="O52" s="206" t="n">
        <f aca="false">O50/01_Supuestos!$I$131*01_Supuestos!$I$129*01_Supuestos!$I$130*01_Supuestos!$I$128</f>
        <v>0.503377718766181</v>
      </c>
      <c r="P52" s="206" t="n">
        <f aca="false">P50/01_Supuestos!$I$131*01_Supuestos!$I$129*01_Supuestos!$I$130*01_Supuestos!$I$128</f>
        <v>0.513699503766862</v>
      </c>
      <c r="Q52" s="206" t="n">
        <f aca="false">Q50/01_Supuestos!$I$131*01_Supuestos!$I$129*01_Supuestos!$I$130*01_Supuestos!$I$128</f>
        <v>0.524032807299398</v>
      </c>
      <c r="R52" s="206" t="n">
        <f aca="false">R50/01_Supuestos!$I$131*01_Supuestos!$I$129*01_Supuestos!$I$130*01_Supuestos!$I$128</f>
        <v>0.534195564850551</v>
      </c>
      <c r="S52" s="206" t="n">
        <f aca="false">S50/01_Supuestos!$I$131*01_Supuestos!$I$129*01_Supuestos!$I$130*01_Supuestos!$I$128</f>
        <v>0.544198325505756</v>
      </c>
      <c r="T52" s="206" t="n">
        <f aca="false">T50/01_Supuestos!$I$131*01_Supuestos!$I$129*01_Supuestos!$I$130*01_Supuestos!$I$128</f>
        <v>0.554052012037036</v>
      </c>
      <c r="U52" s="206" t="n">
        <f aca="false">U50/01_Supuestos!$I$131*01_Supuestos!$I$129*01_Supuestos!$I$130*01_Supuestos!$I$128</f>
        <v>0.563767935037169</v>
      </c>
      <c r="V52" s="206" t="n">
        <f aca="false">V50/01_Supuestos!$I$131*01_Supuestos!$I$129*01_Supuestos!$I$130*01_Supuestos!$I$128</f>
        <v>0.573357807623963</v>
      </c>
      <c r="W52" s="206" t="n">
        <f aca="false">W50/01_Supuestos!$I$131*01_Supuestos!$I$129*01_Supuestos!$I$130*01_Supuestos!$I$128</f>
        <v>0.582833760738456</v>
      </c>
      <c r="X52" s="206" t="n">
        <f aca="false">X50/01_Supuestos!$I$131*01_Supuestos!$I$129*01_Supuestos!$I$130*01_Supuestos!$I$128</f>
        <v>0.592208359061867</v>
      </c>
      <c r="Y52" s="206" t="n">
        <f aca="false">Y50/01_Supuestos!$I$131*01_Supuestos!$I$129*01_Supuestos!$I$130*01_Supuestos!$I$128</f>
        <v>0.601494617577149</v>
      </c>
      <c r="Z52" s="206" t="n">
        <f aca="false">Z50/01_Supuestos!$I$131*01_Supuestos!$I$129*01_Supuestos!$I$130*01_Supuestos!$I$128</f>
        <v>0.610706018802137</v>
      </c>
      <c r="AA52" s="206" t="n">
        <f aca="false">AA50/01_Supuestos!$I$131*01_Supuestos!$I$129*01_Supuestos!$I$130*01_Supuestos!$I$128</f>
        <v>0.61985653072238</v>
      </c>
      <c r="AB52" s="206" t="n">
        <f aca="false">AB50/01_Supuestos!$I$131*01_Supuestos!$I$129*01_Supuestos!$I$130*01_Supuestos!$I$128</f>
        <v>0.628960625452969</v>
      </c>
      <c r="AC52" s="206" t="n">
        <f aca="false">AC50/01_Supuestos!$I$131*01_Supuestos!$I$129*01_Supuestos!$I$130*01_Supuestos!$I$128</f>
        <v>0.638033298659905</v>
      </c>
      <c r="AD52" s="206" t="n">
        <f aca="false">AD50/01_Supuestos!$I$131*01_Supuestos!$I$129*01_Supuestos!$I$130*01_Supuestos!$I$128</f>
        <v>0.647090089772827</v>
      </c>
      <c r="AE52" s="206" t="n">
        <f aca="false">AE50/01_Supuestos!$I$131*01_Supuestos!$I$129*01_Supuestos!$I$130*01_Supuestos!$I$128</f>
        <v>0.656147103022308</v>
      </c>
      <c r="AF52" s="206" t="n">
        <f aca="false">AF50/01_Supuestos!$I$131*01_Supuestos!$I$129*01_Supuestos!$I$130*01_Supuestos!$I$128</f>
        <v>0.665221029336297</v>
      </c>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6"/>
      <c r="BF52" s="206"/>
      <c r="BG52" s="206"/>
      <c r="BH52" s="206"/>
      <c r="BI52" s="206"/>
      <c r="BJ52" s="206"/>
      <c r="BK52" s="206"/>
      <c r="BL52" s="206"/>
      <c r="BM52" s="206"/>
      <c r="BN52" s="206"/>
      <c r="BO52" s="206"/>
      <c r="BP52" s="206"/>
      <c r="BQ52" s="206"/>
      <c r="BR52" s="206"/>
      <c r="BS52" s="206"/>
      <c r="BT52" s="206"/>
    </row>
    <row r="53" customFormat="false" ht="14.25" hidden="false" customHeight="true" outlineLevel="0" collapsed="false">
      <c r="B53" s="132" t="s">
        <v>1117</v>
      </c>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c r="AK53" s="133"/>
      <c r="AL53" s="133"/>
      <c r="AM53" s="133"/>
      <c r="AN53" s="133"/>
      <c r="AO53" s="133"/>
      <c r="AP53" s="133"/>
      <c r="AQ53" s="133"/>
      <c r="AR53" s="133"/>
      <c r="AS53" s="133"/>
      <c r="AT53" s="133"/>
      <c r="AU53" s="133"/>
      <c r="AV53" s="13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3"/>
    </row>
    <row r="54" customFormat="false" ht="14.25" hidden="false" customHeight="true" outlineLevel="0" collapsed="false">
      <c r="B54" s="134" t="s">
        <v>1681</v>
      </c>
      <c r="C54" s="206" t="n">
        <f aca="false">C51*01_Supuestos!$I$100+C49*01_Supuestos!$I$126+C29*C52</f>
        <v>0.6220703125</v>
      </c>
      <c r="D54" s="206" t="n">
        <f aca="false">D51*01_Supuestos!$I$100+D49*01_Supuestos!$I$126+D29*D52</f>
        <v>1.2584482421875</v>
      </c>
      <c r="E54" s="206" t="n">
        <f aca="false">E51*01_Supuestos!$I$100+E49*01_Supuestos!$I$126+E29*E52</f>
        <v>1.90946286425781</v>
      </c>
      <c r="F54" s="206" t="n">
        <f aca="false">F51*01_Supuestos!$I$100+F49*01_Supuestos!$I$126+F29*F52</f>
        <v>2.57545082263574</v>
      </c>
      <c r="G54" s="206" t="n">
        <f aca="false">G51*01_Supuestos!$I$100+G49*01_Supuestos!$I$126+G29*G52</f>
        <v>3.25675650405636</v>
      </c>
      <c r="H54" s="206" t="n">
        <f aca="false">H51*01_Supuestos!$I$100+H49*01_Supuestos!$I$126+H29*H52</f>
        <v>3.95373221614966</v>
      </c>
      <c r="I54" s="206" t="n">
        <f aca="false">I51*01_Supuestos!$I$100+I49*01_Supuestos!$I$126+I29*I52</f>
        <v>4.6667383696211</v>
      </c>
      <c r="J54" s="206" t="n">
        <f aca="false">J51*01_Supuestos!$I$100+J49*01_Supuestos!$I$126+J29*J52</f>
        <v>5.39614366462239</v>
      </c>
      <c r="K54" s="206" t="n">
        <f aca="false">K51*01_Supuestos!$I$100+K49*01_Supuestos!$I$126+K29*K52</f>
        <v>6.1423252814087</v>
      </c>
      <c r="L54" s="206" t="n">
        <f aca="false">L51*01_Supuestos!$I$100+L49*01_Supuestos!$I$126+L29*L52</f>
        <v>6.44295965425861</v>
      </c>
      <c r="M54" s="206" t="n">
        <f aca="false">M51*01_Supuestos!$I$100+M49*01_Supuestos!$I$126+M29*M52</f>
        <v>6.5708683069894</v>
      </c>
      <c r="N54" s="206" t="n">
        <f aca="false">N51*01_Supuestos!$I$100+N49*01_Supuestos!$I$126+N29*N52</f>
        <v>6.71115775969856</v>
      </c>
      <c r="O54" s="206" t="n">
        <f aca="false">O51*01_Supuestos!$I$100+O49*01_Supuestos!$I$126+O29*O52</f>
        <v>6.85153006098413</v>
      </c>
      <c r="P54" s="206" t="n">
        <f aca="false">P51*01_Supuestos!$I$100+P49*01_Supuestos!$I$126+P29*P52</f>
        <v>6.99202102349339</v>
      </c>
      <c r="Q54" s="206" t="n">
        <f aca="false">Q51*01_Supuestos!$I$100+Q49*01_Supuestos!$I$126+Q29*Q52</f>
        <v>7.13266876601959</v>
      </c>
      <c r="R54" s="206" t="n">
        <f aca="false">R51*01_Supuestos!$I$100+R49*01_Supuestos!$I$126+R29*R52</f>
        <v>7.27099518824361</v>
      </c>
      <c r="S54" s="206" t="n">
        <f aca="false">S51*01_Supuestos!$I$100+S49*01_Supuestos!$I$126+S29*S52</f>
        <v>7.40714387493945</v>
      </c>
      <c r="T54" s="206" t="n">
        <f aca="false">T51*01_Supuestos!$I$100+T49*01_Supuestos!$I$126+T29*T52</f>
        <v>7.54126349717077</v>
      </c>
      <c r="U54" s="206" t="n">
        <f aca="false">U51*01_Supuestos!$I$100+U49*01_Supuestos!$I$126+U29*U52</f>
        <v>7.67350800467258</v>
      </c>
      <c r="V54" s="206" t="n">
        <f aca="false">V51*01_Supuestos!$I$100+V49*01_Supuestos!$I$126+V29*V52</f>
        <v>7.80403682599282</v>
      </c>
      <c r="W54" s="206" t="n">
        <f aca="false">W51*01_Supuestos!$I$100+W49*01_Supuestos!$I$126+W29*W52</f>
        <v>7.93301507671787</v>
      </c>
      <c r="X54" s="206" t="n">
        <f aca="false">X51*01_Supuestos!$I$100+X49*01_Supuestos!$I$126+X29*X52</f>
        <v>8.06061377611986</v>
      </c>
      <c r="Y54" s="206" t="n">
        <f aca="false">Y51*01_Supuestos!$I$100+Y49*01_Supuestos!$I$126+Y29*Y52</f>
        <v>8.18701007257786</v>
      </c>
      <c r="Z54" s="206" t="n">
        <f aca="false">Z51*01_Supuestos!$I$100+Z49*01_Supuestos!$I$126+Z29*Z52</f>
        <v>8.3123874781402</v>
      </c>
      <c r="AA54" s="206" t="n">
        <f aca="false">AA51*01_Supuestos!$I$100+AA49*01_Supuestos!$I$126+AA29*AA52</f>
        <v>8.43693611261017</v>
      </c>
      <c r="AB54" s="206" t="n">
        <f aca="false">AB51*01_Supuestos!$I$100+AB49*01_Supuestos!$I$126+AB29*AB52</f>
        <v>8.5608529575543</v>
      </c>
      <c r="AC54" s="206" t="n">
        <f aca="false">AC51*01_Supuestos!$I$100+AC49*01_Supuestos!$I$126+AC29*AC52</f>
        <v>8.6843421206487</v>
      </c>
      <c r="AD54" s="206" t="n">
        <f aca="false">AD51*01_Supuestos!$I$100+AD49*01_Supuestos!$I$126+AD29*AD52</f>
        <v>8.80761511079681</v>
      </c>
      <c r="AE54" s="206" t="n">
        <f aca="false">AE51*01_Supuestos!$I$100+AE49*01_Supuestos!$I$126+AE29*AE52</f>
        <v>8.93089112447031</v>
      </c>
      <c r="AF54" s="206" t="n">
        <f aca="false">AF51*01_Supuestos!$I$100+AF49*01_Supuestos!$I$126+AF29*AF52</f>
        <v>9.05439734374404</v>
      </c>
      <c r="AG54" s="206"/>
      <c r="AH54" s="206"/>
      <c r="AI54" s="206"/>
      <c r="AJ54" s="206"/>
      <c r="AK54" s="206"/>
      <c r="AL54" s="206"/>
      <c r="AM54" s="206"/>
      <c r="AN54" s="206"/>
      <c r="AO54" s="206"/>
      <c r="AP54" s="206"/>
      <c r="AQ54" s="206"/>
      <c r="AR54" s="206"/>
      <c r="AS54" s="206"/>
      <c r="AT54" s="206"/>
      <c r="AU54" s="206"/>
      <c r="AV54" s="206"/>
      <c r="AW54" s="206"/>
      <c r="AX54" s="206"/>
      <c r="AY54" s="206"/>
      <c r="AZ54" s="206"/>
      <c r="BA54" s="206"/>
      <c r="BB54" s="206"/>
      <c r="BC54" s="206"/>
      <c r="BD54" s="206"/>
      <c r="BE54" s="206"/>
      <c r="BF54" s="206"/>
      <c r="BG54" s="206"/>
      <c r="BH54" s="206"/>
      <c r="BI54" s="206"/>
      <c r="BJ54" s="206"/>
      <c r="BK54" s="206"/>
      <c r="BL54" s="206"/>
      <c r="BM54" s="206"/>
      <c r="BN54" s="206"/>
      <c r="BO54" s="206"/>
      <c r="BP54" s="206"/>
      <c r="BQ54" s="206"/>
      <c r="BR54" s="206"/>
      <c r="BS54" s="206"/>
      <c r="BT54" s="206"/>
    </row>
    <row r="55" customFormat="false" ht="14.25" hidden="false" customHeight="true" outlineLevel="0" collapsed="false">
      <c r="B55" s="134" t="s">
        <v>1682</v>
      </c>
      <c r="C55" s="206" t="n">
        <f aca="false">C51*$C$8</f>
        <v>0.06311498368</v>
      </c>
      <c r="D55" s="206" t="n">
        <f aca="false">D51*$C$8</f>
        <v>0.167035688296</v>
      </c>
      <c r="E55" s="206" t="n">
        <f aca="false">E51*$C$8</f>
        <v>0.282315842671</v>
      </c>
      <c r="F55" s="206" t="n">
        <f aca="false">F51*$C$8</f>
        <v>0.304924322108482</v>
      </c>
      <c r="G55" s="206" t="n">
        <f aca="false">G51*$C$8</f>
        <v>0.468526504863166</v>
      </c>
      <c r="H55" s="206" t="n">
        <f aca="false">H51*$C$8</f>
        <v>0.636006454128308</v>
      </c>
      <c r="I55" s="206" t="n">
        <f aca="false">I51*$C$8</f>
        <v>0.807453446209399</v>
      </c>
      <c r="J55" s="206" t="n">
        <f aca="false">J51*$C$8</f>
        <v>0.982958812082091</v>
      </c>
      <c r="K55" s="206" t="n">
        <f aca="false">K51*$C$8</f>
        <v>1.16261598466934</v>
      </c>
      <c r="L55" s="206" t="n">
        <f aca="false">L51*$C$8</f>
        <v>1.23169306637256</v>
      </c>
      <c r="M55" s="206" t="n">
        <f aca="false">M51*$C$8</f>
        <v>1.3965838093668</v>
      </c>
      <c r="N55" s="206" t="n">
        <f aca="false">N51*$C$8</f>
        <v>1.42640117430625</v>
      </c>
      <c r="O55" s="206" t="n">
        <f aca="false">O51*$C$8</f>
        <v>1.45623614802661</v>
      </c>
      <c r="P55" s="206" t="n">
        <f aca="false">P51*$C$8</f>
        <v>1.4860963422104</v>
      </c>
      <c r="Q55" s="206" t="n">
        <f aca="false">Q51*$C$8</f>
        <v>1.5159898586924</v>
      </c>
      <c r="R55" s="206" t="n">
        <f aca="false">R51*$C$8</f>
        <v>1.54538999770907</v>
      </c>
      <c r="S55" s="206" t="n">
        <f aca="false">S51*$C$8</f>
        <v>1.57432727701867</v>
      </c>
      <c r="T55" s="206" t="n">
        <f aca="false">T51*$C$8</f>
        <v>1.60283329542836</v>
      </c>
      <c r="U55" s="206" t="n">
        <f aca="false">U51*$C$8</f>
        <v>1.63094077368329</v>
      </c>
      <c r="V55" s="206" t="n">
        <f aca="false">V51*$C$8</f>
        <v>1.65868359700508</v>
      </c>
      <c r="W55" s="206" t="n">
        <f aca="false">W51*$C$8</f>
        <v>1.68609685934842</v>
      </c>
      <c r="X55" s="206" t="n">
        <f aca="false">X51*$C$8</f>
        <v>1.71321690944766</v>
      </c>
      <c r="Y55" s="206" t="n">
        <f aca="false">Y51*$C$8</f>
        <v>1.74008139872824</v>
      </c>
      <c r="Z55" s="206" t="n">
        <f aca="false">Z51*$C$8</f>
        <v>1.76672933116093</v>
      </c>
      <c r="AA55" s="206" t="n">
        <f aca="false">AA51*$C$8</f>
        <v>1.7932011151403</v>
      </c>
      <c r="AB55" s="206" t="n">
        <f aca="false">AB51*$C$8</f>
        <v>1.81953861747202</v>
      </c>
      <c r="AC55" s="206" t="n">
        <f aca="false">AC51*$C$8</f>
        <v>1.84578521955754</v>
      </c>
      <c r="AD55" s="206" t="n">
        <f aca="false">AD51*$C$8</f>
        <v>1.87198587586806</v>
      </c>
      <c r="AE55" s="206" t="n">
        <f aca="false">AE51*$C$8</f>
        <v>1.89818717480393</v>
      </c>
      <c r="AF55" s="206" t="n">
        <f aca="false">AF51*$C$8</f>
        <v>1.92443740203955</v>
      </c>
      <c r="AG55" s="206"/>
      <c r="AH55" s="206"/>
      <c r="AI55" s="206"/>
      <c r="AJ55" s="206"/>
      <c r="AK55" s="206"/>
      <c r="AL55" s="206"/>
      <c r="AM55" s="206"/>
      <c r="AN55" s="206"/>
      <c r="AO55" s="206"/>
      <c r="AP55" s="206"/>
      <c r="AQ55" s="206"/>
      <c r="AR55" s="206"/>
      <c r="AS55" s="206"/>
      <c r="AT55" s="206"/>
      <c r="AU55" s="206"/>
      <c r="AV55" s="206"/>
      <c r="AW55" s="206"/>
      <c r="AX55" s="206"/>
      <c r="AY55" s="206"/>
      <c r="AZ55" s="206"/>
      <c r="BA55" s="206"/>
      <c r="BB55" s="206"/>
      <c r="BC55" s="206"/>
      <c r="BD55" s="206"/>
      <c r="BE55" s="206"/>
      <c r="BF55" s="206"/>
      <c r="BG55" s="206"/>
      <c r="BH55" s="206"/>
      <c r="BI55" s="206"/>
      <c r="BJ55" s="206"/>
      <c r="BK55" s="206"/>
      <c r="BL55" s="206"/>
      <c r="BM55" s="206"/>
      <c r="BN55" s="206"/>
      <c r="BO55" s="206"/>
      <c r="BP55" s="206"/>
      <c r="BQ55" s="206"/>
      <c r="BR55" s="206"/>
      <c r="BS55" s="206"/>
      <c r="BT55" s="206"/>
    </row>
    <row r="56" customFormat="false" ht="14.25" hidden="false" customHeight="true" outlineLevel="0" collapsed="false">
      <c r="B56" s="134" t="s">
        <v>1683</v>
      </c>
      <c r="C56" s="206" t="n">
        <f aca="false">(C39)*(0.3*$C$5+0.25*01_Supuestos!$I$134)/0.55</f>
        <v>0.00221818181818182</v>
      </c>
      <c r="D56" s="206" t="n">
        <f aca="false">(D39+C69)*(0.3*$C$5+0.25*01_Supuestos!$I$134)/0.55</f>
        <v>0.00443636363636364</v>
      </c>
      <c r="E56" s="206" t="n">
        <f aca="false">(E39+D69)*(0.3*$C$5+0.25*01_Supuestos!$I$134)/0.55</f>
        <v>0.00665454545454545</v>
      </c>
      <c r="F56" s="206" t="n">
        <f aca="false">(F39+E69)*(0.3*$C$5+0.25*01_Supuestos!$I$134)/0.55</f>
        <v>0.867079470091176</v>
      </c>
      <c r="G56" s="206" t="n">
        <f aca="false">(G39+F69)*(0.3*$C$5+0.25*01_Supuestos!$I$134)/0.55</f>
        <v>0.993535700740606</v>
      </c>
      <c r="H56" s="206" t="n">
        <f aca="false">(H39+G69)*(0.3*$C$5+0.25*01_Supuestos!$I$134)/0.55</f>
        <v>1.12024516153848</v>
      </c>
      <c r="I56" s="206" t="n">
        <f aca="false">(I39+H69)*(0.3*$C$5+0.25*01_Supuestos!$I$134)/0.55</f>
        <v>1.24721165093704</v>
      </c>
      <c r="J56" s="206" t="n">
        <f aca="false">(J39+I69)*(0.3*$C$5+0.25*01_Supuestos!$I$134)/0.55</f>
        <v>1.37443902436527</v>
      </c>
      <c r="K56" s="206" t="n">
        <f aca="false">(K39+J69)*(0.3*$C$5+0.25*01_Supuestos!$I$134)/0.55</f>
        <v>1.50193119508364</v>
      </c>
      <c r="L56" s="206" t="n">
        <f aca="false">(L39+K69)*(0.3*$C$5+0.25*01_Supuestos!$I$134)/0.55</f>
        <v>1.62969213505148</v>
      </c>
      <c r="M56" s="206" t="n">
        <f aca="false">(M39+L69)*(0.3*$C$5+0.25*01_Supuestos!$I$134)/0.55</f>
        <v>1.68731567372382</v>
      </c>
      <c r="N56" s="206" t="n">
        <f aca="false">(N39+M69)*(0.3*$C$5+0.25*01_Supuestos!$I$134)/0.55</f>
        <v>1.76173923005975</v>
      </c>
      <c r="O56" s="206" t="n">
        <f aca="false">(O39+N69)*(0.3*$C$5+0.25*01_Supuestos!$I$134)/0.55</f>
        <v>1.83677485764857</v>
      </c>
      <c r="P56" s="206" t="n">
        <f aca="false">(P39+O69)*(0.3*$C$5+0.25*01_Supuestos!$I$134)/0.55</f>
        <v>1.91247726326743</v>
      </c>
      <c r="Q56" s="206" t="n">
        <f aca="false">(Q39+P69)*(0.3*$C$5+0.25*01_Supuestos!$I$134)/0.55</f>
        <v>1.98890430386338</v>
      </c>
      <c r="R56" s="206" t="n">
        <f aca="false">(R39+Q69)*(0.3*$C$5+0.25*01_Supuestos!$I$134)/0.55</f>
        <v>2.06611714245073</v>
      </c>
      <c r="S56" s="206" t="n">
        <f aca="false">(S39+R69)*(0.3*$C$5+0.25*01_Supuestos!$I$134)/0.55</f>
        <v>2.14425581544929</v>
      </c>
      <c r="T56" s="206" t="n">
        <f aca="false">(T39+S69)*(0.3*$C$5+0.25*01_Supuestos!$I$134)/0.55</f>
        <v>2.2234658946433</v>
      </c>
      <c r="U56" s="206" t="n">
        <f aca="false">(U39+T69)*(0.3*$C$5+0.25*01_Supuestos!$I$134)/0.55</f>
        <v>2.30389871668329</v>
      </c>
      <c r="V56" s="206" t="n">
        <f aca="false">(V39+U69)*(0.3*$C$5+0.25*01_Supuestos!$I$134)/0.55</f>
        <v>2.38571162235332</v>
      </c>
      <c r="W56" s="206" t="n">
        <f aca="false">(W39+V69)*(0.3*$C$5+0.25*01_Supuestos!$I$134)/0.55</f>
        <v>2.4690682060219</v>
      </c>
      <c r="X56" s="206" t="n">
        <f aca="false">(X39+W69)*(0.3*$C$5+0.25*01_Supuestos!$I$134)/0.55</f>
        <v>2.55413857571336</v>
      </c>
      <c r="Y56" s="206" t="n">
        <f aca="false">(Y39+X69)*(0.3*$C$5+0.25*01_Supuestos!$I$134)/0.55</f>
        <v>2.64109962425468</v>
      </c>
      <c r="Z56" s="206" t="n">
        <f aca="false">(Z39+Y69)*(0.3*$C$5+0.25*01_Supuestos!$I$134)/0.55</f>
        <v>2.73013531197256</v>
      </c>
      <c r="AA56" s="206" t="n">
        <f aca="false">(AA39+Z69)*(0.3*$C$5+0.25*01_Supuestos!$I$134)/0.55</f>
        <v>2.82143696143575</v>
      </c>
      <c r="AB56" s="206" t="n">
        <f aca="false">(AB39+AA69)*(0.3*$C$5+0.25*01_Supuestos!$I$134)/0.55</f>
        <v>2.91520356475877</v>
      </c>
      <c r="AC56" s="206" t="n">
        <f aca="false">(AC39+AB69)*(0.3*$C$5+0.25*01_Supuestos!$I$134)/0.55</f>
        <v>3.01164210400543</v>
      </c>
      <c r="AD56" s="206" t="n">
        <f aca="false">(AD39+AC69)*(0.3*$C$5+0.25*01_Supuestos!$I$134)/0.55</f>
        <v>3.11096788525334</v>
      </c>
      <c r="AE56" s="206" t="n">
        <f aca="false">(AE39+AD69)*(0.3*$C$5+0.25*01_Supuestos!$I$134)/0.55</f>
        <v>3.21340488690492</v>
      </c>
      <c r="AF56" s="206" t="n">
        <f aca="false">(AF39+AE69)*(0.3*$C$5+0.25*01_Supuestos!$I$134)/0.55</f>
        <v>3.31918612285521</v>
      </c>
      <c r="AG56" s="206"/>
      <c r="AH56" s="206"/>
      <c r="AI56" s="206"/>
      <c r="AJ56" s="206"/>
      <c r="AK56" s="206"/>
      <c r="AL56" s="206"/>
      <c r="AM56" s="206"/>
      <c r="AN56" s="206"/>
      <c r="AO56" s="206"/>
      <c r="AP56" s="206"/>
      <c r="AQ56" s="206"/>
      <c r="AR56" s="206"/>
      <c r="AS56" s="206"/>
      <c r="AT56" s="206"/>
      <c r="AU56" s="206"/>
      <c r="AV56" s="206"/>
      <c r="AW56" s="206"/>
      <c r="AX56" s="206"/>
      <c r="AY56" s="206"/>
      <c r="AZ56" s="206"/>
      <c r="BA56" s="206"/>
      <c r="BB56" s="206"/>
      <c r="BC56" s="206"/>
      <c r="BD56" s="206"/>
      <c r="BE56" s="206"/>
      <c r="BF56" s="206"/>
      <c r="BG56" s="206"/>
      <c r="BH56" s="206"/>
      <c r="BI56" s="206"/>
      <c r="BJ56" s="206"/>
      <c r="BK56" s="206"/>
      <c r="BL56" s="206"/>
      <c r="BM56" s="206"/>
      <c r="BN56" s="206"/>
      <c r="BO56" s="206"/>
      <c r="BP56" s="206"/>
      <c r="BQ56" s="206"/>
      <c r="BR56" s="206"/>
      <c r="BS56" s="206"/>
      <c r="BT56" s="206"/>
    </row>
    <row r="57" customFormat="false" ht="14.25" hidden="false" customHeight="true" outlineLevel="0" collapsed="false">
      <c r="B57" s="134" t="s">
        <v>1684</v>
      </c>
      <c r="C57" s="206" t="n">
        <f aca="false">0</f>
        <v>0</v>
      </c>
      <c r="D57" s="206" t="n">
        <f aca="false">C68*$C$10</f>
        <v>0.817715788046123</v>
      </c>
      <c r="E57" s="206" t="n">
        <f aca="false">D68*$C$10</f>
        <v>1.61880815134982</v>
      </c>
      <c r="F57" s="206" t="n">
        <f aca="false">E68*$C$10</f>
        <v>2.41349721657324</v>
      </c>
      <c r="G57" s="206" t="n">
        <f aca="false">F68*$C$10</f>
        <v>2.95778939331458</v>
      </c>
      <c r="H57" s="206" t="n">
        <f aca="false">G68*$C$10</f>
        <v>3.54764660834646</v>
      </c>
      <c r="I57" s="206" t="n">
        <f aca="false">H68*$C$10</f>
        <v>4.18213539375325</v>
      </c>
      <c r="J57" s="206" t="n">
        <f aca="false">I68*$C$10</f>
        <v>4.86369487121832</v>
      </c>
      <c r="K57" s="206" t="n">
        <f aca="false">J68*$C$10</f>
        <v>5.59488037079346</v>
      </c>
      <c r="L57" s="206" t="n">
        <f aca="false">K68*$C$10</f>
        <v>6.37836866003187</v>
      </c>
      <c r="M57" s="206" t="n">
        <f aca="false">L68*$C$10</f>
        <v>7.18333675064475</v>
      </c>
      <c r="N57" s="206" t="n">
        <f aca="false">M68*$C$10</f>
        <v>7.24154859529208</v>
      </c>
      <c r="O57" s="206" t="n">
        <f aca="false">N68*$C$10</f>
        <v>7.30121573605559</v>
      </c>
      <c r="P57" s="206" t="n">
        <f aca="false">O68*$C$10</f>
        <v>7.36237455533819</v>
      </c>
      <c r="Q57" s="206" t="n">
        <f aca="false">P68*$C$10</f>
        <v>7.42506234510286</v>
      </c>
      <c r="R57" s="206" t="n">
        <f aca="false">Q68*$C$10</f>
        <v>7.48931732961164</v>
      </c>
      <c r="S57" s="206" t="n">
        <f aca="false">R68*$C$10</f>
        <v>7.55517868873314</v>
      </c>
      <c r="T57" s="206" t="n">
        <f aca="false">S68*$C$10</f>
        <v>7.62268658183268</v>
      </c>
      <c r="U57" s="206" t="n">
        <f aca="false">T68*$C$10</f>
        <v>7.69188217225971</v>
      </c>
      <c r="V57" s="206" t="n">
        <f aca="false">U68*$C$10</f>
        <v>7.76280765244741</v>
      </c>
      <c r="W57" s="206" t="n">
        <f aca="false">V68*$C$10</f>
        <v>7.83550626963981</v>
      </c>
      <c r="X57" s="206" t="n">
        <f aca="false">W68*$C$10</f>
        <v>7.91002235226202</v>
      </c>
      <c r="Y57" s="206" t="n">
        <f aca="false">X68*$C$10</f>
        <v>7.98640133694978</v>
      </c>
      <c r="Z57" s="206" t="n">
        <f aca="false">Y68*$C$10</f>
        <v>8.06468979625473</v>
      </c>
      <c r="AA57" s="206" t="n">
        <f aca="false">Z68*$C$10</f>
        <v>8.14493546704231</v>
      </c>
      <c r="AB57" s="206" t="n">
        <f aca="false">AA68*$C$10</f>
        <v>8.22718727959958</v>
      </c>
      <c r="AC57" s="206" t="n">
        <f aca="false">AB68*$C$10</f>
        <v>8.31149538747078</v>
      </c>
      <c r="AD57" s="206" t="n">
        <f aca="false">AC68*$C$10</f>
        <v>8.39791119803876</v>
      </c>
      <c r="AE57" s="206" t="n">
        <f aca="false">AD68*$C$10</f>
        <v>8.48648740387094</v>
      </c>
      <c r="AF57" s="206" t="n">
        <f aca="false">AE68*$C$10</f>
        <v>8.57727801484892</v>
      </c>
      <c r="AG57" s="206"/>
      <c r="AH57" s="206"/>
      <c r="AI57" s="206"/>
      <c r="AJ57" s="206"/>
      <c r="AK57" s="206"/>
      <c r="AL57" s="206"/>
      <c r="AM57" s="206"/>
      <c r="AN57" s="206"/>
      <c r="AO57" s="206"/>
      <c r="AP57" s="206"/>
      <c r="AQ57" s="206"/>
      <c r="AR57" s="206"/>
      <c r="AS57" s="206"/>
      <c r="AT57" s="206"/>
      <c r="AU57" s="206"/>
      <c r="AV57" s="206"/>
      <c r="AW57" s="206"/>
      <c r="AX57" s="206"/>
      <c r="AY57" s="206"/>
      <c r="AZ57" s="206"/>
      <c r="BA57" s="206"/>
      <c r="BB57" s="206"/>
      <c r="BC57" s="206"/>
      <c r="BD57" s="206"/>
      <c r="BE57" s="206"/>
      <c r="BF57" s="206"/>
      <c r="BG57" s="206"/>
      <c r="BH57" s="206"/>
      <c r="BI57" s="206"/>
      <c r="BJ57" s="206"/>
      <c r="BK57" s="206"/>
      <c r="BL57" s="206"/>
      <c r="BM57" s="206"/>
      <c r="BN57" s="206"/>
      <c r="BO57" s="206"/>
      <c r="BP57" s="206"/>
      <c r="BQ57" s="206"/>
      <c r="BR57" s="206"/>
      <c r="BS57" s="206"/>
      <c r="BT57" s="206"/>
    </row>
    <row r="58" customFormat="false" ht="14.25" hidden="false" customHeight="true" outlineLevel="0" collapsed="false">
      <c r="B58" s="81" t="s">
        <v>1685</v>
      </c>
      <c r="C58" s="138" t="n">
        <f aca="false">C38*01_Supuestos!$I$107</f>
        <v>2.838702</v>
      </c>
      <c r="D58" s="138" t="n">
        <f aca="false">D38*01_Supuestos!$I$107</f>
        <v>4.5189744</v>
      </c>
      <c r="E58" s="138" t="n">
        <f aca="false">E38*01_Supuestos!$I$107</f>
        <v>5.9589744</v>
      </c>
      <c r="F58" s="138" t="n">
        <f aca="false">F38*01_Supuestos!$I$107</f>
        <v>10.7887694296726</v>
      </c>
      <c r="G58" s="138" t="n">
        <f aca="false">G38*01_Supuestos!$I$107</f>
        <v>11.0168052554339</v>
      </c>
      <c r="H58" s="138" t="n">
        <f aca="false">H38*01_Supuestos!$I$107</f>
        <v>11.2452977257251</v>
      </c>
      <c r="I58" s="138" t="n">
        <f aca="false">I38*01_Supuestos!$I$107</f>
        <v>11.4742536902143</v>
      </c>
      <c r="J58" s="138" t="n">
        <f aca="false">J38*01_Supuestos!$I$107</f>
        <v>11.7036801013144</v>
      </c>
      <c r="K58" s="138" t="n">
        <f aca="false">K38*01_Supuestos!$I$107</f>
        <v>11.9335840157246</v>
      </c>
      <c r="L58" s="138" t="n">
        <f aca="false">L38*01_Supuestos!$I$107</f>
        <v>12.1639725959945</v>
      </c>
      <c r="M58" s="138" t="n">
        <f aca="false">M38*01_Supuestos!$I$107</f>
        <v>12.394853112112</v>
      </c>
      <c r="N58" s="138" t="n">
        <f aca="false">N38*01_Supuestos!$I$107</f>
        <v>12.6262329431148</v>
      </c>
      <c r="O58" s="138" t="n">
        <f aca="false">O38*01_Supuestos!$I$107</f>
        <v>12.8581195787262</v>
      </c>
      <c r="P58" s="138" t="n">
        <f aca="false">P38*01_Supuestos!$I$107</f>
        <v>13.0905206210154</v>
      </c>
      <c r="Q58" s="138" t="n">
        <f aca="false">Q38*01_Supuestos!$I$107</f>
        <v>13.3234437860825</v>
      </c>
      <c r="R58" s="138" t="n">
        <f aca="false">R38*01_Supuestos!$I$107</f>
        <v>13.5524333300378</v>
      </c>
      <c r="S58" s="138" t="n">
        <f aca="false">S38*01_Supuestos!$I$107</f>
        <v>13.7775738306542</v>
      </c>
      <c r="T58" s="138" t="n">
        <f aca="false">T38*01_Supuestos!$I$107</f>
        <v>13.9989517090848</v>
      </c>
      <c r="U58" s="138" t="n">
        <f aca="false">U38*01_Supuestos!$I$107</f>
        <v>14.2166552661339</v>
      </c>
      <c r="V58" s="138" t="n">
        <f aca="false">V38*01_Supuestos!$I$107</f>
        <v>14.4307747192021</v>
      </c>
      <c r="W58" s="138" t="n">
        <f aca="false">W38*01_Supuestos!$I$107</f>
        <v>14.6414022399163</v>
      </c>
      <c r="X58" s="138" t="n">
        <f aca="false">X38*01_Supuestos!$I$107</f>
        <v>14.8486319924577</v>
      </c>
      <c r="Y58" s="138" t="n">
        <f aca="false">Y38*01_Supuestos!$I$107</f>
        <v>15.0525601725999</v>
      </c>
      <c r="Z58" s="138" t="n">
        <f aca="false">Z38*01_Supuestos!$I$107</f>
        <v>15.2532850474693</v>
      </c>
      <c r="AA58" s="138" t="n">
        <f aca="false">AA38*01_Supuestos!$I$107</f>
        <v>15.4509069960422</v>
      </c>
      <c r="AB58" s="138" t="n">
        <f aca="false">AB38*01_Supuestos!$I$107</f>
        <v>15.6455285503899</v>
      </c>
      <c r="AC58" s="138" t="n">
        <f aca="false">AC38*01_Supuestos!$I$107</f>
        <v>15.8372544376861</v>
      </c>
      <c r="AD58" s="138" t="n">
        <f aca="false">AD38*01_Supuestos!$I$107</f>
        <v>16.0261916229909</v>
      </c>
      <c r="AE58" s="138" t="n">
        <f aca="false">AE38*01_Supuestos!$I$107</f>
        <v>16.2124493528229</v>
      </c>
      <c r="AF58" s="138" t="n">
        <f aca="false">AF38*01_Supuestos!$I$107</f>
        <v>16.3961391995365</v>
      </c>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c r="BN58" s="138"/>
      <c r="BO58" s="138"/>
      <c r="BP58" s="138"/>
      <c r="BQ58" s="138"/>
      <c r="BR58" s="138"/>
      <c r="BS58" s="138"/>
      <c r="BT58" s="138"/>
    </row>
    <row r="59" customFormat="false" ht="14.25" hidden="false" customHeight="true" outlineLevel="0" collapsed="false">
      <c r="B59" s="134" t="s">
        <v>1121</v>
      </c>
      <c r="C59" s="206" t="n">
        <f aca="false">C45*$C$7</f>
        <v>0.1521000272</v>
      </c>
      <c r="D59" s="206" t="n">
        <f aca="false">D45*$C$7</f>
        <v>0.24210822784</v>
      </c>
      <c r="E59" s="206" t="n">
        <f aca="false">E45*$C$7</f>
        <v>0.31923782784</v>
      </c>
      <c r="F59" s="206" t="n">
        <f aca="false">F45*$C$7</f>
        <v>0.557013272786905</v>
      </c>
      <c r="G59" s="206" t="n">
        <f aca="false">G45*$C$7</f>
        <v>0.566134705817355</v>
      </c>
      <c r="H59" s="206" t="n">
        <f aca="false">H45*$C$7</f>
        <v>0.575274404629005</v>
      </c>
      <c r="I59" s="206" t="n">
        <f aca="false">I45*$C$7</f>
        <v>0.584432643208573</v>
      </c>
      <c r="J59" s="206" t="n">
        <f aca="false">J45*$C$7</f>
        <v>0.593609699652577</v>
      </c>
      <c r="K59" s="206" t="n">
        <f aca="false">K45*$C$7</f>
        <v>0.602805856228984</v>
      </c>
      <c r="L59" s="206" t="n">
        <f aca="false">L45*$C$7</f>
        <v>0.612021399439779</v>
      </c>
      <c r="M59" s="206" t="n">
        <f aca="false">M45*$C$7</f>
        <v>0.624171534912537</v>
      </c>
      <c r="N59" s="206" t="n">
        <f aca="false">N45*$C$7</f>
        <v>0.637497731533518</v>
      </c>
      <c r="O59" s="206" t="n">
        <f aca="false">O45*$C$7</f>
        <v>0.650831798000718</v>
      </c>
      <c r="P59" s="206" t="n">
        <f aca="false">P45*$C$7</f>
        <v>0.664177136183417</v>
      </c>
      <c r="Q59" s="206" t="n">
        <f aca="false">Q45*$C$7</f>
        <v>0.677537367013363</v>
      </c>
      <c r="R59" s="206" t="n">
        <f aca="false">R45*$C$7</f>
        <v>0.690677093948187</v>
      </c>
      <c r="S59" s="206" t="n">
        <f aca="false">S45*$C$7</f>
        <v>0.703609956209462</v>
      </c>
      <c r="T59" s="206" t="n">
        <f aca="false">T45*$C$7</f>
        <v>0.716350076169097</v>
      </c>
      <c r="U59" s="206" t="n">
        <f aca="false">U45*$C$7</f>
        <v>0.728912077623815</v>
      </c>
      <c r="V59" s="206" t="n">
        <f aca="false">V45*$C$7</f>
        <v>0.74131110480674</v>
      </c>
      <c r="W59" s="206" t="n">
        <f aca="false">W45*$C$7</f>
        <v>0.753562842166892</v>
      </c>
      <c r="X59" s="206" t="n">
        <f aca="false">X45*$C$7</f>
        <v>0.765683534948676</v>
      </c>
      <c r="Y59" s="206" t="n">
        <f aca="false">Y45*$C$7</f>
        <v>0.777690010604799</v>
      </c>
      <c r="Z59" s="206" t="n">
        <f aca="false">Z45*$C$7</f>
        <v>0.789599701077511</v>
      </c>
      <c r="AA59" s="206" t="n">
        <f aca="false">AA45*$C$7</f>
        <v>0.801430665984491</v>
      </c>
      <c r="AB59" s="206" t="n">
        <f aca="false">AB45*$C$7</f>
        <v>0.813201616747273</v>
      </c>
      <c r="AC59" s="206" t="n">
        <f aca="false">AC45*$C$7</f>
        <v>0.824931941701695</v>
      </c>
      <c r="AD59" s="206" t="n">
        <f aca="false">AD45*$C$7</f>
        <v>0.836641732231533</v>
      </c>
      <c r="AE59" s="206" t="n">
        <f aca="false">AE45*$C$7</f>
        <v>0.848351809968237</v>
      </c>
      <c r="AF59" s="206" t="n">
        <f aca="false">AF45*$C$7</f>
        <v>0.860083755101475</v>
      </c>
      <c r="AG59" s="206"/>
      <c r="AH59" s="206"/>
      <c r="AI59" s="206"/>
      <c r="AJ59" s="206"/>
      <c r="AK59" s="206"/>
      <c r="AL59" s="206"/>
      <c r="AM59" s="206"/>
      <c r="AN59" s="206"/>
      <c r="AO59" s="206"/>
      <c r="AP59" s="206"/>
      <c r="AQ59" s="206"/>
      <c r="AR59" s="206"/>
      <c r="AS59" s="206"/>
      <c r="AT59" s="206"/>
      <c r="AU59" s="206"/>
      <c r="AV59" s="206"/>
      <c r="AW59" s="206"/>
      <c r="AX59" s="206"/>
      <c r="AY59" s="206"/>
      <c r="AZ59" s="206"/>
      <c r="BA59" s="206"/>
      <c r="BB59" s="206"/>
      <c r="BC59" s="206"/>
      <c r="BD59" s="206"/>
      <c r="BE59" s="206"/>
      <c r="BF59" s="206"/>
      <c r="BG59" s="206"/>
      <c r="BH59" s="206"/>
      <c r="BI59" s="206"/>
      <c r="BJ59" s="206"/>
      <c r="BK59" s="206"/>
      <c r="BL59" s="206"/>
      <c r="BM59" s="206"/>
      <c r="BN59" s="206"/>
      <c r="BO59" s="206"/>
      <c r="BP59" s="206"/>
      <c r="BQ59" s="206"/>
      <c r="BR59" s="206"/>
      <c r="BS59" s="206"/>
      <c r="BT59" s="206"/>
    </row>
    <row r="60" customFormat="false" ht="14.25" hidden="false" customHeight="true" outlineLevel="0" collapsed="false">
      <c r="B60" s="81" t="s">
        <v>1122</v>
      </c>
      <c r="C60" s="138" t="n">
        <f aca="false">C54+C56+C57-C58-C59-C55</f>
        <v>-2.42962851656182</v>
      </c>
      <c r="D60" s="138" t="n">
        <f aca="false">D54+D56+D57-D58-D59-D55</f>
        <v>-2.84751792226601</v>
      </c>
      <c r="E60" s="138" t="n">
        <f aca="false">E54+E56+E57-E58-E59-E55</f>
        <v>-3.02560250944882</v>
      </c>
      <c r="F60" s="138" t="n">
        <f aca="false">F54+F56+F57-F58-F59-F55</f>
        <v>-5.79467951526784</v>
      </c>
      <c r="G60" s="138" t="n">
        <f aca="false">G54+G56+G57-G58-G59-G55</f>
        <v>-4.84338486800285</v>
      </c>
      <c r="H60" s="138" t="n">
        <f aca="false">H54+H56+H57-H58-H59-H55</f>
        <v>-3.83495459844784</v>
      </c>
      <c r="I60" s="138" t="n">
        <f aca="false">I54+I56+I57-I58-I59-I55</f>
        <v>-2.77005436532092</v>
      </c>
      <c r="J60" s="138" t="n">
        <f aca="false">J54+J56+J57-J58-J59-J55</f>
        <v>-1.64597105284312</v>
      </c>
      <c r="K60" s="138" t="n">
        <f aca="false">K54+K56+K57-K58-K59-K55</f>
        <v>-0.459869009337115</v>
      </c>
      <c r="L60" s="138" t="n">
        <f aca="false">L54+L56+L57-L58-L59-L55</f>
        <v>0.443333387535157</v>
      </c>
      <c r="M60" s="138" t="n">
        <f aca="false">M54+M56+M57-M58-M59-M55</f>
        <v>1.02591227496666</v>
      </c>
      <c r="N60" s="138" t="n">
        <f aca="false">N54+N56+N57-N58-N59-N55</f>
        <v>1.02431373609581</v>
      </c>
      <c r="O60" s="138" t="n">
        <f aca="false">O54+O56+O57-O58-O59-O55</f>
        <v>1.02433312993472</v>
      </c>
      <c r="P60" s="138" t="n">
        <f aca="false">P54+P56+P57-P58-P59-P55</f>
        <v>1.02607874268978</v>
      </c>
      <c r="Q60" s="138" t="n">
        <f aca="false">Q54+Q56+Q57-Q58-Q59-Q55</f>
        <v>1.02966440319756</v>
      </c>
      <c r="R60" s="138" t="n">
        <f aca="false">R54+R56+R57-R58-R59-R55</f>
        <v>1.03792923861094</v>
      </c>
      <c r="S60" s="138" t="n">
        <f aca="false">S54+S56+S57-S58-S59-S55</f>
        <v>1.05106731523953</v>
      </c>
      <c r="T60" s="138" t="n">
        <f aca="false">T54+T56+T57-T58-T59-T55</f>
        <v>1.06928089296449</v>
      </c>
      <c r="U60" s="138" t="n">
        <f aca="false">U54+U56+U57-U58-U59-U55</f>
        <v>1.09278077617456</v>
      </c>
      <c r="V60" s="138" t="n">
        <f aca="false">V54+V56+V57-V58-V59-V55</f>
        <v>1.12178667977963</v>
      </c>
      <c r="W60" s="138" t="n">
        <f aca="false">W54+W56+W57-W58-W59-W55</f>
        <v>1.15652761094796</v>
      </c>
      <c r="X60" s="138" t="n">
        <f aca="false">X54+X56+X57-X58-X59-X55</f>
        <v>1.19724226724115</v>
      </c>
      <c r="Y60" s="138" t="n">
        <f aca="false">Y54+Y56+Y57-Y58-Y59-Y55</f>
        <v>1.24417945184941</v>
      </c>
      <c r="Z60" s="138" t="n">
        <f aca="false">Z54+Z56+Z57-Z58-Z59-Z55</f>
        <v>1.29759850665977</v>
      </c>
      <c r="AA60" s="138" t="n">
        <f aca="false">AA54+AA56+AA57-AA58-AA59-AA55</f>
        <v>1.35776976392124</v>
      </c>
      <c r="AB60" s="138" t="n">
        <f aca="false">AB54+AB56+AB57-AB58-AB59-AB55</f>
        <v>1.4249750173035</v>
      </c>
      <c r="AC60" s="138" t="n">
        <f aca="false">AC54+AC56+AC57-AC58-AC59-AC55</f>
        <v>1.49950801317953</v>
      </c>
      <c r="AD60" s="138" t="n">
        <f aca="false">AD54+AD56+AD57-AD58-AD59-AD55</f>
        <v>1.58167496299841</v>
      </c>
      <c r="AE60" s="138" t="n">
        <f aca="false">AE54+AE56+AE57-AE58-AE59-AE55</f>
        <v>1.6717950776511</v>
      </c>
      <c r="AF60" s="138" t="n">
        <f aca="false">AF54+AF56+AF57-AF58-AF59-AF55</f>
        <v>1.77020112477066</v>
      </c>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c r="BN60" s="138"/>
      <c r="BO60" s="138"/>
      <c r="BP60" s="138"/>
      <c r="BQ60" s="138"/>
      <c r="BR60" s="138"/>
      <c r="BS60" s="138"/>
      <c r="BT60" s="138"/>
    </row>
    <row r="61" customFormat="false" ht="14.25" hidden="false" customHeight="true" outlineLevel="0" collapsed="false">
      <c r="B61" s="134" t="s">
        <v>1123</v>
      </c>
      <c r="C61" s="206" t="n">
        <f aca="false">C27+C30-C31+(01_Supuestos!$I$144-C34)+C60</f>
        <v>19.2403714834382</v>
      </c>
      <c r="D61" s="206" t="n">
        <f aca="false">C68+D27+D30-D31+(01_Supuestos!$I$144-D34)+D60</f>
        <v>38.0896035611722</v>
      </c>
      <c r="E61" s="206" t="n">
        <f aca="false">D68+E27+E30-E31+(01_Supuestos!$I$144-E34)+E60</f>
        <v>56.7881698017234</v>
      </c>
      <c r="F61" s="206" t="n">
        <f aca="false">E68+F27+F30-F31+(01_Supuestos!$I$144-F34)+F60</f>
        <v>69.5950445485783</v>
      </c>
      <c r="G61" s="206" t="n">
        <f aca="false">F68+G27+G30-G31+(01_Supuestos!$I$144-G34)+G60</f>
        <v>83.4740378434462</v>
      </c>
      <c r="H61" s="206" t="n">
        <f aca="false">G68+H27+H30-H31+(01_Supuestos!$I$144-H34)+H60</f>
        <v>98.4031857353705</v>
      </c>
      <c r="I61" s="206" t="n">
        <f aca="false">H68+I27+I30-I31+(01_Supuestos!$I$144-I34)+I60</f>
        <v>114.439879322784</v>
      </c>
      <c r="J61" s="206" t="n">
        <f aca="false">I68+J27+J30-J31+(01_Supuestos!$I$144-J34)+J60</f>
        <v>131.64424401867</v>
      </c>
      <c r="K61" s="206" t="n">
        <f aca="false">J68+K27+K30-K31+(01_Supuestos!$I$144-K34)+K60</f>
        <v>150.079262588985</v>
      </c>
      <c r="L61" s="206" t="n">
        <f aca="false">K68+L27+L30-L31+(01_Supuestos!$I$144-L34)+L60</f>
        <v>169.463021638</v>
      </c>
      <c r="M61" s="206" t="n">
        <f aca="false">L68+M27+M30-M31+(01_Supuestos!$I$144-M34)+M60</f>
        <v>171.415290987721</v>
      </c>
      <c r="N61" s="206" t="n">
        <f aca="false">M68+N27+N30-N31+(01_Supuestos!$I$144-N34)+N60</f>
        <v>172.817625172698</v>
      </c>
      <c r="O61" s="206" t="n">
        <f aca="false">N68+O27+O30-O31+(01_Supuestos!$I$144-O34)+O60</f>
        <v>174.25667560848</v>
      </c>
      <c r="P61" s="206" t="n">
        <f aca="false">O68+P27+P30-P31+(01_Supuestos!$I$144-P34)+P60</f>
        <v>175.733428039228</v>
      </c>
      <c r="Q61" s="206" t="n">
        <f aca="false">P68+Q27+Q30-Q31+(01_Supuestos!$I$144-Q34)+Q60</f>
        <v>177.248895688177</v>
      </c>
      <c r="R61" s="206" t="n">
        <f aca="false">Q68+R27+R30-R31+(01_Supuestos!$I$144-R34)+R60</f>
        <v>178.806839561744</v>
      </c>
      <c r="S61" s="206" t="n">
        <f aca="false">R68+S27+S30-S31+(01_Supuestos!$I$144-S34)+S60</f>
        <v>180.408398652479</v>
      </c>
      <c r="T61" s="206" t="n">
        <f aca="false">S68+T27+T30-T31+(01_Supuestos!$I$144-T34)+T60</f>
        <v>182.054743769664</v>
      </c>
      <c r="U61" s="206" t="n">
        <f aca="false">T68+U27+U30-U31+(01_Supuestos!$I$144-U34)+U60</f>
        <v>183.74707848082</v>
      </c>
      <c r="V61" s="206" t="n">
        <f aca="false">U68+V27+V30-V31+(01_Supuestos!$I$144-V34)+V60</f>
        <v>185.486640083069</v>
      </c>
      <c r="W61" s="206" t="n">
        <f aca="false">V68+W27+W30-W31+(01_Supuestos!$I$144-W34)+W60</f>
        <v>187.274700605348</v>
      </c>
      <c r="X61" s="206" t="n">
        <f aca="false">W68+X27+X30-X31+(01_Supuestos!$I$144-X34)+X60</f>
        <v>189.11256784253</v>
      </c>
      <c r="Y61" s="206" t="n">
        <f aca="false">X68+Y27+Y30-Y31+(01_Supuestos!$I$144-Y34)+Y60</f>
        <v>191.001586422549</v>
      </c>
      <c r="Z61" s="206" t="n">
        <f aca="false">Y68+Z27+Z30-Z31+(01_Supuestos!$I$144-Z34)+Z60</f>
        <v>192.943138907655</v>
      </c>
      <c r="AA61" s="206" t="n">
        <f aca="false">Z68+AA27+AA30-AA31+(01_Supuestos!$I$144-AA34)+AA60</f>
        <v>194.93864693097</v>
      </c>
      <c r="AB61" s="206" t="n">
        <f aca="false">AA68+AB27+AB30-AB31+(01_Supuestos!$I$144-AB34)+AB60</f>
        <v>196.989572369557</v>
      </c>
      <c r="AC61" s="206" t="n">
        <f aca="false">AB68+AC27+AC30-AC31+(01_Supuestos!$I$144-AC34)+AC60</f>
        <v>199.097418555268</v>
      </c>
      <c r="AD61" s="206" t="n">
        <f aca="false">AC68+AD27+AD30-AD31+(01_Supuestos!$I$144-AD34)+AD60</f>
        <v>201.263731524668</v>
      </c>
      <c r="AE61" s="206" t="n">
        <f aca="false">AD68+AE27+AE30-AE31+(01_Supuestos!$I$144-AE34)+AE60</f>
        <v>203.49010130939</v>
      </c>
      <c r="AF61" s="206" t="n">
        <f aca="false">AE68+AF27+AF30-AF31+(01_Supuestos!$I$144-AF34)+AF60</f>
        <v>205.778163268332</v>
      </c>
      <c r="AG61" s="206"/>
      <c r="AH61" s="206"/>
      <c r="AI61" s="206"/>
      <c r="AJ61" s="206"/>
      <c r="AK61" s="206"/>
      <c r="AL61" s="206"/>
      <c r="AM61" s="206"/>
      <c r="AN61" s="206"/>
      <c r="AO61" s="206"/>
      <c r="AP61" s="206"/>
      <c r="AQ61" s="206"/>
      <c r="AR61" s="206"/>
      <c r="AS61" s="206"/>
      <c r="AT61" s="206"/>
      <c r="AU61" s="206"/>
      <c r="AV61" s="206"/>
      <c r="AW61" s="206"/>
      <c r="AX61" s="206"/>
      <c r="AY61" s="206"/>
      <c r="AZ61" s="206"/>
      <c r="BA61" s="206"/>
      <c r="BB61" s="206"/>
      <c r="BC61" s="206"/>
      <c r="BD61" s="206"/>
      <c r="BE61" s="206"/>
      <c r="BF61" s="206"/>
      <c r="BG61" s="206"/>
      <c r="BH61" s="206"/>
      <c r="BI61" s="206"/>
      <c r="BJ61" s="206"/>
      <c r="BK61" s="206"/>
      <c r="BL61" s="206"/>
      <c r="BM61" s="206"/>
      <c r="BN61" s="206"/>
      <c r="BO61" s="206"/>
      <c r="BP61" s="206"/>
      <c r="BQ61" s="206"/>
      <c r="BR61" s="206"/>
      <c r="BS61" s="206"/>
      <c r="BT61" s="206"/>
    </row>
    <row r="62" customFormat="false" ht="14.25" hidden="false" customHeight="true" outlineLevel="0" collapsed="false">
      <c r="B62" s="134" t="s">
        <v>1686</v>
      </c>
      <c r="C62" s="206" t="n">
        <f aca="false">IF(C60&gt;0,MIN(C60,01_Supuestos!$I$106*C45),0)</f>
        <v>0</v>
      </c>
      <c r="D62" s="206" t="n">
        <f aca="false">IF(D60&gt;0,MIN(D60,01_Supuestos!$I$106*D45),0)</f>
        <v>0</v>
      </c>
      <c r="E62" s="206" t="n">
        <f aca="false">IF(E60&gt;0,MIN(E60,01_Supuestos!$I$106*E45),0)</f>
        <v>0</v>
      </c>
      <c r="F62" s="206" t="n">
        <f aca="false">IF(F60&gt;0,MIN(F60,01_Supuestos!$I$106*F45),0)</f>
        <v>0</v>
      </c>
      <c r="G62" s="206" t="n">
        <f aca="false">IF(G60&gt;0,MIN(G60,01_Supuestos!$I$106*G45),0)</f>
        <v>0</v>
      </c>
      <c r="H62" s="206" t="n">
        <f aca="false">IF(H60&gt;0,MIN(H60,01_Supuestos!$I$106*H45),0)</f>
        <v>0</v>
      </c>
      <c r="I62" s="206" t="n">
        <f aca="false">IF(I60&gt;0,MIN(I60,01_Supuestos!$I$106*I45),0)</f>
        <v>0</v>
      </c>
      <c r="J62" s="206" t="n">
        <f aca="false">IF(J60&gt;0,MIN(J60,01_Supuestos!$I$106*J45),0)</f>
        <v>0</v>
      </c>
      <c r="K62" s="206" t="n">
        <f aca="false">IF(K60&gt;0,MIN(K60,01_Supuestos!$I$106*K45),0)</f>
        <v>0</v>
      </c>
      <c r="L62" s="206" t="n">
        <f aca="false">IF(L60&gt;0,MIN(L60,01_Supuestos!$I$106*L45),0)</f>
        <v>0.443333387535157</v>
      </c>
      <c r="M62" s="206" t="n">
        <f aca="false">IF(M60&gt;0,MIN(M60,01_Supuestos!$I$106*M45),0)</f>
        <v>1.02591227496666</v>
      </c>
      <c r="N62" s="206" t="n">
        <f aca="false">IF(N60&gt;0,MIN(N60,01_Supuestos!$I$106*N45),0)</f>
        <v>1.02431373609581</v>
      </c>
      <c r="O62" s="206" t="n">
        <f aca="false">IF(O60&gt;0,MIN(O60,01_Supuestos!$I$106*O45),0)</f>
        <v>1.02433312993472</v>
      </c>
      <c r="P62" s="206" t="n">
        <f aca="false">IF(P60&gt;0,MIN(P60,01_Supuestos!$I$106*P45),0)</f>
        <v>1.02607874268978</v>
      </c>
      <c r="Q62" s="206" t="n">
        <f aca="false">IF(Q60&gt;0,MIN(Q60,01_Supuestos!$I$106*Q45),0)</f>
        <v>1.02966440319756</v>
      </c>
      <c r="R62" s="206" t="n">
        <f aca="false">IF(R60&gt;0,MIN(R60,01_Supuestos!$I$106*R45),0)</f>
        <v>1.03792923861094</v>
      </c>
      <c r="S62" s="206" t="n">
        <f aca="false">IF(S60&gt;0,MIN(S60,01_Supuestos!$I$106*S45),0)</f>
        <v>1.05106731523953</v>
      </c>
      <c r="T62" s="206" t="n">
        <f aca="false">IF(T60&gt;0,MIN(T60,01_Supuestos!$I$106*T45),0)</f>
        <v>1.06928089296449</v>
      </c>
      <c r="U62" s="206" t="n">
        <f aca="false">IF(U60&gt;0,MIN(U60,01_Supuestos!$I$106*U45),0)</f>
        <v>1.09278077617456</v>
      </c>
      <c r="V62" s="206" t="n">
        <f aca="false">IF(V60&gt;0,MIN(V60,01_Supuestos!$I$106*V45),0)</f>
        <v>1.12178667977963</v>
      </c>
      <c r="W62" s="206" t="n">
        <f aca="false">IF(W60&gt;0,MIN(W60,01_Supuestos!$I$106*W45),0)</f>
        <v>1.15652761094796</v>
      </c>
      <c r="X62" s="206" t="n">
        <f aca="false">IF(X60&gt;0,MIN(X60,01_Supuestos!$I$106*X45),0)</f>
        <v>1.19724226724115</v>
      </c>
      <c r="Y62" s="206" t="n">
        <f aca="false">IF(Y60&gt;0,MIN(Y60,01_Supuestos!$I$106*Y45),0)</f>
        <v>1.24417945184941</v>
      </c>
      <c r="Z62" s="206" t="n">
        <f aca="false">IF(Z60&gt;0,MIN(Z60,01_Supuestos!$I$106*Z45),0)</f>
        <v>1.29759850665977</v>
      </c>
      <c r="AA62" s="206" t="n">
        <f aca="false">IF(AA60&gt;0,MIN(AA60,01_Supuestos!$I$106*AA45),0)</f>
        <v>1.35776976392124</v>
      </c>
      <c r="AB62" s="206" t="n">
        <f aca="false">IF(AB60&gt;0,MIN(AB60,01_Supuestos!$I$106*AB45),0)</f>
        <v>1.4249750173035</v>
      </c>
      <c r="AC62" s="206" t="n">
        <f aca="false">IF(AC60&gt;0,MIN(AC60,01_Supuestos!$I$106*AC45),0)</f>
        <v>1.49950801317953</v>
      </c>
      <c r="AD62" s="206" t="n">
        <f aca="false">IF(AD60&gt;0,MIN(AD60,01_Supuestos!$I$106*AD45),0)</f>
        <v>1.58167496299841</v>
      </c>
      <c r="AE62" s="206" t="n">
        <f aca="false">IF(AE60&gt;0,MIN(AE60,01_Supuestos!$I$106*AE45),0)</f>
        <v>1.6717950776511</v>
      </c>
      <c r="AF62" s="206" t="n">
        <f aca="false">IF(AF60&gt;0,MIN(AF60,01_Supuestos!$I$106*AF45),0)</f>
        <v>1.77020112477066</v>
      </c>
      <c r="AG62" s="206"/>
      <c r="AH62" s="206"/>
      <c r="AI62" s="206"/>
      <c r="AJ62" s="206"/>
      <c r="AK62" s="206"/>
      <c r="AL62" s="206"/>
      <c r="AM62" s="206"/>
      <c r="AN62" s="206"/>
      <c r="AO62" s="206"/>
      <c r="AP62" s="206"/>
      <c r="AQ62" s="206"/>
      <c r="AR62" s="206"/>
      <c r="AS62" s="206"/>
      <c r="AT62" s="206"/>
      <c r="AU62" s="206"/>
      <c r="AV62" s="206"/>
      <c r="AW62" s="206"/>
      <c r="AX62" s="206"/>
      <c r="AY62" s="206"/>
      <c r="AZ62" s="206"/>
      <c r="BA62" s="206"/>
      <c r="BB62" s="206"/>
      <c r="BC62" s="206"/>
      <c r="BD62" s="206"/>
      <c r="BE62" s="206"/>
      <c r="BF62" s="206"/>
      <c r="BG62" s="206"/>
      <c r="BH62" s="206"/>
      <c r="BI62" s="206"/>
      <c r="BJ62" s="206"/>
      <c r="BK62" s="206"/>
      <c r="BL62" s="206"/>
      <c r="BM62" s="206"/>
      <c r="BN62" s="206"/>
      <c r="BO62" s="206"/>
      <c r="BP62" s="206"/>
      <c r="BQ62" s="206"/>
      <c r="BR62" s="206"/>
      <c r="BS62" s="206"/>
      <c r="BT62" s="206"/>
    </row>
    <row r="63" customFormat="false" ht="14.25" hidden="false" customHeight="true" outlineLevel="0" collapsed="false">
      <c r="B63" s="134" t="s">
        <v>1124</v>
      </c>
      <c r="C63" s="206" t="n">
        <f aca="false">MAX(0,-(C61-C62))</f>
        <v>0</v>
      </c>
      <c r="D63" s="206" t="n">
        <f aca="false">MAX(0,-(D61-D62))</f>
        <v>0</v>
      </c>
      <c r="E63" s="206" t="n">
        <f aca="false">MAX(0,-(E61-E62))</f>
        <v>0</v>
      </c>
      <c r="F63" s="206" t="n">
        <f aca="false">MAX(0,-(F61-F62))</f>
        <v>0</v>
      </c>
      <c r="G63" s="206" t="n">
        <f aca="false">MAX(0,-(G61-G62))</f>
        <v>0</v>
      </c>
      <c r="H63" s="206" t="n">
        <f aca="false">MAX(0,-(H61-H62))</f>
        <v>0</v>
      </c>
      <c r="I63" s="206" t="n">
        <f aca="false">MAX(0,-(I61-I62))</f>
        <v>0</v>
      </c>
      <c r="J63" s="206" t="n">
        <f aca="false">MAX(0,-(J61-J62))</f>
        <v>0</v>
      </c>
      <c r="K63" s="206" t="n">
        <f aca="false">MAX(0,-(K61-K62))</f>
        <v>0</v>
      </c>
      <c r="L63" s="206" t="n">
        <f aca="false">MAX(0,-(L61-L62))</f>
        <v>0</v>
      </c>
      <c r="M63" s="206" t="n">
        <f aca="false">MAX(0,-(M61-M62))</f>
        <v>0</v>
      </c>
      <c r="N63" s="206" t="n">
        <f aca="false">MAX(0,-(N61-N62))</f>
        <v>0</v>
      </c>
      <c r="O63" s="206" t="n">
        <f aca="false">MAX(0,-(O61-O62))</f>
        <v>0</v>
      </c>
      <c r="P63" s="206" t="n">
        <f aca="false">MAX(0,-(P61-P62))</f>
        <v>0</v>
      </c>
      <c r="Q63" s="206" t="n">
        <f aca="false">MAX(0,-(Q61-Q62))</f>
        <v>0</v>
      </c>
      <c r="R63" s="206" t="n">
        <f aca="false">MAX(0,-(R61-R62))</f>
        <v>0</v>
      </c>
      <c r="S63" s="206" t="n">
        <f aca="false">MAX(0,-(S61-S62))</f>
        <v>0</v>
      </c>
      <c r="T63" s="206" t="n">
        <f aca="false">MAX(0,-(T61-T62))</f>
        <v>0</v>
      </c>
      <c r="U63" s="206" t="n">
        <f aca="false">MAX(0,-(U61-U62))</f>
        <v>0</v>
      </c>
      <c r="V63" s="206" t="n">
        <f aca="false">MAX(0,-(V61-V62))</f>
        <v>0</v>
      </c>
      <c r="W63" s="206" t="n">
        <f aca="false">MAX(0,-(W61-W62))</f>
        <v>0</v>
      </c>
      <c r="X63" s="206" t="n">
        <f aca="false">MAX(0,-(X61-X62))</f>
        <v>0</v>
      </c>
      <c r="Y63" s="206" t="n">
        <f aca="false">MAX(0,-(Y61-Y62))</f>
        <v>0</v>
      </c>
      <c r="Z63" s="206" t="n">
        <f aca="false">MAX(0,-(Z61-Z62))</f>
        <v>0</v>
      </c>
      <c r="AA63" s="206" t="n">
        <f aca="false">MAX(0,-(AA61-AA62))</f>
        <v>0</v>
      </c>
      <c r="AB63" s="206" t="n">
        <f aca="false">MAX(0,-(AB61-AB62))</f>
        <v>0</v>
      </c>
      <c r="AC63" s="206" t="n">
        <f aca="false">MAX(0,-(AC61-AC62))</f>
        <v>0</v>
      </c>
      <c r="AD63" s="206" t="n">
        <f aca="false">MAX(0,-(AD61-AD62))</f>
        <v>0</v>
      </c>
      <c r="AE63" s="206" t="n">
        <f aca="false">MAX(0,-(AE61-AE62))</f>
        <v>0</v>
      </c>
      <c r="AF63" s="206" t="n">
        <f aca="false">MAX(0,-(AF61-AF62))</f>
        <v>0</v>
      </c>
      <c r="AG63" s="206"/>
      <c r="AH63" s="206"/>
      <c r="AI63" s="206"/>
      <c r="AJ63" s="206"/>
      <c r="AK63" s="206"/>
      <c r="AL63" s="206"/>
      <c r="AM63" s="206"/>
      <c r="AN63" s="206"/>
      <c r="AO63" s="206"/>
      <c r="AP63" s="206"/>
      <c r="AQ63" s="206"/>
      <c r="AR63" s="206"/>
      <c r="AS63" s="206"/>
      <c r="AT63" s="206"/>
      <c r="AU63" s="206"/>
      <c r="AV63" s="206"/>
      <c r="AW63" s="206"/>
      <c r="AX63" s="206"/>
      <c r="AY63" s="206"/>
      <c r="AZ63" s="206"/>
      <c r="BA63" s="206"/>
      <c r="BB63" s="206"/>
      <c r="BC63" s="206"/>
      <c r="BD63" s="206"/>
      <c r="BE63" s="206"/>
      <c r="BF63" s="206"/>
      <c r="BG63" s="206"/>
      <c r="BH63" s="206"/>
      <c r="BI63" s="206"/>
      <c r="BJ63" s="206"/>
      <c r="BK63" s="206"/>
      <c r="BL63" s="206"/>
      <c r="BM63" s="206"/>
      <c r="BN63" s="206"/>
      <c r="BO63" s="206"/>
      <c r="BP63" s="206"/>
      <c r="BQ63" s="206"/>
      <c r="BR63" s="206"/>
      <c r="BS63" s="206"/>
      <c r="BT63" s="206"/>
    </row>
    <row r="64" customFormat="false" ht="14.25" hidden="false" customHeight="true" outlineLevel="0" collapsed="false">
      <c r="B64" s="132" t="s">
        <v>1125</v>
      </c>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row>
    <row r="65" customFormat="false" ht="14.25" hidden="false" customHeight="true" outlineLevel="0" collapsed="false">
      <c r="B65" s="81" t="s">
        <v>1687</v>
      </c>
      <c r="C65" s="138" t="n">
        <f aca="false">IF($C$12="Apoyo",C63,0)</f>
        <v>0</v>
      </c>
      <c r="D65" s="138" t="n">
        <f aca="false">IF($C$12="Apoyo",D63,0)</f>
        <v>0</v>
      </c>
      <c r="E65" s="138" t="n">
        <f aca="false">IF($C$12="Apoyo",E63,0)</f>
        <v>0</v>
      </c>
      <c r="F65" s="138" t="n">
        <f aca="false">IF($C$12="Apoyo",F63,0)</f>
        <v>0</v>
      </c>
      <c r="G65" s="138" t="n">
        <f aca="false">IF($C$12="Apoyo",G63,0)</f>
        <v>0</v>
      </c>
      <c r="H65" s="138" t="n">
        <f aca="false">IF($C$12="Apoyo",H63,0)</f>
        <v>0</v>
      </c>
      <c r="I65" s="138" t="n">
        <f aca="false">IF($C$12="Apoyo",I63,0)</f>
        <v>0</v>
      </c>
      <c r="J65" s="138" t="n">
        <f aca="false">IF($C$12="Apoyo",J63,0)</f>
        <v>0</v>
      </c>
      <c r="K65" s="138" t="n">
        <f aca="false">IF($C$12="Apoyo",K63,0)</f>
        <v>0</v>
      </c>
      <c r="L65" s="138" t="n">
        <f aca="false">IF($C$12="Apoyo",L63,0)</f>
        <v>0</v>
      </c>
      <c r="M65" s="138" t="n">
        <f aca="false">IF($C$12="Apoyo",M63,0)</f>
        <v>0</v>
      </c>
      <c r="N65" s="138" t="n">
        <f aca="false">IF($C$12="Apoyo",N63,0)</f>
        <v>0</v>
      </c>
      <c r="O65" s="138" t="n">
        <f aca="false">IF($C$12="Apoyo",O63,0)</f>
        <v>0</v>
      </c>
      <c r="P65" s="138" t="n">
        <f aca="false">IF($C$12="Apoyo",P63,0)</f>
        <v>0</v>
      </c>
      <c r="Q65" s="138" t="n">
        <f aca="false">IF($C$12="Apoyo",Q63,0)</f>
        <v>0</v>
      </c>
      <c r="R65" s="138" t="n">
        <f aca="false">IF($C$12="Apoyo",R63,0)</f>
        <v>0</v>
      </c>
      <c r="S65" s="138" t="n">
        <f aca="false">IF($C$12="Apoyo",S63,0)</f>
        <v>0</v>
      </c>
      <c r="T65" s="138" t="n">
        <f aca="false">IF($C$12="Apoyo",T63,0)</f>
        <v>0</v>
      </c>
      <c r="U65" s="138" t="n">
        <f aca="false">IF($C$12="Apoyo",U63,0)</f>
        <v>0</v>
      </c>
      <c r="V65" s="138" t="n">
        <f aca="false">IF($C$12="Apoyo",V63,0)</f>
        <v>0</v>
      </c>
      <c r="W65" s="138" t="n">
        <f aca="false">IF($C$12="Apoyo",W63,0)</f>
        <v>0</v>
      </c>
      <c r="X65" s="138" t="n">
        <f aca="false">IF($C$12="Apoyo",X63,0)</f>
        <v>0</v>
      </c>
      <c r="Y65" s="138" t="n">
        <f aca="false">IF($C$12="Apoyo",Y63,0)</f>
        <v>0</v>
      </c>
      <c r="Z65" s="138" t="n">
        <f aca="false">IF($C$12="Apoyo",Z63,0)</f>
        <v>0</v>
      </c>
      <c r="AA65" s="138" t="n">
        <f aca="false">IF($C$12="Apoyo",AA63,0)</f>
        <v>0</v>
      </c>
      <c r="AB65" s="138" t="n">
        <f aca="false">IF($C$12="Apoyo",AB63,0)</f>
        <v>0</v>
      </c>
      <c r="AC65" s="138" t="n">
        <f aca="false">IF($C$12="Apoyo",AC63,0)</f>
        <v>0</v>
      </c>
      <c r="AD65" s="138" t="n">
        <f aca="false">IF($C$12="Apoyo",AD63,0)</f>
        <v>0</v>
      </c>
      <c r="AE65" s="138" t="n">
        <f aca="false">IF($C$12="Apoyo",AE63,0)</f>
        <v>0</v>
      </c>
      <c r="AF65" s="138" t="n">
        <f aca="false">IF($C$12="Apoyo",AF63,0)</f>
        <v>0</v>
      </c>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138"/>
      <c r="BP65" s="138"/>
      <c r="BQ65" s="138"/>
      <c r="BR65" s="138"/>
      <c r="BS65" s="138"/>
      <c r="BT65" s="138"/>
    </row>
    <row r="66" customFormat="false" ht="14.25" hidden="false" customHeight="true" outlineLevel="0" collapsed="false">
      <c r="B66" s="134" t="s">
        <v>1127</v>
      </c>
      <c r="C66" s="206" t="n">
        <f aca="false">IF($C$12="Reducir",MIN(C63,C58),0)</f>
        <v>0</v>
      </c>
      <c r="D66" s="206" t="n">
        <f aca="false">IF($C$12="Reducir",MIN(D63,D58),0)</f>
        <v>0</v>
      </c>
      <c r="E66" s="206" t="n">
        <f aca="false">IF($C$12="Reducir",MIN(E63,E58),0)</f>
        <v>0</v>
      </c>
      <c r="F66" s="206" t="n">
        <f aca="false">IF($C$12="Reducir",MIN(F63,F58),0)</f>
        <v>0</v>
      </c>
      <c r="G66" s="206" t="n">
        <f aca="false">IF($C$12="Reducir",MIN(G63,G58),0)</f>
        <v>0</v>
      </c>
      <c r="H66" s="206" t="n">
        <f aca="false">IF($C$12="Reducir",MIN(H63,H58),0)</f>
        <v>0</v>
      </c>
      <c r="I66" s="206" t="n">
        <f aca="false">IF($C$12="Reducir",MIN(I63,I58),0)</f>
        <v>0</v>
      </c>
      <c r="J66" s="206" t="n">
        <f aca="false">IF($C$12="Reducir",MIN(J63,J58),0)</f>
        <v>0</v>
      </c>
      <c r="K66" s="206" t="n">
        <f aca="false">IF($C$12="Reducir",MIN(K63,K58),0)</f>
        <v>0</v>
      </c>
      <c r="L66" s="206" t="n">
        <f aca="false">IF($C$12="Reducir",MIN(L63,L58),0)</f>
        <v>0</v>
      </c>
      <c r="M66" s="206" t="n">
        <f aca="false">IF($C$12="Reducir",MIN(M63,M58),0)</f>
        <v>0</v>
      </c>
      <c r="N66" s="206" t="n">
        <f aca="false">IF($C$12="Reducir",MIN(N63,N58),0)</f>
        <v>0</v>
      </c>
      <c r="O66" s="206" t="n">
        <f aca="false">IF($C$12="Reducir",MIN(O63,O58),0)</f>
        <v>0</v>
      </c>
      <c r="P66" s="206" t="n">
        <f aca="false">IF($C$12="Reducir",MIN(P63,P58),0)</f>
        <v>0</v>
      </c>
      <c r="Q66" s="206" t="n">
        <f aca="false">IF($C$12="Reducir",MIN(Q63,Q58),0)</f>
        <v>0</v>
      </c>
      <c r="R66" s="206" t="n">
        <f aca="false">IF($C$12="Reducir",MIN(R63,R58),0)</f>
        <v>0</v>
      </c>
      <c r="S66" s="206" t="n">
        <f aca="false">IF($C$12="Reducir",MIN(S63,S58),0)</f>
        <v>0</v>
      </c>
      <c r="T66" s="206" t="n">
        <f aca="false">IF($C$12="Reducir",MIN(T63,T58),0)</f>
        <v>0</v>
      </c>
      <c r="U66" s="206" t="n">
        <f aca="false">IF($C$12="Reducir",MIN(U63,U58),0)</f>
        <v>0</v>
      </c>
      <c r="V66" s="206" t="n">
        <f aca="false">IF($C$12="Reducir",MIN(V63,V58),0)</f>
        <v>0</v>
      </c>
      <c r="W66" s="206" t="n">
        <f aca="false">IF($C$12="Reducir",MIN(W63,W58),0)</f>
        <v>0</v>
      </c>
      <c r="X66" s="206" t="n">
        <f aca="false">IF($C$12="Reducir",MIN(X63,X58),0)</f>
        <v>0</v>
      </c>
      <c r="Y66" s="206" t="n">
        <f aca="false">IF($C$12="Reducir",MIN(Y63,Y58),0)</f>
        <v>0</v>
      </c>
      <c r="Z66" s="206" t="n">
        <f aca="false">IF($C$12="Reducir",MIN(Z63,Z58),0)</f>
        <v>0</v>
      </c>
      <c r="AA66" s="206" t="n">
        <f aca="false">IF($C$12="Reducir",MIN(AA63,AA58),0)</f>
        <v>0</v>
      </c>
      <c r="AB66" s="206" t="n">
        <f aca="false">IF($C$12="Reducir",MIN(AB63,AB58),0)</f>
        <v>0</v>
      </c>
      <c r="AC66" s="206" t="n">
        <f aca="false">IF($C$12="Reducir",MIN(AC63,AC58),0)</f>
        <v>0</v>
      </c>
      <c r="AD66" s="206" t="n">
        <f aca="false">IF($C$12="Reducir",MIN(AD63,AD58),0)</f>
        <v>0</v>
      </c>
      <c r="AE66" s="206" t="n">
        <f aca="false">IF($C$12="Reducir",MIN(AE63,AE58),0)</f>
        <v>0</v>
      </c>
      <c r="AF66" s="206" t="n">
        <f aca="false">IF($C$12="Reducir",MIN(AF63,AF58),0)</f>
        <v>0</v>
      </c>
      <c r="AG66" s="206"/>
      <c r="AH66" s="206"/>
      <c r="AI66" s="206"/>
      <c r="AJ66" s="206"/>
      <c r="AK66" s="206"/>
      <c r="AL66" s="206"/>
      <c r="AM66" s="206"/>
      <c r="AN66" s="206"/>
      <c r="AO66" s="206"/>
      <c r="AP66" s="206"/>
      <c r="AQ66" s="206"/>
      <c r="AR66" s="206"/>
      <c r="AS66" s="206"/>
      <c r="AT66" s="206"/>
      <c r="AU66" s="206"/>
      <c r="AV66" s="206"/>
      <c r="AW66" s="206"/>
      <c r="AX66" s="206"/>
      <c r="AY66" s="206"/>
      <c r="AZ66" s="206"/>
      <c r="BA66" s="206"/>
      <c r="BB66" s="206"/>
      <c r="BC66" s="206"/>
      <c r="BD66" s="206"/>
      <c r="BE66" s="206"/>
      <c r="BF66" s="206"/>
      <c r="BG66" s="206"/>
      <c r="BH66" s="206"/>
      <c r="BI66" s="206"/>
      <c r="BJ66" s="206"/>
      <c r="BK66" s="206"/>
      <c r="BL66" s="206"/>
      <c r="BM66" s="206"/>
      <c r="BN66" s="206"/>
      <c r="BO66" s="206"/>
      <c r="BP66" s="206"/>
      <c r="BQ66" s="206"/>
      <c r="BR66" s="206"/>
      <c r="BS66" s="206"/>
      <c r="BT66" s="206"/>
    </row>
    <row r="67" customFormat="false" ht="14.25" hidden="false" customHeight="true" outlineLevel="0" collapsed="false">
      <c r="B67" s="134" t="s">
        <v>1688</v>
      </c>
      <c r="C67" s="210" t="n">
        <f aca="false">1-C66/C58</f>
        <v>1</v>
      </c>
      <c r="D67" s="210" t="n">
        <f aca="false">1-D66/D58</f>
        <v>1</v>
      </c>
      <c r="E67" s="210" t="n">
        <f aca="false">1-E66/E58</f>
        <v>1</v>
      </c>
      <c r="F67" s="210" t="n">
        <f aca="false">1-F66/F58</f>
        <v>1</v>
      </c>
      <c r="G67" s="210" t="n">
        <f aca="false">1-G66/G58</f>
        <v>1</v>
      </c>
      <c r="H67" s="210" t="n">
        <f aca="false">1-H66/H58</f>
        <v>1</v>
      </c>
      <c r="I67" s="210" t="n">
        <f aca="false">1-I66/I58</f>
        <v>1</v>
      </c>
      <c r="J67" s="210" t="n">
        <f aca="false">1-J66/J58</f>
        <v>1</v>
      </c>
      <c r="K67" s="210" t="n">
        <f aca="false">1-K66/K58</f>
        <v>1</v>
      </c>
      <c r="L67" s="210" t="n">
        <f aca="false">1-L66/L58</f>
        <v>1</v>
      </c>
      <c r="M67" s="210" t="n">
        <f aca="false">1-M66/M58</f>
        <v>1</v>
      </c>
      <c r="N67" s="210" t="n">
        <f aca="false">1-N66/N58</f>
        <v>1</v>
      </c>
      <c r="O67" s="210" t="n">
        <f aca="false">1-O66/O58</f>
        <v>1</v>
      </c>
      <c r="P67" s="210" t="n">
        <f aca="false">1-P66/P58</f>
        <v>1</v>
      </c>
      <c r="Q67" s="210" t="n">
        <f aca="false">1-Q66/Q58</f>
        <v>1</v>
      </c>
      <c r="R67" s="210" t="n">
        <f aca="false">1-R66/R58</f>
        <v>1</v>
      </c>
      <c r="S67" s="210" t="n">
        <f aca="false">1-S66/S58</f>
        <v>1</v>
      </c>
      <c r="T67" s="210" t="n">
        <f aca="false">1-T66/T58</f>
        <v>1</v>
      </c>
      <c r="U67" s="210" t="n">
        <f aca="false">1-U66/U58</f>
        <v>1</v>
      </c>
      <c r="V67" s="210" t="n">
        <f aca="false">1-V66/V58</f>
        <v>1</v>
      </c>
      <c r="W67" s="210" t="n">
        <f aca="false">1-W66/W58</f>
        <v>1</v>
      </c>
      <c r="X67" s="210" t="n">
        <f aca="false">1-X66/X58</f>
        <v>1</v>
      </c>
      <c r="Y67" s="210" t="n">
        <f aca="false">1-Y66/Y58</f>
        <v>1</v>
      </c>
      <c r="Z67" s="210" t="n">
        <f aca="false">1-Z66/Z58</f>
        <v>1</v>
      </c>
      <c r="AA67" s="210" t="n">
        <f aca="false">1-AA66/AA58</f>
        <v>1</v>
      </c>
      <c r="AB67" s="210" t="n">
        <f aca="false">1-AB66/AB58</f>
        <v>1</v>
      </c>
      <c r="AC67" s="210" t="n">
        <f aca="false">1-AC66/AC58</f>
        <v>1</v>
      </c>
      <c r="AD67" s="210" t="n">
        <f aca="false">1-AD66/AD58</f>
        <v>1</v>
      </c>
      <c r="AE67" s="210" t="n">
        <f aca="false">1-AE66/AE58</f>
        <v>1</v>
      </c>
      <c r="AF67" s="210" t="n">
        <f aca="false">1-AF66/AF58</f>
        <v>1</v>
      </c>
      <c r="AG67" s="210"/>
      <c r="AH67" s="210"/>
      <c r="AI67" s="210"/>
      <c r="AJ67" s="210"/>
      <c r="AK67" s="210"/>
      <c r="AL67" s="210"/>
      <c r="AM67" s="210"/>
      <c r="AN67" s="210"/>
      <c r="AO67" s="210"/>
      <c r="AP67" s="210"/>
      <c r="AQ67" s="210"/>
      <c r="AR67" s="210"/>
      <c r="AS67" s="210"/>
      <c r="AT67" s="210"/>
      <c r="AU67" s="210"/>
      <c r="AV67" s="210"/>
      <c r="AW67" s="210"/>
      <c r="AX67" s="210"/>
      <c r="AY67" s="210"/>
      <c r="AZ67" s="210"/>
      <c r="BA67" s="210"/>
      <c r="BB67" s="210"/>
      <c r="BC67" s="210"/>
      <c r="BD67" s="210"/>
      <c r="BE67" s="210"/>
      <c r="BF67" s="210"/>
      <c r="BG67" s="210"/>
      <c r="BH67" s="210"/>
      <c r="BI67" s="210"/>
      <c r="BJ67" s="210"/>
      <c r="BK67" s="210"/>
      <c r="BL67" s="210"/>
      <c r="BM67" s="210"/>
      <c r="BN67" s="210"/>
      <c r="BO67" s="210"/>
      <c r="BP67" s="210"/>
      <c r="BQ67" s="210"/>
      <c r="BR67" s="210"/>
      <c r="BS67" s="210"/>
      <c r="BT67" s="210"/>
    </row>
    <row r="68" customFormat="false" ht="14.25" hidden="false" customHeight="true" outlineLevel="0" collapsed="false">
      <c r="B68" s="81" t="s">
        <v>1689</v>
      </c>
      <c r="C68" s="138" t="n">
        <f aca="false">C61-C62+C65+C66</f>
        <v>19.2403714834382</v>
      </c>
      <c r="D68" s="138" t="n">
        <f aca="false">D61-D62+D65+D66</f>
        <v>38.0896035611722</v>
      </c>
      <c r="E68" s="138" t="n">
        <f aca="false">E61-E62+E65+E66</f>
        <v>56.7881698017234</v>
      </c>
      <c r="F68" s="138" t="n">
        <f aca="false">F61-F62+F65+F66</f>
        <v>69.5950445485783</v>
      </c>
      <c r="G68" s="138" t="n">
        <f aca="false">G61-G62+G65+G66</f>
        <v>83.4740378434462</v>
      </c>
      <c r="H68" s="138" t="n">
        <f aca="false">H61-H62+H65+H66</f>
        <v>98.4031857353705</v>
      </c>
      <c r="I68" s="138" t="n">
        <f aca="false">I61-I62+I65+I66</f>
        <v>114.439879322784</v>
      </c>
      <c r="J68" s="138" t="n">
        <f aca="false">J61-J62+J65+J66</f>
        <v>131.64424401867</v>
      </c>
      <c r="K68" s="138" t="n">
        <f aca="false">K61-K62+K65+K66</f>
        <v>150.079262588985</v>
      </c>
      <c r="L68" s="138" t="n">
        <f aca="false">L61-L62+L65+L66</f>
        <v>169.019688250465</v>
      </c>
      <c r="M68" s="138" t="n">
        <f aca="false">M61-M62+M65+M66</f>
        <v>170.389378712755</v>
      </c>
      <c r="N68" s="138" t="n">
        <f aca="false">N61-N62+N65+N66</f>
        <v>171.793311436602</v>
      </c>
      <c r="O68" s="138" t="n">
        <f aca="false">O61-O62+O65+O66</f>
        <v>173.232342478546</v>
      </c>
      <c r="P68" s="138" t="n">
        <f aca="false">P61-P62+P65+P66</f>
        <v>174.707349296538</v>
      </c>
      <c r="Q68" s="138" t="n">
        <f aca="false">Q61-Q62+Q65+Q66</f>
        <v>176.21923128498</v>
      </c>
      <c r="R68" s="138" t="n">
        <f aca="false">R61-R62+R65+R66</f>
        <v>177.768910323133</v>
      </c>
      <c r="S68" s="138" t="n">
        <f aca="false">S61-S62+S65+S66</f>
        <v>179.35733133724</v>
      </c>
      <c r="T68" s="138" t="n">
        <f aca="false">T61-T62+T65+T66</f>
        <v>180.985462876699</v>
      </c>
      <c r="U68" s="138" t="n">
        <f aca="false">U61-U62+U65+U66</f>
        <v>182.654297704645</v>
      </c>
      <c r="V68" s="138" t="n">
        <f aca="false">V61-V62+V65+V66</f>
        <v>184.36485340329</v>
      </c>
      <c r="W68" s="138" t="n">
        <f aca="false">W61-W62+W65+W66</f>
        <v>186.1181729944</v>
      </c>
      <c r="X68" s="138" t="n">
        <f aca="false">X61-X62+X65+X66</f>
        <v>187.915325575289</v>
      </c>
      <c r="Y68" s="138" t="n">
        <f aca="false">Y61-Y62+Y65+Y66</f>
        <v>189.7574069707</v>
      </c>
      <c r="Z68" s="138" t="n">
        <f aca="false">Z61-Z62+Z65+Z66</f>
        <v>191.645540400996</v>
      </c>
      <c r="AA68" s="138" t="n">
        <f aca="false">AA61-AA62+AA65+AA66</f>
        <v>193.580877167049</v>
      </c>
      <c r="AB68" s="138" t="n">
        <f aca="false">AB61-AB62+AB65+AB66</f>
        <v>195.564597352254</v>
      </c>
      <c r="AC68" s="138" t="n">
        <f aca="false">AC61-AC62+AC65+AC66</f>
        <v>197.597910542088</v>
      </c>
      <c r="AD68" s="138" t="n">
        <f aca="false">AD61-AD62+AD65+AD66</f>
        <v>199.682056561669</v>
      </c>
      <c r="AE68" s="138" t="n">
        <f aca="false">AE61-AE62+AE65+AE66</f>
        <v>201.818306231739</v>
      </c>
      <c r="AF68" s="138" t="n">
        <f aca="false">AF61-AF62+AF65+AF66</f>
        <v>204.007962143561</v>
      </c>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c r="BN68" s="138"/>
      <c r="BO68" s="138"/>
      <c r="BP68" s="138"/>
      <c r="BQ68" s="138"/>
      <c r="BR68" s="138"/>
      <c r="BS68" s="138"/>
      <c r="BT68" s="138"/>
    </row>
    <row r="69" customFormat="false" ht="14.25" hidden="false" customHeight="true" outlineLevel="0" collapsed="false">
      <c r="B69" s="134" t="s">
        <v>1129</v>
      </c>
      <c r="C69" s="206" t="n">
        <f aca="false">C62</f>
        <v>0</v>
      </c>
      <c r="D69" s="206" t="n">
        <f aca="false">C69+D62</f>
        <v>0</v>
      </c>
      <c r="E69" s="206" t="n">
        <f aca="false">D69+E62</f>
        <v>0</v>
      </c>
      <c r="F69" s="206" t="n">
        <f aca="false">E69+F62</f>
        <v>0</v>
      </c>
      <c r="G69" s="206" t="n">
        <f aca="false">F69+G62</f>
        <v>0</v>
      </c>
      <c r="H69" s="206" t="n">
        <f aca="false">G69+H62</f>
        <v>0</v>
      </c>
      <c r="I69" s="206" t="n">
        <f aca="false">H69+I62</f>
        <v>0</v>
      </c>
      <c r="J69" s="206" t="n">
        <f aca="false">I69+J62</f>
        <v>0</v>
      </c>
      <c r="K69" s="206" t="n">
        <f aca="false">J69+K62</f>
        <v>0</v>
      </c>
      <c r="L69" s="206" t="n">
        <f aca="false">K69+L62</f>
        <v>0.443333387535157</v>
      </c>
      <c r="M69" s="206" t="n">
        <f aca="false">L69+M62</f>
        <v>1.46924566250181</v>
      </c>
      <c r="N69" s="206" t="n">
        <f aca="false">M69+N62</f>
        <v>2.49355939859763</v>
      </c>
      <c r="O69" s="206" t="n">
        <f aca="false">N69+O62</f>
        <v>3.51789252853235</v>
      </c>
      <c r="P69" s="206" t="n">
        <f aca="false">O69+P62</f>
        <v>4.54397127122213</v>
      </c>
      <c r="Q69" s="206" t="n">
        <f aca="false">P69+Q62</f>
        <v>5.57363567441968</v>
      </c>
      <c r="R69" s="206" t="n">
        <f aca="false">Q69+R62</f>
        <v>6.61156491303062</v>
      </c>
      <c r="S69" s="206" t="n">
        <f aca="false">R69+S62</f>
        <v>7.66263222827015</v>
      </c>
      <c r="T69" s="206" t="n">
        <f aca="false">S69+T62</f>
        <v>8.73191312123464</v>
      </c>
      <c r="U69" s="206" t="n">
        <f aca="false">T69+U62</f>
        <v>9.82469389740921</v>
      </c>
      <c r="V69" s="206" t="n">
        <f aca="false">U69+V62</f>
        <v>10.9464805771888</v>
      </c>
      <c r="W69" s="206" t="n">
        <f aca="false">V69+W62</f>
        <v>12.1030081881368</v>
      </c>
      <c r="X69" s="206" t="n">
        <f aca="false">W69+X62</f>
        <v>13.3002504553779</v>
      </c>
      <c r="Y69" s="206" t="n">
        <f aca="false">X69+Y62</f>
        <v>14.5444299072273</v>
      </c>
      <c r="Z69" s="206" t="n">
        <f aca="false">Y69+Z62</f>
        <v>15.8420284138871</v>
      </c>
      <c r="AA69" s="206" t="n">
        <f aca="false">Z69+AA62</f>
        <v>17.1997981778084</v>
      </c>
      <c r="AB69" s="206" t="n">
        <f aca="false">AA69+AB62</f>
        <v>18.6247731951119</v>
      </c>
      <c r="AC69" s="206" t="n">
        <f aca="false">AB69+AC62</f>
        <v>20.1242812082914</v>
      </c>
      <c r="AD69" s="206" t="n">
        <f aca="false">AC69+AD62</f>
        <v>21.7059561712898</v>
      </c>
      <c r="AE69" s="206" t="n">
        <f aca="false">AD69+AE62</f>
        <v>23.3777512489409</v>
      </c>
      <c r="AF69" s="206" t="n">
        <f aca="false">AE69+AF62</f>
        <v>25.1479523737116</v>
      </c>
      <c r="AG69" s="206"/>
      <c r="AH69" s="206"/>
      <c r="AI69" s="206"/>
      <c r="AJ69" s="206"/>
      <c r="AK69" s="206"/>
      <c r="AL69" s="206"/>
      <c r="AM69" s="206"/>
      <c r="AN69" s="206"/>
      <c r="AO69" s="206"/>
      <c r="AP69" s="206"/>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06"/>
      <c r="BP69" s="206"/>
      <c r="BQ69" s="206"/>
      <c r="BR69" s="206"/>
      <c r="BS69" s="206"/>
      <c r="BT69" s="206"/>
    </row>
    <row r="70" customFormat="false" ht="14.25" hidden="false" customHeight="true" outlineLevel="0" collapsed="false">
      <c r="B70" s="134" t="s">
        <v>1130</v>
      </c>
      <c r="C70" s="210" t="n">
        <f aca="false">C68/(C45+C62)</f>
        <v>0.252996292474538</v>
      </c>
      <c r="D70" s="210" t="n">
        <f aca="false">D68/(D45+D62)</f>
        <v>0.314649393793788</v>
      </c>
      <c r="E70" s="210" t="n">
        <f aca="false">E68/(E45+E62)</f>
        <v>0.355773438166515</v>
      </c>
      <c r="F70" s="210" t="n">
        <f aca="false">F68/(F45+F62)</f>
        <v>0.249886485470529</v>
      </c>
      <c r="G70" s="210" t="n">
        <f aca="false">G68/(G45+G62)</f>
        <v>0.294891081524249</v>
      </c>
      <c r="H70" s="210" t="n">
        <f aca="false">H68/(H45+H62)</f>
        <v>0.34210868741442</v>
      </c>
      <c r="I70" s="210" t="n">
        <f aca="false">I68/(I45+I62)</f>
        <v>0.391627266726587</v>
      </c>
      <c r="J70" s="210" t="n">
        <f aca="false">J68/(J45+J62)</f>
        <v>0.443538048976347</v>
      </c>
      <c r="K70" s="210" t="n">
        <f aca="false">K68/(K45+K62)</f>
        <v>0.497935648893151</v>
      </c>
      <c r="L70" s="210" t="n">
        <f aca="false">L68/(L45+L62)</f>
        <v>0.551533574339406</v>
      </c>
      <c r="M70" s="210" t="n">
        <f aca="false">M68/(M45+M62)</f>
        <v>0.544180845821566</v>
      </c>
      <c r="N70" s="210" t="n">
        <f aca="false">N68/(N45+N62)</f>
        <v>0.537234897885076</v>
      </c>
      <c r="O70" s="210" t="n">
        <f aca="false">O68/(O45+O62)</f>
        <v>0.530670932770942</v>
      </c>
      <c r="P70" s="210" t="n">
        <f aca="false">P68/(P45+P62)</f>
        <v>0.524466128874214</v>
      </c>
      <c r="Q70" s="210" t="n">
        <f aca="false">Q68/(Q45+Q62)</f>
        <v>0.518599435132382</v>
      </c>
      <c r="R70" s="210" t="n">
        <f aca="false">R68/(R45+R62)</f>
        <v>0.513224547656544</v>
      </c>
      <c r="S70" s="210" t="n">
        <f aca="false">S68/(S45+S62)</f>
        <v>0.508301710188266</v>
      </c>
      <c r="T70" s="210" t="n">
        <f aca="false">T68/(T45+T62)</f>
        <v>0.503794919824544</v>
      </c>
      <c r="U70" s="210" t="n">
        <f aca="false">U68/(U45+U62)</f>
        <v>0.499671419840635</v>
      </c>
      <c r="V70" s="210" t="n">
        <f aca="false">V68/(V45+V62)</f>
        <v>0.495901266758101</v>
      </c>
      <c r="W70" s="210" t="n">
        <f aca="false">W68/(W45+W62)</f>
        <v>0.492456959237237</v>
      </c>
      <c r="X70" s="210" t="n">
        <f aca="false">X68/(X45+X62)</f>
        <v>0.489313118742123</v>
      </c>
      <c r="Y70" s="210" t="n">
        <f aca="false">Y68/(Y45+Y62)</f>
        <v>0.486446213806836</v>
      </c>
      <c r="Z70" s="210" t="n">
        <f aca="false">Z68/(Z45+Z62)</f>
        <v>0.48383432123296</v>
      </c>
      <c r="AA70" s="210" t="n">
        <f aca="false">AA68/(AA45+AA62)</f>
        <v>0.481456918754509</v>
      </c>
      <c r="AB70" s="210" t="n">
        <f aca="false">AB68/(AB45+AB62)</f>
        <v>0.479294704680165</v>
      </c>
      <c r="AC70" s="210" t="n">
        <f aca="false">AC68/(AC45+AC62)</f>
        <v>0.477329440813089</v>
      </c>
      <c r="AD70" s="210" t="n">
        <f aca="false">AD68/(AD45+AD62)</f>
        <v>0.475543815592706</v>
      </c>
      <c r="AE70" s="210" t="n">
        <f aca="false">AE68/(AE45+AE62)</f>
        <v>0.47392132493017</v>
      </c>
      <c r="AF70" s="210" t="n">
        <f aca="false">AF68/(AF45+AF62)</f>
        <v>0.472446168641953</v>
      </c>
      <c r="AG70" s="210"/>
      <c r="AH70" s="210"/>
      <c r="AI70" s="210"/>
      <c r="AJ70" s="210"/>
      <c r="AK70" s="210"/>
      <c r="AL70" s="210"/>
      <c r="AM70" s="210"/>
      <c r="AN70" s="210"/>
      <c r="AO70" s="210"/>
      <c r="AP70" s="210"/>
      <c r="AQ70" s="210"/>
      <c r="AR70" s="210"/>
      <c r="AS70" s="210"/>
      <c r="AT70" s="210"/>
      <c r="AU70" s="210"/>
      <c r="AV70" s="210"/>
      <c r="AW70" s="210"/>
      <c r="AX70" s="210"/>
      <c r="AY70" s="210"/>
      <c r="AZ70" s="210"/>
      <c r="BA70" s="210"/>
      <c r="BB70" s="210"/>
      <c r="BC70" s="210"/>
      <c r="BD70" s="210"/>
      <c r="BE70" s="210"/>
      <c r="BF70" s="210"/>
      <c r="BG70" s="210"/>
      <c r="BH70" s="210"/>
      <c r="BI70" s="210"/>
      <c r="BJ70" s="210"/>
      <c r="BK70" s="210"/>
      <c r="BL70" s="210"/>
      <c r="BM70" s="210"/>
      <c r="BN70" s="210"/>
      <c r="BO70" s="210"/>
      <c r="BP70" s="210"/>
      <c r="BQ70" s="210"/>
      <c r="BR70" s="210"/>
      <c r="BS70" s="210"/>
      <c r="BT70" s="210"/>
    </row>
    <row r="71" customFormat="false" ht="14.25" hidden="false" customHeight="true" outlineLevel="0" collapsed="false">
      <c r="B71" s="134" t="s">
        <v>1131</v>
      </c>
      <c r="C71" s="211" t="str">
        <f aca="false">IF(C70&gt;=01_Supuestos!$I$138,"Verde",IF(C70&gt;=0.1,"Amarillo","Rojo"))</f>
        <v>Verde</v>
      </c>
      <c r="D71" s="211" t="str">
        <f aca="false">IF(D70&gt;=01_Supuestos!$I$138,"Verde",IF(D70&gt;=0.1,"Amarillo","Rojo"))</f>
        <v>Verde</v>
      </c>
      <c r="E71" s="211" t="str">
        <f aca="false">IF(E70&gt;=01_Supuestos!$I$138,"Verde",IF(E70&gt;=0.1,"Amarillo","Rojo"))</f>
        <v>Verde</v>
      </c>
      <c r="F71" s="211" t="str">
        <f aca="false">IF(F70&gt;=01_Supuestos!$I$138,"Verde",IF(F70&gt;=0.1,"Amarillo","Rojo"))</f>
        <v>Verde</v>
      </c>
      <c r="G71" s="211" t="str">
        <f aca="false">IF(G70&gt;=01_Supuestos!$I$138,"Verde",IF(G70&gt;=0.1,"Amarillo","Rojo"))</f>
        <v>Verde</v>
      </c>
      <c r="H71" s="211" t="str">
        <f aca="false">IF(H70&gt;=01_Supuestos!$I$138,"Verde",IF(H70&gt;=0.1,"Amarillo","Rojo"))</f>
        <v>Verde</v>
      </c>
      <c r="I71" s="211" t="str">
        <f aca="false">IF(I70&gt;=01_Supuestos!$I$138,"Verde",IF(I70&gt;=0.1,"Amarillo","Rojo"))</f>
        <v>Verde</v>
      </c>
      <c r="J71" s="211" t="str">
        <f aca="false">IF(J70&gt;=01_Supuestos!$I$138,"Verde",IF(J70&gt;=0.1,"Amarillo","Rojo"))</f>
        <v>Verde</v>
      </c>
      <c r="K71" s="211" t="str">
        <f aca="false">IF(K70&gt;=01_Supuestos!$I$138,"Verde",IF(K70&gt;=0.1,"Amarillo","Rojo"))</f>
        <v>Verde</v>
      </c>
      <c r="L71" s="211" t="str">
        <f aca="false">IF(L70&gt;=01_Supuestos!$I$138,"Verde",IF(L70&gt;=0.1,"Amarillo","Rojo"))</f>
        <v>Verde</v>
      </c>
      <c r="M71" s="211" t="str">
        <f aca="false">IF(M70&gt;=01_Supuestos!$I$138,"Verde",IF(M70&gt;=0.1,"Amarillo","Rojo"))</f>
        <v>Verde</v>
      </c>
      <c r="N71" s="211" t="str">
        <f aca="false">IF(N70&gt;=01_Supuestos!$I$138,"Verde",IF(N70&gt;=0.1,"Amarillo","Rojo"))</f>
        <v>Verde</v>
      </c>
      <c r="O71" s="211" t="str">
        <f aca="false">IF(O70&gt;=01_Supuestos!$I$138,"Verde",IF(O70&gt;=0.1,"Amarillo","Rojo"))</f>
        <v>Verde</v>
      </c>
      <c r="P71" s="211" t="str">
        <f aca="false">IF(P70&gt;=01_Supuestos!$I$138,"Verde",IF(P70&gt;=0.1,"Amarillo","Rojo"))</f>
        <v>Verde</v>
      </c>
      <c r="Q71" s="211" t="str">
        <f aca="false">IF(Q70&gt;=01_Supuestos!$I$138,"Verde",IF(Q70&gt;=0.1,"Amarillo","Rojo"))</f>
        <v>Verde</v>
      </c>
      <c r="R71" s="211" t="str">
        <f aca="false">IF(R70&gt;=01_Supuestos!$I$138,"Verde",IF(R70&gt;=0.1,"Amarillo","Rojo"))</f>
        <v>Verde</v>
      </c>
      <c r="S71" s="211" t="str">
        <f aca="false">IF(S70&gt;=01_Supuestos!$I$138,"Verde",IF(S70&gt;=0.1,"Amarillo","Rojo"))</f>
        <v>Verde</v>
      </c>
      <c r="T71" s="211" t="str">
        <f aca="false">IF(T70&gt;=01_Supuestos!$I$138,"Verde",IF(T70&gt;=0.1,"Amarillo","Rojo"))</f>
        <v>Verde</v>
      </c>
      <c r="U71" s="211" t="str">
        <f aca="false">IF(U70&gt;=01_Supuestos!$I$138,"Verde",IF(U70&gt;=0.1,"Amarillo","Rojo"))</f>
        <v>Verde</v>
      </c>
      <c r="V71" s="211" t="str">
        <f aca="false">IF(V70&gt;=01_Supuestos!$I$138,"Verde",IF(V70&gt;=0.1,"Amarillo","Rojo"))</f>
        <v>Verde</v>
      </c>
      <c r="W71" s="211" t="str">
        <f aca="false">IF(W70&gt;=01_Supuestos!$I$138,"Verde",IF(W70&gt;=0.1,"Amarillo","Rojo"))</f>
        <v>Verde</v>
      </c>
      <c r="X71" s="211" t="str">
        <f aca="false">IF(X70&gt;=01_Supuestos!$I$138,"Verde",IF(X70&gt;=0.1,"Amarillo","Rojo"))</f>
        <v>Verde</v>
      </c>
      <c r="Y71" s="211" t="str">
        <f aca="false">IF(Y70&gt;=01_Supuestos!$I$138,"Verde",IF(Y70&gt;=0.1,"Amarillo","Rojo"))</f>
        <v>Verde</v>
      </c>
      <c r="Z71" s="211" t="str">
        <f aca="false">IF(Z70&gt;=01_Supuestos!$I$138,"Verde",IF(Z70&gt;=0.1,"Amarillo","Rojo"))</f>
        <v>Verde</v>
      </c>
      <c r="AA71" s="211" t="str">
        <f aca="false">IF(AA70&gt;=01_Supuestos!$I$138,"Verde",IF(AA70&gt;=0.1,"Amarillo","Rojo"))</f>
        <v>Verde</v>
      </c>
      <c r="AB71" s="211" t="str">
        <f aca="false">IF(AB70&gt;=01_Supuestos!$I$138,"Verde",IF(AB70&gt;=0.1,"Amarillo","Rojo"))</f>
        <v>Verde</v>
      </c>
      <c r="AC71" s="211" t="str">
        <f aca="false">IF(AC70&gt;=01_Supuestos!$I$138,"Verde",IF(AC70&gt;=0.1,"Amarillo","Rojo"))</f>
        <v>Verde</v>
      </c>
      <c r="AD71" s="211" t="str">
        <f aca="false">IF(AD70&gt;=01_Supuestos!$I$138,"Verde",IF(AD70&gt;=0.1,"Amarillo","Rojo"))</f>
        <v>Verde</v>
      </c>
      <c r="AE71" s="211" t="str">
        <f aca="false">IF(AE70&gt;=01_Supuestos!$I$138,"Verde",IF(AE70&gt;=0.1,"Amarillo","Rojo"))</f>
        <v>Verde</v>
      </c>
      <c r="AF71" s="211" t="str">
        <f aca="false">IF(AF70&gt;=01_Supuestos!$I$138,"Verde",IF(AF70&gt;=0.1,"Amarillo","Rojo"))</f>
        <v>Verde</v>
      </c>
      <c r="AG71" s="211"/>
      <c r="AH71" s="211"/>
      <c r="AI71" s="211"/>
      <c r="AJ71" s="211"/>
      <c r="AK71" s="211"/>
      <c r="AL71" s="211"/>
      <c r="AM71" s="211"/>
      <c r="AN71" s="211"/>
      <c r="AO71" s="211"/>
      <c r="AP71" s="211"/>
      <c r="AQ71" s="211"/>
      <c r="AR71" s="211"/>
      <c r="AS71" s="211"/>
      <c r="AT71" s="211"/>
      <c r="AU71" s="211"/>
      <c r="AV71" s="211"/>
      <c r="AW71" s="211"/>
      <c r="AX71" s="211"/>
      <c r="AY71" s="211"/>
      <c r="AZ71" s="211"/>
      <c r="BA71" s="211"/>
      <c r="BB71" s="211"/>
      <c r="BC71" s="211"/>
      <c r="BD71" s="211"/>
      <c r="BE71" s="211"/>
      <c r="BF71" s="211"/>
      <c r="BG71" s="211"/>
      <c r="BH71" s="211"/>
      <c r="BI71" s="211"/>
      <c r="BJ71" s="211"/>
      <c r="BK71" s="211"/>
      <c r="BL71" s="211"/>
      <c r="BM71" s="211"/>
      <c r="BN71" s="211"/>
      <c r="BO71" s="211"/>
      <c r="BP71" s="211"/>
      <c r="BQ71" s="211"/>
      <c r="BR71" s="211"/>
      <c r="BS71" s="211"/>
      <c r="BT71" s="211"/>
    </row>
    <row r="72" customFormat="false" ht="14.25" hidden="false" customHeight="true" outlineLevel="0" collapsed="false">
      <c r="B72" s="134" t="s">
        <v>1690</v>
      </c>
      <c r="C72" s="206" t="n">
        <f aca="false">C65</f>
        <v>0</v>
      </c>
      <c r="D72" s="206" t="n">
        <f aca="false">C72+D65</f>
        <v>0</v>
      </c>
      <c r="E72" s="206" t="n">
        <f aca="false">D72+E65</f>
        <v>0</v>
      </c>
      <c r="F72" s="206" t="n">
        <f aca="false">E72+F65</f>
        <v>0</v>
      </c>
      <c r="G72" s="206" t="n">
        <f aca="false">F72+G65</f>
        <v>0</v>
      </c>
      <c r="H72" s="206" t="n">
        <f aca="false">G72+H65</f>
        <v>0</v>
      </c>
      <c r="I72" s="206" t="n">
        <f aca="false">H72+I65</f>
        <v>0</v>
      </c>
      <c r="J72" s="206" t="n">
        <f aca="false">I72+J65</f>
        <v>0</v>
      </c>
      <c r="K72" s="206" t="n">
        <f aca="false">J72+K65</f>
        <v>0</v>
      </c>
      <c r="L72" s="206" t="n">
        <f aca="false">K72+L65</f>
        <v>0</v>
      </c>
      <c r="M72" s="206" t="n">
        <f aca="false">L72+M65</f>
        <v>0</v>
      </c>
      <c r="N72" s="206" t="n">
        <f aca="false">M72+N65</f>
        <v>0</v>
      </c>
      <c r="O72" s="206" t="n">
        <f aca="false">N72+O65</f>
        <v>0</v>
      </c>
      <c r="P72" s="206" t="n">
        <f aca="false">O72+P65</f>
        <v>0</v>
      </c>
      <c r="Q72" s="206" t="n">
        <f aca="false">P72+Q65</f>
        <v>0</v>
      </c>
      <c r="R72" s="206" t="n">
        <f aca="false">Q72+R65</f>
        <v>0</v>
      </c>
      <c r="S72" s="206" t="n">
        <f aca="false">R72+S65</f>
        <v>0</v>
      </c>
      <c r="T72" s="206" t="n">
        <f aca="false">S72+T65</f>
        <v>0</v>
      </c>
      <c r="U72" s="206" t="n">
        <f aca="false">T72+U65</f>
        <v>0</v>
      </c>
      <c r="V72" s="206" t="n">
        <f aca="false">U72+V65</f>
        <v>0</v>
      </c>
      <c r="W72" s="206" t="n">
        <f aca="false">V72+W65</f>
        <v>0</v>
      </c>
      <c r="X72" s="206" t="n">
        <f aca="false">W72+X65</f>
        <v>0</v>
      </c>
      <c r="Y72" s="206" t="n">
        <f aca="false">X72+Y65</f>
        <v>0</v>
      </c>
      <c r="Z72" s="206" t="n">
        <f aca="false">Y72+Z65</f>
        <v>0</v>
      </c>
      <c r="AA72" s="206" t="n">
        <f aca="false">Z72+AA65</f>
        <v>0</v>
      </c>
      <c r="AB72" s="206" t="n">
        <f aca="false">AA72+AB65</f>
        <v>0</v>
      </c>
      <c r="AC72" s="206" t="n">
        <f aca="false">AB72+AC65</f>
        <v>0</v>
      </c>
      <c r="AD72" s="206" t="n">
        <f aca="false">AC72+AD65</f>
        <v>0</v>
      </c>
      <c r="AE72" s="206" t="n">
        <f aca="false">AD72+AE65</f>
        <v>0</v>
      </c>
      <c r="AF72" s="206" t="n">
        <f aca="false">AE72+AF65</f>
        <v>0</v>
      </c>
      <c r="AG72" s="206"/>
      <c r="AH72" s="206"/>
      <c r="AI72" s="206"/>
      <c r="AJ72" s="206"/>
      <c r="AK72" s="206"/>
      <c r="AL72" s="206"/>
      <c r="AM72" s="206"/>
      <c r="AN72" s="206"/>
      <c r="AO72" s="206"/>
      <c r="AP72" s="206"/>
      <c r="AQ72" s="206"/>
      <c r="AR72" s="206"/>
      <c r="AS72" s="206"/>
      <c r="AT72" s="206"/>
      <c r="AU72" s="206"/>
      <c r="AV72" s="206"/>
      <c r="AW72" s="206"/>
      <c r="AX72" s="206"/>
      <c r="AY72" s="206"/>
      <c r="AZ72" s="206"/>
      <c r="BA72" s="206"/>
      <c r="BB72" s="206"/>
      <c r="BC72" s="206"/>
      <c r="BD72" s="206"/>
      <c r="BE72" s="206"/>
      <c r="BF72" s="206"/>
      <c r="BG72" s="206"/>
      <c r="BH72" s="206"/>
      <c r="BI72" s="206"/>
      <c r="BJ72" s="206"/>
      <c r="BK72" s="206"/>
      <c r="BL72" s="206"/>
      <c r="BM72" s="206"/>
      <c r="BN72" s="206"/>
      <c r="BO72" s="206"/>
      <c r="BP72" s="206"/>
      <c r="BQ72" s="206"/>
      <c r="BR72" s="206"/>
      <c r="BS72" s="206"/>
      <c r="BT72" s="206"/>
    </row>
    <row r="73" customFormat="false" ht="14.25" hidden="false" customHeight="true" outlineLevel="0" collapsed="false">
      <c r="B73" s="134" t="s">
        <v>1691</v>
      </c>
      <c r="C73" s="209" t="n">
        <f aca="false">C65/C18</f>
        <v>0</v>
      </c>
      <c r="D73" s="209" t="n">
        <f aca="false">D65/D18</f>
        <v>0</v>
      </c>
      <c r="E73" s="209" t="n">
        <f aca="false">E65/E18</f>
        <v>0</v>
      </c>
      <c r="F73" s="209" t="n">
        <f aca="false">F65/F18</f>
        <v>0</v>
      </c>
      <c r="G73" s="209" t="n">
        <f aca="false">G65/G18</f>
        <v>0</v>
      </c>
      <c r="H73" s="209" t="n">
        <f aca="false">H65/H18</f>
        <v>0</v>
      </c>
      <c r="I73" s="209" t="n">
        <f aca="false">I65/I18</f>
        <v>0</v>
      </c>
      <c r="J73" s="209" t="n">
        <f aca="false">J65/J18</f>
        <v>0</v>
      </c>
      <c r="K73" s="209" t="n">
        <f aca="false">K65/K18</f>
        <v>0</v>
      </c>
      <c r="L73" s="209" t="n">
        <f aca="false">L65/L18</f>
        <v>0</v>
      </c>
      <c r="M73" s="209" t="n">
        <f aca="false">M65/M18</f>
        <v>0</v>
      </c>
      <c r="N73" s="209" t="n">
        <f aca="false">N65/N18</f>
        <v>0</v>
      </c>
      <c r="O73" s="209" t="n">
        <f aca="false">O65/O18</f>
        <v>0</v>
      </c>
      <c r="P73" s="209" t="n">
        <f aca="false">P65/P18</f>
        <v>0</v>
      </c>
      <c r="Q73" s="209" t="n">
        <f aca="false">Q65/Q18</f>
        <v>0</v>
      </c>
      <c r="R73" s="209" t="n">
        <f aca="false">R65/R18</f>
        <v>0</v>
      </c>
      <c r="S73" s="209" t="n">
        <f aca="false">S65/S18</f>
        <v>0</v>
      </c>
      <c r="T73" s="209" t="n">
        <f aca="false">T65/T18</f>
        <v>0</v>
      </c>
      <c r="U73" s="209" t="n">
        <f aca="false">U65/U18</f>
        <v>0</v>
      </c>
      <c r="V73" s="209" t="n">
        <f aca="false">V65/V18</f>
        <v>0</v>
      </c>
      <c r="W73" s="209" t="n">
        <f aca="false">W65/W18</f>
        <v>0</v>
      </c>
      <c r="X73" s="209" t="n">
        <f aca="false">X65/X18</f>
        <v>0</v>
      </c>
      <c r="Y73" s="209" t="n">
        <f aca="false">Y65/Y18</f>
        <v>0</v>
      </c>
      <c r="Z73" s="209" t="n">
        <f aca="false">Z65/Z18</f>
        <v>0</v>
      </c>
      <c r="AA73" s="209" t="n">
        <f aca="false">AA65/AA18</f>
        <v>0</v>
      </c>
      <c r="AB73" s="209" t="n">
        <f aca="false">AB65/AB18</f>
        <v>0</v>
      </c>
      <c r="AC73" s="209" t="n">
        <f aca="false">AC65/AC18</f>
        <v>0</v>
      </c>
      <c r="AD73" s="209" t="n">
        <f aca="false">AD65/AD18</f>
        <v>0</v>
      </c>
      <c r="AE73" s="209" t="n">
        <f aca="false">AE65/AE18</f>
        <v>0</v>
      </c>
      <c r="AF73" s="209" t="n">
        <f aca="false">AF65/AF18</f>
        <v>0</v>
      </c>
      <c r="AG73" s="209"/>
      <c r="AH73" s="209"/>
      <c r="AI73" s="209"/>
      <c r="AJ73" s="209"/>
      <c r="AK73" s="209"/>
      <c r="AL73" s="209"/>
      <c r="AM73" s="209"/>
      <c r="AN73" s="209"/>
      <c r="AO73" s="209"/>
      <c r="AP73" s="209"/>
      <c r="AQ73" s="209"/>
      <c r="AR73" s="209"/>
      <c r="AS73" s="209"/>
      <c r="AT73" s="209"/>
      <c r="AU73" s="209"/>
      <c r="AV73" s="209"/>
      <c r="AW73" s="209"/>
      <c r="AX73" s="209"/>
      <c r="AY73" s="209"/>
      <c r="AZ73" s="209"/>
      <c r="BA73" s="209"/>
      <c r="BB73" s="209"/>
      <c r="BC73" s="209"/>
      <c r="BD73" s="209"/>
      <c r="BE73" s="209"/>
      <c r="BF73" s="209"/>
      <c r="BG73" s="209"/>
      <c r="BH73" s="209"/>
      <c r="BI73" s="209"/>
      <c r="BJ73" s="209"/>
      <c r="BK73" s="209"/>
      <c r="BL73" s="209"/>
      <c r="BM73" s="209"/>
      <c r="BN73" s="209"/>
      <c r="BO73" s="209"/>
      <c r="BP73" s="209"/>
      <c r="BQ73" s="209"/>
      <c r="BR73" s="209"/>
      <c r="BS73" s="209"/>
      <c r="BT73" s="209"/>
    </row>
    <row r="74" customFormat="false" ht="14.25" hidden="false" customHeight="true" outlineLevel="0" collapsed="false">
      <c r="B74" s="134" t="s">
        <v>1692</v>
      </c>
      <c r="C74" s="206" t="n">
        <f aca="false">01_Supuestos!$I$146*C19</f>
        <v>0.9541</v>
      </c>
      <c r="D74" s="206" t="n">
        <f aca="false">01_Supuestos!$I$146*D19</f>
        <v>0.9684115</v>
      </c>
      <c r="E74" s="206" t="n">
        <f aca="false">01_Supuestos!$I$146*E19</f>
        <v>0.9829376725</v>
      </c>
      <c r="F74" s="206" t="n">
        <f aca="false">01_Supuestos!$I$146*F19</f>
        <v>0.9976817375875</v>
      </c>
      <c r="G74" s="206" t="n">
        <f aca="false">01_Supuestos!$I$146*G19</f>
        <v>1.01264696365131</v>
      </c>
      <c r="H74" s="206" t="n">
        <f aca="false">01_Supuestos!$I$146*H19</f>
        <v>1.02783666810608</v>
      </c>
      <c r="I74" s="206" t="n">
        <f aca="false">01_Supuestos!$I$146*I19</f>
        <v>1.04325421812767</v>
      </c>
      <c r="J74" s="206" t="n">
        <f aca="false">01_Supuestos!$I$146*J19</f>
        <v>1.05890303139959</v>
      </c>
      <c r="K74" s="206" t="n">
        <f aca="false">01_Supuestos!$I$146*K19</f>
        <v>1.07478657687058</v>
      </c>
      <c r="L74" s="206" t="n">
        <f aca="false">01_Supuestos!$I$146*L19</f>
        <v>1.09090837552364</v>
      </c>
      <c r="M74" s="206" t="n">
        <f aca="false">01_Supuestos!$I$146*M19</f>
        <v>1.10727200115649</v>
      </c>
      <c r="N74" s="206" t="n">
        <f aca="false">01_Supuestos!$I$146*N19</f>
        <v>1.12388108117384</v>
      </c>
      <c r="O74" s="206" t="n">
        <f aca="false">01_Supuestos!$I$146*O19</f>
        <v>1.14073929739145</v>
      </c>
      <c r="P74" s="206" t="n">
        <f aca="false">01_Supuestos!$I$146*P19</f>
        <v>1.15785038685232</v>
      </c>
      <c r="Q74" s="206" t="n">
        <f aca="false">01_Supuestos!$I$146*Q19</f>
        <v>1.17521814265511</v>
      </c>
      <c r="R74" s="206" t="n">
        <f aca="false">01_Supuestos!$I$146*R19</f>
        <v>1.19284641479493</v>
      </c>
      <c r="S74" s="206" t="n">
        <f aca="false">01_Supuestos!$I$146*S19</f>
        <v>1.21073911101686</v>
      </c>
      <c r="T74" s="206" t="n">
        <f aca="false">01_Supuestos!$I$146*T19</f>
        <v>1.22890019768211</v>
      </c>
      <c r="U74" s="206" t="n">
        <f aca="false">01_Supuestos!$I$146*U19</f>
        <v>1.24733370064734</v>
      </c>
      <c r="V74" s="206" t="n">
        <f aca="false">01_Supuestos!$I$146*V19</f>
        <v>1.26604370615705</v>
      </c>
      <c r="W74" s="206" t="n">
        <f aca="false">01_Supuestos!$I$146*W19</f>
        <v>1.28503436174941</v>
      </c>
      <c r="X74" s="206" t="n">
        <f aca="false">01_Supuestos!$I$146*X19</f>
        <v>1.30430987717565</v>
      </c>
      <c r="Y74" s="206" t="n">
        <f aca="false">01_Supuestos!$I$146*Y19</f>
        <v>1.32387452533328</v>
      </c>
      <c r="Z74" s="206" t="n">
        <f aca="false">01_Supuestos!$I$146*Z19</f>
        <v>1.34373264321328</v>
      </c>
      <c r="AA74" s="206" t="n">
        <f aca="false">01_Supuestos!$I$146*AA19</f>
        <v>1.36388863286148</v>
      </c>
      <c r="AB74" s="206" t="n">
        <f aca="false">01_Supuestos!$I$146*AB19</f>
        <v>1.3843469623544</v>
      </c>
      <c r="AC74" s="206" t="n">
        <f aca="false">01_Supuestos!$I$146*AC19</f>
        <v>1.40511216678972</v>
      </c>
      <c r="AD74" s="206" t="n">
        <f aca="false">01_Supuestos!$I$146*AD19</f>
        <v>1.42618884929156</v>
      </c>
      <c r="AE74" s="206" t="n">
        <f aca="false">01_Supuestos!$I$146*AE19</f>
        <v>1.44758168203094</v>
      </c>
      <c r="AF74" s="206" t="n">
        <f aca="false">01_Supuestos!$I$146*AF19</f>
        <v>1.4692954072614</v>
      </c>
      <c r="AG74" s="206"/>
      <c r="AH74" s="206"/>
      <c r="AI74" s="206"/>
      <c r="AJ74" s="206"/>
      <c r="AK74" s="206"/>
      <c r="AL74" s="206"/>
      <c r="AM74" s="206"/>
      <c r="AN74" s="206"/>
      <c r="AO74" s="206"/>
      <c r="AP74" s="206"/>
      <c r="AQ74" s="206"/>
      <c r="AR74" s="206"/>
      <c r="AS74" s="206"/>
      <c r="AT74" s="206"/>
      <c r="AU74" s="206"/>
      <c r="AV74" s="206"/>
      <c r="AW74" s="206"/>
      <c r="AX74" s="206"/>
      <c r="AY74" s="206"/>
      <c r="AZ74" s="206"/>
      <c r="BA74" s="206"/>
      <c r="BB74" s="206"/>
      <c r="BC74" s="206"/>
      <c r="BD74" s="206"/>
      <c r="BE74" s="206"/>
      <c r="BF74" s="206"/>
      <c r="BG74" s="206"/>
      <c r="BH74" s="206"/>
      <c r="BI74" s="206"/>
      <c r="BJ74" s="206"/>
      <c r="BK74" s="206"/>
      <c r="BL74" s="206"/>
      <c r="BM74" s="206"/>
      <c r="BN74" s="206"/>
      <c r="BO74" s="206"/>
      <c r="BP74" s="206"/>
      <c r="BQ74" s="206"/>
      <c r="BR74" s="206"/>
      <c r="BS74" s="206"/>
      <c r="BT74" s="206"/>
    </row>
    <row r="75" customFormat="false" ht="14.25" hidden="false" customHeight="true" outlineLevel="0" collapsed="false">
      <c r="B75" s="134" t="s">
        <v>1693</v>
      </c>
      <c r="C75" s="212" t="n">
        <f aca="false">IF(C65+C66&gt;0.000001,C17,999)</f>
        <v>999</v>
      </c>
      <c r="D75" s="212" t="n">
        <f aca="false">IF(D65+D66&gt;0.000001,D17,999)</f>
        <v>999</v>
      </c>
      <c r="E75" s="212" t="n">
        <f aca="false">IF(E65+E66&gt;0.000001,E17,999)</f>
        <v>999</v>
      </c>
      <c r="F75" s="212" t="n">
        <f aca="false">IF(F65+F66&gt;0.000001,F17,999)</f>
        <v>999</v>
      </c>
      <c r="G75" s="212" t="n">
        <f aca="false">IF(G65+G66&gt;0.000001,G17,999)</f>
        <v>999</v>
      </c>
      <c r="H75" s="212" t="n">
        <f aca="false">IF(H65+H66&gt;0.000001,H17,999)</f>
        <v>999</v>
      </c>
      <c r="I75" s="212" t="n">
        <f aca="false">IF(I65+I66&gt;0.000001,I17,999)</f>
        <v>999</v>
      </c>
      <c r="J75" s="212" t="n">
        <f aca="false">IF(J65+J66&gt;0.000001,J17,999)</f>
        <v>999</v>
      </c>
      <c r="K75" s="212" t="n">
        <f aca="false">IF(K65+K66&gt;0.000001,K17,999)</f>
        <v>999</v>
      </c>
      <c r="L75" s="212" t="n">
        <f aca="false">IF(L65+L66&gt;0.000001,L17,999)</f>
        <v>999</v>
      </c>
      <c r="M75" s="212" t="n">
        <f aca="false">IF(M65+M66&gt;0.000001,M17,999)</f>
        <v>999</v>
      </c>
      <c r="N75" s="212" t="n">
        <f aca="false">IF(N65+N66&gt;0.000001,N17,999)</f>
        <v>999</v>
      </c>
      <c r="O75" s="212" t="n">
        <f aca="false">IF(O65+O66&gt;0.000001,O17,999)</f>
        <v>999</v>
      </c>
      <c r="P75" s="212" t="n">
        <f aca="false">IF(P65+P66&gt;0.000001,P17,999)</f>
        <v>999</v>
      </c>
      <c r="Q75" s="212" t="n">
        <f aca="false">IF(Q65+Q66&gt;0.000001,Q17,999)</f>
        <v>999</v>
      </c>
      <c r="R75" s="212" t="n">
        <f aca="false">IF(R65+R66&gt;0.000001,R17,999)</f>
        <v>999</v>
      </c>
      <c r="S75" s="212" t="n">
        <f aca="false">IF(S65+S66&gt;0.000001,S17,999)</f>
        <v>999</v>
      </c>
      <c r="T75" s="212" t="n">
        <f aca="false">IF(T65+T66&gt;0.000001,T17,999)</f>
        <v>999</v>
      </c>
      <c r="U75" s="212" t="n">
        <f aca="false">IF(U65+U66&gt;0.000001,U17,999)</f>
        <v>999</v>
      </c>
      <c r="V75" s="212" t="n">
        <f aca="false">IF(V65+V66&gt;0.000001,V17,999)</f>
        <v>999</v>
      </c>
      <c r="W75" s="212" t="n">
        <f aca="false">IF(W65+W66&gt;0.000001,W17,999)</f>
        <v>999</v>
      </c>
      <c r="X75" s="212" t="n">
        <f aca="false">IF(X65+X66&gt;0.000001,X17,999)</f>
        <v>999</v>
      </c>
      <c r="Y75" s="212" t="n">
        <f aca="false">IF(Y65+Y66&gt;0.000001,Y17,999)</f>
        <v>999</v>
      </c>
      <c r="Z75" s="212" t="n">
        <f aca="false">IF(Z65+Z66&gt;0.000001,Z17,999)</f>
        <v>999</v>
      </c>
      <c r="AA75" s="212" t="n">
        <f aca="false">IF(AA65+AA66&gt;0.000001,AA17,999)</f>
        <v>999</v>
      </c>
      <c r="AB75" s="212" t="n">
        <f aca="false">IF(AB65+AB66&gt;0.000001,AB17,999)</f>
        <v>999</v>
      </c>
      <c r="AC75" s="212" t="n">
        <f aca="false">IF(AC65+AC66&gt;0.000001,AC17,999)</f>
        <v>999</v>
      </c>
      <c r="AD75" s="212" t="n">
        <f aca="false">IF(AD65+AD66&gt;0.000001,AD17,999)</f>
        <v>999</v>
      </c>
      <c r="AE75" s="212" t="n">
        <f aca="false">IF(AE65+AE66&gt;0.000001,AE17,999)</f>
        <v>999</v>
      </c>
      <c r="AF75" s="212" t="n">
        <f aca="false">IF(AF65+AF66&gt;0.000001,AF17,999)</f>
        <v>999</v>
      </c>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c r="BI75" s="212"/>
      <c r="BJ75" s="212"/>
      <c r="BK75" s="212"/>
      <c r="BL75" s="212"/>
      <c r="BM75" s="212"/>
      <c r="BN75" s="212"/>
      <c r="BO75" s="212"/>
      <c r="BP75" s="212"/>
      <c r="BQ75" s="212"/>
      <c r="BR75" s="212"/>
      <c r="BS75" s="212"/>
      <c r="BT75" s="212"/>
    </row>
    <row r="76" customFormat="false" ht="14.25" hidden="false" customHeight="true" outlineLevel="0" collapsed="false">
      <c r="B76" s="132" t="s">
        <v>1694</v>
      </c>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row>
    <row r="77" customFormat="false" ht="14.25" hidden="false" customHeight="true" outlineLevel="0" collapsed="false">
      <c r="B77" s="134" t="s">
        <v>1137</v>
      </c>
      <c r="C77" s="213" t="n">
        <f aca="false">C47/C18</f>
        <v>0.05</v>
      </c>
      <c r="D77" s="213" t="n">
        <f aca="false">D47/D18</f>
        <v>0.0988758553274683</v>
      </c>
      <c r="E77" s="213" t="n">
        <f aca="false">E47/E18</f>
        <v>0.1466528400073</v>
      </c>
      <c r="F77" s="213" t="n">
        <f aca="false">F47/F18</f>
        <v>0.193355659831183</v>
      </c>
      <c r="G77" s="213" t="n">
        <f aca="false">G47/G18</f>
        <v>0.239008465133121</v>
      </c>
      <c r="H77" s="213" t="n">
        <f aca="false">H47/H18</f>
        <v>0.283634863277734</v>
      </c>
      <c r="I77" s="213" t="n">
        <f aca="false">I47/I18</f>
        <v>0.327257930867775</v>
      </c>
      <c r="J77" s="213" t="n">
        <f aca="false">J47/J18</f>
        <v>0.369900225677199</v>
      </c>
      <c r="K77" s="213" t="n">
        <f aca="false">K47/K18</f>
        <v>0.411583798315933</v>
      </c>
      <c r="L77" s="213" t="n">
        <f aca="false">L47/L18</f>
        <v>0.422022141604755</v>
      </c>
      <c r="M77" s="213" t="n">
        <f aca="false">M47/M18</f>
        <v>0.420723678222335</v>
      </c>
      <c r="N77" s="213" t="n">
        <f aca="false">N47/N18</f>
        <v>0.420045180167729</v>
      </c>
      <c r="O77" s="213" t="n">
        <f aca="false">O47/O18</f>
        <v>0.419189592530608</v>
      </c>
      <c r="P77" s="213" t="n">
        <f aca="false">P47/P18</f>
        <v>0.418167249112586</v>
      </c>
      <c r="Q77" s="213" t="n">
        <f aca="false">Q47/Q18</f>
        <v>0.416988149637775</v>
      </c>
      <c r="R77" s="213" t="n">
        <f aca="false">R47/R18</f>
        <v>0.415518036628046</v>
      </c>
      <c r="S77" s="213" t="n">
        <f aca="false">S47/S18</f>
        <v>0.413781595272145</v>
      </c>
      <c r="T77" s="213" t="n">
        <f aca="false">T47/T18</f>
        <v>0.411802397889821</v>
      </c>
      <c r="U77" s="213" t="n">
        <f aca="false">U47/U18</f>
        <v>0.409602946701571</v>
      </c>
      <c r="V77" s="213" t="n">
        <f aca="false">V47/V18</f>
        <v>0.407204715162953</v>
      </c>
      <c r="W77" s="213" t="n">
        <f aca="false">W47/W18</f>
        <v>0.404628187908796</v>
      </c>
      <c r="X77" s="213" t="n">
        <f aca="false">X47/X18</f>
        <v>0.401892899351226</v>
      </c>
      <c r="Y77" s="213" t="n">
        <f aca="false">Y47/Y18</f>
        <v>0.39901747097415</v>
      </c>
      <c r="Z77" s="213" t="n">
        <f aca="false">Z47/Z18</f>
        <v>0.396019647365554</v>
      </c>
      <c r="AA77" s="213" t="n">
        <f aca="false">AA47/AA18</f>
        <v>0.39291633102774</v>
      </c>
      <c r="AB77" s="213" t="n">
        <f aca="false">AB47/AB18</f>
        <v>0.389723616004419</v>
      </c>
      <c r="AC77" s="213" t="n">
        <f aca="false">AC47/AC18</f>
        <v>0.386456820362421</v>
      </c>
      <c r="AD77" s="213" t="n">
        <f aca="false">AD47/AD18</f>
        <v>0.383130517564638</v>
      </c>
      <c r="AE77" s="213" t="n">
        <f aca="false">AE47/AE18</f>
        <v>0.379758566769731</v>
      </c>
      <c r="AF77" s="213" t="n">
        <f aca="false">AF47/AF18</f>
        <v>0.376354142093059</v>
      </c>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row>
    <row r="78" customFormat="false" ht="14.25" hidden="false" customHeight="true" outlineLevel="0" collapsed="false">
      <c r="B78" s="134" t="s">
        <v>1695</v>
      </c>
      <c r="C78" s="213" t="n">
        <f aca="false">C47/(C45+C62)</f>
        <v>0.213675175463742</v>
      </c>
      <c r="D78" s="213" t="n">
        <f aca="false">D47/(D45+D62)</f>
        <v>0.271562435471834</v>
      </c>
      <c r="E78" s="213" t="n">
        <f aca="false">E47/(E45+E62)</f>
        <v>0.312493331930572</v>
      </c>
      <c r="F78" s="213" t="n">
        <f aca="false">F47/(F45+F62)</f>
        <v>0.241563661049377</v>
      </c>
      <c r="G78" s="213" t="n">
        <f aca="false">G47/(G45+G62)</f>
        <v>0.300544922407964</v>
      </c>
      <c r="H78" s="213" t="n">
        <f aca="false">H47/(H45+H62)</f>
        <v>0.359067489407752</v>
      </c>
      <c r="I78" s="213" t="n">
        <f aca="false">I47/(I45+I62)</f>
        <v>0.417179417947141</v>
      </c>
      <c r="J78" s="213" t="n">
        <f aca="false">J47/(J45+J62)</f>
        <v>0.474926496814814</v>
      </c>
      <c r="K78" s="213" t="n">
        <f aca="false">K47/(K45+K62)</f>
        <v>0.532352422000047</v>
      </c>
      <c r="L78" s="213" t="n">
        <f aca="false">L47/(L45+L62)</f>
        <v>0.549204339519791</v>
      </c>
      <c r="M78" s="213" t="n">
        <f aca="false">M47/(M45+M62)</f>
        <v>0.548197921739247</v>
      </c>
      <c r="N78" s="213" t="n">
        <f aca="false">N47/(N45+N62)</f>
        <v>0.548238211985982</v>
      </c>
      <c r="O78" s="213" t="n">
        <f aca="false">O47/(O45+O62)</f>
        <v>0.548274161190894</v>
      </c>
      <c r="P78" s="213" t="n">
        <f aca="false">P47/(P45+P62)</f>
        <v>0.548305858617019</v>
      </c>
      <c r="Q78" s="213" t="n">
        <f aca="false">Q47/(Q45+Q62)</f>
        <v>0.548333377942412</v>
      </c>
      <c r="R78" s="213" t="n">
        <f aca="false">R47/(R45+R62)</f>
        <v>0.548351905742914</v>
      </c>
      <c r="S78" s="213" t="n">
        <f aca="false">S47/(S45+S62)</f>
        <v>0.548361691599492</v>
      </c>
      <c r="T78" s="213" t="n">
        <f aca="false">T47/(T45+T62)</f>
        <v>0.548362940038121</v>
      </c>
      <c r="U78" s="213" t="n">
        <f aca="false">U47/(U45+U62)</f>
        <v>0.548355816255752</v>
      </c>
      <c r="V78" s="213" t="n">
        <f aca="false">V47/(V45+V62)</f>
        <v>0.54834045110065</v>
      </c>
      <c r="W78" s="213" t="n">
        <f aca="false">W47/(W45+W62)</f>
        <v>0.548316945445096</v>
      </c>
      <c r="X78" s="213" t="n">
        <f aca="false">X47/(X45+X62)</f>
        <v>0.548285374062844</v>
      </c>
      <c r="Y78" s="213" t="n">
        <f aca="false">Y47/(Y45+Y62)</f>
        <v>0.548245789103463</v>
      </c>
      <c r="Z78" s="213" t="n">
        <f aca="false">Z47/(Z45+Z62)</f>
        <v>0.548198223239299</v>
      </c>
      <c r="AA78" s="213" t="n">
        <f aca="false">AA47/(AA45+AA62)</f>
        <v>0.548142692547605</v>
      </c>
      <c r="AB78" s="213" t="n">
        <f aca="false">AB47/(AB45+AB62)</f>
        <v>0.548079199179514</v>
      </c>
      <c r="AC78" s="213" t="n">
        <f aca="false">AC47/(AC45+AC62)</f>
        <v>0.548007733858601</v>
      </c>
      <c r="AD78" s="213" t="n">
        <f aca="false">AD47/(AD45+AD62)</f>
        <v>0.547928278244246</v>
      </c>
      <c r="AE78" s="213" t="n">
        <f aca="false">AE47/(AE45+AE62)</f>
        <v>0.547840807188639</v>
      </c>
      <c r="AF78" s="213" t="n">
        <f aca="false">AF47/(AF45+AF62)</f>
        <v>0.547745290910782</v>
      </c>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row>
    <row r="79" customFormat="false" ht="14.25" hidden="false" customHeight="true" outlineLevel="0" collapsed="false">
      <c r="B79" s="134" t="s">
        <v>1696</v>
      </c>
      <c r="C79" s="213" t="n">
        <f aca="false">IF(C47&gt;0,(C68+C39+C69)/C47,0)</f>
        <v>1.18894593744235</v>
      </c>
      <c r="D79" s="213" t="n">
        <f aca="false">IF(D47&gt;0,(D68+D39+D69)/D47,0)</f>
        <v>1.16353028057864</v>
      </c>
      <c r="E79" s="213" t="n">
        <f aca="false">IF(E47&gt;0,(E68+E39+E69)/E47,0)</f>
        <v>1.14331085777401</v>
      </c>
      <c r="F79" s="213" t="n">
        <f aca="false">IF(F47&gt;0,(F68+F39+F69)/F47,0)</f>
        <v>1.49927373591982</v>
      </c>
      <c r="G79" s="213" t="n">
        <f aca="false">IF(G47&gt;0,(G68+G39+G69)/G47,0)</f>
        <v>1.40237715408258</v>
      </c>
      <c r="H79" s="213" t="n">
        <f aca="false">IF(H47&gt;0,(H68+H39+H69)/H47,0)</f>
        <v>1.3439572073947</v>
      </c>
      <c r="I79" s="213" t="n">
        <f aca="false">IF(I47&gt;0,(I68+I39+I69)/I47,0)</f>
        <v>1.30773261994622</v>
      </c>
      <c r="J79" s="213" t="n">
        <f aca="false">IF(J47&gt;0,(J68+J39+J69)/J47,0)</f>
        <v>1.28556717683433</v>
      </c>
      <c r="K79" s="213" t="n">
        <f aca="false">IF(K47&gt;0,(K68+K39+K69)/K47,0)</f>
        <v>1.27294478192191</v>
      </c>
      <c r="L79" s="213" t="n">
        <f aca="false">IF(L47&gt;0,(L68+L39+L69)/L47,0)</f>
        <v>1.3560952058617</v>
      </c>
      <c r="M79" s="213" t="n">
        <f aca="false">IF(M47&gt;0,(M68+M39+M69)/M47,0)</f>
        <v>1.3531787098474</v>
      </c>
      <c r="N79" s="213" t="n">
        <f aca="false">IF(N47&gt;0,(N68+N39+N69)/N47,0)</f>
        <v>1.3482016535336</v>
      </c>
      <c r="O79" s="213" t="n">
        <f aca="false">IF(O47&gt;0,(O68+O39+O69)/O47,0)</f>
        <v>1.3437406518611</v>
      </c>
      <c r="P79" s="213" t="n">
        <f aca="false">IF(P47&gt;0,(P68+P39+P69)/P47,0)</f>
        <v>1.33977411928588</v>
      </c>
      <c r="Q79" s="213" t="n">
        <f aca="false">IF(Q47&gt;0,(Q68+Q39+Q69)/Q47,0)</f>
        <v>1.33628253089639</v>
      </c>
      <c r="R79" s="213" t="n">
        <f aca="false">IF(R47&gt;0,(R68+R39+R69)/R47,0)</f>
        <v>1.33372436990219</v>
      </c>
      <c r="S79" s="213" t="n">
        <f aca="false">IF(S47&gt;0,(S68+S39+S69)/S47,0)</f>
        <v>1.33205110263026</v>
      </c>
      <c r="T79" s="213" t="n">
        <f aca="false">IF(T47&gt;0,(T68+T39+T69)/T47,0)</f>
        <v>1.33121970156639</v>
      </c>
      <c r="U79" s="213" t="n">
        <f aca="false">IF(U47&gt;0,(U68+U39+U69)/U47,0)</f>
        <v>1.33119188943496</v>
      </c>
      <c r="V79" s="213" t="n">
        <f aca="false">IF(V47&gt;0,(V68+V39+V69)/V47,0)</f>
        <v>1.33193348837584</v>
      </c>
      <c r="W79" s="213" t="n">
        <f aca="false">IF(W47&gt;0,(W68+W39+W69)/W47,0)</f>
        <v>1.33341385589474</v>
      </c>
      <c r="X79" s="213" t="n">
        <f aca="false">IF(X47&gt;0,(X68+X39+X69)/X47,0)</f>
        <v>1.33560539275101</v>
      </c>
      <c r="Y79" s="213" t="n">
        <f aca="false">IF(Y47&gt;0,(Y68+Y39+Y69)/Y47,0)</f>
        <v>1.33848311071778</v>
      </c>
      <c r="Z79" s="213" t="n">
        <f aca="false">IF(Z47&gt;0,(Z68+Z39+Z69)/Z47,0)</f>
        <v>1.3420242503655</v>
      </c>
      <c r="AA79" s="213" t="n">
        <f aca="false">IF(AA47&gt;0,(AA68+AA39+AA69)/AA47,0)</f>
        <v>1.34620794080663</v>
      </c>
      <c r="AB79" s="213" t="n">
        <f aca="false">IF(AB47&gt;0,(AB68+AB39+AB69)/AB47,0)</f>
        <v>1.35101489478922</v>
      </c>
      <c r="AC79" s="213" t="n">
        <f aca="false">IF(AC47&gt;0,(AC68+AC39+AC69)/AC47,0)</f>
        <v>1.35642713371364</v>
      </c>
      <c r="AD79" s="213" t="n">
        <f aca="false">IF(AD47&gt;0,(AD68+AD39+AD69)/AD47,0)</f>
        <v>1.36242773812489</v>
      </c>
      <c r="AE79" s="213" t="n">
        <f aca="false">IF(AE47&gt;0,(AE68+AE39+AE69)/AE47,0)</f>
        <v>1.36900062004605</v>
      </c>
      <c r="AF79" s="213" t="n">
        <f aca="false">IF(AF47&gt;0,(AF68+AF39+AF69)/AF47,0)</f>
        <v>1.37613031419991</v>
      </c>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row>
    <row r="80" customFormat="false" ht="14.25" hidden="false" customHeight="true" outlineLevel="0" collapsed="false">
      <c r="B80" s="132" t="s">
        <v>1697</v>
      </c>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3"/>
      <c r="BD80" s="133"/>
      <c r="BE80" s="133"/>
      <c r="BF80" s="133"/>
      <c r="BG80" s="133"/>
      <c r="BH80" s="133"/>
      <c r="BI80" s="133"/>
      <c r="BJ80" s="133"/>
      <c r="BK80" s="133"/>
      <c r="BL80" s="133"/>
      <c r="BM80" s="133"/>
      <c r="BN80" s="133"/>
      <c r="BO80" s="133"/>
      <c r="BP80" s="133"/>
      <c r="BQ80" s="133"/>
      <c r="BR80" s="133"/>
      <c r="BS80" s="133"/>
      <c r="BT80" s="133"/>
    </row>
    <row r="81" customFormat="false" ht="14.25" hidden="false" customHeight="true" outlineLevel="0" collapsed="false">
      <c r="B81" s="134" t="s">
        <v>1141</v>
      </c>
      <c r="C81" s="206" t="n">
        <f aca="false">-C27</f>
        <v>-20.6</v>
      </c>
      <c r="D81" s="206" t="n">
        <f aca="false">-D27</f>
        <v>-20.6</v>
      </c>
      <c r="E81" s="206" t="n">
        <f aca="false">-E27</f>
        <v>-20.6</v>
      </c>
      <c r="F81" s="206" t="n">
        <f aca="false">-F27</f>
        <v>-20.6</v>
      </c>
      <c r="G81" s="206" t="n">
        <f aca="false">-G27</f>
        <v>-20.6</v>
      </c>
      <c r="H81" s="206" t="n">
        <f aca="false">-H27</f>
        <v>-20.6</v>
      </c>
      <c r="I81" s="206" t="n">
        <f aca="false">-I27</f>
        <v>-20.6</v>
      </c>
      <c r="J81" s="206" t="n">
        <f aca="false">-J27</f>
        <v>-20.6</v>
      </c>
      <c r="K81" s="206" t="n">
        <f aca="false">-K27</f>
        <v>-20.6</v>
      </c>
      <c r="L81" s="206" t="n">
        <f aca="false">-L27</f>
        <v>-20.6</v>
      </c>
      <c r="M81" s="206" t="n">
        <f aca="false">-M27</f>
        <v>-0</v>
      </c>
      <c r="N81" s="206" t="n">
        <f aca="false">-N27</f>
        <v>-0</v>
      </c>
      <c r="O81" s="206" t="n">
        <f aca="false">-O27</f>
        <v>-0</v>
      </c>
      <c r="P81" s="206" t="n">
        <f aca="false">-P27</f>
        <v>-0</v>
      </c>
      <c r="Q81" s="206" t="n">
        <f aca="false">-Q27</f>
        <v>-0</v>
      </c>
      <c r="R81" s="206" t="n">
        <f aca="false">-R27</f>
        <v>-0</v>
      </c>
      <c r="S81" s="206" t="n">
        <f aca="false">-S27</f>
        <v>-0</v>
      </c>
      <c r="T81" s="206" t="n">
        <f aca="false">-T27</f>
        <v>-0</v>
      </c>
      <c r="U81" s="206" t="n">
        <f aca="false">-U27</f>
        <v>-0</v>
      </c>
      <c r="V81" s="206" t="n">
        <f aca="false">-V27</f>
        <v>-0</v>
      </c>
      <c r="W81" s="206" t="n">
        <f aca="false">-W27</f>
        <v>-0</v>
      </c>
      <c r="X81" s="206" t="n">
        <f aca="false">-X27</f>
        <v>-0</v>
      </c>
      <c r="Y81" s="206" t="n">
        <f aca="false">-Y27</f>
        <v>-0</v>
      </c>
      <c r="Z81" s="206" t="n">
        <f aca="false">-Z27</f>
        <v>-0</v>
      </c>
      <c r="AA81" s="206" t="n">
        <f aca="false">-AA27</f>
        <v>-0</v>
      </c>
      <c r="AB81" s="206" t="n">
        <f aca="false">-AB27</f>
        <v>-0</v>
      </c>
      <c r="AC81" s="206" t="n">
        <f aca="false">-AC27</f>
        <v>-0</v>
      </c>
      <c r="AD81" s="206" t="n">
        <f aca="false">-AD27</f>
        <v>-0</v>
      </c>
      <c r="AE81" s="206" t="n">
        <f aca="false">-AE27</f>
        <v>-0</v>
      </c>
      <c r="AF81" s="206" t="n">
        <f aca="false">-AF27</f>
        <v>-0</v>
      </c>
      <c r="AG81" s="206"/>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206"/>
      <c r="BF81" s="206"/>
      <c r="BG81" s="206"/>
      <c r="BH81" s="206"/>
      <c r="BI81" s="206"/>
      <c r="BJ81" s="206"/>
      <c r="BK81" s="206"/>
      <c r="BL81" s="206"/>
      <c r="BM81" s="206"/>
      <c r="BN81" s="206"/>
      <c r="BO81" s="206"/>
      <c r="BP81" s="206"/>
      <c r="BQ81" s="206"/>
      <c r="BR81" s="206"/>
      <c r="BS81" s="206"/>
      <c r="BT81" s="206"/>
    </row>
    <row r="82" customFormat="false" ht="14.25" hidden="false" customHeight="true" outlineLevel="0" collapsed="false">
      <c r="B82" s="134" t="s">
        <v>1698</v>
      </c>
      <c r="C82" s="206" t="n">
        <f aca="false">-C30</f>
        <v>-1.07</v>
      </c>
      <c r="D82" s="206" t="n">
        <f aca="false">-D30</f>
        <v>-1.09675</v>
      </c>
      <c r="E82" s="206" t="n">
        <f aca="false">-E30</f>
        <v>-1.12416875</v>
      </c>
      <c r="F82" s="206" t="n">
        <f aca="false">-F30</f>
        <v>-1.15227296875</v>
      </c>
      <c r="G82" s="206" t="n">
        <f aca="false">-G30</f>
        <v>-1.18107979296875</v>
      </c>
      <c r="H82" s="206" t="n">
        <f aca="false">-H30</f>
        <v>-1.21060678779297</v>
      </c>
      <c r="I82" s="206" t="n">
        <f aca="false">-I30</f>
        <v>-1.24087195748779</v>
      </c>
      <c r="J82" s="206" t="n">
        <f aca="false">-J30</f>
        <v>-1.27189375642499</v>
      </c>
      <c r="K82" s="206" t="n">
        <f aca="false">-K30</f>
        <v>-1.30369110033561</v>
      </c>
      <c r="L82" s="206" t="n">
        <f aca="false">-L30</f>
        <v>-1.336283377844</v>
      </c>
      <c r="M82" s="206" t="n">
        <f aca="false">-M30</f>
        <v>-1.3696904622901</v>
      </c>
      <c r="N82" s="206" t="n">
        <f aca="false">-N30</f>
        <v>-1.40393272384735</v>
      </c>
      <c r="O82" s="206" t="n">
        <f aca="false">-O30</f>
        <v>-1.43903104194354</v>
      </c>
      <c r="P82" s="206" t="n">
        <f aca="false">-P30</f>
        <v>-1.47500681799213</v>
      </c>
      <c r="Q82" s="206" t="n">
        <f aca="false">-Q30</f>
        <v>-1.51188198844193</v>
      </c>
      <c r="R82" s="206" t="n">
        <f aca="false">-R30</f>
        <v>-1.54967903815298</v>
      </c>
      <c r="S82" s="206" t="n">
        <f aca="false">-S30</f>
        <v>-1.5884210141068</v>
      </c>
      <c r="T82" s="206" t="n">
        <f aca="false">-T30</f>
        <v>-1.62813153945947</v>
      </c>
      <c r="U82" s="206" t="n">
        <f aca="false">-U30</f>
        <v>-1.66883482794596</v>
      </c>
      <c r="V82" s="206" t="n">
        <f aca="false">-V30</f>
        <v>-1.71055569864461</v>
      </c>
      <c r="W82" s="206" t="n">
        <f aca="false">-W30</f>
        <v>-1.75331959111072</v>
      </c>
      <c r="X82" s="206" t="n">
        <f aca="false">-X30</f>
        <v>-1.79715258088849</v>
      </c>
      <c r="Y82" s="206" t="n">
        <f aca="false">-Y30</f>
        <v>-1.8420813954107</v>
      </c>
      <c r="Z82" s="206" t="n">
        <f aca="false">-Z30</f>
        <v>-1.88813343029597</v>
      </c>
      <c r="AA82" s="206" t="n">
        <f aca="false">-AA30</f>
        <v>-1.93533676605337</v>
      </c>
      <c r="AB82" s="206" t="n">
        <f aca="false">-AB30</f>
        <v>-1.9837201852047</v>
      </c>
      <c r="AC82" s="206" t="n">
        <f aca="false">-AC30</f>
        <v>-2.03331318983482</v>
      </c>
      <c r="AD82" s="206" t="n">
        <f aca="false">-AD30</f>
        <v>-2.08414601958069</v>
      </c>
      <c r="AE82" s="206" t="n">
        <f aca="false">-AE30</f>
        <v>-2.13624967007021</v>
      </c>
      <c r="AF82" s="206" t="n">
        <f aca="false">-AF30</f>
        <v>-2.18965591182196</v>
      </c>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206"/>
      <c r="BG82" s="206"/>
      <c r="BH82" s="206"/>
      <c r="BI82" s="206"/>
      <c r="BJ82" s="206"/>
      <c r="BK82" s="206"/>
      <c r="BL82" s="206"/>
      <c r="BM82" s="206"/>
      <c r="BN82" s="206"/>
      <c r="BO82" s="206"/>
      <c r="BP82" s="206"/>
      <c r="BQ82" s="206"/>
      <c r="BR82" s="206"/>
      <c r="BS82" s="206"/>
      <c r="BT82" s="206"/>
    </row>
    <row r="83" customFormat="false" ht="14.25" hidden="false" customHeight="true" outlineLevel="0" collapsed="false">
      <c r="B83" s="134" t="s">
        <v>1143</v>
      </c>
      <c r="C83" s="206" t="n">
        <f aca="false">01_Supuestos!$I$147</f>
        <v>2.8387</v>
      </c>
      <c r="D83" s="206" t="n">
        <f aca="false">01_Supuestos!$I$147</f>
        <v>2.8387</v>
      </c>
      <c r="E83" s="206" t="n">
        <f aca="false">01_Supuestos!$I$147</f>
        <v>2.8387</v>
      </c>
      <c r="F83" s="206" t="n">
        <f aca="false">01_Supuestos!$I$147</f>
        <v>2.8387</v>
      </c>
      <c r="G83" s="206" t="n">
        <f aca="false">01_Supuestos!$I$147</f>
        <v>2.8387</v>
      </c>
      <c r="H83" s="206" t="n">
        <f aca="false">01_Supuestos!$I$147</f>
        <v>2.8387</v>
      </c>
      <c r="I83" s="206" t="n">
        <f aca="false">01_Supuestos!$I$147</f>
        <v>2.8387</v>
      </c>
      <c r="J83" s="206" t="n">
        <f aca="false">01_Supuestos!$I$147</f>
        <v>2.8387</v>
      </c>
      <c r="K83" s="206" t="n">
        <f aca="false">01_Supuestos!$I$147</f>
        <v>2.8387</v>
      </c>
      <c r="L83" s="206" t="n">
        <f aca="false">01_Supuestos!$I$147</f>
        <v>2.8387</v>
      </c>
      <c r="M83" s="206" t="n">
        <f aca="false">01_Supuestos!$I$147</f>
        <v>2.8387</v>
      </c>
      <c r="N83" s="206" t="n">
        <f aca="false">01_Supuestos!$I$147</f>
        <v>2.8387</v>
      </c>
      <c r="O83" s="206" t="n">
        <f aca="false">01_Supuestos!$I$147</f>
        <v>2.8387</v>
      </c>
      <c r="P83" s="206" t="n">
        <f aca="false">01_Supuestos!$I$147</f>
        <v>2.8387</v>
      </c>
      <c r="Q83" s="206" t="n">
        <f aca="false">01_Supuestos!$I$147</f>
        <v>2.8387</v>
      </c>
      <c r="R83" s="206" t="n">
        <f aca="false">01_Supuestos!$I$147</f>
        <v>2.8387</v>
      </c>
      <c r="S83" s="206" t="n">
        <f aca="false">01_Supuestos!$I$147</f>
        <v>2.8387</v>
      </c>
      <c r="T83" s="206" t="n">
        <f aca="false">01_Supuestos!$I$147</f>
        <v>2.8387</v>
      </c>
      <c r="U83" s="206" t="n">
        <f aca="false">01_Supuestos!$I$147</f>
        <v>2.8387</v>
      </c>
      <c r="V83" s="206" t="n">
        <f aca="false">01_Supuestos!$I$147</f>
        <v>2.8387</v>
      </c>
      <c r="W83" s="206" t="n">
        <f aca="false">01_Supuestos!$I$147</f>
        <v>2.8387</v>
      </c>
      <c r="X83" s="206" t="n">
        <f aca="false">01_Supuestos!$I$147</f>
        <v>2.8387</v>
      </c>
      <c r="Y83" s="206" t="n">
        <f aca="false">01_Supuestos!$I$147</f>
        <v>2.8387</v>
      </c>
      <c r="Z83" s="206" t="n">
        <f aca="false">01_Supuestos!$I$147</f>
        <v>2.8387</v>
      </c>
      <c r="AA83" s="206" t="n">
        <f aca="false">01_Supuestos!$I$147</f>
        <v>2.8387</v>
      </c>
      <c r="AB83" s="206" t="n">
        <f aca="false">01_Supuestos!$I$147</f>
        <v>2.8387</v>
      </c>
      <c r="AC83" s="206" t="n">
        <f aca="false">01_Supuestos!$I$147</f>
        <v>2.8387</v>
      </c>
      <c r="AD83" s="206" t="n">
        <f aca="false">01_Supuestos!$I$147</f>
        <v>2.8387</v>
      </c>
      <c r="AE83" s="206" t="n">
        <f aca="false">01_Supuestos!$I$147</f>
        <v>2.8387</v>
      </c>
      <c r="AF83" s="206" t="n">
        <f aca="false">01_Supuestos!$I$147</f>
        <v>2.8387</v>
      </c>
      <c r="AG83" s="206"/>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206"/>
      <c r="BF83" s="206"/>
      <c r="BG83" s="206"/>
      <c r="BH83" s="206"/>
      <c r="BI83" s="206"/>
      <c r="BJ83" s="206"/>
      <c r="BK83" s="206"/>
      <c r="BL83" s="206"/>
      <c r="BM83" s="206"/>
      <c r="BN83" s="206"/>
      <c r="BO83" s="206"/>
      <c r="BP83" s="206"/>
      <c r="BQ83" s="206"/>
      <c r="BR83" s="206"/>
      <c r="BS83" s="206"/>
      <c r="BT83" s="206"/>
    </row>
    <row r="84" customFormat="false" ht="14.25" hidden="false" customHeight="true" outlineLevel="0" collapsed="false">
      <c r="B84" s="134" t="s">
        <v>1699</v>
      </c>
      <c r="C84" s="206" t="n">
        <f aca="false">01_Supuestos!$I$148</f>
        <v>0.429</v>
      </c>
      <c r="D84" s="206" t="n">
        <f aca="false">01_Supuestos!$I$148</f>
        <v>0.429</v>
      </c>
      <c r="E84" s="206" t="n">
        <f aca="false">01_Supuestos!$I$148</f>
        <v>0.429</v>
      </c>
      <c r="F84" s="206" t="n">
        <f aca="false">01_Supuestos!$I$148</f>
        <v>0.429</v>
      </c>
      <c r="G84" s="206" t="n">
        <f aca="false">01_Supuestos!$I$148</f>
        <v>0.429</v>
      </c>
      <c r="H84" s="206" t="n">
        <f aca="false">01_Supuestos!$I$148</f>
        <v>0.429</v>
      </c>
      <c r="I84" s="206" t="n">
        <f aca="false">01_Supuestos!$I$148</f>
        <v>0.429</v>
      </c>
      <c r="J84" s="206" t="n">
        <f aca="false">01_Supuestos!$I$148</f>
        <v>0.429</v>
      </c>
      <c r="K84" s="206" t="n">
        <f aca="false">01_Supuestos!$I$148</f>
        <v>0.429</v>
      </c>
      <c r="L84" s="206" t="n">
        <f aca="false">01_Supuestos!$I$148</f>
        <v>0.429</v>
      </c>
      <c r="M84" s="206" t="n">
        <f aca="false">01_Supuestos!$I$148</f>
        <v>0.429</v>
      </c>
      <c r="N84" s="206" t="n">
        <f aca="false">01_Supuestos!$I$148</f>
        <v>0.429</v>
      </c>
      <c r="O84" s="206" t="n">
        <f aca="false">01_Supuestos!$I$148</f>
        <v>0.429</v>
      </c>
      <c r="P84" s="206" t="n">
        <f aca="false">01_Supuestos!$I$148</f>
        <v>0.429</v>
      </c>
      <c r="Q84" s="206" t="n">
        <f aca="false">01_Supuestos!$I$148</f>
        <v>0.429</v>
      </c>
      <c r="R84" s="206" t="n">
        <f aca="false">01_Supuestos!$I$148</f>
        <v>0.429</v>
      </c>
      <c r="S84" s="206" t="n">
        <f aca="false">01_Supuestos!$I$148</f>
        <v>0.429</v>
      </c>
      <c r="T84" s="206" t="n">
        <f aca="false">01_Supuestos!$I$148</f>
        <v>0.429</v>
      </c>
      <c r="U84" s="206" t="n">
        <f aca="false">01_Supuestos!$I$148</f>
        <v>0.429</v>
      </c>
      <c r="V84" s="206" t="n">
        <f aca="false">01_Supuestos!$I$148</f>
        <v>0.429</v>
      </c>
      <c r="W84" s="206" t="n">
        <f aca="false">01_Supuestos!$I$148</f>
        <v>0.429</v>
      </c>
      <c r="X84" s="206" t="n">
        <f aca="false">01_Supuestos!$I$148</f>
        <v>0.429</v>
      </c>
      <c r="Y84" s="206" t="n">
        <f aca="false">01_Supuestos!$I$148</f>
        <v>0.429</v>
      </c>
      <c r="Z84" s="206" t="n">
        <f aca="false">01_Supuestos!$I$148</f>
        <v>0.429</v>
      </c>
      <c r="AA84" s="206" t="n">
        <f aca="false">01_Supuestos!$I$148</f>
        <v>0.429</v>
      </c>
      <c r="AB84" s="206" t="n">
        <f aca="false">01_Supuestos!$I$148</f>
        <v>0.429</v>
      </c>
      <c r="AC84" s="206" t="n">
        <f aca="false">01_Supuestos!$I$148</f>
        <v>0.429</v>
      </c>
      <c r="AD84" s="206" t="n">
        <f aca="false">01_Supuestos!$I$148</f>
        <v>0.429</v>
      </c>
      <c r="AE84" s="206" t="n">
        <f aca="false">01_Supuestos!$I$148</f>
        <v>0.429</v>
      </c>
      <c r="AF84" s="206" t="n">
        <f aca="false">01_Supuestos!$I$148</f>
        <v>0.429</v>
      </c>
      <c r="AG84" s="206"/>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206"/>
      <c r="BG84" s="206"/>
      <c r="BH84" s="206"/>
      <c r="BI84" s="206"/>
      <c r="BJ84" s="206"/>
      <c r="BK84" s="206"/>
      <c r="BL84" s="206"/>
      <c r="BM84" s="206"/>
      <c r="BN84" s="206"/>
      <c r="BO84" s="206"/>
      <c r="BP84" s="206"/>
      <c r="BQ84" s="206"/>
      <c r="BR84" s="206"/>
      <c r="BS84" s="206"/>
      <c r="BT84" s="206"/>
    </row>
    <row r="85" customFormat="false" ht="14.25" hidden="false" customHeight="true" outlineLevel="0" collapsed="false">
      <c r="B85" s="134" t="s">
        <v>1145</v>
      </c>
      <c r="C85" s="206" t="n">
        <f aca="false">01_Supuestos!$I$149</f>
        <v>0</v>
      </c>
      <c r="D85" s="206" t="n">
        <f aca="false">01_Supuestos!$I$149</f>
        <v>0</v>
      </c>
      <c r="E85" s="206" t="n">
        <f aca="false">01_Supuestos!$I$149</f>
        <v>0</v>
      </c>
      <c r="F85" s="206" t="n">
        <f aca="false">01_Supuestos!$I$149</f>
        <v>0</v>
      </c>
      <c r="G85" s="206" t="n">
        <f aca="false">01_Supuestos!$I$149</f>
        <v>0</v>
      </c>
      <c r="H85" s="206" t="n">
        <f aca="false">01_Supuestos!$I$149</f>
        <v>0</v>
      </c>
      <c r="I85" s="206" t="n">
        <f aca="false">01_Supuestos!$I$149</f>
        <v>0</v>
      </c>
      <c r="J85" s="206" t="n">
        <f aca="false">01_Supuestos!$I$149</f>
        <v>0</v>
      </c>
      <c r="K85" s="206" t="n">
        <f aca="false">01_Supuestos!$I$149</f>
        <v>0</v>
      </c>
      <c r="L85" s="206" t="n">
        <f aca="false">01_Supuestos!$I$149</f>
        <v>0</v>
      </c>
      <c r="M85" s="206" t="n">
        <f aca="false">01_Supuestos!$I$149</f>
        <v>0</v>
      </c>
      <c r="N85" s="206" t="n">
        <f aca="false">01_Supuestos!$I$149</f>
        <v>0</v>
      </c>
      <c r="O85" s="206" t="n">
        <f aca="false">01_Supuestos!$I$149</f>
        <v>0</v>
      </c>
      <c r="P85" s="206" t="n">
        <f aca="false">01_Supuestos!$I$149</f>
        <v>0</v>
      </c>
      <c r="Q85" s="206" t="n">
        <f aca="false">01_Supuestos!$I$149</f>
        <v>0</v>
      </c>
      <c r="R85" s="206" t="n">
        <f aca="false">01_Supuestos!$I$149</f>
        <v>0</v>
      </c>
      <c r="S85" s="206" t="n">
        <f aca="false">01_Supuestos!$I$149</f>
        <v>0</v>
      </c>
      <c r="T85" s="206" t="n">
        <f aca="false">01_Supuestos!$I$149</f>
        <v>0</v>
      </c>
      <c r="U85" s="206" t="n">
        <f aca="false">01_Supuestos!$I$149</f>
        <v>0</v>
      </c>
      <c r="V85" s="206" t="n">
        <f aca="false">01_Supuestos!$I$149</f>
        <v>0</v>
      </c>
      <c r="W85" s="206" t="n">
        <f aca="false">01_Supuestos!$I$149</f>
        <v>0</v>
      </c>
      <c r="X85" s="206" t="n">
        <f aca="false">01_Supuestos!$I$149</f>
        <v>0</v>
      </c>
      <c r="Y85" s="206" t="n">
        <f aca="false">01_Supuestos!$I$149</f>
        <v>0</v>
      </c>
      <c r="Z85" s="206" t="n">
        <f aca="false">01_Supuestos!$I$149</f>
        <v>0</v>
      </c>
      <c r="AA85" s="206" t="n">
        <f aca="false">01_Supuestos!$I$149</f>
        <v>0</v>
      </c>
      <c r="AB85" s="206" t="n">
        <f aca="false">01_Supuestos!$I$149</f>
        <v>0</v>
      </c>
      <c r="AC85" s="206" t="n">
        <f aca="false">01_Supuestos!$I$149</f>
        <v>0</v>
      </c>
      <c r="AD85" s="206" t="n">
        <f aca="false">01_Supuestos!$I$149</f>
        <v>0</v>
      </c>
      <c r="AE85" s="206" t="n">
        <f aca="false">01_Supuestos!$I$149</f>
        <v>0</v>
      </c>
      <c r="AF85" s="206" t="n">
        <f aca="false">01_Supuestos!$I$149</f>
        <v>0</v>
      </c>
      <c r="AG85" s="206"/>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206"/>
      <c r="BF85" s="206"/>
      <c r="BG85" s="206"/>
      <c r="BH85" s="206"/>
      <c r="BI85" s="206"/>
      <c r="BJ85" s="206"/>
      <c r="BK85" s="206"/>
      <c r="BL85" s="206"/>
      <c r="BM85" s="206"/>
      <c r="BN85" s="206"/>
      <c r="BO85" s="206"/>
      <c r="BP85" s="206"/>
      <c r="BQ85" s="206"/>
      <c r="BR85" s="206"/>
      <c r="BS85" s="206"/>
      <c r="BT85" s="206"/>
    </row>
    <row r="86" customFormat="false" ht="14.25" hidden="false" customHeight="true" outlineLevel="0" collapsed="false">
      <c r="B86" s="134" t="s">
        <v>1146</v>
      </c>
      <c r="C86" s="206" t="n">
        <f aca="false">01_Supuestos!$I$62*01_Supuestos!$I$30*12/1000000000000*IF(C17&lt;5,0,IF(C17&gt;=30,01_Supuestos!$I$150,(C17-5)/25*01_Supuestos!$I$150))</f>
        <v>0</v>
      </c>
      <c r="D86" s="206" t="n">
        <f aca="false">01_Supuestos!$I$62*01_Supuestos!$I$30*12/1000000000000*IF(D17&lt;5,0,IF(D17&gt;=30,01_Supuestos!$I$150,(D17-5)/25*01_Supuestos!$I$150))</f>
        <v>0</v>
      </c>
      <c r="E86" s="206" t="n">
        <f aca="false">01_Supuestos!$I$62*01_Supuestos!$I$30*12/1000000000000*IF(E17&lt;5,0,IF(E17&gt;=30,01_Supuestos!$I$150,(E17-5)/25*01_Supuestos!$I$150))</f>
        <v>0</v>
      </c>
      <c r="F86" s="206" t="n">
        <f aca="false">01_Supuestos!$I$62*01_Supuestos!$I$30*12/1000000000000*IF(F17&lt;5,0,IF(F17&gt;=30,01_Supuestos!$I$150,(F17-5)/25*01_Supuestos!$I$150))</f>
        <v>0</v>
      </c>
      <c r="G86" s="206" t="n">
        <f aca="false">01_Supuestos!$I$62*01_Supuestos!$I$30*12/1000000000000*IF(G17&lt;5,0,IF(G17&gt;=30,01_Supuestos!$I$150,(G17-5)/25*01_Supuestos!$I$150))</f>
        <v>0</v>
      </c>
      <c r="H86" s="206" t="n">
        <f aca="false">01_Supuestos!$I$62*01_Supuestos!$I$30*12/1000000000000*IF(H17&lt;5,0,IF(H17&gt;=30,01_Supuestos!$I$150,(H17-5)/25*01_Supuestos!$I$150))</f>
        <v>0</v>
      </c>
      <c r="I86" s="206" t="n">
        <f aca="false">01_Supuestos!$I$62*01_Supuestos!$I$30*12/1000000000000*IF(I17&lt;5,0,IF(I17&gt;=30,01_Supuestos!$I$150,(I17-5)/25*01_Supuestos!$I$150))</f>
        <v>0</v>
      </c>
      <c r="J86" s="206" t="n">
        <f aca="false">01_Supuestos!$I$62*01_Supuestos!$I$30*12/1000000000000*IF(J17&lt;5,0,IF(J17&gt;=30,01_Supuestos!$I$150,(J17-5)/25*01_Supuestos!$I$150))</f>
        <v>0</v>
      </c>
      <c r="K86" s="206" t="n">
        <f aca="false">01_Supuestos!$I$62*01_Supuestos!$I$30*12/1000000000000*IF(K17&lt;5,0,IF(K17&gt;=30,01_Supuestos!$I$150,(K17-5)/25*01_Supuestos!$I$150))</f>
        <v>0</v>
      </c>
      <c r="L86" s="206" t="n">
        <f aca="false">01_Supuestos!$I$62*01_Supuestos!$I$30*12/1000000000000*IF(L17&lt;5,0,IF(L17&gt;=30,01_Supuestos!$I$150,(L17-5)/25*01_Supuestos!$I$150))</f>
        <v>0</v>
      </c>
      <c r="M86" s="206" t="n">
        <f aca="false">01_Supuestos!$I$62*01_Supuestos!$I$30*12/1000000000000*IF(M17&lt;5,0,IF(M17&gt;=30,01_Supuestos!$I$150,(M17-5)/25*01_Supuestos!$I$150))</f>
        <v>0</v>
      </c>
      <c r="N86" s="206" t="n">
        <f aca="false">01_Supuestos!$I$62*01_Supuestos!$I$30*12/1000000000000*IF(N17&lt;5,0,IF(N17&gt;=30,01_Supuestos!$I$150,(N17-5)/25*01_Supuestos!$I$150))</f>
        <v>0</v>
      </c>
      <c r="O86" s="206" t="n">
        <f aca="false">01_Supuestos!$I$62*01_Supuestos!$I$30*12/1000000000000*IF(O17&lt;5,0,IF(O17&gt;=30,01_Supuestos!$I$150,(O17-5)/25*01_Supuestos!$I$150))</f>
        <v>0</v>
      </c>
      <c r="P86" s="206" t="n">
        <f aca="false">01_Supuestos!$I$62*01_Supuestos!$I$30*12/1000000000000*IF(P17&lt;5,0,IF(P17&gt;=30,01_Supuestos!$I$150,(P17-5)/25*01_Supuestos!$I$150))</f>
        <v>0</v>
      </c>
      <c r="Q86" s="206" t="n">
        <f aca="false">01_Supuestos!$I$62*01_Supuestos!$I$30*12/1000000000000*IF(Q17&lt;5,0,IF(Q17&gt;=30,01_Supuestos!$I$150,(Q17-5)/25*01_Supuestos!$I$150))</f>
        <v>0</v>
      </c>
      <c r="R86" s="206" t="n">
        <f aca="false">01_Supuestos!$I$62*01_Supuestos!$I$30*12/1000000000000*IF(R17&lt;5,0,IF(R17&gt;=30,01_Supuestos!$I$150,(R17-5)/25*01_Supuestos!$I$150))</f>
        <v>0</v>
      </c>
      <c r="S86" s="206" t="n">
        <f aca="false">01_Supuestos!$I$62*01_Supuestos!$I$30*12/1000000000000*IF(S17&lt;5,0,IF(S17&gt;=30,01_Supuestos!$I$150,(S17-5)/25*01_Supuestos!$I$150))</f>
        <v>0</v>
      </c>
      <c r="T86" s="206" t="n">
        <f aca="false">01_Supuestos!$I$62*01_Supuestos!$I$30*12/1000000000000*IF(T17&lt;5,0,IF(T17&gt;=30,01_Supuestos!$I$150,(T17-5)/25*01_Supuestos!$I$150))</f>
        <v>0</v>
      </c>
      <c r="U86" s="206" t="n">
        <f aca="false">01_Supuestos!$I$62*01_Supuestos!$I$30*12/1000000000000*IF(U17&lt;5,0,IF(U17&gt;=30,01_Supuestos!$I$150,(U17-5)/25*01_Supuestos!$I$150))</f>
        <v>0</v>
      </c>
      <c r="V86" s="206" t="n">
        <f aca="false">01_Supuestos!$I$62*01_Supuestos!$I$30*12/1000000000000*IF(V17&lt;5,0,IF(V17&gt;=30,01_Supuestos!$I$150,(V17-5)/25*01_Supuestos!$I$150))</f>
        <v>0</v>
      </c>
      <c r="W86" s="206" t="n">
        <f aca="false">01_Supuestos!$I$62*01_Supuestos!$I$30*12/1000000000000*IF(W17&lt;5,0,IF(W17&gt;=30,01_Supuestos!$I$150,(W17-5)/25*01_Supuestos!$I$150))</f>
        <v>0</v>
      </c>
      <c r="X86" s="206" t="n">
        <f aca="false">01_Supuestos!$I$62*01_Supuestos!$I$30*12/1000000000000*IF(X17&lt;5,0,IF(X17&gt;=30,01_Supuestos!$I$150,(X17-5)/25*01_Supuestos!$I$150))</f>
        <v>0</v>
      </c>
      <c r="Y86" s="206" t="n">
        <f aca="false">01_Supuestos!$I$62*01_Supuestos!$I$30*12/1000000000000*IF(Y17&lt;5,0,IF(Y17&gt;=30,01_Supuestos!$I$150,(Y17-5)/25*01_Supuestos!$I$150))</f>
        <v>0</v>
      </c>
      <c r="Z86" s="206" t="n">
        <f aca="false">01_Supuestos!$I$62*01_Supuestos!$I$30*12/1000000000000*IF(Z17&lt;5,0,IF(Z17&gt;=30,01_Supuestos!$I$150,(Z17-5)/25*01_Supuestos!$I$150))</f>
        <v>0</v>
      </c>
      <c r="AA86" s="206" t="n">
        <f aca="false">01_Supuestos!$I$62*01_Supuestos!$I$30*12/1000000000000*IF(AA17&lt;5,0,IF(AA17&gt;=30,01_Supuestos!$I$150,(AA17-5)/25*01_Supuestos!$I$150))</f>
        <v>0</v>
      </c>
      <c r="AB86" s="206" t="n">
        <f aca="false">01_Supuestos!$I$62*01_Supuestos!$I$30*12/1000000000000*IF(AB17&lt;5,0,IF(AB17&gt;=30,01_Supuestos!$I$150,(AB17-5)/25*01_Supuestos!$I$150))</f>
        <v>0</v>
      </c>
      <c r="AC86" s="206" t="n">
        <f aca="false">01_Supuestos!$I$62*01_Supuestos!$I$30*12/1000000000000*IF(AC17&lt;5,0,IF(AC17&gt;=30,01_Supuestos!$I$150,(AC17-5)/25*01_Supuestos!$I$150))</f>
        <v>0</v>
      </c>
      <c r="AD86" s="206" t="n">
        <f aca="false">01_Supuestos!$I$62*01_Supuestos!$I$30*12/1000000000000*IF(AD17&lt;5,0,IF(AD17&gt;=30,01_Supuestos!$I$150,(AD17-5)/25*01_Supuestos!$I$150))</f>
        <v>0</v>
      </c>
      <c r="AE86" s="206" t="n">
        <f aca="false">01_Supuestos!$I$62*01_Supuestos!$I$30*12/1000000000000*IF(AE17&lt;5,0,IF(AE17&gt;=30,01_Supuestos!$I$150,(AE17-5)/25*01_Supuestos!$I$150))</f>
        <v>0</v>
      </c>
      <c r="AF86" s="206" t="n">
        <f aca="false">01_Supuestos!$I$62*01_Supuestos!$I$30*12/1000000000000*IF(AF17&lt;5,0,IF(AF17&gt;=30,01_Supuestos!$I$150,(AF17-5)/25*01_Supuestos!$I$150))</f>
        <v>0</v>
      </c>
      <c r="AG86" s="206"/>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206"/>
      <c r="BF86" s="206"/>
      <c r="BG86" s="206"/>
      <c r="BH86" s="206"/>
      <c r="BI86" s="206"/>
      <c r="BJ86" s="206"/>
      <c r="BK86" s="206"/>
      <c r="BL86" s="206"/>
      <c r="BM86" s="206"/>
      <c r="BN86" s="206"/>
      <c r="BO86" s="206"/>
      <c r="BP86" s="206"/>
      <c r="BQ86" s="206"/>
      <c r="BR86" s="206"/>
      <c r="BS86" s="206"/>
      <c r="BT86" s="206"/>
    </row>
    <row r="87" customFormat="false" ht="14.25" hidden="false" customHeight="true" outlineLevel="0" collapsed="false">
      <c r="B87" s="134" t="s">
        <v>1700</v>
      </c>
      <c r="C87" s="206" t="n">
        <f aca="false">(1-C29)*C52</f>
        <v>0.0411328125</v>
      </c>
      <c r="D87" s="206" t="n">
        <f aca="false">(1-D29)*D52</f>
        <v>0.0832116796875</v>
      </c>
      <c r="E87" s="206" t="n">
        <f aca="false">(1-E29)*E52</f>
        <v>0.126258360820313</v>
      </c>
      <c r="F87" s="206" t="n">
        <f aca="false">(1-F29)*F52</f>
        <v>0.17029511561918</v>
      </c>
      <c r="G87" s="206" t="n">
        <f aca="false">(1-G29)*G52</f>
        <v>0.215344715778421</v>
      </c>
      <c r="H87" s="206" t="n">
        <f aca="false">(1-H29)*H52</f>
        <v>0.261430456741325</v>
      </c>
      <c r="I87" s="206" t="n">
        <f aca="false">(1-I29)*I52</f>
        <v>0.308576169746375</v>
      </c>
      <c r="J87" s="206" t="n">
        <f aca="false">(1-J29)*J52</f>
        <v>0.356806234150542</v>
      </c>
      <c r="K87" s="206" t="n">
        <f aca="false">(1-K29)*K52</f>
        <v>0.406145590036004</v>
      </c>
      <c r="L87" s="206" t="n">
        <f aca="false">(1-L29)*L52</f>
        <v>0.426024271016284</v>
      </c>
      <c r="M87" s="206" t="n">
        <f aca="false">(1-M29)*M52</f>
        <v>0.434481904380524</v>
      </c>
      <c r="N87" s="206" t="n">
        <f aca="false">(1-N29)*N52</f>
        <v>0.44375818655966</v>
      </c>
      <c r="O87" s="206" t="n">
        <f aca="false">(1-O29)*O52</f>
        <v>0.453039946889563</v>
      </c>
      <c r="P87" s="206" t="n">
        <f aca="false">(1-P29)*P52</f>
        <v>0.462329553390175</v>
      </c>
      <c r="Q87" s="206" t="n">
        <f aca="false">(1-Q29)*Q52</f>
        <v>0.471629526569458</v>
      </c>
      <c r="R87" s="206" t="n">
        <f aca="false">(1-R29)*R52</f>
        <v>0.480776008365496</v>
      </c>
      <c r="S87" s="206" t="n">
        <f aca="false">(1-S29)*S52</f>
        <v>0.48977849295518</v>
      </c>
      <c r="T87" s="206" t="n">
        <f aca="false">(1-T29)*T52</f>
        <v>0.498646810833333</v>
      </c>
      <c r="U87" s="206" t="n">
        <f aca="false">(1-U29)*U52</f>
        <v>0.507391141533452</v>
      </c>
      <c r="V87" s="206" t="n">
        <f aca="false">(1-V29)*V52</f>
        <v>0.516022026861566</v>
      </c>
      <c r="W87" s="206" t="n">
        <f aca="false">(1-W29)*W52</f>
        <v>0.524550384664611</v>
      </c>
      <c r="X87" s="206" t="n">
        <f aca="false">(1-X29)*X52</f>
        <v>0.53298752315568</v>
      </c>
      <c r="Y87" s="206" t="n">
        <f aca="false">(1-Y29)*Y52</f>
        <v>0.541345155819434</v>
      </c>
      <c r="Z87" s="206" t="n">
        <f aca="false">(1-Z29)*Z52</f>
        <v>0.549635416921924</v>
      </c>
      <c r="AA87" s="206" t="n">
        <f aca="false">(1-AA29)*AA52</f>
        <v>0.557870877650142</v>
      </c>
      <c r="AB87" s="206" t="n">
        <f aca="false">(1-AB29)*AB52</f>
        <v>0.566064562907673</v>
      </c>
      <c r="AC87" s="206" t="n">
        <f aca="false">(1-AC29)*AC52</f>
        <v>0.574229968793914</v>
      </c>
      <c r="AD87" s="206" t="n">
        <f aca="false">(1-AD29)*AD52</f>
        <v>0.582381080795544</v>
      </c>
      <c r="AE87" s="206" t="n">
        <f aca="false">(1-AE29)*AE52</f>
        <v>0.590532392720077</v>
      </c>
      <c r="AF87" s="206" t="n">
        <f aca="false">(1-AF29)*AF52</f>
        <v>0.598698926402667</v>
      </c>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row>
    <row r="88" customFormat="false" ht="14.25" hidden="false" customHeight="true" outlineLevel="0" collapsed="false">
      <c r="B88" s="81" t="s">
        <v>1156</v>
      </c>
      <c r="C88" s="138" t="n">
        <f aca="false">SUM(C81:C87)</f>
        <v>-18.3611671875</v>
      </c>
      <c r="D88" s="138" t="n">
        <f aca="false">SUM(D81:D87)</f>
        <v>-18.3458383203125</v>
      </c>
      <c r="E88" s="138" t="n">
        <f aca="false">SUM(E81:E87)</f>
        <v>-18.3302103891797</v>
      </c>
      <c r="F88" s="138" t="n">
        <f aca="false">SUM(F81:F87)</f>
        <v>-18.3142778531308</v>
      </c>
      <c r="G88" s="138" t="n">
        <f aca="false">SUM(G81:G87)</f>
        <v>-18.2980350771903</v>
      </c>
      <c r="H88" s="138" t="n">
        <f aca="false">SUM(H81:H87)</f>
        <v>-18.2814763310516</v>
      </c>
      <c r="I88" s="138" t="n">
        <f aca="false">SUM(I81:I87)</f>
        <v>-18.2645957877414</v>
      </c>
      <c r="J88" s="138" t="n">
        <f aca="false">SUM(J81:J87)</f>
        <v>-18.2473875222744</v>
      </c>
      <c r="K88" s="138" t="n">
        <f aca="false">SUM(K81:K87)</f>
        <v>-18.2298455102996</v>
      </c>
      <c r="L88" s="138" t="n">
        <f aca="false">SUM(L81:L87)</f>
        <v>-18.2425591068277</v>
      </c>
      <c r="M88" s="138" t="n">
        <f aca="false">SUM(M81:M87)</f>
        <v>2.33249144209042</v>
      </c>
      <c r="N88" s="138" t="n">
        <f aca="false">SUM(N81:N87)</f>
        <v>2.30752546271231</v>
      </c>
      <c r="O88" s="138" t="n">
        <f aca="false">SUM(O81:O87)</f>
        <v>2.28170890494602</v>
      </c>
      <c r="P88" s="138" t="n">
        <f aca="false">SUM(P81:P87)</f>
        <v>2.25502273539805</v>
      </c>
      <c r="Q88" s="138" t="n">
        <f aca="false">SUM(Q81:Q87)</f>
        <v>2.22744753812753</v>
      </c>
      <c r="R88" s="138" t="n">
        <f aca="false">SUM(R81:R87)</f>
        <v>2.19879697021252</v>
      </c>
      <c r="S88" s="138" t="n">
        <f aca="false">SUM(S81:S87)</f>
        <v>2.16905747884838</v>
      </c>
      <c r="T88" s="138" t="n">
        <f aca="false">SUM(T81:T87)</f>
        <v>2.13821527137386</v>
      </c>
      <c r="U88" s="138" t="n">
        <f aca="false">SUM(U81:U87)</f>
        <v>2.10625631358749</v>
      </c>
      <c r="V88" s="138" t="n">
        <f aca="false">SUM(V81:V87)</f>
        <v>2.07316632821696</v>
      </c>
      <c r="W88" s="138" t="n">
        <f aca="false">SUM(W81:W87)</f>
        <v>2.03893079355389</v>
      </c>
      <c r="X88" s="138" t="n">
        <f aca="false">SUM(X81:X87)</f>
        <v>2.00353494226719</v>
      </c>
      <c r="Y88" s="138" t="n">
        <f aca="false">SUM(Y81:Y87)</f>
        <v>1.96696376040873</v>
      </c>
      <c r="Z88" s="138" t="n">
        <f aca="false">SUM(Z81:Z87)</f>
        <v>1.92920198662595</v>
      </c>
      <c r="AA88" s="138" t="n">
        <f aca="false">SUM(AA81:AA87)</f>
        <v>1.89023411159677</v>
      </c>
      <c r="AB88" s="138" t="n">
        <f aca="false">SUM(AB81:AB87)</f>
        <v>1.85004437770297</v>
      </c>
      <c r="AC88" s="138" t="n">
        <f aca="false">SUM(AC81:AC87)</f>
        <v>1.80861677895909</v>
      </c>
      <c r="AD88" s="138" t="n">
        <f aca="false">SUM(AD81:AD87)</f>
        <v>1.76593506121485</v>
      </c>
      <c r="AE88" s="138" t="n">
        <f aca="false">SUM(AE81:AE87)</f>
        <v>1.72198272264987</v>
      </c>
      <c r="AF88" s="138" t="n">
        <f aca="false">SUM(AF81:AF87)</f>
        <v>1.67674301458071</v>
      </c>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c r="BN88" s="138"/>
      <c r="BO88" s="138"/>
      <c r="BP88" s="138"/>
      <c r="BQ88" s="138"/>
      <c r="BR88" s="138"/>
      <c r="BS88" s="138"/>
      <c r="BT88" s="138"/>
    </row>
    <row r="89" customFormat="false" ht="14.25" hidden="false" customHeight="true" outlineLevel="0" collapsed="false">
      <c r="B89" s="81" t="s">
        <v>1157</v>
      </c>
      <c r="C89" s="138" t="n">
        <f aca="false">C88</f>
        <v>-18.3611671875</v>
      </c>
      <c r="D89" s="138" t="n">
        <f aca="false">C89+D88</f>
        <v>-36.7070055078125</v>
      </c>
      <c r="E89" s="138" t="n">
        <f aca="false">D89+E88</f>
        <v>-55.0372158969922</v>
      </c>
      <c r="F89" s="138" t="n">
        <f aca="false">E89+F88</f>
        <v>-73.351493750123</v>
      </c>
      <c r="G89" s="138" t="n">
        <f aca="false">F89+G88</f>
        <v>-91.6495288273134</v>
      </c>
      <c r="H89" s="138" t="n">
        <f aca="false">G89+H88</f>
        <v>-109.931005158365</v>
      </c>
      <c r="I89" s="138" t="n">
        <f aca="false">H89+I88</f>
        <v>-128.195600946106</v>
      </c>
      <c r="J89" s="138" t="n">
        <f aca="false">I89+J88</f>
        <v>-146.442988468381</v>
      </c>
      <c r="K89" s="138" t="n">
        <f aca="false">J89+K88</f>
        <v>-164.67283397868</v>
      </c>
      <c r="L89" s="138" t="n">
        <f aca="false">K89+L88</f>
        <v>-182.915393085508</v>
      </c>
      <c r="M89" s="138" t="n">
        <f aca="false">L89+M88</f>
        <v>-180.582901643418</v>
      </c>
      <c r="N89" s="138" t="n">
        <f aca="false">M89+N88</f>
        <v>-178.275376180705</v>
      </c>
      <c r="O89" s="138" t="n">
        <f aca="false">N89+O88</f>
        <v>-175.993667275759</v>
      </c>
      <c r="P89" s="138" t="n">
        <f aca="false">O89+P88</f>
        <v>-173.738644540361</v>
      </c>
      <c r="Q89" s="138" t="n">
        <f aca="false">P89+Q88</f>
        <v>-171.511197002234</v>
      </c>
      <c r="R89" s="138" t="n">
        <f aca="false">Q89+R88</f>
        <v>-169.312400032021</v>
      </c>
      <c r="S89" s="138" t="n">
        <f aca="false">R89+S88</f>
        <v>-167.143342553173</v>
      </c>
      <c r="T89" s="138" t="n">
        <f aca="false">S89+T88</f>
        <v>-165.005127281799</v>
      </c>
      <c r="U89" s="138" t="n">
        <f aca="false">T89+U88</f>
        <v>-162.898870968212</v>
      </c>
      <c r="V89" s="138" t="n">
        <f aca="false">U89+V88</f>
        <v>-160.825704639995</v>
      </c>
      <c r="W89" s="138" t="n">
        <f aca="false">V89+W88</f>
        <v>-158.786773846441</v>
      </c>
      <c r="X89" s="138" t="n">
        <f aca="false">W89+X88</f>
        <v>-156.783238904174</v>
      </c>
      <c r="Y89" s="138" t="n">
        <f aca="false">X89+Y88</f>
        <v>-154.816275143765</v>
      </c>
      <c r="Z89" s="138" t="n">
        <f aca="false">Y89+Z88</f>
        <v>-152.887073157139</v>
      </c>
      <c r="AA89" s="138" t="n">
        <f aca="false">Z89+AA88</f>
        <v>-150.996839045542</v>
      </c>
      <c r="AB89" s="138" t="n">
        <f aca="false">AA89+AB88</f>
        <v>-149.146794667839</v>
      </c>
      <c r="AC89" s="138" t="n">
        <f aca="false">AB89+AC88</f>
        <v>-147.33817788888</v>
      </c>
      <c r="AD89" s="138" t="n">
        <f aca="false">AC89+AD88</f>
        <v>-145.572242827665</v>
      </c>
      <c r="AE89" s="138" t="n">
        <f aca="false">AD89+AE88</f>
        <v>-143.850260105015</v>
      </c>
      <c r="AF89" s="138" t="n">
        <f aca="false">AE89+AF88</f>
        <v>-142.173517090435</v>
      </c>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c r="BN89" s="138"/>
      <c r="BO89" s="138"/>
      <c r="BP89" s="138"/>
      <c r="BQ89" s="138"/>
      <c r="BR89" s="138"/>
      <c r="BS89" s="138"/>
      <c r="BT89" s="138"/>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W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sheetData>
    <row r="1" customFormat="false" ht="13.5" hidden="false" customHeight="true" outlineLevel="0" collapsed="false">
      <c r="B1" s="1" t="s">
        <v>1702</v>
      </c>
    </row>
    <row r="2" customFormat="false" ht="13.5" hidden="false" customHeight="true" outlineLevel="0" collapsed="false">
      <c r="B2" s="1" t="s">
        <v>1703</v>
      </c>
    </row>
    <row r="3" customFormat="false" ht="13.5" hidden="false" customHeight="true" outlineLevel="0" collapsed="false"/>
    <row r="4" customFormat="false" ht="13.5" hidden="false" customHeight="true" outlineLevel="0" collapsed="false">
      <c r="B4" s="1" t="s">
        <v>929</v>
      </c>
      <c r="C4" s="1" t="s">
        <v>947</v>
      </c>
      <c r="D4" s="1" t="s">
        <v>870</v>
      </c>
      <c r="E4" s="1" t="s">
        <v>871</v>
      </c>
      <c r="F4" s="1" t="s">
        <v>949</v>
      </c>
      <c r="G4" s="1" t="s">
        <v>950</v>
      </c>
      <c r="H4" s="1" t="s">
        <v>1704</v>
      </c>
      <c r="I4" s="1" t="s">
        <v>872</v>
      </c>
      <c r="J4" s="1" t="s">
        <v>873</v>
      </c>
      <c r="K4" s="1" t="s">
        <v>952</v>
      </c>
      <c r="L4" s="1" t="s">
        <v>953</v>
      </c>
      <c r="M4" s="1" t="s">
        <v>1705</v>
      </c>
      <c r="N4" s="1" t="s">
        <v>1706</v>
      </c>
      <c r="O4" s="1" t="s">
        <v>1707</v>
      </c>
      <c r="P4" s="1" t="s">
        <v>1708</v>
      </c>
      <c r="Q4" s="1" t="s">
        <v>1709</v>
      </c>
      <c r="R4" s="1" t="s">
        <v>1710</v>
      </c>
      <c r="S4" s="1" t="s">
        <v>1711</v>
      </c>
      <c r="T4" s="1" t="s">
        <v>1712</v>
      </c>
      <c r="U4" s="1" t="s">
        <v>1713</v>
      </c>
      <c r="V4" s="1" t="s">
        <v>1714</v>
      </c>
      <c r="W4" s="1" t="s">
        <v>1715</v>
      </c>
    </row>
    <row r="5" customFormat="false" ht="13.5" hidden="false" customHeight="true" outlineLevel="0" collapsed="false">
      <c r="B5" s="1" t="s">
        <v>1716</v>
      </c>
      <c r="C5" s="1" t="s">
        <v>955</v>
      </c>
      <c r="D5" s="1" t="n">
        <v>85.35</v>
      </c>
      <c r="E5" s="1" t="n">
        <v>0</v>
      </c>
      <c r="F5" s="1" t="n">
        <v>0</v>
      </c>
      <c r="G5" s="1" t="n">
        <v>-158.46</v>
      </c>
      <c r="H5" s="1" t="n">
        <v>0</v>
      </c>
      <c r="I5" s="1" t="n">
        <v>49.98</v>
      </c>
      <c r="J5" s="1" t="n">
        <v>0</v>
      </c>
      <c r="K5" s="1" t="n">
        <v>3</v>
      </c>
      <c r="L5" s="1" t="n">
        <v>-182.08</v>
      </c>
      <c r="M5" s="1" t="n">
        <v>0</v>
      </c>
      <c r="N5" s="1" t="n">
        <v>24.4</v>
      </c>
      <c r="O5" s="1" t="n">
        <v>0</v>
      </c>
      <c r="P5" s="1" t="n">
        <v>6</v>
      </c>
      <c r="Q5" s="1" t="n">
        <v>-158.97</v>
      </c>
      <c r="R5" s="1" t="n">
        <v>0</v>
      </c>
      <c r="S5" s="1" t="n">
        <v>58.42</v>
      </c>
      <c r="T5" s="1" t="n">
        <v>0</v>
      </c>
      <c r="U5" s="1" t="n">
        <v>0</v>
      </c>
      <c r="V5" s="1" t="n">
        <v>-197.37</v>
      </c>
      <c r="W5" s="1" t="n">
        <v>17.98</v>
      </c>
    </row>
    <row r="6" customFormat="false" ht="13.5" hidden="false" customHeight="true" outlineLevel="0" collapsed="false">
      <c r="B6" s="1" t="s">
        <v>1717</v>
      </c>
      <c r="C6" s="1" t="s">
        <v>1718</v>
      </c>
      <c r="D6" s="1" t="n">
        <v>92.99</v>
      </c>
      <c r="E6" s="1" t="n">
        <v>0</v>
      </c>
      <c r="F6" s="1" t="n">
        <v>0</v>
      </c>
      <c r="G6" s="1" t="n">
        <v>-158.46</v>
      </c>
      <c r="H6" s="1" t="n">
        <v>0</v>
      </c>
      <c r="I6" s="1" t="n">
        <v>52.34</v>
      </c>
      <c r="J6" s="1" t="n">
        <v>0</v>
      </c>
      <c r="K6" s="1" t="n">
        <v>0</v>
      </c>
      <c r="L6" s="1" t="n">
        <v>-178.02</v>
      </c>
      <c r="M6" s="1" t="n">
        <v>0</v>
      </c>
      <c r="N6" s="1" t="n">
        <v>31.48</v>
      </c>
      <c r="O6" s="1" t="n">
        <v>0</v>
      </c>
      <c r="P6" s="1" t="n">
        <v>5</v>
      </c>
      <c r="Q6" s="1" t="n">
        <v>-158.97</v>
      </c>
      <c r="R6" s="1" t="n">
        <v>0</v>
      </c>
      <c r="S6" s="1" t="n">
        <v>55.45</v>
      </c>
      <c r="T6" s="1" t="n">
        <v>0</v>
      </c>
      <c r="U6" s="1" t="n">
        <v>0</v>
      </c>
      <c r="V6" s="1" t="n">
        <v>-193.69</v>
      </c>
      <c r="W6" s="1" t="n">
        <v>13.94</v>
      </c>
    </row>
    <row r="7" customFormat="false" ht="13.5" hidden="false" customHeight="true" outlineLevel="0" collapsed="false">
      <c r="B7" s="1" t="s">
        <v>1719</v>
      </c>
      <c r="C7" s="1" t="s">
        <v>1720</v>
      </c>
      <c r="D7" s="1" t="n">
        <v>97.39</v>
      </c>
      <c r="E7" s="1" t="n">
        <v>0</v>
      </c>
      <c r="F7" s="1" t="n">
        <v>0</v>
      </c>
      <c r="G7" s="1" t="n">
        <v>-157.95</v>
      </c>
      <c r="H7" s="1" t="n">
        <v>0</v>
      </c>
      <c r="I7" s="1" t="n">
        <v>62.27</v>
      </c>
      <c r="J7" s="1" t="n">
        <v>0</v>
      </c>
      <c r="K7" s="1" t="n">
        <v>0</v>
      </c>
      <c r="L7" s="1" t="n">
        <v>-161.91</v>
      </c>
      <c r="M7" s="1" t="n">
        <v>0</v>
      </c>
      <c r="N7" s="1" t="n">
        <v>57.71</v>
      </c>
      <c r="O7" s="1" t="n">
        <v>0</v>
      </c>
      <c r="P7" s="1" t="n">
        <v>0</v>
      </c>
      <c r="Q7" s="1" t="n">
        <v>-157.51</v>
      </c>
      <c r="R7" s="1" t="n">
        <v>0</v>
      </c>
      <c r="S7" s="1" t="n">
        <v>58.4</v>
      </c>
      <c r="T7" s="1" t="n">
        <v>0</v>
      </c>
      <c r="U7" s="1" t="n">
        <v>0</v>
      </c>
      <c r="V7" s="1" t="n">
        <v>-193.32</v>
      </c>
      <c r="W7" s="1" t="n">
        <v>16.15</v>
      </c>
    </row>
    <row r="8" customFormat="false" ht="13.5" hidden="false" customHeight="true" outlineLevel="0" collapsed="false">
      <c r="B8" s="1" t="s">
        <v>1721</v>
      </c>
      <c r="C8" s="1" t="s">
        <v>1722</v>
      </c>
      <c r="D8" s="1" t="n">
        <v>67.18</v>
      </c>
      <c r="E8" s="1" t="n">
        <v>0</v>
      </c>
      <c r="F8" s="1" t="n">
        <v>0</v>
      </c>
      <c r="G8" s="1" t="n">
        <v>-167.57</v>
      </c>
      <c r="H8" s="1" t="n">
        <v>0</v>
      </c>
      <c r="I8" s="1" t="n">
        <v>42.37</v>
      </c>
      <c r="J8" s="1" t="n">
        <v>0</v>
      </c>
      <c r="K8" s="1" t="n">
        <v>9</v>
      </c>
      <c r="L8" s="1" t="n">
        <v>-197.34</v>
      </c>
      <c r="M8" s="1" t="n">
        <v>0</v>
      </c>
      <c r="N8" s="1" t="n">
        <v>0</v>
      </c>
      <c r="O8" s="1" t="n">
        <v>1.39</v>
      </c>
      <c r="P8" s="1" t="n">
        <v>10</v>
      </c>
      <c r="Q8" s="1" t="n">
        <v>-160.41</v>
      </c>
      <c r="R8" s="1" t="n">
        <v>0</v>
      </c>
      <c r="S8" s="1" t="n">
        <v>58.42</v>
      </c>
      <c r="T8" s="1" t="n">
        <v>0</v>
      </c>
      <c r="U8" s="1" t="n">
        <v>0</v>
      </c>
      <c r="V8" s="1" t="n">
        <v>-197.37</v>
      </c>
      <c r="W8" s="1" t="n">
        <v>17.98</v>
      </c>
    </row>
    <row r="9" customFormat="false" ht="13.5" hidden="false" customHeight="true" outlineLevel="0" collapsed="false">
      <c r="B9" s="1" t="s">
        <v>1723</v>
      </c>
      <c r="C9" s="1" t="s">
        <v>961</v>
      </c>
      <c r="D9" s="1" t="n">
        <v>64.09</v>
      </c>
      <c r="E9" s="1" t="n">
        <v>0</v>
      </c>
      <c r="F9" s="1" t="n">
        <v>0</v>
      </c>
      <c r="G9" s="1" t="n">
        <v>-181.57</v>
      </c>
      <c r="H9" s="1" t="n">
        <v>0</v>
      </c>
      <c r="I9" s="1" t="n">
        <v>29.35</v>
      </c>
      <c r="J9" s="1" t="n">
        <v>0</v>
      </c>
      <c r="K9" s="1" t="n">
        <v>12</v>
      </c>
      <c r="L9" s="1" t="n">
        <v>-200.94</v>
      </c>
      <c r="M9" s="1" t="n">
        <v>0</v>
      </c>
      <c r="N9" s="1" t="n">
        <v>0</v>
      </c>
      <c r="O9" s="1" t="n">
        <v>17.62</v>
      </c>
      <c r="P9" s="1" t="n">
        <v>13</v>
      </c>
      <c r="Q9" s="1" t="n">
        <v>-176.73</v>
      </c>
      <c r="R9" s="1" t="n">
        <v>0</v>
      </c>
      <c r="S9" s="1" t="n">
        <v>58.42</v>
      </c>
      <c r="T9" s="1" t="n">
        <v>0</v>
      </c>
      <c r="U9" s="1" t="n">
        <v>0</v>
      </c>
      <c r="V9" s="1" t="n">
        <v>-197.37</v>
      </c>
      <c r="W9" s="1" t="n">
        <v>17.98</v>
      </c>
    </row>
    <row r="10" customFormat="false" ht="13.5" hidden="false" customHeight="true" outlineLevel="0" collapsed="false">
      <c r="B10" s="1" t="s">
        <v>1724</v>
      </c>
      <c r="C10" s="1" t="s">
        <v>1725</v>
      </c>
      <c r="D10" s="1" t="n">
        <v>68.97</v>
      </c>
      <c r="E10" s="1" t="n">
        <v>0</v>
      </c>
      <c r="F10" s="1" t="n">
        <v>0</v>
      </c>
      <c r="G10" s="1" t="n">
        <v>-217.65</v>
      </c>
      <c r="H10" s="1" t="n">
        <v>0</v>
      </c>
      <c r="I10" s="1" t="n">
        <v>0</v>
      </c>
      <c r="J10" s="1" t="n">
        <v>0.24</v>
      </c>
      <c r="K10" s="1" t="n">
        <v>16</v>
      </c>
      <c r="L10" s="1" t="n">
        <v>-208.5</v>
      </c>
      <c r="M10" s="1" t="n">
        <v>0</v>
      </c>
      <c r="N10" s="1" t="n">
        <v>0</v>
      </c>
      <c r="O10" s="1" t="n">
        <v>51.88</v>
      </c>
      <c r="P10" s="1" t="n">
        <v>16</v>
      </c>
      <c r="Q10" s="1" t="n">
        <v>-211.49</v>
      </c>
      <c r="R10" s="1" t="n">
        <v>0</v>
      </c>
      <c r="S10" s="1" t="n">
        <v>58.42</v>
      </c>
      <c r="T10" s="1" t="n">
        <v>0</v>
      </c>
      <c r="U10" s="1" t="n">
        <v>0</v>
      </c>
      <c r="V10" s="1" t="n">
        <v>-197.37</v>
      </c>
      <c r="W10" s="1" t="n">
        <v>17.98</v>
      </c>
    </row>
    <row r="11" customFormat="false" ht="13.5" hidden="false" customHeight="true" outlineLevel="0" collapsed="false">
      <c r="B11" s="1" t="s">
        <v>1726</v>
      </c>
      <c r="C11" s="1" t="s">
        <v>1727</v>
      </c>
      <c r="D11" s="1" t="n">
        <v>63.81</v>
      </c>
      <c r="E11" s="1" t="n">
        <v>0</v>
      </c>
      <c r="F11" s="1" t="n">
        <v>0</v>
      </c>
      <c r="G11" s="1" t="n">
        <v>-162.87</v>
      </c>
      <c r="H11" s="1" t="n">
        <v>0</v>
      </c>
      <c r="I11" s="1" t="n">
        <v>37.51</v>
      </c>
      <c r="J11" s="1" t="n">
        <v>0</v>
      </c>
      <c r="K11" s="1" t="n">
        <v>8</v>
      </c>
      <c r="L11" s="1" t="n">
        <v>-193.67</v>
      </c>
      <c r="M11" s="1" t="n">
        <v>0</v>
      </c>
      <c r="N11" s="1" t="n">
        <v>0</v>
      </c>
      <c r="O11" s="1" t="n">
        <v>1.85</v>
      </c>
      <c r="P11" s="1" t="n">
        <v>9</v>
      </c>
      <c r="Q11" s="1" t="n">
        <v>-160.86</v>
      </c>
      <c r="R11" s="1" t="n">
        <v>0</v>
      </c>
      <c r="S11" s="1" t="n">
        <v>46.44</v>
      </c>
      <c r="T11" s="1" t="n">
        <v>0</v>
      </c>
      <c r="U11" s="1" t="n">
        <v>6</v>
      </c>
      <c r="V11" s="1" t="n">
        <v>-204.46</v>
      </c>
      <c r="W11" s="1" t="n">
        <v>19.63</v>
      </c>
    </row>
    <row r="12" customFormat="false" ht="13.5" hidden="false" customHeight="true" outlineLevel="0" collapsed="false">
      <c r="B12" s="1" t="s">
        <v>1728</v>
      </c>
      <c r="C12" s="1" t="s">
        <v>1729</v>
      </c>
      <c r="D12" s="1" t="n">
        <v>44.55</v>
      </c>
      <c r="E12" s="1" t="n">
        <v>0</v>
      </c>
      <c r="F12" s="1" t="n">
        <v>5</v>
      </c>
      <c r="G12" s="1" t="n">
        <v>-181.57</v>
      </c>
      <c r="H12" s="1" t="n">
        <v>0</v>
      </c>
      <c r="I12" s="1" t="n">
        <v>7.76</v>
      </c>
      <c r="J12" s="1" t="n">
        <v>0</v>
      </c>
      <c r="K12" s="1" t="n">
        <v>13</v>
      </c>
      <c r="L12" s="1" t="n">
        <v>-201.01</v>
      </c>
      <c r="M12" s="1" t="n">
        <v>0</v>
      </c>
      <c r="N12" s="1" t="n">
        <v>0</v>
      </c>
      <c r="O12" s="1" t="n">
        <v>38.97</v>
      </c>
      <c r="P12" s="1" t="n">
        <v>13</v>
      </c>
      <c r="Q12" s="1" t="n">
        <v>-198.14</v>
      </c>
      <c r="R12" s="1" t="n">
        <v>0</v>
      </c>
      <c r="S12" s="1" t="n">
        <v>18.59</v>
      </c>
      <c r="T12" s="1" t="n">
        <v>0</v>
      </c>
      <c r="U12" s="1" t="n">
        <v>13</v>
      </c>
      <c r="V12" s="1" t="n">
        <v>-207.87</v>
      </c>
      <c r="W12" s="1" t="n">
        <v>22.24</v>
      </c>
    </row>
    <row r="13" customFormat="false" ht="13.5" hidden="false" customHeight="true" outlineLevel="0" collapsed="false">
      <c r="B13" s="1" t="s">
        <v>1730</v>
      </c>
      <c r="C13" s="1" t="s">
        <v>1731</v>
      </c>
      <c r="D13" s="1" t="n">
        <v>70.81</v>
      </c>
      <c r="E13" s="1" t="n">
        <v>0</v>
      </c>
      <c r="F13" s="1" t="n">
        <v>0</v>
      </c>
      <c r="G13" s="1" t="n">
        <v>-159.8</v>
      </c>
      <c r="H13" s="1" t="n">
        <v>0</v>
      </c>
      <c r="I13" s="1" t="n">
        <v>42.74</v>
      </c>
      <c r="J13" s="1" t="n">
        <v>0</v>
      </c>
      <c r="K13" s="1" t="n">
        <v>7</v>
      </c>
      <c r="L13" s="1" t="n">
        <v>-189.9</v>
      </c>
      <c r="M13" s="1" t="n">
        <v>0</v>
      </c>
      <c r="N13" s="1" t="n">
        <v>8.11</v>
      </c>
      <c r="O13" s="1" t="n">
        <v>0</v>
      </c>
      <c r="P13" s="1" t="n">
        <v>8</v>
      </c>
      <c r="Q13" s="1" t="n">
        <v>-158.99</v>
      </c>
      <c r="R13" s="1" t="n">
        <v>0</v>
      </c>
      <c r="S13" s="1" t="n">
        <v>51.36</v>
      </c>
      <c r="T13" s="1" t="n">
        <v>0</v>
      </c>
      <c r="U13" s="1" t="n">
        <v>0</v>
      </c>
      <c r="V13" s="1" t="n">
        <v>-197.37</v>
      </c>
      <c r="W13" s="1" t="n">
        <v>15.01</v>
      </c>
    </row>
    <row r="14" customFormat="false" ht="13.5" hidden="false" customHeight="true" outlineLevel="0" collapsed="false">
      <c r="B14" s="1" t="s">
        <v>1732</v>
      </c>
      <c r="C14" s="1" t="s">
        <v>1733</v>
      </c>
      <c r="D14" s="1" t="n">
        <v>80.58</v>
      </c>
      <c r="E14" s="1" t="n">
        <v>0</v>
      </c>
      <c r="F14" s="1" t="n">
        <v>0</v>
      </c>
      <c r="G14" s="1" t="n">
        <v>-158.22</v>
      </c>
      <c r="H14" s="1" t="n">
        <v>0</v>
      </c>
      <c r="I14" s="1" t="n">
        <v>53.78</v>
      </c>
      <c r="J14" s="1" t="n">
        <v>0</v>
      </c>
      <c r="K14" s="1" t="n">
        <v>0</v>
      </c>
      <c r="L14" s="1" t="n">
        <v>-189.68</v>
      </c>
      <c r="M14" s="1" t="n">
        <v>0</v>
      </c>
      <c r="N14" s="1" t="n">
        <v>18.79</v>
      </c>
      <c r="O14" s="1" t="n">
        <v>0</v>
      </c>
      <c r="P14" s="1" t="n">
        <v>7</v>
      </c>
      <c r="Q14" s="1" t="n">
        <v>-158.75</v>
      </c>
      <c r="R14" s="1" t="n">
        <v>0</v>
      </c>
      <c r="S14" s="1" t="n">
        <v>59.34</v>
      </c>
      <c r="T14" s="1" t="n">
        <v>0</v>
      </c>
      <c r="U14" s="1" t="n">
        <v>0</v>
      </c>
      <c r="V14" s="1" t="n">
        <v>-200.76</v>
      </c>
      <c r="W14" s="1" t="n">
        <v>18.2</v>
      </c>
    </row>
    <row r="15" customFormat="false" ht="13.5" hidden="false" customHeight="true" outlineLevel="0" collapsed="false">
      <c r="B15" s="1" t="s">
        <v>1734</v>
      </c>
      <c r="C15" s="1" t="s">
        <v>1735</v>
      </c>
      <c r="D15" s="1" t="n">
        <v>67.88</v>
      </c>
      <c r="E15" s="1" t="n">
        <v>0</v>
      </c>
      <c r="F15" s="1" t="n">
        <v>0</v>
      </c>
      <c r="G15" s="1" t="n">
        <v>-161.13</v>
      </c>
      <c r="H15" s="1" t="n">
        <v>0</v>
      </c>
      <c r="I15" s="1" t="n">
        <v>44.54</v>
      </c>
      <c r="J15" s="1" t="n">
        <v>0</v>
      </c>
      <c r="K15" s="1" t="n">
        <v>7</v>
      </c>
      <c r="L15" s="1" t="n">
        <v>-193.67</v>
      </c>
      <c r="M15" s="1" t="n">
        <v>0</v>
      </c>
      <c r="N15" s="1" t="n">
        <v>5.11</v>
      </c>
      <c r="O15" s="1" t="n">
        <v>0</v>
      </c>
      <c r="P15" s="1" t="n">
        <v>9</v>
      </c>
      <c r="Q15" s="1" t="n">
        <v>-158.99</v>
      </c>
      <c r="R15" s="1" t="n">
        <v>0</v>
      </c>
      <c r="S15" s="1" t="n">
        <v>55.45</v>
      </c>
      <c r="T15" s="1" t="n">
        <v>0</v>
      </c>
      <c r="U15" s="1" t="n">
        <v>0</v>
      </c>
      <c r="V15" s="1" t="n">
        <v>-193.69</v>
      </c>
      <c r="W15" s="1" t="n">
        <v>13.94</v>
      </c>
    </row>
    <row r="16" customFormat="false" ht="13.5" hidden="false" customHeight="true" outlineLevel="0" collapsed="false"/>
    <row r="17" customFormat="false" ht="13.5" hidden="false" customHeight="true" outlineLevel="0" collapsed="false">
      <c r="B17" s="1" t="s">
        <v>1736</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L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sheetData>
    <row r="1" customFormat="false" ht="13.5" hidden="false" customHeight="true" outlineLevel="0" collapsed="false">
      <c r="B1" s="1" t="s">
        <v>1737</v>
      </c>
    </row>
    <row r="2" customFormat="false" ht="13.5" hidden="false" customHeight="true" outlineLevel="0" collapsed="false">
      <c r="B2" s="1" t="s">
        <v>1738</v>
      </c>
    </row>
    <row r="3" customFormat="false" ht="13.5" hidden="false" customHeight="true" outlineLevel="0" collapsed="false"/>
    <row r="4" customFormat="false" ht="13.5" hidden="false" customHeight="true" outlineLevel="0" collapsed="false">
      <c r="B4" s="1" t="s">
        <v>1739</v>
      </c>
      <c r="C4" s="1" t="s">
        <v>1740</v>
      </c>
      <c r="D4" s="1" t="s">
        <v>1741</v>
      </c>
      <c r="E4" s="1" t="s">
        <v>1742</v>
      </c>
      <c r="F4" s="1" t="s">
        <v>1743</v>
      </c>
      <c r="G4" s="1" t="s">
        <v>1744</v>
      </c>
      <c r="H4" s="1" t="s">
        <v>1745</v>
      </c>
      <c r="I4" s="1" t="s">
        <v>1746</v>
      </c>
      <c r="J4" s="1" t="s">
        <v>1747</v>
      </c>
      <c r="K4" s="1" t="s">
        <v>1748</v>
      </c>
      <c r="L4" s="1" t="s">
        <v>1749</v>
      </c>
    </row>
    <row r="5" customFormat="false" ht="13.5" hidden="false" customHeight="true" outlineLevel="0" collapsed="false">
      <c r="B5" s="1" t="s">
        <v>1750</v>
      </c>
      <c r="C5" s="1" t="n">
        <f aca="false">SUM(38_v69_E1!C111:AF111)</f>
        <v>415.930667010688</v>
      </c>
      <c r="D5" s="1" t="n">
        <f aca="false">IF(C$5&gt;0,C5/C$5,0)</f>
        <v>1</v>
      </c>
      <c r="E5" s="1" t="n">
        <f aca="false">SUM(40_v69_E3!C111:AF111)</f>
        <v>407.599551809514</v>
      </c>
      <c r="F5" s="1" t="n">
        <f aca="false">IF(E$5&gt;0,E5/E$5,0)</f>
        <v>1</v>
      </c>
      <c r="G5" s="1" t="n">
        <f aca="false">SUM(46_v69_E3_10!C111:AF111)</f>
        <v>407.599551809514</v>
      </c>
      <c r="H5" s="1" t="n">
        <f aca="false">IF(G$5&gt;0,G5/G$5,0)</f>
        <v>1</v>
      </c>
      <c r="I5" s="1" t="n">
        <f aca="false">SUM(42_v69_Diablo!C111:AF111)</f>
        <v>383.798826755583</v>
      </c>
      <c r="J5" s="1" t="n">
        <f aca="false">IF(I$5&gt;0,I5/I$5,0)</f>
        <v>1</v>
      </c>
      <c r="K5" s="1" t="n">
        <f aca="false">SUM(43_Diablo_Defensas!C111:AF111)</f>
        <v>384.265909177385</v>
      </c>
      <c r="L5" s="1" t="n">
        <f aca="false">IF(K$5&gt;0,K5/K$5,0)</f>
        <v>1</v>
      </c>
    </row>
    <row r="6" customFormat="false" ht="13.5" hidden="false" customHeight="true" outlineLevel="0" collapsed="false">
      <c r="B6" s="1" t="s">
        <v>1751</v>
      </c>
      <c r="C6" s="1" t="n">
        <f aca="false">SUM(38_v69_E1!C107:AF107)-SUM(38_v69_E1!C108:AF108)</f>
        <v>191.575653859534</v>
      </c>
      <c r="D6" s="1" t="n">
        <f aca="false">IF(C$5&gt;0,C6/C$5,0)</f>
        <v>0.460595164180598</v>
      </c>
      <c r="E6" s="1" t="n">
        <f aca="false">SUM(40_v69_E3!C107:AF107)-SUM(40_v69_E3!C108:AF108)</f>
        <v>154.417170257555</v>
      </c>
      <c r="F6" s="1" t="n">
        <f aca="false">IF(E$5&gt;0,E6/E$5,0)</f>
        <v>0.37884528962809</v>
      </c>
      <c r="G6" s="1" t="n">
        <f aca="false">SUM(46_v69_E3_10!C107:AF107)-SUM(46_v69_E3_10!C108:AF108)</f>
        <v>154.417170257555</v>
      </c>
      <c r="H6" s="1" t="n">
        <f aca="false">IF(G$5&gt;0,G6/G$5,0)</f>
        <v>0.37884528962809</v>
      </c>
      <c r="I6" s="1" t="n">
        <f aca="false">SUM(42_v69_Diablo!C107:AF107)-SUM(42_v69_Diablo!C108:AF108)</f>
        <v>149.195443639449</v>
      </c>
      <c r="J6" s="1" t="n">
        <f aca="false">IF(I$5&gt;0,I6/I$5,0)</f>
        <v>0.388733454191777</v>
      </c>
      <c r="K6" s="1" t="n">
        <f aca="false">SUM(43_Diablo_Defensas!C107:AF107)-SUM(43_Diablo_Defensas!C108:AF108)</f>
        <v>160.563602300312</v>
      </c>
      <c r="L6" s="1" t="n">
        <f aca="false">IF(K$5&gt;0,K6/K$5,0)</f>
        <v>0.417845035080103</v>
      </c>
    </row>
    <row r="7" customFormat="false" ht="13.5" hidden="false" customHeight="true" outlineLevel="0" collapsed="false">
      <c r="B7" s="1" t="s">
        <v>1752</v>
      </c>
      <c r="C7" s="1" t="n">
        <f aca="false">SUM(38_v69_E1!C109:AF109)</f>
        <v>87.8814564115035</v>
      </c>
      <c r="D7" s="1" t="n">
        <f aca="false">IF(C$5&gt;0,C7/C$5,0)</f>
        <v>0.211288715600394</v>
      </c>
      <c r="E7" s="1" t="n">
        <f aca="false">SUM(40_v69_E3!C109:AF109)</f>
        <v>72.3523577369241</v>
      </c>
      <c r="F7" s="1" t="n">
        <f aca="false">IF(E$5&gt;0,E7/E$5,0)</f>
        <v>0.177508433009114</v>
      </c>
      <c r="G7" s="1" t="n">
        <f aca="false">SUM(46_v69_E3_10!C109:AF109)</f>
        <v>72.3523577369241</v>
      </c>
      <c r="H7" s="1" t="n">
        <f aca="false">IF(G$5&gt;0,G7/G$5,0)</f>
        <v>0.177508433009114</v>
      </c>
      <c r="I7" s="1" t="n">
        <f aca="false">SUM(42_v69_Diablo!C109:AF109)</f>
        <v>69.296307379593</v>
      </c>
      <c r="J7" s="1" t="n">
        <f aca="false">IF(I$5&gt;0,I7/I$5,0)</f>
        <v>0.180553723848988</v>
      </c>
      <c r="K7" s="1" t="n">
        <f aca="false">SUM(43_Diablo_Defensas!C109:AF109)</f>
        <v>69.296307379593</v>
      </c>
      <c r="L7" s="1" t="n">
        <f aca="false">IF(K$5&gt;0,K7/K$5,0)</f>
        <v>0.180334257410288</v>
      </c>
    </row>
    <row r="8" customFormat="false" ht="13.5" hidden="false" customHeight="true" outlineLevel="0" collapsed="false">
      <c r="B8" s="1" t="s">
        <v>1753</v>
      </c>
      <c r="C8" s="1" t="n">
        <f aca="false">SUM(38_v69_E1!C110:AF110)</f>
        <v>136.81664440021</v>
      </c>
      <c r="D8" s="1" t="n">
        <f aca="false">IF(C$5&gt;0,C8/C$5,0)</f>
        <v>0.328940987649498</v>
      </c>
      <c r="E8" s="1" t="n">
        <f aca="false">SUM(40_v69_E3!C110:AF110)</f>
        <v>127.620652279638</v>
      </c>
      <c r="F8" s="1" t="n">
        <f aca="false">IF(E$5&gt;0,E8/E$5,0)</f>
        <v>0.313103024066327</v>
      </c>
      <c r="G8" s="1" t="n">
        <f aca="false">SUM(46_v69_E3_10!C110:AF110)</f>
        <v>127.620652279638</v>
      </c>
      <c r="H8" s="1" t="n">
        <f aca="false">IF(G$5&gt;0,G8/G$5,0)</f>
        <v>0.313103024066327</v>
      </c>
      <c r="I8" s="1" t="n">
        <f aca="false">SUM(42_v69_Diablo!C110:AF110)</f>
        <v>79.6340240145768</v>
      </c>
      <c r="J8" s="1" t="n">
        <f aca="false">IF(I$5&gt;0,I8/I$5,0)</f>
        <v>0.207488971990242</v>
      </c>
      <c r="K8" s="1" t="n">
        <f aca="false">SUM(43_Diablo_Defensas!C110:AF110)</f>
        <v>84.3193314413041</v>
      </c>
      <c r="L8" s="1" t="n">
        <f aca="false">IF(K$5&gt;0,K8/K$5,0)</f>
        <v>0.219429643451354</v>
      </c>
    </row>
    <row r="9" customFormat="false" ht="13.5" hidden="false" customHeight="true" outlineLevel="0" collapsed="false">
      <c r="B9" s="1" t="s">
        <v>1754</v>
      </c>
      <c r="C9" s="1" t="n">
        <f aca="false">SUM(38_v69_E1!C184:AF184)</f>
        <v>39.4715767282516</v>
      </c>
      <c r="D9" s="1" t="n">
        <f aca="false">IF(C$5&gt;0,C9/C$5,0)</f>
        <v>0.0948994143950372</v>
      </c>
      <c r="E9" s="1" t="n">
        <f aca="false">SUM(40_v69_E3!C184:AF184)</f>
        <v>39.4715767282516</v>
      </c>
      <c r="F9" s="1" t="n">
        <f aca="false">IF(E$5&gt;0,E9/E$5,0)</f>
        <v>0.096839107288072</v>
      </c>
      <c r="G9" s="1" t="n">
        <f aca="false">SUM(46_v69_E3_10!C184:AF184)</f>
        <v>39.4715767282516</v>
      </c>
      <c r="H9" s="1" t="n">
        <f aca="false">IF(G$5&gt;0,G9/G$5,0)</f>
        <v>0.096839107288072</v>
      </c>
      <c r="I9" s="1" t="n">
        <f aca="false">SUM(42_v69_Diablo!C184:AF184)</f>
        <v>0</v>
      </c>
      <c r="J9" s="1" t="n">
        <f aca="false">IF(I$5&gt;0,I9/I$5,0)</f>
        <v>0</v>
      </c>
      <c r="K9" s="1" t="n">
        <f aca="false">SUM(43_Diablo_Defensas!C184:AF184)</f>
        <v>0</v>
      </c>
      <c r="L9" s="1" t="n">
        <f aca="false">IF(K$5&gt;0,K9/K$5,0)</f>
        <v>0</v>
      </c>
    </row>
    <row r="10" customFormat="false" ht="13.5" hidden="false" customHeight="true" outlineLevel="0" collapsed="false">
      <c r="B10" s="1" t="s">
        <v>1755</v>
      </c>
      <c r="C10" s="1" t="n">
        <f aca="false">SUM(C6:C9)</f>
        <v>455.745331399499</v>
      </c>
      <c r="D10" s="1" t="n">
        <f aca="false">IF(C$5&gt;0,C10/C$5,0)</f>
        <v>1.09572428182553</v>
      </c>
      <c r="E10" s="1" t="n">
        <f aca="false">SUM(E6:E9)</f>
        <v>393.861757002369</v>
      </c>
      <c r="F10" s="1" t="n">
        <f aca="false">IF(E$5&gt;0,E10/E$5,0)</f>
        <v>0.966295853991604</v>
      </c>
      <c r="G10" s="1" t="n">
        <f aca="false">SUM(G6:G9)</f>
        <v>393.861757002369</v>
      </c>
      <c r="H10" s="1" t="n">
        <f aca="false">IF(G$5&gt;0,G10/G$5,0)</f>
        <v>0.966295853991604</v>
      </c>
      <c r="I10" s="1" t="n">
        <f aca="false">SUM(I6:I9)</f>
        <v>298.125775033619</v>
      </c>
      <c r="J10" s="1" t="n">
        <f aca="false">IF(I$5&gt;0,I10/I$5,0)</f>
        <v>0.776776150031007</v>
      </c>
      <c r="K10" s="1" t="n">
        <f aca="false">SUM(K6:K9)</f>
        <v>314.179241121209</v>
      </c>
      <c r="L10" s="1" t="n">
        <f aca="false">IF(K$5&gt;0,K10/K$5,0)</f>
        <v>0.817608935941746</v>
      </c>
    </row>
    <row r="11" customFormat="false" ht="13.5" hidden="false" customHeight="true" outlineLevel="0" collapsed="false">
      <c r="B11" s="1" t="s">
        <v>1756</v>
      </c>
      <c r="C11" s="1" t="n">
        <f aca="false">C5-C10</f>
        <v>-39.8146643888109</v>
      </c>
      <c r="D11" s="1" t="n">
        <f aca="false">IF(C$5&gt;0,C11/C$5,0)</f>
        <v>-0.0957242818255277</v>
      </c>
      <c r="E11" s="1" t="n">
        <f aca="false">E5-E10</f>
        <v>13.7377948071447</v>
      </c>
      <c r="F11" s="1" t="n">
        <f aca="false">IF(E$5&gt;0,E11/E$5,0)</f>
        <v>0.0337041460083963</v>
      </c>
      <c r="G11" s="1" t="n">
        <f aca="false">G5-G10</f>
        <v>13.7377948071447</v>
      </c>
      <c r="H11" s="1" t="n">
        <f aca="false">IF(G$5&gt;0,G11/G$5,0)</f>
        <v>0.0337041460083963</v>
      </c>
      <c r="I11" s="1" t="n">
        <f aca="false">I5-I10</f>
        <v>85.6730517219638</v>
      </c>
      <c r="J11" s="1" t="n">
        <f aca="false">IF(I$5&gt;0,I11/I$5,0)</f>
        <v>0.223223849968993</v>
      </c>
      <c r="K11" s="1" t="n">
        <f aca="false">K5-K10</f>
        <v>70.0866680561758</v>
      </c>
      <c r="L11" s="1" t="n">
        <f aca="false">IF(K$5&gt;0,K11/K$5,0)</f>
        <v>0.182391064058254</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sheetData>
    <row r="1" customFormat="false" ht="13.5" hidden="false" customHeight="true" outlineLevel="0" collapsed="false">
      <c r="B1" s="1" t="s">
        <v>1757</v>
      </c>
    </row>
    <row r="2" customFormat="false" ht="13.5" hidden="false" customHeight="true" outlineLevel="0" collapsed="false">
      <c r="B2" s="1" t="s">
        <v>1758</v>
      </c>
    </row>
    <row r="3" customFormat="false" ht="13.5" hidden="false" customHeight="true" outlineLevel="0" collapsed="false"/>
    <row r="4" customFormat="false" ht="13.5" hidden="false" customHeight="true" outlineLevel="0" collapsed="false">
      <c r="B4" s="1" t="s">
        <v>1739</v>
      </c>
      <c r="C4" s="1" t="s">
        <v>1759</v>
      </c>
      <c r="D4" s="1" t="s">
        <v>1760</v>
      </c>
      <c r="E4" s="1" t="s">
        <v>1761</v>
      </c>
      <c r="F4" s="1" t="s">
        <v>1762</v>
      </c>
      <c r="G4" s="1" t="s">
        <v>1763</v>
      </c>
      <c r="H4" s="1" t="s">
        <v>1764</v>
      </c>
      <c r="I4" s="1" t="s">
        <v>1765</v>
      </c>
      <c r="J4" s="1" t="s">
        <v>1766</v>
      </c>
      <c r="K4" s="1" t="s">
        <v>1767</v>
      </c>
    </row>
    <row r="5" customFormat="false" ht="13.5" hidden="false" customHeight="true" outlineLevel="0" collapsed="false">
      <c r="B5" s="1" t="s">
        <v>1768</v>
      </c>
      <c r="C5" s="116" t="n">
        <f aca="false">38_v69_E1!L152</f>
        <v>144.31439047327</v>
      </c>
      <c r="D5" s="116" t="n">
        <f aca="false">38_v69_E1!V152</f>
        <v>194.422066254599</v>
      </c>
      <c r="E5" s="116" t="n">
        <f aca="false">38_v69_E1!AF152</f>
        <v>244.062969768443</v>
      </c>
      <c r="F5" s="116" t="n">
        <f aca="false">40_v69_E3!L152</f>
        <v>108.235792854953</v>
      </c>
      <c r="G5" s="116" t="n">
        <f aca="false">40_v69_E3!V152</f>
        <v>194.422066254599</v>
      </c>
      <c r="H5" s="116" t="n">
        <f aca="false">40_v69_E3!AF152</f>
        <v>220.731137584789</v>
      </c>
      <c r="I5" s="116" t="n">
        <f aca="false">43_Diablo_Defensas!L152</f>
        <v>136.004580168156</v>
      </c>
      <c r="J5" s="116" t="n">
        <f aca="false">43_Diablo_Defensas!V152</f>
        <v>193.15848872137</v>
      </c>
      <c r="K5" s="116" t="n">
        <f aca="false">43_Diablo_Defensas!AF152</f>
        <v>217.243488791582</v>
      </c>
    </row>
    <row r="6" customFormat="false" ht="13.5" hidden="false" customHeight="true" outlineLevel="0" collapsed="false">
      <c r="B6" s="1" t="s">
        <v>1160</v>
      </c>
      <c r="C6" s="116" t="n">
        <f aca="false">38_v69_E1!L153</f>
        <v>149.676541722361</v>
      </c>
      <c r="D6" s="116" t="n">
        <f aca="false">38_v69_E1!V153</f>
        <v>161.859438668867</v>
      </c>
      <c r="E6" s="116" t="n">
        <f aca="false">38_v69_E1!AF153</f>
        <v>177.798782171659</v>
      </c>
      <c r="F6" s="116" t="n">
        <f aca="false">40_v69_E3!L153</f>
        <v>139.655873621496</v>
      </c>
      <c r="G6" s="116" t="n">
        <f aca="false">40_v69_E3!V153</f>
        <v>150.750319165238</v>
      </c>
      <c r="H6" s="116" t="n">
        <f aca="false">40_v69_E3!AF153</f>
        <v>163.047142766117</v>
      </c>
      <c r="I6" s="116" t="n">
        <f aca="false">43_Diablo_Defensas!L153</f>
        <v>115.417176883034</v>
      </c>
      <c r="J6" s="116" t="n">
        <f aca="false">43_Diablo_Defensas!V153</f>
        <v>91.1196820337369</v>
      </c>
      <c r="K6" s="116" t="n">
        <f aca="false">43_Diablo_Defensas!AF153</f>
        <v>58.3010451033792</v>
      </c>
    </row>
    <row r="7" customFormat="false" ht="13.5" hidden="false" customHeight="true" outlineLevel="0" collapsed="false">
      <c r="B7" s="1" t="s">
        <v>787</v>
      </c>
      <c r="C7" s="116" t="n">
        <f aca="false">38_v69_E1!L154</f>
        <v>8.74497890063019</v>
      </c>
      <c r="D7" s="116" t="n">
        <f aca="false">38_v69_E1!V154</f>
        <v>11.3527778883732</v>
      </c>
      <c r="E7" s="116" t="n">
        <f aca="false">38_v69_E1!AF154</f>
        <v>13.6854545779078</v>
      </c>
      <c r="F7" s="116" t="n">
        <f aca="false">40_v69_E3!L154</f>
        <v>8.70567671445651</v>
      </c>
      <c r="G7" s="116" t="n">
        <f aca="false">40_v69_E3!V154</f>
        <v>10.6631520394061</v>
      </c>
      <c r="H7" s="116" t="n">
        <f aca="false">40_v69_E3!AF154</f>
        <v>12.1520335263305</v>
      </c>
      <c r="I7" s="116" t="n">
        <f aca="false">43_Diablo_Defensas!L154</f>
        <v>8.35748903018525</v>
      </c>
      <c r="J7" s="116" t="n">
        <f aca="false">43_Diablo_Defensas!V154</f>
        <v>10.5805394827139</v>
      </c>
      <c r="K7" s="116" t="n">
        <f aca="false">43_Diablo_Defensas!AF154</f>
        <v>11.9814187744412</v>
      </c>
    </row>
    <row r="8" customFormat="false" ht="13.5" hidden="false" customHeight="true" outlineLevel="0" collapsed="false">
      <c r="B8" s="1" t="s">
        <v>1769</v>
      </c>
      <c r="C8" s="116" t="n">
        <f aca="false">38_v69_E1!L155</f>
        <v>98.1093069913369</v>
      </c>
      <c r="D8" s="116" t="n">
        <f aca="false">38_v69_E1!V155</f>
        <v>158.303920632966</v>
      </c>
      <c r="E8" s="116" t="n">
        <f aca="false">38_v69_E1!AF155</f>
        <v>223.435897345849</v>
      </c>
      <c r="F8" s="116" t="n">
        <f aca="false">40_v69_E3!L155</f>
        <v>95.0752050611281</v>
      </c>
      <c r="G8" s="116" t="n">
        <f aca="false">40_v69_E3!V155</f>
        <v>126.453999374355</v>
      </c>
      <c r="H8" s="116" t="n">
        <f aca="false">40_v69_E3!AF155</f>
        <v>155.158884846368</v>
      </c>
      <c r="I8" s="116" t="n">
        <f aca="false">43_Diablo_Defensas!L155</f>
        <v>95.4627666839397</v>
      </c>
      <c r="J8" s="116" t="n">
        <f aca="false">43_Diablo_Defensas!V155</f>
        <v>123.616298332351</v>
      </c>
      <c r="K8" s="116" t="n">
        <f aca="false">43_Diablo_Defensas!AF155</f>
        <v>152.321183804364</v>
      </c>
    </row>
    <row r="9" customFormat="false" ht="13.5" hidden="false" customHeight="true" outlineLevel="0" collapsed="false">
      <c r="B9" s="1" t="s">
        <v>1770</v>
      </c>
      <c r="C9" s="117" t="n">
        <f aca="false">38_v69_E1!L187</f>
        <v>47.856982348637</v>
      </c>
      <c r="D9" s="117" t="n">
        <f aca="false">38_v69_E1!V187</f>
        <v>60.0760883842733</v>
      </c>
      <c r="E9" s="117" t="n">
        <f aca="false">38_v69_E1!AF187</f>
        <v>75.4150432900793</v>
      </c>
      <c r="F9" s="117" t="n">
        <f aca="false">40_v69_E3!L187</f>
        <v>47.856982348637</v>
      </c>
      <c r="G9" s="117" t="n">
        <f aca="false">40_v69_E3!V187</f>
        <v>60.0760883842733</v>
      </c>
      <c r="H9" s="117" t="n">
        <f aca="false">40_v69_E3!AF187</f>
        <v>75.4150432900793</v>
      </c>
      <c r="I9" s="117" t="n">
        <f aca="false">43_Diablo_Defensas!L187</f>
        <v>0</v>
      </c>
      <c r="J9" s="117" t="n">
        <f aca="false">43_Diablo_Defensas!V187</f>
        <v>0</v>
      </c>
      <c r="K9" s="117" t="n">
        <f aca="false">43_Diablo_Defensas!AF187</f>
        <v>0</v>
      </c>
    </row>
    <row r="10" customFormat="false" ht="13.5" hidden="false" customHeight="true" outlineLevel="0" collapsed="false">
      <c r="B10" s="1" t="s">
        <v>1771</v>
      </c>
      <c r="C10" s="1" t="n">
        <f aca="false">SUM(C5:C9)</f>
        <v>448.702200436235</v>
      </c>
      <c r="D10" s="1" t="n">
        <f aca="false">SUM(D5:D9)</f>
        <v>586.014291829079</v>
      </c>
      <c r="E10" s="1" t="n">
        <f aca="false">SUM(E5:E9)</f>
        <v>734.398147153938</v>
      </c>
      <c r="F10" s="1" t="n">
        <f aca="false">SUM(F5:F9)</f>
        <v>399.52953060067</v>
      </c>
      <c r="G10" s="1" t="n">
        <f aca="false">SUM(G5:G9)</f>
        <v>542.365625217871</v>
      </c>
      <c r="H10" s="1" t="n">
        <f aca="false">SUM(H5:H9)</f>
        <v>626.504242013683</v>
      </c>
      <c r="I10" s="1" t="n">
        <f aca="false">SUM(I5:I9)</f>
        <v>355.242012765315</v>
      </c>
      <c r="J10" s="1" t="n">
        <f aca="false">SUM(J5:J9)</f>
        <v>418.475008570172</v>
      </c>
      <c r="K10" s="1" t="n">
        <f aca="false">SUM(K5:K9)</f>
        <v>439.847136473766</v>
      </c>
    </row>
    <row r="11" customFormat="false" ht="13.5" hidden="false" customHeight="true" outlineLevel="0" collapsed="false">
      <c r="B11" s="1" t="s">
        <v>1772</v>
      </c>
      <c r="C11" s="116" t="n">
        <f aca="false">38_v69_E1!L159</f>
        <v>187.652339662692</v>
      </c>
      <c r="D11" s="116" t="n">
        <f aca="false">38_v69_E1!V159</f>
        <v>249.424652261082</v>
      </c>
      <c r="E11" s="116" t="n">
        <f aca="false">38_v69_E1!AF159</f>
        <v>313.033422132787</v>
      </c>
      <c r="F11" s="116" t="n">
        <f aca="false">40_v69_E3!L159</f>
        <v>153.00009483582</v>
      </c>
      <c r="G11" s="116" t="n">
        <f aca="false">40_v69_E3!V159</f>
        <v>249.154361551258</v>
      </c>
      <c r="H11" s="116" t="n">
        <f aca="false">40_v69_E3!AF159</f>
        <v>290.344635238681</v>
      </c>
      <c r="I11" s="116" t="n">
        <f aca="false">43_Diablo_Defensas!L159</f>
        <v>95.203206117709</v>
      </c>
      <c r="J11" s="116" t="n">
        <f aca="false">43_Diablo_Defensas!V159</f>
        <v>135.210942104959</v>
      </c>
      <c r="K11" s="116" t="n">
        <f aca="false">43_Diablo_Defensas!AF159</f>
        <v>152.070442154107</v>
      </c>
    </row>
    <row r="12" customFormat="false" ht="13.5" hidden="false" customHeight="true" outlineLevel="0" collapsed="false">
      <c r="B12" s="1" t="s">
        <v>1773</v>
      </c>
      <c r="C12" s="116" t="n">
        <f aca="false">38_v69_E1!L158</f>
        <v>0</v>
      </c>
      <c r="D12" s="116" t="n">
        <f aca="false">38_v69_E1!V158</f>
        <v>0</v>
      </c>
      <c r="E12" s="116" t="n">
        <f aca="false">38_v69_E1!AF158</f>
        <v>0</v>
      </c>
      <c r="F12" s="116" t="n">
        <f aca="false">40_v69_E3!L158</f>
        <v>0</v>
      </c>
      <c r="G12" s="116" t="n">
        <f aca="false">40_v69_E3!V158</f>
        <v>0</v>
      </c>
      <c r="H12" s="116" t="n">
        <f aca="false">40_v69_E3!AF158</f>
        <v>0</v>
      </c>
      <c r="I12" s="116" t="n">
        <f aca="false">43_Diablo_Defensas!L158</f>
        <v>0</v>
      </c>
      <c r="J12" s="116" t="n">
        <f aca="false">43_Diablo_Defensas!V158</f>
        <v>0</v>
      </c>
      <c r="K12" s="116" t="n">
        <f aca="false">43_Diablo_Defensas!AF158</f>
        <v>0</v>
      </c>
    </row>
    <row r="13" customFormat="false" ht="13.5" hidden="false" customHeight="true" outlineLevel="0" collapsed="false">
      <c r="B13" s="1" t="s">
        <v>1774</v>
      </c>
      <c r="C13" s="1" t="n">
        <f aca="false">C10-C11-C12</f>
        <v>261.049860773543</v>
      </c>
      <c r="D13" s="1" t="n">
        <f aca="false">D10-D11-D12</f>
        <v>336.589639567997</v>
      </c>
      <c r="E13" s="1" t="n">
        <f aca="false">E10-E11-E12</f>
        <v>421.364725021151</v>
      </c>
      <c r="F13" s="1" t="n">
        <f aca="false">F10-F11-F12</f>
        <v>246.52943576485</v>
      </c>
      <c r="G13" s="1" t="n">
        <f aca="false">G10-G11-G12</f>
        <v>293.211263666613</v>
      </c>
      <c r="H13" s="1" t="n">
        <f aca="false">H10-H11-H12</f>
        <v>336.159606775002</v>
      </c>
      <c r="I13" s="1" t="n">
        <f aca="false">I10-I11-I12</f>
        <v>260.038806647606</v>
      </c>
      <c r="J13" s="1" t="n">
        <f aca="false">J10-J11-J12</f>
        <v>283.264066465213</v>
      </c>
      <c r="K13" s="1" t="n">
        <f aca="false">K10-K11-K12</f>
        <v>287.776694319659</v>
      </c>
    </row>
    <row r="14" customFormat="false" ht="13.5" hidden="false" customHeight="true" outlineLevel="0" collapsed="false">
      <c r="B14" s="1" t="s">
        <v>1775</v>
      </c>
      <c r="C14" s="116" t="n">
        <f aca="false">38_v69_E1!L157</f>
        <v>351.261170508469</v>
      </c>
      <c r="D14" s="116" t="n">
        <f aca="false">38_v69_E1!V157</f>
        <v>456.340567455</v>
      </c>
      <c r="E14" s="116" t="n">
        <f aca="false">38_v69_E1!AF157</f>
        <v>550.208600879881</v>
      </c>
      <c r="F14" s="116" t="n">
        <f aca="false">40_v69_E3!L157</f>
        <v>348.22706857826</v>
      </c>
      <c r="G14" s="116" t="n">
        <f aca="false">40_v69_E3!V157</f>
        <v>426.578612925127</v>
      </c>
      <c r="H14" s="116" t="n">
        <f aca="false">40_v69_E3!AF157</f>
        <v>486.081341053221</v>
      </c>
      <c r="I14" s="116" t="n">
        <f aca="false">43_Diablo_Defensas!L157</f>
        <v>334.29956120741</v>
      </c>
      <c r="J14" s="116" t="n">
        <f aca="false">43_Diablo_Defensas!V157</f>
        <v>423.221579308556</v>
      </c>
      <c r="K14" s="116" t="n">
        <f aca="false">43_Diablo_Defensas!AF157</f>
        <v>479.25675097765</v>
      </c>
    </row>
    <row r="15" customFormat="false" ht="13.5" hidden="false" customHeight="true" outlineLevel="0" collapsed="false">
      <c r="B15" s="1" t="s">
        <v>1776</v>
      </c>
      <c r="C15" s="1" t="n">
        <f aca="false">IF(C14&gt;0,C13/C14,0)</f>
        <v>0.74317881590971</v>
      </c>
      <c r="D15" s="1" t="n">
        <f aca="false">IF(D14&gt;0,D13/D14,0)</f>
        <v>0.737584303418715</v>
      </c>
      <c r="E15" s="1" t="n">
        <f aca="false">IF(E14&gt;0,E13/E14,0)</f>
        <v>0.765827223251898</v>
      </c>
      <c r="F15" s="1" t="n">
        <f aca="false">IF(F14&gt;0,F13/F14,0)</f>
        <v>0.707955980479573</v>
      </c>
      <c r="G15" s="1" t="n">
        <f aca="false">IF(G14&gt;0,G13/G14,0)</f>
        <v>0.687355752919749</v>
      </c>
      <c r="H15" s="1" t="n">
        <f aca="false">IF(H14&gt;0,H13/H14,0)</f>
        <v>0.691570686598719</v>
      </c>
      <c r="I15" s="1" t="n">
        <f aca="false">IF(I14&gt;0,I13/I14,0)</f>
        <v>0.777861645131714</v>
      </c>
      <c r="J15" s="1" t="n">
        <f aca="false">IF(J14&gt;0,J13/J14,0)</f>
        <v>0.669304402974913</v>
      </c>
      <c r="K15" s="1" t="n">
        <f aca="false">IF(K14&gt;0,K13/K14,0)</f>
        <v>0.60046456045244</v>
      </c>
    </row>
    <row r="16" customFormat="false" ht="13.5" hidden="false" customHeight="true" outlineLevel="0" collapsed="false">
      <c r="B16" s="1" t="s">
        <v>1777</v>
      </c>
      <c r="C16" s="1" t="n">
        <f aca="false">C14-C13</f>
        <v>90.2113097349264</v>
      </c>
      <c r="D16" s="1" t="n">
        <f aca="false">D14-D13</f>
        <v>119.750927887003</v>
      </c>
      <c r="E16" s="1" t="n">
        <f aca="false">E14-E13</f>
        <v>128.84387585873</v>
      </c>
      <c r="F16" s="1" t="n">
        <f aca="false">F14-F13</f>
        <v>101.697632813411</v>
      </c>
      <c r="G16" s="1" t="n">
        <f aca="false">G14-G13</f>
        <v>133.367349258514</v>
      </c>
      <c r="H16" s="1" t="n">
        <f aca="false">H14-H13</f>
        <v>149.921734278219</v>
      </c>
      <c r="I16" s="1" t="n">
        <f aca="false">I14-I13</f>
        <v>74.260754559804</v>
      </c>
      <c r="J16" s="1" t="n">
        <f aca="false">J14-J13</f>
        <v>139.957512843343</v>
      </c>
      <c r="K16" s="1" t="n">
        <f aca="false">K14-K13</f>
        <v>191.480056657991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M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75" zeroHeight="false" outlineLevelRow="0" outlineLevelCol="0"/>
  <sheetData>
    <row r="1" customFormat="false" ht="12.75" hidden="false" customHeight="true" outlineLevel="0" collapsed="false">
      <c r="B1" s="1" t="s">
        <v>1778</v>
      </c>
    </row>
    <row r="2" customFormat="false" ht="12.75" hidden="false" customHeight="true" outlineLevel="0" collapsed="false">
      <c r="B2" s="1" t="s">
        <v>1779</v>
      </c>
    </row>
    <row r="3" customFormat="false" ht="13.5" hidden="false" customHeight="true" outlineLevel="0" collapsed="false"/>
    <row r="4" customFormat="false" ht="12.75" hidden="false" customHeight="true" outlineLevel="0" collapsed="false">
      <c r="B4" s="1" t="s">
        <v>1780</v>
      </c>
      <c r="C4" s="1" t="n">
        <v>204.239</v>
      </c>
    </row>
    <row r="5" customFormat="false" ht="12.75" hidden="false" customHeight="true" outlineLevel="0" collapsed="false">
      <c r="B5" s="1" t="s">
        <v>1781</v>
      </c>
      <c r="C5" s="88" t="n">
        <f aca="false">64_Inflacion!C5</f>
        <v>294.5</v>
      </c>
    </row>
    <row r="6" customFormat="false" ht="12.75" hidden="false" customHeight="true" outlineLevel="0" collapsed="false">
      <c r="B6" s="1" t="s">
        <v>1782</v>
      </c>
      <c r="C6" s="1" t="n">
        <v>0.3</v>
      </c>
      <c r="D6" s="1" t="n">
        <v>0.5</v>
      </c>
      <c r="E6" s="1" t="n">
        <v>0.7</v>
      </c>
    </row>
    <row r="7" customFormat="false" ht="13.5" hidden="false" customHeight="true" outlineLevel="0" collapsed="false"/>
    <row r="8" customFormat="false" ht="13.5" hidden="false" customHeight="true" outlineLevel="0" collapsed="false"/>
    <row r="9" customFormat="false" ht="12.75" hidden="false" customHeight="true" outlineLevel="0" collapsed="false">
      <c r="B9" s="1" t="s">
        <v>1783</v>
      </c>
      <c r="C9" s="1" t="s">
        <v>717</v>
      </c>
      <c r="D9" s="1" t="s">
        <v>718</v>
      </c>
      <c r="E9" s="1" t="s">
        <v>719</v>
      </c>
      <c r="F9" s="1" t="s">
        <v>721</v>
      </c>
      <c r="G9" s="1" t="s">
        <v>724</v>
      </c>
      <c r="H9" s="1" t="s">
        <v>726</v>
      </c>
      <c r="I9" s="1" t="s">
        <v>1784</v>
      </c>
      <c r="J9" s="1" t="s">
        <v>804</v>
      </c>
      <c r="K9" s="1" t="s">
        <v>758</v>
      </c>
      <c r="L9" s="1" t="s">
        <v>805</v>
      </c>
      <c r="M9" s="1" t="s">
        <v>759</v>
      </c>
    </row>
    <row r="10" customFormat="false" ht="12.75" hidden="false" customHeight="true" outlineLevel="0" collapsed="false">
      <c r="B10" s="1" t="s">
        <v>851</v>
      </c>
      <c r="C10" s="116" t="n">
        <f aca="false">38_v69_E1!C41</f>
        <v>325</v>
      </c>
      <c r="D10" s="116" t="n">
        <f aca="false">38_v69_E1!D41</f>
        <v>332.475</v>
      </c>
      <c r="E10" s="116" t="n">
        <f aca="false">38_v69_E1!E41</f>
        <v>340.121925</v>
      </c>
      <c r="F10" s="116" t="n">
        <f aca="false">38_v69_E1!G41</f>
        <v>355.947458048325</v>
      </c>
      <c r="G10" s="116" t="n">
        <f aca="false">38_v69_E1!J41</f>
        <v>381.077052082304</v>
      </c>
      <c r="H10" s="116" t="n">
        <f aca="false">38_v69_E1!L41</f>
        <v>398.808186238641</v>
      </c>
      <c r="I10" s="116" t="n">
        <f aca="false">38_v69_E1!N41</f>
        <v>417.364332336139</v>
      </c>
      <c r="J10" s="116" t="n">
        <f aca="false">38_v69_E1!Q41</f>
        <v>446.829906534582</v>
      </c>
      <c r="K10" s="116" t="n">
        <f aca="false">38_v69_E1!V41</f>
        <v>500.634069868944</v>
      </c>
      <c r="L10" s="116" t="n">
        <f aca="false">38_v69_E1!AA41</f>
        <v>560.916957992706</v>
      </c>
      <c r="M10" s="116" t="n">
        <f aca="false">38_v69_E1!AF41</f>
        <v>628.458694083994</v>
      </c>
    </row>
    <row r="11" customFormat="false" ht="12.75" hidden="false" customHeight="true" outlineLevel="0" collapsed="false">
      <c r="B11" s="1" t="s">
        <v>1785</v>
      </c>
      <c r="C11" s="1" t="n">
        <f aca="false">$C$4*C10/38_v69_E1!$C$41</f>
        <v>204.239</v>
      </c>
      <c r="D11" s="1" t="n">
        <f aca="false">$C$4*D10/38_v69_E1!$C$41</f>
        <v>208.936497</v>
      </c>
      <c r="E11" s="1" t="n">
        <f aca="false">$C$4*E10/38_v69_E1!$C$41</f>
        <v>213.742036431</v>
      </c>
      <c r="F11" s="1" t="n">
        <f aca="false">$C$4*F10/38_v69_E1!$C$41</f>
        <v>223.687239644098</v>
      </c>
      <c r="G11" s="1" t="n">
        <f aca="false">$C$4*G10/38_v69_E1!$C$41</f>
        <v>239.479372431501</v>
      </c>
      <c r="H11" s="1" t="n">
        <f aca="false">$C$4*H10/38_v69_E1!$C$41</f>
        <v>250.622108151366</v>
      </c>
      <c r="I11" s="1" t="n">
        <f aca="false">$C$4*I10/38_v69_E1!$C$41</f>
        <v>262.283304221541</v>
      </c>
      <c r="J11" s="1" t="n">
        <f aca="false">$C$4*J10/38_v69_E1!$C$41</f>
        <v>280.800287017589</v>
      </c>
      <c r="K11" s="1" t="n">
        <f aca="false">$C$4*K10/38_v69_E1!$C$41</f>
        <v>314.612313218349</v>
      </c>
      <c r="L11" s="1" t="n">
        <f aca="false">$C$4*L10/38_v69_E1!$C$41</f>
        <v>352.495749487607</v>
      </c>
      <c r="M11" s="1" t="n">
        <f aca="false">$C$4*M10/38_v69_E1!$C$41</f>
        <v>394.94084683391</v>
      </c>
    </row>
    <row r="12" customFormat="false" ht="12.75" hidden="false" customHeight="true" outlineLevel="0" collapsed="false">
      <c r="B12" s="1" t="s">
        <v>1786</v>
      </c>
      <c r="C12" s="1" t="n">
        <f aca="false">(1-38_v69_E1!$C$172)*38_v69_E1!C83</f>
        <v>10.4</v>
      </c>
      <c r="D12" s="1" t="n">
        <f aca="false">(1-38_v69_E1!$C$172)*38_v69_E1!D83</f>
        <v>21.0392</v>
      </c>
      <c r="E12" s="1" t="n">
        <f aca="false">(1-38_v69_E1!$C$172)*38_v69_E1!E83</f>
        <v>31.9231016</v>
      </c>
      <c r="F12" s="1" t="n">
        <f aca="false">(1-38_v69_E1!$C$172)*38_v69_E1!G83</f>
        <v>54.4476515943464</v>
      </c>
      <c r="G12" s="1" t="n">
        <f aca="false">(1-38_v69_E1!$C$172)*38_v69_E1!J83</f>
        <v>90.2147120420135</v>
      </c>
      <c r="H12" s="1" t="n">
        <f aca="false">(1-38_v69_E1!$C$172)*38_v69_E1!L83</f>
        <v>115.451512378616</v>
      </c>
      <c r="I12" s="1" t="n">
        <f aca="false">(1-38_v69_E1!$C$172)*38_v69_E1!N83</f>
        <v>129.66730114074</v>
      </c>
      <c r="J12" s="1" t="n">
        <f aca="false">(1-38_v69_E1!$C$172)*38_v69_E1!Q83</f>
        <v>138.821704588414</v>
      </c>
      <c r="K12" s="1" t="n">
        <f aca="false">(1-38_v69_E1!$C$172)*38_v69_E1!V83</f>
        <v>155.537653003679</v>
      </c>
      <c r="L12" s="1" t="n">
        <f aca="false">(1-38_v69_E1!$C$172)*38_v69_E1!AA83</f>
        <v>174.266420179888</v>
      </c>
      <c r="M12" s="1" t="n">
        <f aca="false">(1-38_v69_E1!$C$172)*38_v69_E1!AF83</f>
        <v>195.250375814755</v>
      </c>
    </row>
    <row r="13" customFormat="false" ht="12.75" hidden="false" customHeight="true" outlineLevel="0" collapsed="false">
      <c r="B13" s="1" t="s">
        <v>1787</v>
      </c>
      <c r="C13" s="117" t="n">
        <f aca="false">38_v69_E1!C181</f>
        <v>7.8</v>
      </c>
      <c r="D13" s="117" t="n">
        <f aca="false">38_v69_E1!D181</f>
        <v>15.9588</v>
      </c>
      <c r="E13" s="117" t="n">
        <f aca="false">38_v69_E1!E181</f>
        <v>24.4887786</v>
      </c>
      <c r="F13" s="117" t="n">
        <f aca="false">38_v69_E1!G181</f>
        <v>42.713694965799</v>
      </c>
      <c r="G13" s="117" t="n">
        <f aca="false">38_v69_E1!J181</f>
        <v>45.7292462498765</v>
      </c>
      <c r="H13" s="117" t="n">
        <f aca="false">38_v69_E1!L181</f>
        <v>47.856982348637</v>
      </c>
      <c r="I13" s="117" t="n">
        <f aca="false">38_v69_E1!N181</f>
        <v>50.0837198803367</v>
      </c>
      <c r="J13" s="117" t="n">
        <f aca="false">38_v69_E1!Q181</f>
        <v>53.6195887841498</v>
      </c>
      <c r="K13" s="117" t="n">
        <f aca="false">38_v69_E1!V181</f>
        <v>60.0760883842733</v>
      </c>
      <c r="L13" s="117" t="n">
        <f aca="false">38_v69_E1!AA181</f>
        <v>67.3100349591248</v>
      </c>
      <c r="M13" s="117" t="n">
        <f aca="false">38_v69_E1!AF181</f>
        <v>75.4150432900793</v>
      </c>
    </row>
    <row r="14" customFormat="false" ht="12.75" hidden="false" customHeight="true" outlineLevel="0" collapsed="false">
      <c r="B14" s="1" t="s">
        <v>1788</v>
      </c>
      <c r="C14" s="1" t="n">
        <f aca="false">38_v69_E1!C83/($C$5*C10/38_v69_E1!$C$41+38_v69_E1!C83)</f>
        <v>0.0422764227642276</v>
      </c>
      <c r="D14" s="1" t="n">
        <f aca="false">38_v69_E1!D83/($C$5*D10/38_v69_E1!$C$41+38_v69_E1!D83)</f>
        <v>0.0802845171679552</v>
      </c>
      <c r="E14" s="1" t="n">
        <f aca="false">38_v69_E1!E83/($C$5*E10/38_v69_E1!$C$41+38_v69_E1!E83)</f>
        <v>0.114631176950956</v>
      </c>
      <c r="F14" s="1" t="n">
        <f aca="false">38_v69_E1!G83/($C$5*F10/38_v69_E1!$C$41+38_v69_E1!G83)</f>
        <v>0.174242422158013</v>
      </c>
      <c r="G14" s="1" t="n">
        <f aca="false">38_v69_E1!J83/($C$5*G10/38_v69_E1!$C$41+38_v69_E1!J83)</f>
        <v>0.246174673081672</v>
      </c>
      <c r="H14" s="1" t="n">
        <f aca="false">38_v69_E1!L83/($C$5*H10/38_v69_E1!$C$41+38_v69_E1!L83)</f>
        <v>0.285377778801608</v>
      </c>
      <c r="I14" s="1" t="n">
        <f aca="false">38_v69_E1!N83/($C$5*I10/38_v69_E1!$C$41+38_v69_E1!N83)</f>
        <v>0.3</v>
      </c>
      <c r="J14" s="1" t="n">
        <f aca="false">38_v69_E1!Q83/($C$5*J10/38_v69_E1!$C$41+38_v69_E1!Q83)</f>
        <v>0.3</v>
      </c>
      <c r="K14" s="1" t="n">
        <f aca="false">38_v69_E1!V83/($C$5*K10/38_v69_E1!$C$41+38_v69_E1!V83)</f>
        <v>0.3</v>
      </c>
      <c r="L14" s="1" t="n">
        <f aca="false">38_v69_E1!AA83/($C$5*L10/38_v69_E1!$C$41+38_v69_E1!AA83)</f>
        <v>0.3</v>
      </c>
      <c r="M14" s="1" t="n">
        <f aca="false">38_v69_E1!AF83/($C$5*M10/38_v69_E1!$C$41+38_v69_E1!AF83)</f>
        <v>0.3</v>
      </c>
    </row>
    <row r="15" customFormat="false" ht="12.75" hidden="false" customHeight="true" outlineLevel="0" collapsed="false">
      <c r="B15" s="1" t="s">
        <v>1789</v>
      </c>
      <c r="C15" s="1" t="n">
        <f aca="false">(1-$C$6)*((1-38_v69_E1!$C$172)*38_v69_E1!C83-0)/C11</f>
        <v>0.0356445145148576</v>
      </c>
      <c r="D15" s="1" t="n">
        <f aca="false">(1-$C$6)*((1-38_v69_E1!$C$172)*38_v69_E1!D83-(1-38_v69_E1!$C$172)*38_v69_E1!C83)/D11</f>
        <v>0.0356445145148576</v>
      </c>
      <c r="E15" s="1" t="n">
        <f aca="false">(1-$C$6)*((1-38_v69_E1!$C$172)*38_v69_E1!E83-(1-38_v69_E1!$C$172)*38_v69_E1!D83)/E11</f>
        <v>0.0356445145148576</v>
      </c>
      <c r="F15" s="1" t="n">
        <f aca="false">(1-$C$6)*((1-38_v69_E1!$C$172)*38_v69_E1!G83-(1-38_v69_E1!$C$172)*38_v69_E1!F83)/F11</f>
        <v>0.0356445145148576</v>
      </c>
      <c r="G15" s="1" t="n">
        <f aca="false">(1-$C$6)*((1-38_v69_E1!$C$172)*38_v69_E1!J83-(1-38_v69_E1!$C$172)*38_v69_E1!I83)/G11</f>
        <v>0.0356445145148576</v>
      </c>
      <c r="H15" s="1" t="n">
        <f aca="false">(1-$C$6)*((1-38_v69_E1!$C$172)*38_v69_E1!L83-(1-38_v69_E1!$C$172)*38_v69_E1!K83)/H11</f>
        <v>0.0356445145148576</v>
      </c>
      <c r="I15" s="1" t="n">
        <f aca="false">(1-$C$6)*((1-38_v69_E1!$C$172)*38_v69_E1!N83-(1-38_v69_E1!$C$172)*38_v69_E1!M83)/I11</f>
        <v>0.00778054587562071</v>
      </c>
      <c r="J15" s="1" t="n">
        <f aca="false">(1-$C$6)*((1-38_v69_E1!$C$172)*38_v69_E1!Q83-(1-38_v69_E1!$C$172)*38_v69_E1!P83)/J11</f>
        <v>0.00778054587562064</v>
      </c>
      <c r="K15" s="1" t="n">
        <f aca="false">(1-$C$6)*((1-38_v69_E1!$C$172)*38_v69_E1!V83-(1-38_v69_E1!$C$172)*38_v69_E1!U83)/K11</f>
        <v>0.00778054587562083</v>
      </c>
      <c r="L15" s="1" t="n">
        <f aca="false">(1-$C$6)*((1-38_v69_E1!$C$172)*38_v69_E1!AA83-(1-38_v69_E1!$C$172)*38_v69_E1!Z83)/L11</f>
        <v>0.0077805458756207</v>
      </c>
      <c r="M15" s="1" t="n">
        <f aca="false">(1-$C$6)*((1-38_v69_E1!$C$172)*38_v69_E1!AF83-(1-38_v69_E1!$C$172)*38_v69_E1!AE83)/M11</f>
        <v>0.00778054587562073</v>
      </c>
    </row>
    <row r="16" customFormat="false" ht="12.75" hidden="false" customHeight="true" outlineLevel="0" collapsed="false">
      <c r="B16" s="1" t="s">
        <v>1790</v>
      </c>
      <c r="C16" s="1" t="n">
        <f aca="false">(1-$C$6)*(1-38_v69_E1!$C$172)*38_v69_E1!C83/C11</f>
        <v>0.0356445145148576</v>
      </c>
      <c r="D16" s="1" t="n">
        <f aca="false">(1-$C$6)*(1-38_v69_E1!$C$172)*38_v69_E1!D83/D11</f>
        <v>0.070487637207778</v>
      </c>
      <c r="E16" s="1" t="n">
        <f aca="false">(1-$C$6)*(1-38_v69_E1!$C$172)*38_v69_E1!E83/E11</f>
        <v>0.104547385685706</v>
      </c>
      <c r="F16" s="1" t="n">
        <f aca="false">(1-$C$6)*(1-38_v69_E1!$C$172)*38_v69_E1!G83/F11</f>
        <v>0.170386814092228</v>
      </c>
      <c r="G16" s="1" t="n">
        <f aca="false">(1-$C$6)*(1-38_v69_E1!$C$172)*38_v69_E1!J83/G11</f>
        <v>0.263698279264</v>
      </c>
      <c r="H16" s="1" t="n">
        <f aca="false">(1-$C$6)*(1-38_v69_E1!$C$172)*38_v69_E1!L83/H11</f>
        <v>0.322461810177663</v>
      </c>
      <c r="I16" s="1" t="n">
        <f aca="false">(1-$C$6)*(1-38_v69_E1!$C$172)*38_v69_E1!N83/I11</f>
        <v>0.34606514916348</v>
      </c>
      <c r="J16" s="1" t="n">
        <f aca="false">(1-$C$6)*(1-38_v69_E1!$C$172)*38_v69_E1!Q83/J11</f>
        <v>0.34606514916348</v>
      </c>
      <c r="K16" s="1" t="n">
        <f aca="false">(1-$C$6)*(1-38_v69_E1!$C$172)*38_v69_E1!V83/K11</f>
        <v>0.34606514916348</v>
      </c>
      <c r="L16" s="1" t="n">
        <f aca="false">(1-$C$6)*(1-38_v69_E1!$C$172)*38_v69_E1!AA83/L11</f>
        <v>0.34606514916348</v>
      </c>
      <c r="M16" s="1" t="n">
        <f aca="false">(1-$C$6)*(1-38_v69_E1!$C$172)*38_v69_E1!AF83/M11</f>
        <v>0.34606514916348</v>
      </c>
    </row>
    <row r="17" customFormat="false" ht="12.75" hidden="false" customHeight="true" outlineLevel="0" collapsed="false">
      <c r="B17" s="1" t="s">
        <v>1791</v>
      </c>
      <c r="C17" s="1" t="n">
        <f aca="false">(1-$D$6)*((1-38_v69_E1!$C$172)*38_v69_E1!C83-0)/C11</f>
        <v>0.0254603675106126</v>
      </c>
      <c r="D17" s="1" t="n">
        <f aca="false">(1-$D$6)*((1-38_v69_E1!$C$172)*38_v69_E1!D83-(1-38_v69_E1!$C$172)*38_v69_E1!C83)/D11</f>
        <v>0.0254603675106126</v>
      </c>
      <c r="E17" s="1" t="n">
        <f aca="false">(1-$D$6)*((1-38_v69_E1!$C$172)*38_v69_E1!E83-(1-38_v69_E1!$C$172)*38_v69_E1!D83)/E11</f>
        <v>0.0254603675106126</v>
      </c>
      <c r="F17" s="1" t="n">
        <f aca="false">(1-$D$6)*((1-38_v69_E1!$C$172)*38_v69_E1!G83-(1-38_v69_E1!$C$172)*38_v69_E1!F83)/F11</f>
        <v>0.0254603675106126</v>
      </c>
      <c r="G17" s="1" t="n">
        <f aca="false">(1-$D$6)*((1-38_v69_E1!$C$172)*38_v69_E1!J83-(1-38_v69_E1!$C$172)*38_v69_E1!I83)/G11</f>
        <v>0.0254603675106126</v>
      </c>
      <c r="H17" s="1" t="n">
        <f aca="false">(1-$D$6)*((1-38_v69_E1!$C$172)*38_v69_E1!L83-(1-38_v69_E1!$C$172)*38_v69_E1!K83)/H11</f>
        <v>0.0254603675106126</v>
      </c>
      <c r="I17" s="1" t="n">
        <f aca="false">(1-$D$6)*((1-38_v69_E1!$C$172)*38_v69_E1!N83-(1-38_v69_E1!$C$172)*38_v69_E1!M83)/I11</f>
        <v>0.0055575327683005</v>
      </c>
      <c r="J17" s="1" t="n">
        <f aca="false">(1-$D$6)*((1-38_v69_E1!$C$172)*38_v69_E1!Q83-(1-38_v69_E1!$C$172)*38_v69_E1!P83)/J11</f>
        <v>0.00555753276830046</v>
      </c>
      <c r="K17" s="1" t="n">
        <f aca="false">(1-$D$6)*((1-38_v69_E1!$C$172)*38_v69_E1!V83-(1-38_v69_E1!$C$172)*38_v69_E1!U83)/K11</f>
        <v>0.00555753276830059</v>
      </c>
      <c r="L17" s="1" t="n">
        <f aca="false">(1-$D$6)*((1-38_v69_E1!$C$172)*38_v69_E1!AA83-(1-38_v69_E1!$C$172)*38_v69_E1!Z83)/L11</f>
        <v>0.0055575327683005</v>
      </c>
      <c r="M17" s="1" t="n">
        <f aca="false">(1-$D$6)*((1-38_v69_E1!$C$172)*38_v69_E1!AF83-(1-38_v69_E1!$C$172)*38_v69_E1!AE83)/M11</f>
        <v>0.00555753276830052</v>
      </c>
    </row>
    <row r="18" customFormat="false" ht="12.75" hidden="false" customHeight="true" outlineLevel="0" collapsed="false">
      <c r="B18" s="1" t="s">
        <v>1792</v>
      </c>
      <c r="C18" s="1" t="n">
        <f aca="false">(1-$D$6)*(1-38_v69_E1!$C$172)*38_v69_E1!C83/C11</f>
        <v>0.0254603675106126</v>
      </c>
      <c r="D18" s="1" t="n">
        <f aca="false">(1-$D$6)*(1-38_v69_E1!$C$172)*38_v69_E1!D83/D11</f>
        <v>0.05034831229127</v>
      </c>
      <c r="E18" s="1" t="n">
        <f aca="false">(1-$D$6)*(1-38_v69_E1!$C$172)*38_v69_E1!E83/E11</f>
        <v>0.0746767040612187</v>
      </c>
      <c r="F18" s="1" t="n">
        <f aca="false">(1-$D$6)*(1-38_v69_E1!$C$172)*38_v69_E1!G83/F11</f>
        <v>0.121704867208734</v>
      </c>
      <c r="G18" s="1" t="n">
        <f aca="false">(1-$D$6)*(1-38_v69_E1!$C$172)*38_v69_E1!J83/G11</f>
        <v>0.18835591376</v>
      </c>
      <c r="H18" s="1" t="n">
        <f aca="false">(1-$D$6)*(1-38_v69_E1!$C$172)*38_v69_E1!L83/H11</f>
        <v>0.230329864412616</v>
      </c>
      <c r="I18" s="1" t="n">
        <f aca="false">(1-$D$6)*(1-38_v69_E1!$C$172)*38_v69_E1!N83/I11</f>
        <v>0.247189392259629</v>
      </c>
      <c r="J18" s="1" t="n">
        <f aca="false">(1-$D$6)*(1-38_v69_E1!$C$172)*38_v69_E1!Q83/J11</f>
        <v>0.247189392259629</v>
      </c>
      <c r="K18" s="1" t="n">
        <f aca="false">(1-$D$6)*(1-38_v69_E1!$C$172)*38_v69_E1!V83/K11</f>
        <v>0.247189392259629</v>
      </c>
      <c r="L18" s="1" t="n">
        <f aca="false">(1-$D$6)*(1-38_v69_E1!$C$172)*38_v69_E1!AA83/L11</f>
        <v>0.247189392259629</v>
      </c>
      <c r="M18" s="1" t="n">
        <f aca="false">(1-$D$6)*(1-38_v69_E1!$C$172)*38_v69_E1!AF83/M11</f>
        <v>0.247189392259629</v>
      </c>
    </row>
    <row r="19" customFormat="false" ht="12.75" hidden="false" customHeight="true" outlineLevel="0" collapsed="false">
      <c r="B19" s="1" t="s">
        <v>1793</v>
      </c>
      <c r="C19" s="1" t="n">
        <f aca="false">(1-$E$6)*((1-38_v69_E1!$C$172)*38_v69_E1!C83-0)/C11</f>
        <v>0.0152762205063675</v>
      </c>
      <c r="D19" s="1" t="n">
        <f aca="false">(1-$E$6)*((1-38_v69_E1!$C$172)*38_v69_E1!D83-(1-38_v69_E1!$C$172)*38_v69_E1!C83)/D11</f>
        <v>0.0152762205063675</v>
      </c>
      <c r="E19" s="1" t="n">
        <f aca="false">(1-$E$6)*((1-38_v69_E1!$C$172)*38_v69_E1!E83-(1-38_v69_E1!$C$172)*38_v69_E1!D83)/E11</f>
        <v>0.0152762205063675</v>
      </c>
      <c r="F19" s="1" t="n">
        <f aca="false">(1-$E$6)*((1-38_v69_E1!$C$172)*38_v69_E1!G83-(1-38_v69_E1!$C$172)*38_v69_E1!F83)/F11</f>
        <v>0.0152762205063675</v>
      </c>
      <c r="G19" s="1" t="n">
        <f aca="false">(1-$E$6)*((1-38_v69_E1!$C$172)*38_v69_E1!J83-(1-38_v69_E1!$C$172)*38_v69_E1!I83)/G11</f>
        <v>0.0152762205063676</v>
      </c>
      <c r="H19" s="1" t="n">
        <f aca="false">(1-$E$6)*((1-38_v69_E1!$C$172)*38_v69_E1!L83-(1-38_v69_E1!$C$172)*38_v69_E1!K83)/H11</f>
        <v>0.0152762205063675</v>
      </c>
      <c r="I19" s="1" t="n">
        <f aca="false">(1-$E$6)*((1-38_v69_E1!$C$172)*38_v69_E1!N83-(1-38_v69_E1!$C$172)*38_v69_E1!M83)/I11</f>
        <v>0.0033345196609803</v>
      </c>
      <c r="J19" s="1" t="n">
        <f aca="false">(1-$E$6)*((1-38_v69_E1!$C$172)*38_v69_E1!Q83-(1-38_v69_E1!$C$172)*38_v69_E1!P83)/J11</f>
        <v>0.00333451966098027</v>
      </c>
      <c r="K19" s="1" t="n">
        <f aca="false">(1-$E$6)*((1-38_v69_E1!$C$172)*38_v69_E1!V83-(1-38_v69_E1!$C$172)*38_v69_E1!U83)/K11</f>
        <v>0.00333451966098036</v>
      </c>
      <c r="L19" s="1" t="n">
        <f aca="false">(1-$E$6)*((1-38_v69_E1!$C$172)*38_v69_E1!AA83-(1-38_v69_E1!$C$172)*38_v69_E1!Z83)/L11</f>
        <v>0.0033345196609803</v>
      </c>
      <c r="M19" s="1" t="n">
        <f aca="false">(1-$E$6)*((1-38_v69_E1!$C$172)*38_v69_E1!AF83-(1-38_v69_E1!$C$172)*38_v69_E1!AE83)/M11</f>
        <v>0.00333451966098032</v>
      </c>
    </row>
    <row r="20" customFormat="false" ht="12.75" hidden="false" customHeight="true" outlineLevel="0" collapsed="false">
      <c r="B20" s="1" t="s">
        <v>1794</v>
      </c>
      <c r="C20" s="1" t="n">
        <f aca="false">(1-$E$6)*(1-38_v69_E1!$C$172)*38_v69_E1!C83/C11</f>
        <v>0.0152762205063675</v>
      </c>
      <c r="D20" s="1" t="n">
        <f aca="false">(1-$E$6)*(1-38_v69_E1!$C$172)*38_v69_E1!D83/D11</f>
        <v>0.030208987374762</v>
      </c>
      <c r="E20" s="1" t="n">
        <f aca="false">(1-$E$6)*(1-38_v69_E1!$C$172)*38_v69_E1!E83/E11</f>
        <v>0.0448060224367312</v>
      </c>
      <c r="F20" s="1" t="n">
        <f aca="false">(1-$E$6)*(1-38_v69_E1!$C$172)*38_v69_E1!G83/F11</f>
        <v>0.0730229203252404</v>
      </c>
      <c r="G20" s="1" t="n">
        <f aca="false">(1-$E$6)*(1-38_v69_E1!$C$172)*38_v69_E1!J83/G11</f>
        <v>0.113013548256</v>
      </c>
      <c r="H20" s="1" t="n">
        <f aca="false">(1-$E$6)*(1-38_v69_E1!$C$172)*38_v69_E1!L83/H11</f>
        <v>0.13819791864757</v>
      </c>
      <c r="I20" s="1" t="n">
        <f aca="false">(1-$E$6)*(1-38_v69_E1!$C$172)*38_v69_E1!N83/I11</f>
        <v>0.148313635355777</v>
      </c>
      <c r="J20" s="1" t="n">
        <f aca="false">(1-$E$6)*(1-38_v69_E1!$C$172)*38_v69_E1!Q83/J11</f>
        <v>0.148313635355777</v>
      </c>
      <c r="K20" s="1" t="n">
        <f aca="false">(1-$E$6)*(1-38_v69_E1!$C$172)*38_v69_E1!V83/K11</f>
        <v>0.148313635355777</v>
      </c>
      <c r="L20" s="1" t="n">
        <f aca="false">(1-$E$6)*(1-38_v69_E1!$C$172)*38_v69_E1!AA83/L11</f>
        <v>0.148313635355777</v>
      </c>
      <c r="M20" s="1" t="n">
        <f aca="false">(1-$E$6)*(1-38_v69_E1!$C$172)*38_v69_E1!AF83/M11</f>
        <v>0.148313635355777</v>
      </c>
    </row>
    <row r="21" customFormat="false" ht="12.75" hidden="false" customHeight="true" outlineLevel="0" collapsed="false">
      <c r="B21" s="1" t="s">
        <v>1795</v>
      </c>
      <c r="C21" s="1" t="n">
        <f aca="false">(38_v69_E1!C181-0)/C11</f>
        <v>0.0381905512659189</v>
      </c>
      <c r="D21" s="1" t="n">
        <f aca="false">(38_v69_E1!D181-38_v69_E1!C181)/D11</f>
        <v>0.0390491853608515</v>
      </c>
      <c r="E21" s="1" t="n">
        <f aca="false">(38_v69_E1!E181-38_v69_E1!D181)/E11</f>
        <v>0.0399078194557842</v>
      </c>
      <c r="F21" s="1" t="n">
        <f aca="false">(38_v69_E1!G181-38_v69_E1!F181)/F11</f>
        <v>0.0416250876456495</v>
      </c>
      <c r="G21" s="1" t="n">
        <f aca="false">(38_v69_E1!J181-38_v69_E1!I181)/G11</f>
        <v>0.00429317047466338</v>
      </c>
      <c r="H21" s="1" t="n">
        <f aca="false">(38_v69_E1!L181-38_v69_E1!K181)/H11</f>
        <v>0.00429317047466341</v>
      </c>
      <c r="I21" s="1" t="n">
        <f aca="false">(38_v69_E1!N181-38_v69_E1!M181)/I11</f>
        <v>0.00429317047466337</v>
      </c>
      <c r="J21" s="1" t="n">
        <f aca="false">(38_v69_E1!Q181-38_v69_E1!P181)/J11</f>
        <v>0.00429317047466337</v>
      </c>
      <c r="K21" s="1" t="n">
        <f aca="false">(38_v69_E1!V181-38_v69_E1!U181)/K11</f>
        <v>0.0042931704746634</v>
      </c>
      <c r="L21" s="1" t="n">
        <f aca="false">(38_v69_E1!AA181-38_v69_E1!Z181)/L11</f>
        <v>0.00429317047466338</v>
      </c>
      <c r="M21" s="1" t="n">
        <f aca="false">(38_v69_E1!AF181-38_v69_E1!AE181)/M11</f>
        <v>0.00429317047466341</v>
      </c>
    </row>
    <row r="22" customFormat="false" ht="12.75" hidden="false" customHeight="true" outlineLevel="0" collapsed="false">
      <c r="B22" s="1" t="s">
        <v>1796</v>
      </c>
      <c r="C22" s="1" t="n">
        <f aca="false">38_v69_E1!C181/C11</f>
        <v>0.0381905512659189</v>
      </c>
      <c r="D22" s="1" t="n">
        <f aca="false">38_v69_E1!D181/D11</f>
        <v>0.0763811025318377</v>
      </c>
      <c r="E22" s="1" t="n">
        <f aca="false">38_v69_E1!E181/E11</f>
        <v>0.114571653797757</v>
      </c>
      <c r="F22" s="1" t="n">
        <f aca="false">38_v69_E1!G181/F11</f>
        <v>0.190952756329594</v>
      </c>
      <c r="G22" s="1" t="n">
        <f aca="false">38_v69_E1!J181/G11</f>
        <v>0.190952756329594</v>
      </c>
      <c r="H22" s="1" t="n">
        <f aca="false">38_v69_E1!L181/H11</f>
        <v>0.190952756329594</v>
      </c>
      <c r="I22" s="1" t="n">
        <f aca="false">38_v69_E1!N181/I11</f>
        <v>0.190952756329594</v>
      </c>
      <c r="J22" s="1" t="n">
        <f aca="false">38_v69_E1!Q181/J11</f>
        <v>0.190952756329594</v>
      </c>
      <c r="K22" s="1" t="n">
        <f aca="false">38_v69_E1!V181/K11</f>
        <v>0.190952756329594</v>
      </c>
      <c r="L22" s="1" t="n">
        <f aca="false">38_v69_E1!AA181/L11</f>
        <v>0.190952756329594</v>
      </c>
      <c r="M22" s="1" t="n">
        <f aca="false">38_v69_E1!AF181/M11</f>
        <v>0.190952756329594</v>
      </c>
    </row>
    <row r="23" customFormat="false" ht="13.5" hidden="false" customHeight="true" outlineLevel="0" collapsed="false"/>
    <row r="24" customFormat="false" ht="13.5" hidden="false" customHeight="true" outlineLevel="0" collapsed="false"/>
    <row r="25" customFormat="false" ht="12.75" hidden="false" customHeight="true" outlineLevel="0" collapsed="false">
      <c r="B25" s="1" t="s">
        <v>122</v>
      </c>
      <c r="C25" s="1" t="s">
        <v>717</v>
      </c>
      <c r="D25" s="1" t="s">
        <v>718</v>
      </c>
      <c r="E25" s="1" t="s">
        <v>719</v>
      </c>
      <c r="F25" s="1" t="s">
        <v>721</v>
      </c>
      <c r="G25" s="1" t="s">
        <v>724</v>
      </c>
      <c r="H25" s="1" t="s">
        <v>726</v>
      </c>
      <c r="I25" s="1" t="s">
        <v>1784</v>
      </c>
      <c r="J25" s="1" t="s">
        <v>804</v>
      </c>
      <c r="K25" s="1" t="s">
        <v>758</v>
      </c>
      <c r="L25" s="1" t="s">
        <v>805</v>
      </c>
      <c r="M25" s="1" t="s">
        <v>759</v>
      </c>
    </row>
    <row r="26" customFormat="false" ht="12.75" hidden="false" customHeight="true" outlineLevel="0" collapsed="false">
      <c r="B26" s="1" t="s">
        <v>851</v>
      </c>
      <c r="C26" s="116" t="n">
        <f aca="false">40_v69_E3!C41</f>
        <v>325</v>
      </c>
      <c r="D26" s="116" t="n">
        <f aca="false">40_v69_E3!D41</f>
        <v>332.475</v>
      </c>
      <c r="E26" s="116" t="n">
        <f aca="false">40_v69_E3!E41</f>
        <v>340.121925</v>
      </c>
      <c r="F26" s="116" t="n">
        <f aca="false">40_v69_E3!G41</f>
        <v>355.947458048325</v>
      </c>
      <c r="G26" s="116" t="n">
        <f aca="false">40_v69_E3!J41</f>
        <v>381.077052082304</v>
      </c>
      <c r="H26" s="116" t="n">
        <f aca="false">40_v69_E3!L41</f>
        <v>398.808186238641</v>
      </c>
      <c r="I26" s="116" t="n">
        <f aca="false">40_v69_E3!N41</f>
        <v>417.364332336139</v>
      </c>
      <c r="J26" s="116" t="n">
        <f aca="false">40_v69_E3!Q41</f>
        <v>446.829906534582</v>
      </c>
      <c r="K26" s="116" t="n">
        <f aca="false">40_v69_E3!V41</f>
        <v>500.634069868944</v>
      </c>
      <c r="L26" s="116" t="n">
        <f aca="false">40_v69_E3!AA41</f>
        <v>560.916957992706</v>
      </c>
      <c r="M26" s="116" t="n">
        <f aca="false">40_v69_E3!AF41</f>
        <v>628.458694083994</v>
      </c>
    </row>
    <row r="27" customFormat="false" ht="12.75" hidden="false" customHeight="true" outlineLevel="0" collapsed="false">
      <c r="B27" s="1" t="s">
        <v>1785</v>
      </c>
      <c r="C27" s="1" t="n">
        <f aca="false">$C$4*C26/40_v69_E3!$C$41</f>
        <v>204.239</v>
      </c>
      <c r="D27" s="1" t="n">
        <f aca="false">$C$4*D26/40_v69_E3!$C$41</f>
        <v>208.936497</v>
      </c>
      <c r="E27" s="1" t="n">
        <f aca="false">$C$4*E26/40_v69_E3!$C$41</f>
        <v>213.742036431</v>
      </c>
      <c r="F27" s="1" t="n">
        <f aca="false">$C$4*F26/40_v69_E3!$C$41</f>
        <v>223.687239644098</v>
      </c>
      <c r="G27" s="1" t="n">
        <f aca="false">$C$4*G26/40_v69_E3!$C$41</f>
        <v>239.479372431501</v>
      </c>
      <c r="H27" s="1" t="n">
        <f aca="false">$C$4*H26/40_v69_E3!$C$41</f>
        <v>250.622108151366</v>
      </c>
      <c r="I27" s="1" t="n">
        <f aca="false">$C$4*I26/40_v69_E3!$C$41</f>
        <v>262.283304221541</v>
      </c>
      <c r="J27" s="1" t="n">
        <f aca="false">$C$4*J26/40_v69_E3!$C$41</f>
        <v>280.800287017589</v>
      </c>
      <c r="K27" s="1" t="n">
        <f aca="false">$C$4*K26/40_v69_E3!$C$41</f>
        <v>314.612313218349</v>
      </c>
      <c r="L27" s="1" t="n">
        <f aca="false">$C$4*L26/40_v69_E3!$C$41</f>
        <v>352.495749487607</v>
      </c>
      <c r="M27" s="1" t="n">
        <f aca="false">$C$4*M26/40_v69_E3!$C$41</f>
        <v>394.94084683391</v>
      </c>
    </row>
    <row r="28" customFormat="false" ht="12.75" hidden="false" customHeight="true" outlineLevel="0" collapsed="false">
      <c r="B28" s="1" t="s">
        <v>1786</v>
      </c>
      <c r="C28" s="1" t="n">
        <f aca="false">(1-40_v69_E3!$C$172)*40_v69_E3!C83</f>
        <v>7.8</v>
      </c>
      <c r="D28" s="1" t="n">
        <f aca="false">(1-40_v69_E3!$C$172)*40_v69_E3!D83</f>
        <v>15.7794</v>
      </c>
      <c r="E28" s="1" t="n">
        <f aca="false">(1-40_v69_E3!$C$172)*40_v69_E3!E83</f>
        <v>23.9423262</v>
      </c>
      <c r="F28" s="1" t="n">
        <f aca="false">(1-40_v69_E3!$C$172)*40_v69_E3!G83</f>
        <v>40.8357386957598</v>
      </c>
      <c r="G28" s="1" t="n">
        <f aca="false">(1-40_v69_E3!$C$172)*40_v69_E3!J83</f>
        <v>67.6610340315101</v>
      </c>
      <c r="H28" s="1" t="n">
        <f aca="false">(1-40_v69_E3!$C$172)*40_v69_E3!L83</f>
        <v>86.5886342839622</v>
      </c>
      <c r="I28" s="1" t="n">
        <f aca="false">(1-40_v69_E3!$C$172)*40_v69_E3!N83</f>
        <v>106.396916848561</v>
      </c>
      <c r="J28" s="1" t="n">
        <f aca="false">(1-40_v69_E3!$C$172)*40_v69_E3!Q83</f>
        <v>137.850776749437</v>
      </c>
      <c r="K28" s="1" t="n">
        <f aca="false">(1-40_v69_E3!$C$172)*40_v69_E3!V83</f>
        <v>155.537653003679</v>
      </c>
      <c r="L28" s="1" t="n">
        <f aca="false">(1-40_v69_E3!$C$172)*40_v69_E3!AA83</f>
        <v>166.753421258452</v>
      </c>
      <c r="M28" s="1" t="n">
        <f aca="false">(1-40_v69_E3!$C$172)*40_v69_E3!AF83</f>
        <v>176.584910067831</v>
      </c>
    </row>
    <row r="29" customFormat="false" ht="12.75" hidden="false" customHeight="true" outlineLevel="0" collapsed="false">
      <c r="B29" s="1" t="s">
        <v>1787</v>
      </c>
      <c r="C29" s="117" t="n">
        <f aca="false">40_v69_E3!C181</f>
        <v>7.8</v>
      </c>
      <c r="D29" s="117" t="n">
        <f aca="false">40_v69_E3!D181</f>
        <v>15.9588</v>
      </c>
      <c r="E29" s="117" t="n">
        <f aca="false">40_v69_E3!E181</f>
        <v>24.4887786</v>
      </c>
      <c r="F29" s="117" t="n">
        <f aca="false">40_v69_E3!G181</f>
        <v>42.713694965799</v>
      </c>
      <c r="G29" s="117" t="n">
        <f aca="false">40_v69_E3!J181</f>
        <v>45.7292462498765</v>
      </c>
      <c r="H29" s="117" t="n">
        <f aca="false">40_v69_E3!L181</f>
        <v>47.856982348637</v>
      </c>
      <c r="I29" s="117" t="n">
        <f aca="false">40_v69_E3!N181</f>
        <v>50.0837198803367</v>
      </c>
      <c r="J29" s="117" t="n">
        <f aca="false">40_v69_E3!Q181</f>
        <v>53.6195887841498</v>
      </c>
      <c r="K29" s="117" t="n">
        <f aca="false">40_v69_E3!V181</f>
        <v>60.0760883842733</v>
      </c>
      <c r="L29" s="117" t="n">
        <f aca="false">40_v69_E3!AA181</f>
        <v>67.3100349591248</v>
      </c>
      <c r="M29" s="117" t="n">
        <f aca="false">40_v69_E3!AF181</f>
        <v>75.4150432900793</v>
      </c>
    </row>
    <row r="30" customFormat="false" ht="12.75" hidden="false" customHeight="true" outlineLevel="0" collapsed="false">
      <c r="B30" s="1" t="s">
        <v>1788</v>
      </c>
      <c r="C30" s="1" t="n">
        <f aca="false">40_v69_E3!C83/($C$5*C26/40_v69_E3!$C$41+40_v69_E3!C83)</f>
        <v>0.0320460147904684</v>
      </c>
      <c r="D30" s="1" t="n">
        <f aca="false">40_v69_E3!D83/($C$5*D26/40_v69_E3!$C$41+40_v69_E3!D83)</f>
        <v>0.0614466923833578</v>
      </c>
      <c r="E30" s="1" t="n">
        <f aca="false">40_v69_E3!E83/($C$5*E26/40_v69_E3!$C$41+40_v69_E3!E83)</f>
        <v>0.0885098806612126</v>
      </c>
      <c r="F30" s="1" t="n">
        <f aca="false">40_v69_E3!G83/($C$5*F26/40_v69_E3!$C$41+40_v69_E3!G83)</f>
        <v>0.136633661657385</v>
      </c>
      <c r="G30" s="1" t="n">
        <f aca="false">40_v69_E3!J83/($C$5*G26/40_v69_E3!$C$41+40_v69_E3!J83)</f>
        <v>0.196739047485542</v>
      </c>
      <c r="H30" s="1" t="n">
        <f aca="false">40_v69_E3!L83/($C$5*H26/40_v69_E3!$C$41+40_v69_E3!L83)</f>
        <v>0.230476556005909</v>
      </c>
      <c r="I30" s="1" t="n">
        <f aca="false">40_v69_E3!N83/($C$5*I26/40_v69_E3!$C$41+40_v69_E3!N83)</f>
        <v>0.260168451994999</v>
      </c>
      <c r="J30" s="1" t="n">
        <f aca="false">40_v69_E3!Q83/($C$5*J26/40_v69_E3!$C$41+40_v69_E3!Q83)</f>
        <v>0.298528158385677</v>
      </c>
      <c r="K30" s="1" t="n">
        <f aca="false">40_v69_E3!V83/($C$5*K26/40_v69_E3!$C$41+40_v69_E3!V83)</f>
        <v>0.3</v>
      </c>
      <c r="L30" s="1" t="n">
        <f aca="false">40_v69_E3!AA83/($C$5*L26/40_v69_E3!$C$41+40_v69_E3!AA83)</f>
        <v>0.29082782015586</v>
      </c>
      <c r="M30" s="1" t="n">
        <f aca="false">40_v69_E3!AF83/($C$5*M26/40_v69_E3!$C$41+40_v69_E3!AF83)</f>
        <v>0.279331755374892</v>
      </c>
    </row>
    <row r="31" customFormat="false" ht="12.75" hidden="false" customHeight="true" outlineLevel="0" collapsed="false">
      <c r="B31" s="1" t="s">
        <v>1789</v>
      </c>
      <c r="C31" s="1" t="n">
        <f aca="false">(1-$C$6)*((1-40_v69_E3!$C$172)*40_v69_E3!C83-0)/C27</f>
        <v>0.0267333858861432</v>
      </c>
      <c r="D31" s="1" t="n">
        <f aca="false">(1-$C$6)*((1-40_v69_E3!$C$172)*40_v69_E3!D83-(1-40_v69_E3!$C$172)*40_v69_E3!C83)/D27</f>
        <v>0.0267333858861432</v>
      </c>
      <c r="E31" s="1" t="n">
        <f aca="false">(1-$C$6)*((1-40_v69_E3!$C$172)*40_v69_E3!E83-(1-40_v69_E3!$C$172)*40_v69_E3!D83)/E27</f>
        <v>0.0267333858861432</v>
      </c>
      <c r="F31" s="1" t="n">
        <f aca="false">(1-$C$6)*((1-40_v69_E3!$C$172)*40_v69_E3!G83-(1-40_v69_E3!$C$172)*40_v69_E3!F83)/F27</f>
        <v>0.0267333858861432</v>
      </c>
      <c r="G31" s="1" t="n">
        <f aca="false">(1-$C$6)*((1-40_v69_E3!$C$172)*40_v69_E3!J83-(1-40_v69_E3!$C$172)*40_v69_E3!I83)/G27</f>
        <v>0.0267333858861432</v>
      </c>
      <c r="H31" s="1" t="n">
        <f aca="false">(1-$C$6)*((1-40_v69_E3!$C$172)*40_v69_E3!L83-(1-40_v69_E3!$C$172)*40_v69_E3!K83)/H27</f>
        <v>0.0267333858861432</v>
      </c>
      <c r="I31" s="1" t="n">
        <f aca="false">(1-$C$6)*((1-40_v69_E3!$C$172)*40_v69_E3!N83-(1-40_v69_E3!$C$172)*40_v69_E3!M83)/I27</f>
        <v>0.0267333858861432</v>
      </c>
      <c r="J31" s="1" t="n">
        <f aca="false">(1-$C$6)*((1-40_v69_E3!$C$172)*40_v69_E3!Q83-(1-40_v69_E3!$C$172)*40_v69_E3!P83)/J27</f>
        <v>0.0267333858861432</v>
      </c>
      <c r="K31" s="1" t="n">
        <f aca="false">(1-$C$6)*((1-40_v69_E3!$C$172)*40_v69_E3!V83-(1-40_v69_E3!$C$172)*40_v69_E3!U83)/K27</f>
        <v>0.00778054587562083</v>
      </c>
      <c r="L31" s="1" t="n">
        <f aca="false">(1-$C$6)*((1-40_v69_E3!$C$172)*40_v69_E3!AA83-(1-40_v69_E3!$C$172)*40_v69_E3!Z83)/L27</f>
        <v>0.00418840655742279</v>
      </c>
      <c r="M31" s="1" t="n">
        <f aca="false">(1-$C$6)*((1-40_v69_E3!$C$172)*40_v69_E3!AF83-(1-40_v69_E3!$C$172)*40_v69_E3!AE83)/M27</f>
        <v>0.00331570411917922</v>
      </c>
    </row>
    <row r="32" customFormat="false" ht="12.75" hidden="false" customHeight="true" outlineLevel="0" collapsed="false">
      <c r="B32" s="1" t="s">
        <v>1790</v>
      </c>
      <c r="C32" s="1" t="n">
        <f aca="false">(1-$C$6)*(1-40_v69_E3!$C$172)*40_v69_E3!C83/C27</f>
        <v>0.0267333858861432</v>
      </c>
      <c r="D32" s="1" t="n">
        <f aca="false">(1-$C$6)*(1-40_v69_E3!$C$172)*40_v69_E3!D83/D27</f>
        <v>0.0528657279058335</v>
      </c>
      <c r="E32" s="1" t="n">
        <f aca="false">(1-$C$6)*(1-40_v69_E3!$C$172)*40_v69_E3!E83/E27</f>
        <v>0.0784105392642796</v>
      </c>
      <c r="F32" s="1" t="n">
        <f aca="false">(1-$C$6)*(1-40_v69_E3!$C$172)*40_v69_E3!G83/F27</f>
        <v>0.127790110569171</v>
      </c>
      <c r="G32" s="1" t="n">
        <f aca="false">(1-$C$6)*(1-40_v69_E3!$C$172)*40_v69_E3!J83/G27</f>
        <v>0.197773709448</v>
      </c>
      <c r="H32" s="1" t="n">
        <f aca="false">(1-$C$6)*(1-40_v69_E3!$C$172)*40_v69_E3!L83/H27</f>
        <v>0.241846357633247</v>
      </c>
      <c r="I32" s="1" t="n">
        <f aca="false">(1-$C$6)*(1-40_v69_E3!$C$172)*40_v69_E3!N83/I27</f>
        <v>0.28395952237617</v>
      </c>
      <c r="J32" s="1" t="n">
        <f aca="false">(1-$C$6)*(1-40_v69_E3!$C$172)*40_v69_E3!Q83/J27</f>
        <v>0.343644747480482</v>
      </c>
      <c r="K32" s="1" t="n">
        <f aca="false">(1-$C$6)*(1-40_v69_E3!$C$172)*40_v69_E3!V83/K27</f>
        <v>0.34606514916348</v>
      </c>
      <c r="L32" s="1" t="n">
        <f aca="false">(1-$C$6)*(1-40_v69_E3!$C$172)*40_v69_E3!AA83/L27</f>
        <v>0.331145538777682</v>
      </c>
      <c r="M32" s="1" t="n">
        <f aca="false">(1-$C$6)*(1-40_v69_E3!$C$172)*40_v69_E3!AF83/M27</f>
        <v>0.312982154260344</v>
      </c>
    </row>
    <row r="33" customFormat="false" ht="12.75" hidden="false" customHeight="true" outlineLevel="0" collapsed="false">
      <c r="B33" s="1" t="s">
        <v>1791</v>
      </c>
      <c r="C33" s="1" t="n">
        <f aca="false">(1-$D$6)*((1-40_v69_E3!$C$172)*40_v69_E3!C83-0)/C27</f>
        <v>0.0190952756329594</v>
      </c>
      <c r="D33" s="1" t="n">
        <f aca="false">(1-$D$6)*((1-40_v69_E3!$C$172)*40_v69_E3!D83-(1-40_v69_E3!$C$172)*40_v69_E3!C83)/D27</f>
        <v>0.0190952756329594</v>
      </c>
      <c r="E33" s="1" t="n">
        <f aca="false">(1-$D$6)*((1-40_v69_E3!$C$172)*40_v69_E3!E83-(1-40_v69_E3!$C$172)*40_v69_E3!D83)/E27</f>
        <v>0.0190952756329594</v>
      </c>
      <c r="F33" s="1" t="n">
        <f aca="false">(1-$D$6)*((1-40_v69_E3!$C$172)*40_v69_E3!G83-(1-40_v69_E3!$C$172)*40_v69_E3!F83)/F27</f>
        <v>0.0190952756329594</v>
      </c>
      <c r="G33" s="1" t="n">
        <f aca="false">(1-$D$6)*((1-40_v69_E3!$C$172)*40_v69_E3!J83-(1-40_v69_E3!$C$172)*40_v69_E3!I83)/G27</f>
        <v>0.0190952756329594</v>
      </c>
      <c r="H33" s="1" t="n">
        <f aca="false">(1-$D$6)*((1-40_v69_E3!$C$172)*40_v69_E3!L83-(1-40_v69_E3!$C$172)*40_v69_E3!K83)/H27</f>
        <v>0.0190952756329594</v>
      </c>
      <c r="I33" s="1" t="n">
        <f aca="false">(1-$D$6)*((1-40_v69_E3!$C$172)*40_v69_E3!N83-(1-40_v69_E3!$C$172)*40_v69_E3!M83)/I27</f>
        <v>0.0190952756329594</v>
      </c>
      <c r="J33" s="1" t="n">
        <f aca="false">(1-$D$6)*((1-40_v69_E3!$C$172)*40_v69_E3!Q83-(1-40_v69_E3!$C$172)*40_v69_E3!P83)/J27</f>
        <v>0.0190952756329594</v>
      </c>
      <c r="K33" s="1" t="n">
        <f aca="false">(1-$D$6)*((1-40_v69_E3!$C$172)*40_v69_E3!V83-(1-40_v69_E3!$C$172)*40_v69_E3!U83)/K27</f>
        <v>0.00555753276830059</v>
      </c>
      <c r="L33" s="1" t="n">
        <f aca="false">(1-$D$6)*((1-40_v69_E3!$C$172)*40_v69_E3!AA83-(1-40_v69_E3!$C$172)*40_v69_E3!Z83)/L27</f>
        <v>0.00299171896958771</v>
      </c>
      <c r="M33" s="1" t="n">
        <f aca="false">(1-$D$6)*((1-40_v69_E3!$C$172)*40_v69_E3!AF83-(1-40_v69_E3!$C$172)*40_v69_E3!AE83)/M27</f>
        <v>0.00236836008512801</v>
      </c>
    </row>
    <row r="34" customFormat="false" ht="12.75" hidden="false" customHeight="true" outlineLevel="0" collapsed="false">
      <c r="B34" s="1" t="s">
        <v>1792</v>
      </c>
      <c r="C34" s="1" t="n">
        <f aca="false">(1-$D$6)*(1-40_v69_E3!$C$172)*40_v69_E3!C83/C27</f>
        <v>0.0190952756329594</v>
      </c>
      <c r="D34" s="1" t="n">
        <f aca="false">(1-$D$6)*(1-40_v69_E3!$C$172)*40_v69_E3!D83/D27</f>
        <v>0.0377612342184525</v>
      </c>
      <c r="E34" s="1" t="n">
        <f aca="false">(1-$D$6)*(1-40_v69_E3!$C$172)*40_v69_E3!E83/E27</f>
        <v>0.056007528045914</v>
      </c>
      <c r="F34" s="1" t="n">
        <f aca="false">(1-$D$6)*(1-40_v69_E3!$C$172)*40_v69_E3!G83/F27</f>
        <v>0.0912786504065505</v>
      </c>
      <c r="G34" s="1" t="n">
        <f aca="false">(1-$D$6)*(1-40_v69_E3!$C$172)*40_v69_E3!J83/G27</f>
        <v>0.14126693532</v>
      </c>
      <c r="H34" s="1" t="n">
        <f aca="false">(1-$D$6)*(1-40_v69_E3!$C$172)*40_v69_E3!L83/H27</f>
        <v>0.172747398309462</v>
      </c>
      <c r="I34" s="1" t="n">
        <f aca="false">(1-$D$6)*(1-40_v69_E3!$C$172)*40_v69_E3!N83/I27</f>
        <v>0.202828230268693</v>
      </c>
      <c r="J34" s="1" t="n">
        <f aca="false">(1-$D$6)*(1-40_v69_E3!$C$172)*40_v69_E3!Q83/J27</f>
        <v>0.24546053391463</v>
      </c>
      <c r="K34" s="1" t="n">
        <f aca="false">(1-$D$6)*(1-40_v69_E3!$C$172)*40_v69_E3!V83/K27</f>
        <v>0.247189392259629</v>
      </c>
      <c r="L34" s="1" t="n">
        <f aca="false">(1-$D$6)*(1-40_v69_E3!$C$172)*40_v69_E3!AA83/L27</f>
        <v>0.236532527698344</v>
      </c>
      <c r="M34" s="1" t="n">
        <f aca="false">(1-$D$6)*(1-40_v69_E3!$C$172)*40_v69_E3!AF83/M27</f>
        <v>0.223558681614532</v>
      </c>
    </row>
    <row r="35" customFormat="false" ht="12.75" hidden="false" customHeight="true" outlineLevel="0" collapsed="false">
      <c r="B35" s="1" t="s">
        <v>1793</v>
      </c>
      <c r="C35" s="1" t="n">
        <f aca="false">(1-$E$6)*((1-40_v69_E3!$C$172)*40_v69_E3!C83-0)/C27</f>
        <v>0.0114571653797757</v>
      </c>
      <c r="D35" s="1" t="n">
        <f aca="false">(1-$E$6)*((1-40_v69_E3!$C$172)*40_v69_E3!D83-(1-40_v69_E3!$C$172)*40_v69_E3!C83)/D27</f>
        <v>0.0114571653797757</v>
      </c>
      <c r="E35" s="1" t="n">
        <f aca="false">(1-$E$6)*((1-40_v69_E3!$C$172)*40_v69_E3!E83-(1-40_v69_E3!$C$172)*40_v69_E3!D83)/E27</f>
        <v>0.0114571653797757</v>
      </c>
      <c r="F35" s="1" t="n">
        <f aca="false">(1-$E$6)*((1-40_v69_E3!$C$172)*40_v69_E3!G83-(1-40_v69_E3!$C$172)*40_v69_E3!F83)/F27</f>
        <v>0.0114571653797757</v>
      </c>
      <c r="G35" s="1" t="n">
        <f aca="false">(1-$E$6)*((1-40_v69_E3!$C$172)*40_v69_E3!J83-(1-40_v69_E3!$C$172)*40_v69_E3!I83)/G27</f>
        <v>0.0114571653797757</v>
      </c>
      <c r="H35" s="1" t="n">
        <f aca="false">(1-$E$6)*((1-40_v69_E3!$C$172)*40_v69_E3!L83-(1-40_v69_E3!$C$172)*40_v69_E3!K83)/H27</f>
        <v>0.0114571653797757</v>
      </c>
      <c r="I35" s="1" t="n">
        <f aca="false">(1-$E$6)*((1-40_v69_E3!$C$172)*40_v69_E3!N83-(1-40_v69_E3!$C$172)*40_v69_E3!M83)/I27</f>
        <v>0.0114571653797757</v>
      </c>
      <c r="J35" s="1" t="n">
        <f aca="false">(1-$E$6)*((1-40_v69_E3!$C$172)*40_v69_E3!Q83-(1-40_v69_E3!$C$172)*40_v69_E3!P83)/J27</f>
        <v>0.0114571653797756</v>
      </c>
      <c r="K35" s="1" t="n">
        <f aca="false">(1-$E$6)*((1-40_v69_E3!$C$172)*40_v69_E3!V83-(1-40_v69_E3!$C$172)*40_v69_E3!U83)/K27</f>
        <v>0.00333451966098036</v>
      </c>
      <c r="L35" s="1" t="n">
        <f aca="false">(1-$E$6)*((1-40_v69_E3!$C$172)*40_v69_E3!AA83-(1-40_v69_E3!$C$172)*40_v69_E3!Z83)/L27</f>
        <v>0.00179503138175263</v>
      </c>
      <c r="M35" s="1" t="n">
        <f aca="false">(1-$E$6)*((1-40_v69_E3!$C$172)*40_v69_E3!AF83-(1-40_v69_E3!$C$172)*40_v69_E3!AE83)/M27</f>
        <v>0.00142101605107681</v>
      </c>
    </row>
    <row r="36" customFormat="false" ht="12.75" hidden="false" customHeight="true" outlineLevel="0" collapsed="false">
      <c r="B36" s="1" t="s">
        <v>1794</v>
      </c>
      <c r="C36" s="1" t="n">
        <f aca="false">(1-$E$6)*(1-40_v69_E3!$C$172)*40_v69_E3!C83/C27</f>
        <v>0.0114571653797757</v>
      </c>
      <c r="D36" s="1" t="n">
        <f aca="false">(1-$E$6)*(1-40_v69_E3!$C$172)*40_v69_E3!D83/D27</f>
        <v>0.0226567405310715</v>
      </c>
      <c r="E36" s="1" t="n">
        <f aca="false">(1-$E$6)*(1-40_v69_E3!$C$172)*40_v69_E3!E83/E27</f>
        <v>0.0336045168275484</v>
      </c>
      <c r="F36" s="1" t="n">
        <f aca="false">(1-$E$6)*(1-40_v69_E3!$C$172)*40_v69_E3!G83/F27</f>
        <v>0.0547671902439303</v>
      </c>
      <c r="G36" s="1" t="n">
        <f aca="false">(1-$E$6)*(1-40_v69_E3!$C$172)*40_v69_E3!J83/G27</f>
        <v>0.0847601611920002</v>
      </c>
      <c r="H36" s="1" t="n">
        <f aca="false">(1-$E$6)*(1-40_v69_E3!$C$172)*40_v69_E3!L83/H27</f>
        <v>0.103648438985677</v>
      </c>
      <c r="I36" s="1" t="n">
        <f aca="false">(1-$E$6)*(1-40_v69_E3!$C$172)*40_v69_E3!N83/I27</f>
        <v>0.121696938161216</v>
      </c>
      <c r="J36" s="1" t="n">
        <f aca="false">(1-$E$6)*(1-40_v69_E3!$C$172)*40_v69_E3!Q83/J27</f>
        <v>0.147276320348778</v>
      </c>
      <c r="K36" s="1" t="n">
        <f aca="false">(1-$E$6)*(1-40_v69_E3!$C$172)*40_v69_E3!V83/K27</f>
        <v>0.148313635355777</v>
      </c>
      <c r="L36" s="1" t="n">
        <f aca="false">(1-$E$6)*(1-40_v69_E3!$C$172)*40_v69_E3!AA83/L27</f>
        <v>0.141919516619006</v>
      </c>
      <c r="M36" s="1" t="n">
        <f aca="false">(1-$E$6)*(1-40_v69_E3!$C$172)*40_v69_E3!AF83/M27</f>
        <v>0.134135208968719</v>
      </c>
    </row>
    <row r="37" customFormat="false" ht="12.75" hidden="false" customHeight="true" outlineLevel="0" collapsed="false">
      <c r="B37" s="1" t="s">
        <v>1795</v>
      </c>
      <c r="C37" s="1" t="n">
        <f aca="false">(40_v69_E3!C181-0)/C27</f>
        <v>0.0381905512659189</v>
      </c>
      <c r="D37" s="1" t="n">
        <f aca="false">(40_v69_E3!D181-40_v69_E3!C181)/D27</f>
        <v>0.0390491853608515</v>
      </c>
      <c r="E37" s="1" t="n">
        <f aca="false">(40_v69_E3!E181-40_v69_E3!D181)/E27</f>
        <v>0.0399078194557842</v>
      </c>
      <c r="F37" s="1" t="n">
        <f aca="false">(40_v69_E3!G181-40_v69_E3!F181)/F27</f>
        <v>0.0416250876456495</v>
      </c>
      <c r="G37" s="1" t="n">
        <f aca="false">(40_v69_E3!J181-40_v69_E3!I181)/G27</f>
        <v>0.00429317047466338</v>
      </c>
      <c r="H37" s="1" t="n">
        <f aca="false">(40_v69_E3!L181-40_v69_E3!K181)/H27</f>
        <v>0.00429317047466341</v>
      </c>
      <c r="I37" s="1" t="n">
        <f aca="false">(40_v69_E3!N181-40_v69_E3!M181)/I27</f>
        <v>0.00429317047466337</v>
      </c>
      <c r="J37" s="1" t="n">
        <f aca="false">(40_v69_E3!Q181-40_v69_E3!P181)/J27</f>
        <v>0.00429317047466337</v>
      </c>
      <c r="K37" s="1" t="n">
        <f aca="false">(40_v69_E3!V181-40_v69_E3!U181)/K27</f>
        <v>0.0042931704746634</v>
      </c>
      <c r="L37" s="1" t="n">
        <f aca="false">(40_v69_E3!AA181-40_v69_E3!Z181)/L27</f>
        <v>0.00429317047466338</v>
      </c>
      <c r="M37" s="1" t="n">
        <f aca="false">(40_v69_E3!AF181-40_v69_E3!AE181)/M27</f>
        <v>0.00429317047466341</v>
      </c>
    </row>
    <row r="38" customFormat="false" ht="12.75" hidden="false" customHeight="true" outlineLevel="0" collapsed="false">
      <c r="B38" s="1" t="s">
        <v>1796</v>
      </c>
      <c r="C38" s="1" t="n">
        <f aca="false">40_v69_E3!C181/C27</f>
        <v>0.0381905512659189</v>
      </c>
      <c r="D38" s="1" t="n">
        <f aca="false">40_v69_E3!D181/D27</f>
        <v>0.0763811025318377</v>
      </c>
      <c r="E38" s="1" t="n">
        <f aca="false">40_v69_E3!E181/E27</f>
        <v>0.114571653797757</v>
      </c>
      <c r="F38" s="1" t="n">
        <f aca="false">40_v69_E3!G181/F27</f>
        <v>0.190952756329594</v>
      </c>
      <c r="G38" s="1" t="n">
        <f aca="false">40_v69_E3!J181/G27</f>
        <v>0.190952756329594</v>
      </c>
      <c r="H38" s="1" t="n">
        <f aca="false">40_v69_E3!L181/H27</f>
        <v>0.190952756329594</v>
      </c>
      <c r="I38" s="1" t="n">
        <f aca="false">40_v69_E3!N181/I27</f>
        <v>0.190952756329594</v>
      </c>
      <c r="J38" s="1" t="n">
        <f aca="false">40_v69_E3!Q181/J27</f>
        <v>0.190952756329594</v>
      </c>
      <c r="K38" s="1" t="n">
        <f aca="false">40_v69_E3!V181/K27</f>
        <v>0.190952756329594</v>
      </c>
      <c r="L38" s="1" t="n">
        <f aca="false">40_v69_E3!AA181/L27</f>
        <v>0.190952756329594</v>
      </c>
      <c r="M38" s="1" t="n">
        <f aca="false">40_v69_E3!AF181/M27</f>
        <v>0.190952756329594</v>
      </c>
    </row>
    <row r="39" customFormat="false" ht="13.5" hidden="false" customHeight="true" outlineLevel="0" collapsed="false"/>
    <row r="40" customFormat="false" ht="13.5" hidden="false" customHeight="true" outlineLevel="0" collapsed="false"/>
    <row r="41" customFormat="false" ht="12.75" hidden="false" customHeight="true" outlineLevel="0" collapsed="false">
      <c r="B41" s="1" t="s">
        <v>1797</v>
      </c>
      <c r="C41" s="1" t="s">
        <v>717</v>
      </c>
      <c r="D41" s="1" t="s">
        <v>718</v>
      </c>
      <c r="E41" s="1" t="s">
        <v>719</v>
      </c>
      <c r="F41" s="1" t="s">
        <v>721</v>
      </c>
      <c r="G41" s="1" t="s">
        <v>724</v>
      </c>
      <c r="H41" s="1" t="s">
        <v>726</v>
      </c>
      <c r="I41" s="1" t="s">
        <v>1784</v>
      </c>
      <c r="J41" s="1" t="s">
        <v>804</v>
      </c>
      <c r="K41" s="1" t="s">
        <v>758</v>
      </c>
      <c r="L41" s="1" t="s">
        <v>805</v>
      </c>
      <c r="M41" s="1" t="s">
        <v>759</v>
      </c>
    </row>
    <row r="42" customFormat="false" ht="12.75" hidden="false" customHeight="true" outlineLevel="0" collapsed="false">
      <c r="B42" s="1" t="s">
        <v>851</v>
      </c>
      <c r="C42" s="116" t="n">
        <f aca="false">43_Diablo_Defensas!C41</f>
        <v>325</v>
      </c>
      <c r="D42" s="116" t="n">
        <f aca="false">43_Diablo_Defensas!D41</f>
        <v>332.475</v>
      </c>
      <c r="E42" s="116" t="n">
        <f aca="false">43_Diablo_Defensas!E41</f>
        <v>340.121925</v>
      </c>
      <c r="F42" s="116" t="n">
        <f aca="false">43_Diablo_Defensas!G41</f>
        <v>355.947458048325</v>
      </c>
      <c r="G42" s="116" t="n">
        <f aca="false">43_Diablo_Defensas!J41</f>
        <v>381.077052082304</v>
      </c>
      <c r="H42" s="116" t="n">
        <f aca="false">43_Diablo_Defensas!L41</f>
        <v>398.808186238641</v>
      </c>
      <c r="I42" s="116" t="n">
        <f aca="false">43_Diablo_Defensas!N41</f>
        <v>417.364332336139</v>
      </c>
      <c r="J42" s="116" t="n">
        <f aca="false">43_Diablo_Defensas!Q41</f>
        <v>446.829906534582</v>
      </c>
      <c r="K42" s="116" t="n">
        <f aca="false">43_Diablo_Defensas!V41</f>
        <v>500.634069868944</v>
      </c>
      <c r="L42" s="116" t="n">
        <f aca="false">43_Diablo_Defensas!AA41</f>
        <v>560.916957992706</v>
      </c>
      <c r="M42" s="116" t="n">
        <f aca="false">43_Diablo_Defensas!AF41</f>
        <v>628.458694083994</v>
      </c>
    </row>
    <row r="43" customFormat="false" ht="12.75" hidden="false" customHeight="true" outlineLevel="0" collapsed="false">
      <c r="B43" s="1" t="s">
        <v>1785</v>
      </c>
      <c r="C43" s="1" t="n">
        <f aca="false">$C$4*C42/43_Diablo_Defensas!$C$41</f>
        <v>204.239</v>
      </c>
      <c r="D43" s="1" t="n">
        <f aca="false">$C$4*D42/43_Diablo_Defensas!$C$41</f>
        <v>208.936497</v>
      </c>
      <c r="E43" s="1" t="n">
        <f aca="false">$C$4*E42/43_Diablo_Defensas!$C$41</f>
        <v>213.742036431</v>
      </c>
      <c r="F43" s="1" t="n">
        <f aca="false">$C$4*F42/43_Diablo_Defensas!$C$41</f>
        <v>223.687239644098</v>
      </c>
      <c r="G43" s="1" t="n">
        <f aca="false">$C$4*G42/43_Diablo_Defensas!$C$41</f>
        <v>239.479372431501</v>
      </c>
      <c r="H43" s="1" t="n">
        <f aca="false">$C$4*H42/43_Diablo_Defensas!$C$41</f>
        <v>250.622108151366</v>
      </c>
      <c r="I43" s="1" t="n">
        <f aca="false">$C$4*I42/43_Diablo_Defensas!$C$41</f>
        <v>262.283304221541</v>
      </c>
      <c r="J43" s="1" t="n">
        <f aca="false">$C$4*J42/43_Diablo_Defensas!$C$41</f>
        <v>280.800287017589</v>
      </c>
      <c r="K43" s="1" t="n">
        <f aca="false">$C$4*K42/43_Diablo_Defensas!$C$41</f>
        <v>314.612313218349</v>
      </c>
      <c r="L43" s="1" t="n">
        <f aca="false">$C$4*L42/43_Diablo_Defensas!$C$41</f>
        <v>352.495749487607</v>
      </c>
      <c r="M43" s="1" t="n">
        <f aca="false">$C$4*M42/43_Diablo_Defensas!$C$41</f>
        <v>394.94084683391</v>
      </c>
    </row>
    <row r="44" customFormat="false" ht="12.75" hidden="false" customHeight="true" outlineLevel="0" collapsed="false">
      <c r="B44" s="1" t="s">
        <v>1786</v>
      </c>
      <c r="C44" s="1" t="n">
        <f aca="false">(1-43_Diablo_Defensas!$C$172)*43_Diablo_Defensas!C83</f>
        <v>4.82044491317486</v>
      </c>
      <c r="D44" s="1" t="n">
        <f aca="false">(1-43_Diablo_Defensas!$C$172)*43_Diablo_Defensas!D83</f>
        <v>12.5924327864198</v>
      </c>
      <c r="E44" s="1" t="n">
        <f aca="false">(1-43_Diablo_Defensas!$C$172)*43_Diablo_Defensas!E83</f>
        <v>22.1158466864198</v>
      </c>
      <c r="F44" s="1" t="n">
        <f aca="false">(1-43_Diablo_Defensas!$C$172)*43_Diablo_Defensas!G83</f>
        <v>41.8248279314729</v>
      </c>
      <c r="G44" s="1" t="n">
        <f aca="false">(1-43_Diablo_Defensas!$C$172)*43_Diablo_Defensas!J83</f>
        <v>73.1210058231815</v>
      </c>
      <c r="H44" s="1" t="n">
        <f aca="false">(1-43_Diablo_Defensas!$C$172)*43_Diablo_Defensas!L83</f>
        <v>95.203206117709</v>
      </c>
      <c r="I44" s="1" t="n">
        <f aca="false">(1-43_Diablo_Defensas!$C$172)*43_Diablo_Defensas!N83</f>
        <v>113.458888498147</v>
      </c>
      <c r="J44" s="1" t="n">
        <f aca="false">(1-43_Diablo_Defensas!$C$172)*43_Diablo_Defensas!Q83</f>
        <v>121.468991514862</v>
      </c>
      <c r="K44" s="1" t="n">
        <f aca="false">(1-43_Diablo_Defensas!$C$172)*43_Diablo_Defensas!V83</f>
        <v>135.210942104959</v>
      </c>
      <c r="L44" s="1" t="n">
        <f aca="false">(1-43_Diablo_Defensas!$C$172)*43_Diablo_Defensas!AA83</f>
        <v>144.851778011926</v>
      </c>
      <c r="M44" s="1" t="n">
        <f aca="false">(1-43_Diablo_Defensas!$C$172)*43_Diablo_Defensas!AF83</f>
        <v>152.070442154107</v>
      </c>
    </row>
    <row r="45" customFormat="false" ht="12.75" hidden="false" customHeight="true" outlineLevel="0" collapsed="false">
      <c r="B45" s="1" t="s">
        <v>1787</v>
      </c>
      <c r="C45" s="117" t="n">
        <f aca="false">43_Diablo_Defensas!C181</f>
        <v>0</v>
      </c>
      <c r="D45" s="117" t="n">
        <f aca="false">43_Diablo_Defensas!D181</f>
        <v>0</v>
      </c>
      <c r="E45" s="117" t="n">
        <f aca="false">43_Diablo_Defensas!E181</f>
        <v>0</v>
      </c>
      <c r="F45" s="117" t="n">
        <f aca="false">43_Diablo_Defensas!G181</f>
        <v>0</v>
      </c>
      <c r="G45" s="117" t="n">
        <f aca="false">43_Diablo_Defensas!J181</f>
        <v>0</v>
      </c>
      <c r="H45" s="117" t="n">
        <f aca="false">43_Diablo_Defensas!L181</f>
        <v>0</v>
      </c>
      <c r="I45" s="117" t="n">
        <f aca="false">43_Diablo_Defensas!N181</f>
        <v>0</v>
      </c>
      <c r="J45" s="117" t="n">
        <f aca="false">43_Diablo_Defensas!Q181</f>
        <v>0</v>
      </c>
      <c r="K45" s="117" t="n">
        <f aca="false">43_Diablo_Defensas!V181</f>
        <v>0</v>
      </c>
      <c r="L45" s="117" t="n">
        <f aca="false">43_Diablo_Defensas!AA181</f>
        <v>0</v>
      </c>
      <c r="M45" s="117" t="n">
        <f aca="false">43_Diablo_Defensas!AF181</f>
        <v>0</v>
      </c>
    </row>
    <row r="46" customFormat="false" ht="12.75" hidden="false" customHeight="true" outlineLevel="0" collapsed="false">
      <c r="B46" s="1" t="s">
        <v>1788</v>
      </c>
      <c r="C46" s="1" t="n">
        <f aca="false">43_Diablo_Defensas!C83/($C$5*C42/43_Diablo_Defensas!$C$41+43_Diablo_Defensas!C83)</f>
        <v>0.0228489109702486</v>
      </c>
      <c r="D46" s="1" t="n">
        <f aca="false">43_Diablo_Defensas!D83/($C$5*D42/43_Diablo_Defensas!$C$41+43_Diablo_Defensas!D83)</f>
        <v>0.0563460444190249</v>
      </c>
      <c r="E46" s="1" t="n">
        <f aca="false">43_Diablo_Defensas!E83/($C$5*E42/43_Diablo_Defensas!$C$41+43_Diablo_Defensas!E83)</f>
        <v>0.092979278724656</v>
      </c>
      <c r="F46" s="1" t="n">
        <f aca="false">43_Diablo_Defensas!G83/($C$5*F42/43_Diablo_Defensas!$C$41+43_Diablo_Defensas!G83)</f>
        <v>0.156293125666718</v>
      </c>
      <c r="G46" s="1" t="n">
        <f aca="false">43_Diablo_Defensas!J83/($C$5*G42/43_Diablo_Defensas!$C$41+43_Diablo_Defensas!J83)</f>
        <v>0.232247324742312</v>
      </c>
      <c r="H46" s="1" t="n">
        <f aca="false">43_Diablo_Defensas!L83/($C$5*H42/43_Diablo_Defensas!$C$41+43_Diablo_Defensas!L83)</f>
        <v>0.273438614283197</v>
      </c>
      <c r="I46" s="1" t="n">
        <f aca="false">43_Diablo_Defensas!N83/($C$5*I42/43_Diablo_Defensas!$C$41+43_Diablo_Defensas!N83)</f>
        <v>0.3</v>
      </c>
      <c r="J46" s="1" t="n">
        <f aca="false">43_Diablo_Defensas!Q83/($C$5*J42/43_Diablo_Defensas!$C$41+43_Diablo_Defensas!Q83)</f>
        <v>0.3</v>
      </c>
      <c r="K46" s="1" t="n">
        <f aca="false">43_Diablo_Defensas!V83/($C$5*K42/43_Diablo_Defensas!$C$41+43_Diablo_Defensas!V83)</f>
        <v>0.298632512940133</v>
      </c>
      <c r="L46" s="1" t="n">
        <f aca="false">43_Diablo_Defensas!AA83/($C$5*L42/43_Diablo_Defensas!$C$41+43_Diablo_Defensas!AA83)</f>
        <v>0.289329904267961</v>
      </c>
      <c r="M46" s="1" t="n">
        <f aca="false">43_Diablo_Defensas!AF83/($C$5*M42/43_Diablo_Defensas!$C$41+43_Diablo_Defensas!AF83)</f>
        <v>0.276136939242029</v>
      </c>
    </row>
    <row r="47" customFormat="false" ht="12.75" hidden="false" customHeight="true" outlineLevel="0" collapsed="false">
      <c r="B47" s="1" t="s">
        <v>1789</v>
      </c>
      <c r="C47" s="1" t="n">
        <f aca="false">(1-$C$6)*((1-43_Diablo_Defensas!$C$172)*43_Diablo_Defensas!C83-0)/C43</f>
        <v>0.0165213864111282</v>
      </c>
      <c r="D47" s="1" t="n">
        <f aca="false">(1-$C$6)*((1-43_Diablo_Defensas!$C$172)*43_Diablo_Defensas!D83-(1-43_Diablo_Defensas!$C$172)*43_Diablo_Defensas!C83)/D43</f>
        <v>0.0260384929841694</v>
      </c>
      <c r="E47" s="1" t="n">
        <f aca="false">(1-$C$6)*((1-43_Diablo_Defensas!$C$172)*43_Diablo_Defensas!E83-(1-43_Diablo_Defensas!$C$172)*43_Diablo_Defensas!D83)/E43</f>
        <v>0.0311889502005004</v>
      </c>
      <c r="F47" s="1" t="n">
        <f aca="false">(1-$C$6)*((1-43_Diablo_Defensas!$C$172)*43_Diablo_Defensas!G83-(1-43_Diablo_Defensas!$C$172)*43_Diablo_Defensas!F83)/F43</f>
        <v>0.0311889502005004</v>
      </c>
      <c r="G47" s="1" t="n">
        <f aca="false">(1-$C$6)*((1-43_Diablo_Defensas!$C$172)*43_Diablo_Defensas!J83-(1-43_Diablo_Defensas!$C$172)*43_Diablo_Defensas!I83)/G43</f>
        <v>0.0311889502005004</v>
      </c>
      <c r="H47" s="1" t="n">
        <f aca="false">(1-$C$6)*((1-43_Diablo_Defensas!$C$172)*43_Diablo_Defensas!L83-(1-43_Diablo_Defensas!$C$172)*43_Diablo_Defensas!K83)/H43</f>
        <v>0.0311889502005004</v>
      </c>
      <c r="I47" s="1" t="n">
        <f aca="false">(1-$C$6)*((1-43_Diablo_Defensas!$C$172)*43_Diablo_Defensas!N83-(1-43_Diablo_Defensas!$C$172)*43_Diablo_Defensas!M83)/I43</f>
        <v>0.0182343077454654</v>
      </c>
      <c r="J47" s="1" t="n">
        <f aca="false">(1-$C$6)*((1-43_Diablo_Defensas!$C$172)*43_Diablo_Defensas!Q83-(1-43_Diablo_Defensas!$C$172)*43_Diablo_Defensas!P83)/J43</f>
        <v>0.00680797764116808</v>
      </c>
      <c r="K47" s="1" t="n">
        <f aca="false">(1-$C$6)*((1-43_Diablo_Defensas!$C$172)*43_Diablo_Defensas!V83-(1-43_Diablo_Defensas!$C$172)*43_Diablo_Defensas!U83)/K43</f>
        <v>0.0048399904859661</v>
      </c>
      <c r="L47" s="1" t="n">
        <f aca="false">(1-$C$6)*((1-43_Diablo_Defensas!$C$172)*43_Diablo_Defensas!AA83-(1-43_Diablo_Defensas!$C$172)*43_Diablo_Defensas!Z83)/L43</f>
        <v>0.00366485573774491</v>
      </c>
      <c r="M47" s="1" t="n">
        <f aca="false">(1-$C$6)*((1-43_Diablo_Defensas!$C$172)*43_Diablo_Defensas!AF83-(1-43_Diablo_Defensas!$C$172)*43_Diablo_Defensas!AE83)/M43</f>
        <v>0.00211424591242168</v>
      </c>
    </row>
    <row r="48" customFormat="false" ht="12.75" hidden="false" customHeight="true" outlineLevel="0" collapsed="false">
      <c r="B48" s="1" t="s">
        <v>1790</v>
      </c>
      <c r="C48" s="1" t="n">
        <f aca="false">(1-$C$6)*(1-43_Diablo_Defensas!$C$172)*43_Diablo_Defensas!C83/C43</f>
        <v>0.0165213864111282</v>
      </c>
      <c r="D48" s="1" t="n">
        <f aca="false">(1-$C$6)*(1-43_Diablo_Defensas!$C$172)*43_Diablo_Defensas!D83/D43</f>
        <v>0.0421884308249594</v>
      </c>
      <c r="E48" s="1" t="n">
        <f aca="false">(1-$C$6)*(1-43_Diablo_Defensas!$C$172)*43_Diablo_Defensas!E83/E43</f>
        <v>0.0724288630303727</v>
      </c>
      <c r="F48" s="1" t="n">
        <f aca="false">(1-$C$6)*(1-43_Diablo_Defensas!$C$172)*43_Diablo_Defensas!G83/F43</f>
        <v>0.130885336144401</v>
      </c>
      <c r="G48" s="1" t="n">
        <f aca="false">(1-$C$6)*(1-43_Diablo_Defensas!$C$172)*43_Diablo_Defensas!J83/G43</f>
        <v>0.213733247905799</v>
      </c>
      <c r="H48" s="1" t="n">
        <f aca="false">(1-$C$6)*(1-43_Diablo_Defensas!$C$172)*43_Diablo_Defensas!L83/H43</f>
        <v>0.265907284772128</v>
      </c>
      <c r="I48" s="1" t="n">
        <f aca="false">(1-$C$6)*(1-43_Diablo_Defensas!$C$172)*43_Diablo_Defensas!N83/I43</f>
        <v>0.302807005518045</v>
      </c>
      <c r="J48" s="1" t="n">
        <f aca="false">(1-$C$6)*(1-43_Diablo_Defensas!$C$172)*43_Diablo_Defensas!Q83/J43</f>
        <v>0.302807005518045</v>
      </c>
      <c r="K48" s="1" t="n">
        <f aca="false">(1-$C$6)*(1-43_Diablo_Defensas!$C$172)*43_Diablo_Defensas!V83/K43</f>
        <v>0.300839018362843</v>
      </c>
      <c r="L48" s="1" t="n">
        <f aca="false">(1-$C$6)*(1-43_Diablo_Defensas!$C$172)*43_Diablo_Defensas!AA83/L43</f>
        <v>0.287652389442253</v>
      </c>
      <c r="M48" s="1" t="n">
        <f aca="false">(1-$C$6)*(1-43_Diablo_Defensas!$C$172)*43_Diablo_Defensas!AF83/M43</f>
        <v>0.269532286572125</v>
      </c>
    </row>
    <row r="49" customFormat="false" ht="12.75" hidden="false" customHeight="true" outlineLevel="0" collapsed="false">
      <c r="B49" s="1" t="s">
        <v>1791</v>
      </c>
      <c r="C49" s="1" t="n">
        <f aca="false">(1-$D$6)*((1-43_Diablo_Defensas!$C$172)*43_Diablo_Defensas!C83-0)/C43</f>
        <v>0.011800990293663</v>
      </c>
      <c r="D49" s="1" t="n">
        <f aca="false">(1-$D$6)*((1-43_Diablo_Defensas!$C$172)*43_Diablo_Defensas!D83-(1-43_Diablo_Defensas!$C$172)*43_Diablo_Defensas!C83)/D43</f>
        <v>0.018598923560121</v>
      </c>
      <c r="E49" s="1" t="n">
        <f aca="false">(1-$D$6)*((1-43_Diablo_Defensas!$C$172)*43_Diablo_Defensas!E83-(1-43_Diablo_Defensas!$C$172)*43_Diablo_Defensas!D83)/E43</f>
        <v>0.022277821571786</v>
      </c>
      <c r="F49" s="1" t="n">
        <f aca="false">(1-$D$6)*((1-43_Diablo_Defensas!$C$172)*43_Diablo_Defensas!G83-(1-43_Diablo_Defensas!$C$172)*43_Diablo_Defensas!F83)/F43</f>
        <v>0.022277821571786</v>
      </c>
      <c r="G49" s="1" t="n">
        <f aca="false">(1-$D$6)*((1-43_Diablo_Defensas!$C$172)*43_Diablo_Defensas!J83-(1-43_Diablo_Defensas!$C$172)*43_Diablo_Defensas!I83)/G43</f>
        <v>0.022277821571786</v>
      </c>
      <c r="H49" s="1" t="n">
        <f aca="false">(1-$D$6)*((1-43_Diablo_Defensas!$C$172)*43_Diablo_Defensas!L83-(1-43_Diablo_Defensas!$C$172)*43_Diablo_Defensas!K83)/H43</f>
        <v>0.022277821571786</v>
      </c>
      <c r="I49" s="1" t="n">
        <f aca="false">(1-$D$6)*((1-43_Diablo_Defensas!$C$172)*43_Diablo_Defensas!N83-(1-43_Diablo_Defensas!$C$172)*43_Diablo_Defensas!M83)/I43</f>
        <v>0.0130245055324753</v>
      </c>
      <c r="J49" s="1" t="n">
        <f aca="false">(1-$D$6)*((1-43_Diablo_Defensas!$C$172)*43_Diablo_Defensas!Q83-(1-43_Diablo_Defensas!$C$172)*43_Diablo_Defensas!P83)/J43</f>
        <v>0.00486284117226291</v>
      </c>
      <c r="K49" s="1" t="n">
        <f aca="false">(1-$D$6)*((1-43_Diablo_Defensas!$C$172)*43_Diablo_Defensas!V83-(1-43_Diablo_Defensas!$C$172)*43_Diablo_Defensas!U83)/K43</f>
        <v>0.00345713606140436</v>
      </c>
      <c r="L49" s="1" t="n">
        <f aca="false">(1-$D$6)*((1-43_Diablo_Defensas!$C$172)*43_Diablo_Defensas!AA83-(1-43_Diablo_Defensas!$C$172)*43_Diablo_Defensas!Z83)/L43</f>
        <v>0.00261775409838922</v>
      </c>
      <c r="M49" s="1" t="n">
        <f aca="false">(1-$D$6)*((1-43_Diablo_Defensas!$C$172)*43_Diablo_Defensas!AF83-(1-43_Diablo_Defensas!$C$172)*43_Diablo_Defensas!AE83)/M43</f>
        <v>0.00151017565172977</v>
      </c>
    </row>
    <row r="50" customFormat="false" ht="12.75" hidden="false" customHeight="true" outlineLevel="0" collapsed="false">
      <c r="B50" s="1" t="s">
        <v>1792</v>
      </c>
      <c r="C50" s="1" t="n">
        <f aca="false">(1-$D$6)*(1-43_Diablo_Defensas!$C$172)*43_Diablo_Defensas!C83/C43</f>
        <v>0.011800990293663</v>
      </c>
      <c r="D50" s="1" t="n">
        <f aca="false">(1-$D$6)*(1-43_Diablo_Defensas!$C$172)*43_Diablo_Defensas!D83/D43</f>
        <v>0.0301345934463996</v>
      </c>
      <c r="E50" s="1" t="n">
        <f aca="false">(1-$D$6)*(1-43_Diablo_Defensas!$C$172)*43_Diablo_Defensas!E83/E43</f>
        <v>0.0517349021645519</v>
      </c>
      <c r="F50" s="1" t="n">
        <f aca="false">(1-$D$6)*(1-43_Diablo_Defensas!$C$172)*43_Diablo_Defensas!G83/F43</f>
        <v>0.0934895258174295</v>
      </c>
      <c r="G50" s="1" t="n">
        <f aca="false">(1-$D$6)*(1-43_Diablo_Defensas!$C$172)*43_Diablo_Defensas!J83/G43</f>
        <v>0.152666605646999</v>
      </c>
      <c r="H50" s="1" t="n">
        <f aca="false">(1-$D$6)*(1-43_Diablo_Defensas!$C$172)*43_Diablo_Defensas!L83/H43</f>
        <v>0.189933774837234</v>
      </c>
      <c r="I50" s="1" t="n">
        <f aca="false">(1-$D$6)*(1-43_Diablo_Defensas!$C$172)*43_Diablo_Defensas!N83/I43</f>
        <v>0.216290718227175</v>
      </c>
      <c r="J50" s="1" t="n">
        <f aca="false">(1-$D$6)*(1-43_Diablo_Defensas!$C$172)*43_Diablo_Defensas!Q83/J43</f>
        <v>0.216290718227175</v>
      </c>
      <c r="K50" s="1" t="n">
        <f aca="false">(1-$D$6)*(1-43_Diablo_Defensas!$C$172)*43_Diablo_Defensas!V83/K43</f>
        <v>0.214885013116316</v>
      </c>
      <c r="L50" s="1" t="n">
        <f aca="false">(1-$D$6)*(1-43_Diablo_Defensas!$C$172)*43_Diablo_Defensas!AA83/L43</f>
        <v>0.205465992458752</v>
      </c>
      <c r="M50" s="1" t="n">
        <f aca="false">(1-$D$6)*(1-43_Diablo_Defensas!$C$172)*43_Diablo_Defensas!AF83/M43</f>
        <v>0.192523061837232</v>
      </c>
    </row>
    <row r="51" customFormat="false" ht="12.75" hidden="false" customHeight="true" outlineLevel="0" collapsed="false">
      <c r="B51" s="1" t="s">
        <v>1793</v>
      </c>
      <c r="C51" s="1" t="n">
        <f aca="false">(1-$E$6)*((1-43_Diablo_Defensas!$C$172)*43_Diablo_Defensas!C83-0)/C43</f>
        <v>0.00708059417619778</v>
      </c>
      <c r="D51" s="1" t="n">
        <f aca="false">(1-$E$6)*((1-43_Diablo_Defensas!$C$172)*43_Diablo_Defensas!D83-(1-43_Diablo_Defensas!$C$172)*43_Diablo_Defensas!C83)/D43</f>
        <v>0.0111593541360726</v>
      </c>
      <c r="E51" s="1" t="n">
        <f aca="false">(1-$E$6)*((1-43_Diablo_Defensas!$C$172)*43_Diablo_Defensas!E83-(1-43_Diablo_Defensas!$C$172)*43_Diablo_Defensas!D83)/E43</f>
        <v>0.0133666929430716</v>
      </c>
      <c r="F51" s="1" t="n">
        <f aca="false">(1-$E$6)*((1-43_Diablo_Defensas!$C$172)*43_Diablo_Defensas!G83-(1-43_Diablo_Defensas!$C$172)*43_Diablo_Defensas!F83)/F43</f>
        <v>0.0133666929430716</v>
      </c>
      <c r="G51" s="1" t="n">
        <f aca="false">(1-$E$6)*((1-43_Diablo_Defensas!$C$172)*43_Diablo_Defensas!J83-(1-43_Diablo_Defensas!$C$172)*43_Diablo_Defensas!I83)/G43</f>
        <v>0.0133666929430716</v>
      </c>
      <c r="H51" s="1" t="n">
        <f aca="false">(1-$E$6)*((1-43_Diablo_Defensas!$C$172)*43_Diablo_Defensas!L83-(1-43_Diablo_Defensas!$C$172)*43_Diablo_Defensas!K83)/H43</f>
        <v>0.0133666929430716</v>
      </c>
      <c r="I51" s="1" t="n">
        <f aca="false">(1-$E$6)*((1-43_Diablo_Defensas!$C$172)*43_Diablo_Defensas!N83-(1-43_Diablo_Defensas!$C$172)*43_Diablo_Defensas!M83)/I43</f>
        <v>0.00781470331948516</v>
      </c>
      <c r="J51" s="1" t="n">
        <f aca="false">(1-$E$6)*((1-43_Diablo_Defensas!$C$172)*43_Diablo_Defensas!Q83-(1-43_Diablo_Defensas!$C$172)*43_Diablo_Defensas!P83)/J43</f>
        <v>0.00291770470335775</v>
      </c>
      <c r="K51" s="1" t="n">
        <f aca="false">(1-$E$6)*((1-43_Diablo_Defensas!$C$172)*43_Diablo_Defensas!V83-(1-43_Diablo_Defensas!$C$172)*43_Diablo_Defensas!U83)/K43</f>
        <v>0.00207428163684261</v>
      </c>
      <c r="L51" s="1" t="n">
        <f aca="false">(1-$E$6)*((1-43_Diablo_Defensas!$C$172)*43_Diablo_Defensas!AA83-(1-43_Diablo_Defensas!$C$172)*43_Diablo_Defensas!Z83)/L43</f>
        <v>0.00157065245903353</v>
      </c>
      <c r="M51" s="1" t="n">
        <f aca="false">(1-$E$6)*((1-43_Diablo_Defensas!$C$172)*43_Diablo_Defensas!AF83-(1-43_Diablo_Defensas!$C$172)*43_Diablo_Defensas!AE83)/M43</f>
        <v>0.000906105391037864</v>
      </c>
    </row>
    <row r="52" customFormat="false" ht="12.75" hidden="false" customHeight="true" outlineLevel="0" collapsed="false">
      <c r="B52" s="1" t="s">
        <v>1794</v>
      </c>
      <c r="C52" s="1" t="n">
        <f aca="false">(1-$E$6)*(1-43_Diablo_Defensas!$C$172)*43_Diablo_Defensas!C83/C43</f>
        <v>0.00708059417619778</v>
      </c>
      <c r="D52" s="1" t="n">
        <f aca="false">(1-$E$6)*(1-43_Diablo_Defensas!$C$172)*43_Diablo_Defensas!D83/D43</f>
        <v>0.0180807560678397</v>
      </c>
      <c r="E52" s="1" t="n">
        <f aca="false">(1-$E$6)*(1-43_Diablo_Defensas!$C$172)*43_Diablo_Defensas!E83/E43</f>
        <v>0.0310409412987312</v>
      </c>
      <c r="F52" s="1" t="n">
        <f aca="false">(1-$E$6)*(1-43_Diablo_Defensas!$C$172)*43_Diablo_Defensas!G83/F43</f>
        <v>0.0560937154904577</v>
      </c>
      <c r="G52" s="1" t="n">
        <f aca="false">(1-$E$6)*(1-43_Diablo_Defensas!$C$172)*43_Diablo_Defensas!J83/G43</f>
        <v>0.0915999633881996</v>
      </c>
      <c r="H52" s="1" t="n">
        <f aca="false">(1-$E$6)*(1-43_Diablo_Defensas!$C$172)*43_Diablo_Defensas!L83/H43</f>
        <v>0.113960264902341</v>
      </c>
      <c r="I52" s="1" t="n">
        <f aca="false">(1-$E$6)*(1-43_Diablo_Defensas!$C$172)*43_Diablo_Defensas!N83/I43</f>
        <v>0.129774430936305</v>
      </c>
      <c r="J52" s="1" t="n">
        <f aca="false">(1-$E$6)*(1-43_Diablo_Defensas!$C$172)*43_Diablo_Defensas!Q83/J43</f>
        <v>0.129774430936305</v>
      </c>
      <c r="K52" s="1" t="n">
        <f aca="false">(1-$E$6)*(1-43_Diablo_Defensas!$C$172)*43_Diablo_Defensas!V83/K43</f>
        <v>0.12893100786979</v>
      </c>
      <c r="L52" s="1" t="n">
        <f aca="false">(1-$E$6)*(1-43_Diablo_Defensas!$C$172)*43_Diablo_Defensas!AA83/L43</f>
        <v>0.123279595475251</v>
      </c>
      <c r="M52" s="1" t="n">
        <f aca="false">(1-$E$6)*(1-43_Diablo_Defensas!$C$172)*43_Diablo_Defensas!AF83/M43</f>
        <v>0.115513837102339</v>
      </c>
    </row>
    <row r="53" customFormat="false" ht="12.75" hidden="false" customHeight="true" outlineLevel="0" collapsed="false">
      <c r="B53" s="1" t="s">
        <v>1795</v>
      </c>
      <c r="C53" s="1" t="n">
        <f aca="false">(43_Diablo_Defensas!C181-0)/C43</f>
        <v>0</v>
      </c>
      <c r="D53" s="1" t="n">
        <f aca="false">(43_Diablo_Defensas!D181-43_Diablo_Defensas!C181)/D43</f>
        <v>0</v>
      </c>
      <c r="E53" s="1" t="n">
        <f aca="false">(43_Diablo_Defensas!E181-43_Diablo_Defensas!D181)/E43</f>
        <v>0</v>
      </c>
      <c r="F53" s="1" t="n">
        <f aca="false">(43_Diablo_Defensas!G181-43_Diablo_Defensas!F181)/F43</f>
        <v>0</v>
      </c>
      <c r="G53" s="1" t="n">
        <f aca="false">(43_Diablo_Defensas!J181-43_Diablo_Defensas!I181)/G43</f>
        <v>0</v>
      </c>
      <c r="H53" s="1" t="n">
        <f aca="false">(43_Diablo_Defensas!L181-43_Diablo_Defensas!K181)/H43</f>
        <v>0</v>
      </c>
      <c r="I53" s="1" t="n">
        <f aca="false">(43_Diablo_Defensas!N181-43_Diablo_Defensas!M181)/I43</f>
        <v>0</v>
      </c>
      <c r="J53" s="1" t="n">
        <f aca="false">(43_Diablo_Defensas!Q181-43_Diablo_Defensas!P181)/J43</f>
        <v>0</v>
      </c>
      <c r="K53" s="1" t="n">
        <f aca="false">(43_Diablo_Defensas!V181-43_Diablo_Defensas!U181)/K43</f>
        <v>0</v>
      </c>
      <c r="L53" s="1" t="n">
        <f aca="false">(43_Diablo_Defensas!AA181-43_Diablo_Defensas!Z181)/L43</f>
        <v>0</v>
      </c>
      <c r="M53" s="1" t="n">
        <f aca="false">(43_Diablo_Defensas!AF181-43_Diablo_Defensas!AE181)/M43</f>
        <v>0</v>
      </c>
    </row>
    <row r="54" customFormat="false" ht="12.75" hidden="false" customHeight="true" outlineLevel="0" collapsed="false">
      <c r="B54" s="1" t="s">
        <v>1796</v>
      </c>
      <c r="C54" s="1" t="n">
        <f aca="false">43_Diablo_Defensas!C181/C43</f>
        <v>0</v>
      </c>
      <c r="D54" s="1" t="n">
        <f aca="false">43_Diablo_Defensas!D181/D43</f>
        <v>0</v>
      </c>
      <c r="E54" s="1" t="n">
        <f aca="false">43_Diablo_Defensas!E181/E43</f>
        <v>0</v>
      </c>
      <c r="F54" s="1" t="n">
        <f aca="false">43_Diablo_Defensas!G181/F43</f>
        <v>0</v>
      </c>
      <c r="G54" s="1" t="n">
        <f aca="false">43_Diablo_Defensas!J181/G43</f>
        <v>0</v>
      </c>
      <c r="H54" s="1" t="n">
        <f aca="false">43_Diablo_Defensas!L181/H43</f>
        <v>0</v>
      </c>
      <c r="I54" s="1" t="n">
        <f aca="false">43_Diablo_Defensas!N181/I43</f>
        <v>0</v>
      </c>
      <c r="J54" s="1" t="n">
        <f aca="false">43_Diablo_Defensas!Q181/J43</f>
        <v>0</v>
      </c>
      <c r="K54" s="1" t="n">
        <f aca="false">43_Diablo_Defensas!V181/K43</f>
        <v>0</v>
      </c>
      <c r="L54" s="1" t="n">
        <f aca="false">43_Diablo_Defensas!AA181/L43</f>
        <v>0</v>
      </c>
      <c r="M54" s="1" t="n">
        <f aca="false">43_Diablo_Defensas!AF181/M43</f>
        <v>0</v>
      </c>
    </row>
    <row r="55" customFormat="false" ht="13.5" hidden="false" customHeight="true" outlineLevel="0" collapsed="false"/>
    <row r="56" customFormat="false" ht="13.5" hidden="false" customHeight="true" outlineLevel="0" collapsed="false"/>
    <row r="57" customFormat="false" ht="12.75" hidden="false" customHeight="true" outlineLevel="0" collapsed="false">
      <c r="B57" s="1" t="s">
        <v>1798</v>
      </c>
      <c r="C57" s="1" t="s">
        <v>717</v>
      </c>
      <c r="D57" s="1" t="s">
        <v>718</v>
      </c>
      <c r="E57" s="1" t="s">
        <v>719</v>
      </c>
      <c r="F57" s="1" t="s">
        <v>721</v>
      </c>
      <c r="G57" s="1" t="s">
        <v>724</v>
      </c>
      <c r="H57" s="1" t="s">
        <v>726</v>
      </c>
      <c r="I57" s="1" t="s">
        <v>1784</v>
      </c>
      <c r="J57" s="1" t="s">
        <v>804</v>
      </c>
      <c r="K57" s="1" t="s">
        <v>758</v>
      </c>
      <c r="L57" s="1" t="s">
        <v>805</v>
      </c>
      <c r="M57" s="1" t="s">
        <v>759</v>
      </c>
    </row>
    <row r="58" customFormat="false" ht="12.75" hidden="false" customHeight="true" outlineLevel="0" collapsed="false">
      <c r="B58" s="1" t="s">
        <v>851</v>
      </c>
      <c r="C58" s="116" t="n">
        <f aca="false">54_v69_E1_Tope!C41</f>
        <v>325</v>
      </c>
      <c r="D58" s="116" t="n">
        <f aca="false">54_v69_E1_Tope!D41</f>
        <v>332.475</v>
      </c>
      <c r="E58" s="116" t="n">
        <f aca="false">54_v69_E1_Tope!E41</f>
        <v>340.121925</v>
      </c>
      <c r="F58" s="116" t="n">
        <f aca="false">54_v69_E1_Tope!G41</f>
        <v>355.947458048325</v>
      </c>
      <c r="G58" s="116" t="n">
        <f aca="false">54_v69_E1_Tope!J41</f>
        <v>381.077052082304</v>
      </c>
      <c r="H58" s="116" t="n">
        <f aca="false">54_v69_E1_Tope!L41</f>
        <v>398.808186238641</v>
      </c>
      <c r="I58" s="116" t="n">
        <f aca="false">54_v69_E1_Tope!N41</f>
        <v>417.364332336139</v>
      </c>
      <c r="J58" s="116" t="n">
        <f aca="false">54_v69_E1_Tope!Q41</f>
        <v>446.829906534582</v>
      </c>
      <c r="K58" s="116" t="n">
        <f aca="false">54_v69_E1_Tope!V41</f>
        <v>500.634069868944</v>
      </c>
      <c r="L58" s="116" t="n">
        <f aca="false">54_v69_E1_Tope!AA41</f>
        <v>560.916957992706</v>
      </c>
      <c r="M58" s="116" t="n">
        <f aca="false">54_v69_E1_Tope!AF41</f>
        <v>628.458694083994</v>
      </c>
    </row>
    <row r="59" customFormat="false" ht="12.75" hidden="false" customHeight="true" outlineLevel="0" collapsed="false">
      <c r="B59" s="1" t="s">
        <v>1785</v>
      </c>
      <c r="C59" s="1" t="n">
        <f aca="false">$C$4*C58/54_v69_E1_Tope!$C$41</f>
        <v>204.239</v>
      </c>
      <c r="D59" s="1" t="n">
        <f aca="false">$C$4*D58/54_v69_E1_Tope!$C$41</f>
        <v>208.936497</v>
      </c>
      <c r="E59" s="1" t="n">
        <f aca="false">$C$4*E58/54_v69_E1_Tope!$C$41</f>
        <v>213.742036431</v>
      </c>
      <c r="F59" s="1" t="n">
        <f aca="false">$C$4*F58/54_v69_E1_Tope!$C$41</f>
        <v>223.687239644098</v>
      </c>
      <c r="G59" s="1" t="n">
        <f aca="false">$C$4*G58/54_v69_E1_Tope!$C$41</f>
        <v>239.479372431501</v>
      </c>
      <c r="H59" s="1" t="n">
        <f aca="false">$C$4*H58/54_v69_E1_Tope!$C$41</f>
        <v>250.622108151366</v>
      </c>
      <c r="I59" s="1" t="n">
        <f aca="false">$C$4*I58/54_v69_E1_Tope!$C$41</f>
        <v>262.283304221541</v>
      </c>
      <c r="J59" s="1" t="n">
        <f aca="false">$C$4*J58/54_v69_E1_Tope!$C$41</f>
        <v>280.800287017589</v>
      </c>
      <c r="K59" s="1" t="n">
        <f aca="false">$C$4*K58/54_v69_E1_Tope!$C$41</f>
        <v>314.612313218349</v>
      </c>
      <c r="L59" s="1" t="n">
        <f aca="false">$C$4*L58/54_v69_E1_Tope!$C$41</f>
        <v>352.495749487607</v>
      </c>
      <c r="M59" s="1" t="n">
        <f aca="false">$C$4*M58/54_v69_E1_Tope!$C$41</f>
        <v>394.94084683391</v>
      </c>
    </row>
    <row r="60" customFormat="false" ht="12.75" hidden="false" customHeight="true" outlineLevel="0" collapsed="false">
      <c r="B60" s="1" t="s">
        <v>1786</v>
      </c>
      <c r="C60" s="1" t="n">
        <f aca="false">(1-54_v69_E1_Tope!$C$172)*54_v69_E1_Tope!C83</f>
        <v>10.4</v>
      </c>
      <c r="D60" s="1" t="n">
        <f aca="false">(1-54_v69_E1_Tope!$C$172)*54_v69_E1_Tope!D83</f>
        <v>21.0392</v>
      </c>
      <c r="E60" s="1" t="n">
        <f aca="false">(1-54_v69_E1_Tope!$C$172)*54_v69_E1_Tope!E83</f>
        <v>31.9231016</v>
      </c>
      <c r="F60" s="1" t="n">
        <f aca="false">(1-54_v69_E1_Tope!$C$172)*54_v69_E1_Tope!G83</f>
        <v>54.4476515943464</v>
      </c>
      <c r="G60" s="1" t="n">
        <f aca="false">(1-54_v69_E1_Tope!$C$172)*54_v69_E1_Tope!J83</f>
        <v>90.2147120420135</v>
      </c>
      <c r="H60" s="1" t="n">
        <f aca="false">(1-54_v69_E1_Tope!$C$172)*54_v69_E1_Tope!L83</f>
        <v>96.3684191567425</v>
      </c>
      <c r="I60" s="1" t="n">
        <f aca="false">(1-54_v69_E1_Tope!$C$172)*54_v69_E1_Tope!N83</f>
        <v>100.852345331687</v>
      </c>
      <c r="J60" s="1" t="n">
        <f aca="false">(1-54_v69_E1_Tope!$C$172)*54_v69_E1_Tope!Q83</f>
        <v>107.9724369021</v>
      </c>
      <c r="K60" s="1" t="n">
        <f aca="false">(1-54_v69_E1_Tope!$C$172)*54_v69_E1_Tope!V83</f>
        <v>120.973730113973</v>
      </c>
      <c r="L60" s="1" t="n">
        <f aca="false">(1-54_v69_E1_Tope!$C$172)*54_v69_E1_Tope!AA83</f>
        <v>135.540549028802</v>
      </c>
      <c r="M60" s="1" t="n">
        <f aca="false">(1-54_v69_E1_Tope!$C$172)*54_v69_E1_Tope!AF83</f>
        <v>151.861403411476</v>
      </c>
    </row>
    <row r="61" customFormat="false" ht="12.75" hidden="false" customHeight="true" outlineLevel="0" collapsed="false">
      <c r="B61" s="1" t="s">
        <v>1787</v>
      </c>
      <c r="C61" s="117" t="n">
        <f aca="false">54_v69_E1_Tope!C181</f>
        <v>7.8</v>
      </c>
      <c r="D61" s="117" t="n">
        <f aca="false">54_v69_E1_Tope!D181</f>
        <v>15.9588</v>
      </c>
      <c r="E61" s="117" t="n">
        <f aca="false">54_v69_E1_Tope!E181</f>
        <v>24.4887786</v>
      </c>
      <c r="F61" s="117" t="n">
        <f aca="false">54_v69_E1_Tope!G181</f>
        <v>42.713694965799</v>
      </c>
      <c r="G61" s="117" t="n">
        <f aca="false">54_v69_E1_Tope!J181</f>
        <v>45.7292462498765</v>
      </c>
      <c r="H61" s="117" t="n">
        <f aca="false">54_v69_E1_Tope!L181</f>
        <v>47.856982348637</v>
      </c>
      <c r="I61" s="117" t="n">
        <f aca="false">54_v69_E1_Tope!N181</f>
        <v>50.0837198803367</v>
      </c>
      <c r="J61" s="117" t="n">
        <f aca="false">54_v69_E1_Tope!Q181</f>
        <v>53.6195887841498</v>
      </c>
      <c r="K61" s="117" t="n">
        <f aca="false">54_v69_E1_Tope!V181</f>
        <v>60.0760883842733</v>
      </c>
      <c r="L61" s="117" t="n">
        <f aca="false">54_v69_E1_Tope!AA181</f>
        <v>67.3100349591248</v>
      </c>
      <c r="M61" s="117" t="n">
        <f aca="false">54_v69_E1_Tope!AF181</f>
        <v>75.4150432900793</v>
      </c>
    </row>
    <row r="62" customFormat="false" ht="12.75" hidden="false" customHeight="true" outlineLevel="0" collapsed="false">
      <c r="B62" s="1" t="s">
        <v>1788</v>
      </c>
      <c r="C62" s="1" t="n">
        <f aca="false">54_v69_E1_Tope!C83/($C$5*C58/54_v69_E1_Tope!$C$41+54_v69_E1_Tope!C83)</f>
        <v>0.0422764227642276</v>
      </c>
      <c r="D62" s="1" t="n">
        <f aca="false">54_v69_E1_Tope!D83/($C$5*D58/54_v69_E1_Tope!$C$41+54_v69_E1_Tope!D83)</f>
        <v>0.0802845171679552</v>
      </c>
      <c r="E62" s="1" t="n">
        <f aca="false">54_v69_E1_Tope!E83/($C$5*E58/54_v69_E1_Tope!$C$41+54_v69_E1_Tope!E83)</f>
        <v>0.114631176950956</v>
      </c>
      <c r="F62" s="1" t="n">
        <f aca="false">54_v69_E1_Tope!G83/($C$5*F58/54_v69_E1_Tope!$C$41+54_v69_E1_Tope!G83)</f>
        <v>0.174242422158013</v>
      </c>
      <c r="G62" s="1" t="n">
        <f aca="false">54_v69_E1_Tope!J83/($C$5*G58/54_v69_E1_Tope!$C$41+54_v69_E1_Tope!J83)</f>
        <v>0.246174673081672</v>
      </c>
      <c r="H62" s="1" t="n">
        <f aca="false">54_v69_E1_Tope!L83/($C$5*H58/54_v69_E1_Tope!$C$41+54_v69_E1_Tope!L83)</f>
        <v>0.25</v>
      </c>
      <c r="I62" s="1" t="n">
        <f aca="false">54_v69_E1_Tope!N83/($C$5*I58/54_v69_E1_Tope!$C$41+54_v69_E1_Tope!N83)</f>
        <v>0.25</v>
      </c>
      <c r="J62" s="1" t="n">
        <f aca="false">54_v69_E1_Tope!Q83/($C$5*J58/54_v69_E1_Tope!$C$41+54_v69_E1_Tope!Q83)</f>
        <v>0.25</v>
      </c>
      <c r="K62" s="1" t="n">
        <f aca="false">54_v69_E1_Tope!V83/($C$5*K58/54_v69_E1_Tope!$C$41+54_v69_E1_Tope!V83)</f>
        <v>0.25</v>
      </c>
      <c r="L62" s="1" t="n">
        <f aca="false">54_v69_E1_Tope!AA83/($C$5*L58/54_v69_E1_Tope!$C$41+54_v69_E1_Tope!AA83)</f>
        <v>0.25</v>
      </c>
      <c r="M62" s="1" t="n">
        <f aca="false">54_v69_E1_Tope!AF83/($C$5*M58/54_v69_E1_Tope!$C$41+54_v69_E1_Tope!AF83)</f>
        <v>0.25</v>
      </c>
    </row>
    <row r="63" customFormat="false" ht="12.75" hidden="false" customHeight="true" outlineLevel="0" collapsed="false">
      <c r="B63" s="1" t="s">
        <v>1789</v>
      </c>
      <c r="C63" s="1" t="n">
        <f aca="false">(1-$C$6)*((1-54_v69_E1_Tope!$C$172)*54_v69_E1_Tope!C83-0)/C59</f>
        <v>0.0356445145148576</v>
      </c>
      <c r="D63" s="1" t="n">
        <f aca="false">(1-$C$6)*((1-54_v69_E1_Tope!$C$172)*54_v69_E1_Tope!D83-(1-54_v69_E1_Tope!$C$172)*54_v69_E1_Tope!C83)/D59</f>
        <v>0.0356445145148576</v>
      </c>
      <c r="E63" s="1" t="n">
        <f aca="false">(1-$C$6)*((1-54_v69_E1_Tope!$C$172)*54_v69_E1_Tope!E83-(1-54_v69_E1_Tope!$C$172)*54_v69_E1_Tope!D83)/E59</f>
        <v>0.0356445145148576</v>
      </c>
      <c r="F63" s="1" t="n">
        <f aca="false">(1-$C$6)*((1-54_v69_E1_Tope!$C$172)*54_v69_E1_Tope!G83-(1-54_v69_E1_Tope!$C$172)*54_v69_E1_Tope!F83)/F59</f>
        <v>0.0356445145148576</v>
      </c>
      <c r="G63" s="1" t="n">
        <f aca="false">(1-$C$6)*((1-54_v69_E1_Tope!$C$172)*54_v69_E1_Tope!J83-(1-54_v69_E1_Tope!$C$172)*54_v69_E1_Tope!I83)/G59</f>
        <v>0.0356445145148576</v>
      </c>
      <c r="H63" s="1" t="n">
        <f aca="false">(1-$C$6)*((1-54_v69_E1_Tope!$C$172)*54_v69_E1_Tope!L83-(1-54_v69_E1_Tope!$C$172)*54_v69_E1_Tope!K83)/H59</f>
        <v>0.0060515356810384</v>
      </c>
      <c r="I63" s="1" t="n">
        <f aca="false">(1-$C$6)*((1-54_v69_E1_Tope!$C$172)*54_v69_E1_Tope!N83-(1-54_v69_E1_Tope!$C$172)*54_v69_E1_Tope!M83)/I59</f>
        <v>0.00605153568103835</v>
      </c>
      <c r="J63" s="1" t="n">
        <f aca="false">(1-$C$6)*((1-54_v69_E1_Tope!$C$172)*54_v69_E1_Tope!Q83-(1-54_v69_E1_Tope!$C$172)*54_v69_E1_Tope!P83)/J59</f>
        <v>0.00605153568103831</v>
      </c>
      <c r="K63" s="1" t="n">
        <f aca="false">(1-$C$6)*((1-54_v69_E1_Tope!$C$172)*54_v69_E1_Tope!V83-(1-54_v69_E1_Tope!$C$172)*54_v69_E1_Tope!U83)/K59</f>
        <v>0.00605153568103838</v>
      </c>
      <c r="L63" s="1" t="n">
        <f aca="false">(1-$C$6)*((1-54_v69_E1_Tope!$C$172)*54_v69_E1_Tope!AA83-(1-54_v69_E1_Tope!$C$172)*54_v69_E1_Tope!Z83)/L59</f>
        <v>0.0060515356810383</v>
      </c>
      <c r="M63" s="1" t="n">
        <f aca="false">(1-$C$6)*((1-54_v69_E1_Tope!$C$172)*54_v69_E1_Tope!AF83-(1-54_v69_E1_Tope!$C$172)*54_v69_E1_Tope!AE83)/M59</f>
        <v>0.00605153568103834</v>
      </c>
    </row>
    <row r="64" customFormat="false" ht="12.75" hidden="false" customHeight="true" outlineLevel="0" collapsed="false">
      <c r="B64" s="1" t="s">
        <v>1790</v>
      </c>
      <c r="C64" s="1" t="n">
        <f aca="false">(1-$C$6)*(1-54_v69_E1_Tope!$C$172)*54_v69_E1_Tope!C83/C59</f>
        <v>0.0356445145148576</v>
      </c>
      <c r="D64" s="1" t="n">
        <f aca="false">(1-$C$6)*(1-54_v69_E1_Tope!$C$172)*54_v69_E1_Tope!D83/D59</f>
        <v>0.070487637207778</v>
      </c>
      <c r="E64" s="1" t="n">
        <f aca="false">(1-$C$6)*(1-54_v69_E1_Tope!$C$172)*54_v69_E1_Tope!E83/E59</f>
        <v>0.104547385685706</v>
      </c>
      <c r="F64" s="1" t="n">
        <f aca="false">(1-$C$6)*(1-54_v69_E1_Tope!$C$172)*54_v69_E1_Tope!G83/F59</f>
        <v>0.170386814092228</v>
      </c>
      <c r="G64" s="1" t="n">
        <f aca="false">(1-$C$6)*(1-54_v69_E1_Tope!$C$172)*54_v69_E1_Tope!J83/G59</f>
        <v>0.263698279264</v>
      </c>
      <c r="H64" s="1" t="n">
        <f aca="false">(1-$C$6)*(1-54_v69_E1_Tope!$C$172)*54_v69_E1_Tope!L83/H59</f>
        <v>0.269161782682707</v>
      </c>
      <c r="I64" s="1" t="n">
        <f aca="false">(1-$C$6)*(1-54_v69_E1_Tope!$C$172)*54_v69_E1_Tope!N83/I59</f>
        <v>0.269161782682707</v>
      </c>
      <c r="J64" s="1" t="n">
        <f aca="false">(1-$C$6)*(1-54_v69_E1_Tope!$C$172)*54_v69_E1_Tope!Q83/J59</f>
        <v>0.269161782682707</v>
      </c>
      <c r="K64" s="1" t="n">
        <f aca="false">(1-$C$6)*(1-54_v69_E1_Tope!$C$172)*54_v69_E1_Tope!V83/K59</f>
        <v>0.269161782682707</v>
      </c>
      <c r="L64" s="1" t="n">
        <f aca="false">(1-$C$6)*(1-54_v69_E1_Tope!$C$172)*54_v69_E1_Tope!AA83/L59</f>
        <v>0.269161782682707</v>
      </c>
      <c r="M64" s="1" t="n">
        <f aca="false">(1-$C$6)*(1-54_v69_E1_Tope!$C$172)*54_v69_E1_Tope!AF83/M59</f>
        <v>0.269161782682707</v>
      </c>
    </row>
    <row r="65" customFormat="false" ht="12.75" hidden="false" customHeight="true" outlineLevel="0" collapsed="false">
      <c r="B65" s="1" t="s">
        <v>1791</v>
      </c>
      <c r="C65" s="1" t="n">
        <f aca="false">(1-$D$6)*((1-54_v69_E1_Tope!$C$172)*54_v69_E1_Tope!C83-0)/C59</f>
        <v>0.0254603675106126</v>
      </c>
      <c r="D65" s="1" t="n">
        <f aca="false">(1-$D$6)*((1-54_v69_E1_Tope!$C$172)*54_v69_E1_Tope!D83-(1-54_v69_E1_Tope!$C$172)*54_v69_E1_Tope!C83)/D59</f>
        <v>0.0254603675106126</v>
      </c>
      <c r="E65" s="1" t="n">
        <f aca="false">(1-$D$6)*((1-54_v69_E1_Tope!$C$172)*54_v69_E1_Tope!E83-(1-54_v69_E1_Tope!$C$172)*54_v69_E1_Tope!D83)/E59</f>
        <v>0.0254603675106126</v>
      </c>
      <c r="F65" s="1" t="n">
        <f aca="false">(1-$D$6)*((1-54_v69_E1_Tope!$C$172)*54_v69_E1_Tope!G83-(1-54_v69_E1_Tope!$C$172)*54_v69_E1_Tope!F83)/F59</f>
        <v>0.0254603675106126</v>
      </c>
      <c r="G65" s="1" t="n">
        <f aca="false">(1-$D$6)*((1-54_v69_E1_Tope!$C$172)*54_v69_E1_Tope!J83-(1-54_v69_E1_Tope!$C$172)*54_v69_E1_Tope!I83)/G59</f>
        <v>0.0254603675106126</v>
      </c>
      <c r="H65" s="1" t="n">
        <f aca="false">(1-$D$6)*((1-54_v69_E1_Tope!$C$172)*54_v69_E1_Tope!L83-(1-54_v69_E1_Tope!$C$172)*54_v69_E1_Tope!K83)/H59</f>
        <v>0.004322525486456</v>
      </c>
      <c r="I65" s="1" t="n">
        <f aca="false">(1-$D$6)*((1-54_v69_E1_Tope!$C$172)*54_v69_E1_Tope!N83-(1-54_v69_E1_Tope!$C$172)*54_v69_E1_Tope!M83)/I59</f>
        <v>0.00432252548645597</v>
      </c>
      <c r="J65" s="1" t="n">
        <f aca="false">(1-$D$6)*((1-54_v69_E1_Tope!$C$172)*54_v69_E1_Tope!Q83-(1-54_v69_E1_Tope!$C$172)*54_v69_E1_Tope!P83)/J59</f>
        <v>0.00432252548645594</v>
      </c>
      <c r="K65" s="1" t="n">
        <f aca="false">(1-$D$6)*((1-54_v69_E1_Tope!$C$172)*54_v69_E1_Tope!V83-(1-54_v69_E1_Tope!$C$172)*54_v69_E1_Tope!U83)/K59</f>
        <v>0.00432252548645599</v>
      </c>
      <c r="L65" s="1" t="n">
        <f aca="false">(1-$D$6)*((1-54_v69_E1_Tope!$C$172)*54_v69_E1_Tope!AA83-(1-54_v69_E1_Tope!$C$172)*54_v69_E1_Tope!Z83)/L59</f>
        <v>0.00432252548645593</v>
      </c>
      <c r="M65" s="1" t="n">
        <f aca="false">(1-$D$6)*((1-54_v69_E1_Tope!$C$172)*54_v69_E1_Tope!AF83-(1-54_v69_E1_Tope!$C$172)*54_v69_E1_Tope!AE83)/M59</f>
        <v>0.00432252548645596</v>
      </c>
    </row>
    <row r="66" customFormat="false" ht="12.75" hidden="false" customHeight="true" outlineLevel="0" collapsed="false">
      <c r="B66" s="1" t="s">
        <v>1792</v>
      </c>
      <c r="C66" s="1" t="n">
        <f aca="false">(1-$D$6)*(1-54_v69_E1_Tope!$C$172)*54_v69_E1_Tope!C83/C59</f>
        <v>0.0254603675106126</v>
      </c>
      <c r="D66" s="1" t="n">
        <f aca="false">(1-$D$6)*(1-54_v69_E1_Tope!$C$172)*54_v69_E1_Tope!D83/D59</f>
        <v>0.05034831229127</v>
      </c>
      <c r="E66" s="1" t="n">
        <f aca="false">(1-$D$6)*(1-54_v69_E1_Tope!$C$172)*54_v69_E1_Tope!E83/E59</f>
        <v>0.0746767040612187</v>
      </c>
      <c r="F66" s="1" t="n">
        <f aca="false">(1-$D$6)*(1-54_v69_E1_Tope!$C$172)*54_v69_E1_Tope!G83/F59</f>
        <v>0.121704867208734</v>
      </c>
      <c r="G66" s="1" t="n">
        <f aca="false">(1-$D$6)*(1-54_v69_E1_Tope!$C$172)*54_v69_E1_Tope!J83/G59</f>
        <v>0.18835591376</v>
      </c>
      <c r="H66" s="1" t="n">
        <f aca="false">(1-$D$6)*(1-54_v69_E1_Tope!$C$172)*54_v69_E1_Tope!L83/H59</f>
        <v>0.192258416201933</v>
      </c>
      <c r="I66" s="1" t="n">
        <f aca="false">(1-$D$6)*(1-54_v69_E1_Tope!$C$172)*54_v69_E1_Tope!N83/I59</f>
        <v>0.192258416201933</v>
      </c>
      <c r="J66" s="1" t="n">
        <f aca="false">(1-$D$6)*(1-54_v69_E1_Tope!$C$172)*54_v69_E1_Tope!Q83/J59</f>
        <v>0.192258416201933</v>
      </c>
      <c r="K66" s="1" t="n">
        <f aca="false">(1-$D$6)*(1-54_v69_E1_Tope!$C$172)*54_v69_E1_Tope!V83/K59</f>
        <v>0.192258416201933</v>
      </c>
      <c r="L66" s="1" t="n">
        <f aca="false">(1-$D$6)*(1-54_v69_E1_Tope!$C$172)*54_v69_E1_Tope!AA83/L59</f>
        <v>0.192258416201933</v>
      </c>
      <c r="M66" s="1" t="n">
        <f aca="false">(1-$D$6)*(1-54_v69_E1_Tope!$C$172)*54_v69_E1_Tope!AF83/M59</f>
        <v>0.192258416201933</v>
      </c>
    </row>
    <row r="67" customFormat="false" ht="12.75" hidden="false" customHeight="true" outlineLevel="0" collapsed="false">
      <c r="B67" s="1" t="s">
        <v>1793</v>
      </c>
      <c r="C67" s="1" t="n">
        <f aca="false">(1-$E$6)*((1-54_v69_E1_Tope!$C$172)*54_v69_E1_Tope!C83-0)/C59</f>
        <v>0.0152762205063675</v>
      </c>
      <c r="D67" s="1" t="n">
        <f aca="false">(1-$E$6)*((1-54_v69_E1_Tope!$C$172)*54_v69_E1_Tope!D83-(1-54_v69_E1_Tope!$C$172)*54_v69_E1_Tope!C83)/D59</f>
        <v>0.0152762205063675</v>
      </c>
      <c r="E67" s="1" t="n">
        <f aca="false">(1-$E$6)*((1-54_v69_E1_Tope!$C$172)*54_v69_E1_Tope!E83-(1-54_v69_E1_Tope!$C$172)*54_v69_E1_Tope!D83)/E59</f>
        <v>0.0152762205063675</v>
      </c>
      <c r="F67" s="1" t="n">
        <f aca="false">(1-$E$6)*((1-54_v69_E1_Tope!$C$172)*54_v69_E1_Tope!G83-(1-54_v69_E1_Tope!$C$172)*54_v69_E1_Tope!F83)/F59</f>
        <v>0.0152762205063675</v>
      </c>
      <c r="G67" s="1" t="n">
        <f aca="false">(1-$E$6)*((1-54_v69_E1_Tope!$C$172)*54_v69_E1_Tope!J83-(1-54_v69_E1_Tope!$C$172)*54_v69_E1_Tope!I83)/G59</f>
        <v>0.0152762205063676</v>
      </c>
      <c r="H67" s="1" t="n">
        <f aca="false">(1-$E$6)*((1-54_v69_E1_Tope!$C$172)*54_v69_E1_Tope!L83-(1-54_v69_E1_Tope!$C$172)*54_v69_E1_Tope!K83)/H59</f>
        <v>0.0025935152918736</v>
      </c>
      <c r="I67" s="1" t="n">
        <f aca="false">(1-$E$6)*((1-54_v69_E1_Tope!$C$172)*54_v69_E1_Tope!N83-(1-54_v69_E1_Tope!$C$172)*54_v69_E1_Tope!M83)/I59</f>
        <v>0.00259351529187358</v>
      </c>
      <c r="J67" s="1" t="n">
        <f aca="false">(1-$E$6)*((1-54_v69_E1_Tope!$C$172)*54_v69_E1_Tope!Q83-(1-54_v69_E1_Tope!$C$172)*54_v69_E1_Tope!P83)/J59</f>
        <v>0.00259351529187356</v>
      </c>
      <c r="K67" s="1" t="n">
        <f aca="false">(1-$E$6)*((1-54_v69_E1_Tope!$C$172)*54_v69_E1_Tope!V83-(1-54_v69_E1_Tope!$C$172)*54_v69_E1_Tope!U83)/K59</f>
        <v>0.00259351529187359</v>
      </c>
      <c r="L67" s="1" t="n">
        <f aca="false">(1-$E$6)*((1-54_v69_E1_Tope!$C$172)*54_v69_E1_Tope!AA83-(1-54_v69_E1_Tope!$C$172)*54_v69_E1_Tope!Z83)/L59</f>
        <v>0.00259351529187356</v>
      </c>
      <c r="M67" s="1" t="n">
        <f aca="false">(1-$E$6)*((1-54_v69_E1_Tope!$C$172)*54_v69_E1_Tope!AF83-(1-54_v69_E1_Tope!$C$172)*54_v69_E1_Tope!AE83)/M59</f>
        <v>0.00259351529187358</v>
      </c>
    </row>
    <row r="68" customFormat="false" ht="12.75" hidden="false" customHeight="true" outlineLevel="0" collapsed="false">
      <c r="B68" s="1" t="s">
        <v>1794</v>
      </c>
      <c r="C68" s="1" t="n">
        <f aca="false">(1-$E$6)*(1-54_v69_E1_Tope!$C$172)*54_v69_E1_Tope!C83/C59</f>
        <v>0.0152762205063675</v>
      </c>
      <c r="D68" s="1" t="n">
        <f aca="false">(1-$E$6)*(1-54_v69_E1_Tope!$C$172)*54_v69_E1_Tope!D83/D59</f>
        <v>0.030208987374762</v>
      </c>
      <c r="E68" s="1" t="n">
        <f aca="false">(1-$E$6)*(1-54_v69_E1_Tope!$C$172)*54_v69_E1_Tope!E83/E59</f>
        <v>0.0448060224367312</v>
      </c>
      <c r="F68" s="1" t="n">
        <f aca="false">(1-$E$6)*(1-54_v69_E1_Tope!$C$172)*54_v69_E1_Tope!G83/F59</f>
        <v>0.0730229203252404</v>
      </c>
      <c r="G68" s="1" t="n">
        <f aca="false">(1-$E$6)*(1-54_v69_E1_Tope!$C$172)*54_v69_E1_Tope!J83/G59</f>
        <v>0.113013548256</v>
      </c>
      <c r="H68" s="1" t="n">
        <f aca="false">(1-$E$6)*(1-54_v69_E1_Tope!$C$172)*54_v69_E1_Tope!L83/H59</f>
        <v>0.11535504972116</v>
      </c>
      <c r="I68" s="1" t="n">
        <f aca="false">(1-$E$6)*(1-54_v69_E1_Tope!$C$172)*54_v69_E1_Tope!N83/I59</f>
        <v>0.11535504972116</v>
      </c>
      <c r="J68" s="1" t="n">
        <f aca="false">(1-$E$6)*(1-54_v69_E1_Tope!$C$172)*54_v69_E1_Tope!Q83/J59</f>
        <v>0.11535504972116</v>
      </c>
      <c r="K68" s="1" t="n">
        <f aca="false">(1-$E$6)*(1-54_v69_E1_Tope!$C$172)*54_v69_E1_Tope!V83/K59</f>
        <v>0.11535504972116</v>
      </c>
      <c r="L68" s="1" t="n">
        <f aca="false">(1-$E$6)*(1-54_v69_E1_Tope!$C$172)*54_v69_E1_Tope!AA83/L59</f>
        <v>0.11535504972116</v>
      </c>
      <c r="M68" s="1" t="n">
        <f aca="false">(1-$E$6)*(1-54_v69_E1_Tope!$C$172)*54_v69_E1_Tope!AF83/M59</f>
        <v>0.11535504972116</v>
      </c>
    </row>
    <row r="69" customFormat="false" ht="12.75" hidden="false" customHeight="true" outlineLevel="0" collapsed="false">
      <c r="B69" s="1" t="s">
        <v>1795</v>
      </c>
      <c r="C69" s="1" t="n">
        <f aca="false">(54_v69_E1_Tope!C181-0)/C59</f>
        <v>0.0381905512659189</v>
      </c>
      <c r="D69" s="1" t="n">
        <f aca="false">(54_v69_E1_Tope!D181-54_v69_E1_Tope!C181)/D59</f>
        <v>0.0390491853608515</v>
      </c>
      <c r="E69" s="1" t="n">
        <f aca="false">(54_v69_E1_Tope!E181-54_v69_E1_Tope!D181)/E59</f>
        <v>0.0399078194557842</v>
      </c>
      <c r="F69" s="1" t="n">
        <f aca="false">(54_v69_E1_Tope!G181-54_v69_E1_Tope!F181)/F59</f>
        <v>0.0416250876456495</v>
      </c>
      <c r="G69" s="1" t="n">
        <f aca="false">(54_v69_E1_Tope!J181-54_v69_E1_Tope!I181)/G59</f>
        <v>0.00429317047466338</v>
      </c>
      <c r="H69" s="1" t="n">
        <f aca="false">(54_v69_E1_Tope!L181-54_v69_E1_Tope!K181)/H59</f>
        <v>0.00429317047466341</v>
      </c>
      <c r="I69" s="1" t="n">
        <f aca="false">(54_v69_E1_Tope!N181-54_v69_E1_Tope!M181)/I59</f>
        <v>0.00429317047466337</v>
      </c>
      <c r="J69" s="1" t="n">
        <f aca="false">(54_v69_E1_Tope!Q181-54_v69_E1_Tope!P181)/J59</f>
        <v>0.00429317047466337</v>
      </c>
      <c r="K69" s="1" t="n">
        <f aca="false">(54_v69_E1_Tope!V181-54_v69_E1_Tope!U181)/K59</f>
        <v>0.0042931704746634</v>
      </c>
      <c r="L69" s="1" t="n">
        <f aca="false">(54_v69_E1_Tope!AA181-54_v69_E1_Tope!Z181)/L59</f>
        <v>0.00429317047466338</v>
      </c>
      <c r="M69" s="1" t="n">
        <f aca="false">(54_v69_E1_Tope!AF181-54_v69_E1_Tope!AE181)/M59</f>
        <v>0.00429317047466341</v>
      </c>
    </row>
    <row r="70" customFormat="false" ht="12.75" hidden="false" customHeight="true" outlineLevel="0" collapsed="false">
      <c r="B70" s="1" t="s">
        <v>1796</v>
      </c>
      <c r="C70" s="1" t="n">
        <f aca="false">54_v69_E1_Tope!C181/C59</f>
        <v>0.0381905512659189</v>
      </c>
      <c r="D70" s="1" t="n">
        <f aca="false">54_v69_E1_Tope!D181/D59</f>
        <v>0.0763811025318377</v>
      </c>
      <c r="E70" s="1" t="n">
        <f aca="false">54_v69_E1_Tope!E181/E59</f>
        <v>0.114571653797757</v>
      </c>
      <c r="F70" s="1" t="n">
        <f aca="false">54_v69_E1_Tope!G181/F59</f>
        <v>0.190952756329594</v>
      </c>
      <c r="G70" s="1" t="n">
        <f aca="false">54_v69_E1_Tope!J181/G59</f>
        <v>0.190952756329594</v>
      </c>
      <c r="H70" s="1" t="n">
        <f aca="false">54_v69_E1_Tope!L181/H59</f>
        <v>0.190952756329594</v>
      </c>
      <c r="I70" s="1" t="n">
        <f aca="false">54_v69_E1_Tope!N181/I59</f>
        <v>0.190952756329594</v>
      </c>
      <c r="J70" s="1" t="n">
        <f aca="false">54_v69_E1_Tope!Q181/J59</f>
        <v>0.190952756329594</v>
      </c>
      <c r="K70" s="1" t="n">
        <f aca="false">54_v69_E1_Tope!V181/K59</f>
        <v>0.190952756329594</v>
      </c>
      <c r="L70" s="1" t="n">
        <f aca="false">54_v69_E1_Tope!AA181/L59</f>
        <v>0.190952756329594</v>
      </c>
      <c r="M70" s="1" t="n">
        <f aca="false">54_v69_E1_Tope!AF181/M59</f>
        <v>0.190952756329594</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 &amp;Kffffff&amp;A</oddHeader>
    <oddFooter>&amp;C&amp;"Times New Roman,Regular"&amp;12 &amp;KffffffPage &amp;P</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F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70"/>
    <col collapsed="false" customWidth="true" hidden="false" outlineLevel="0" max="32" min="3" style="1" width="9"/>
  </cols>
  <sheetData>
    <row r="1" customFormat="false" ht="17.25" hidden="false" customHeight="true" outlineLevel="0" collapsed="false">
      <c r="B1" s="214" t="s">
        <v>1799</v>
      </c>
    </row>
    <row r="2" customFormat="false" ht="60" hidden="false" customHeight="true" outlineLevel="0" collapsed="false">
      <c r="B2" s="17" t="s">
        <v>1800</v>
      </c>
    </row>
    <row r="4" customFormat="false" ht="15" hidden="false" customHeight="true" outlineLevel="0" collapsed="false">
      <c r="B4" s="146" t="s">
        <v>784</v>
      </c>
      <c r="C4" s="146" t="n">
        <v>1</v>
      </c>
      <c r="D4" s="146" t="n">
        <v>2</v>
      </c>
      <c r="E4" s="146" t="n">
        <v>3</v>
      </c>
      <c r="F4" s="146" t="n">
        <v>4</v>
      </c>
      <c r="G4" s="146" t="n">
        <v>5</v>
      </c>
      <c r="H4" s="146" t="n">
        <v>6</v>
      </c>
      <c r="I4" s="146" t="n">
        <v>7</v>
      </c>
      <c r="J4" s="146" t="n">
        <v>8</v>
      </c>
      <c r="K4" s="146" t="n">
        <v>9</v>
      </c>
      <c r="L4" s="146" t="n">
        <v>10</v>
      </c>
      <c r="M4" s="146" t="n">
        <v>11</v>
      </c>
      <c r="N4" s="146" t="n">
        <v>12</v>
      </c>
      <c r="O4" s="146" t="n">
        <v>13</v>
      </c>
      <c r="P4" s="146" t="n">
        <v>14</v>
      </c>
      <c r="Q4" s="146" t="n">
        <v>15</v>
      </c>
      <c r="R4" s="146" t="n">
        <v>16</v>
      </c>
      <c r="S4" s="146" t="n">
        <v>17</v>
      </c>
      <c r="T4" s="146" t="n">
        <v>18</v>
      </c>
      <c r="U4" s="146" t="n">
        <v>19</v>
      </c>
      <c r="V4" s="146" t="n">
        <v>20</v>
      </c>
      <c r="W4" s="146" t="n">
        <v>21</v>
      </c>
      <c r="X4" s="146" t="n">
        <v>22</v>
      </c>
      <c r="Y4" s="146" t="n">
        <v>23</v>
      </c>
      <c r="Z4" s="146" t="n">
        <v>24</v>
      </c>
      <c r="AA4" s="146" t="n">
        <v>25</v>
      </c>
      <c r="AB4" s="146" t="n">
        <v>26</v>
      </c>
      <c r="AC4" s="146" t="n">
        <v>27</v>
      </c>
      <c r="AD4" s="146" t="n">
        <v>28</v>
      </c>
      <c r="AE4" s="146" t="n">
        <v>29</v>
      </c>
      <c r="AF4" s="146" t="n">
        <v>30</v>
      </c>
    </row>
    <row r="5" customFormat="false" ht="15" hidden="false" customHeight="true" outlineLevel="0" collapsed="false">
      <c r="B5" s="146" t="str">
        <f aca="false">38_v69_E1!$B$283</f>
        <v>PERSONAS (vivienda)</v>
      </c>
    </row>
    <row r="6" customFormat="false" ht="15" hidden="false" customHeight="true" outlineLevel="0" collapsed="false">
      <c r="B6" s="1" t="str">
        <f aca="false">38_v69_E1!$B$286</f>
        <v>  Préstamos nuevos del año = saldo final − saldo anterior + capital cobrado + capital castigado (incluye reponer lo castigado)</v>
      </c>
      <c r="C6" s="116" t="n">
        <f aca="false">38_v69_E1!C286</f>
        <v>2.20612254935952</v>
      </c>
      <c r="D6" s="116" t="n">
        <f aca="false">38_v69_E1!D286</f>
        <v>3.49874638090286</v>
      </c>
      <c r="E6" s="116" t="n">
        <f aca="false">38_v69_E1!E286</f>
        <v>4.00613000487841</v>
      </c>
      <c r="F6" s="116" t="n">
        <f aca="false">38_v69_E1!F286</f>
        <v>3.60822483003176E-016</v>
      </c>
      <c r="G6" s="116" t="n">
        <f aca="false">38_v69_E1!G286</f>
        <v>5.43425071567943</v>
      </c>
      <c r="H6" s="116" t="n">
        <f aca="false">38_v69_E1!H286</f>
        <v>5.81953949085739</v>
      </c>
      <c r="I6" s="116" t="n">
        <f aca="false">38_v69_E1!I286</f>
        <v>6.21438653014727</v>
      </c>
      <c r="J6" s="116" t="n">
        <f aca="false">38_v69_E1!J286</f>
        <v>6.61901254554823</v>
      </c>
      <c r="K6" s="116" t="n">
        <f aca="false">38_v69_E1!K286</f>
        <v>7.03364333567637</v>
      </c>
      <c r="L6" s="116" t="n">
        <f aca="false">38_v69_E1!L286</f>
        <v>7.45431134650823</v>
      </c>
      <c r="M6" s="116" t="n">
        <f aca="false">38_v69_E1!M286</f>
        <v>11.197628403075</v>
      </c>
      <c r="N6" s="116" t="n">
        <f aca="false">38_v69_E1!N286</f>
        <v>6.2414963086568</v>
      </c>
      <c r="O6" s="116" t="n">
        <f aca="false">38_v69_E1!O286</f>
        <v>3.80127331210938</v>
      </c>
      <c r="P6" s="116" t="n">
        <f aca="false">38_v69_E1!P286</f>
        <v>3.97140524663045</v>
      </c>
      <c r="Q6" s="116" t="n">
        <f aca="false">38_v69_E1!Q286</f>
        <v>4.06624276511379</v>
      </c>
      <c r="R6" s="116" t="n">
        <f aca="false">38_v69_E1!R286</f>
        <v>4.16680524219637</v>
      </c>
      <c r="S6" s="116" t="n">
        <f aca="false">38_v69_E1!S286</f>
        <v>4.26977488989052</v>
      </c>
      <c r="T6" s="116" t="n">
        <f aca="false">38_v69_E1!T286</f>
        <v>4.37499454839323</v>
      </c>
      <c r="U6" s="116" t="n">
        <f aca="false">38_v69_E1!U286</f>
        <v>4.4825114404229</v>
      </c>
      <c r="V6" s="116" t="n">
        <f aca="false">38_v69_E1!V286</f>
        <v>4.59236733186561</v>
      </c>
      <c r="W6" s="116" t="n">
        <f aca="false">38_v69_E1!W286</f>
        <v>4.70897869678996</v>
      </c>
      <c r="X6" s="116" t="n">
        <f aca="false">38_v69_E1!X286</f>
        <v>4.82821341422031</v>
      </c>
      <c r="Y6" s="116" t="n">
        <f aca="false">38_v69_E1!Y286</f>
        <v>4.95011062458256</v>
      </c>
      <c r="Z6" s="116" t="n">
        <f aca="false">38_v69_E1!Z286</f>
        <v>5.07471173742647</v>
      </c>
      <c r="AA6" s="116" t="n">
        <f aca="false">38_v69_E1!AA286</f>
        <v>5.20205886782625</v>
      </c>
      <c r="AB6" s="116" t="n">
        <f aca="false">38_v69_E1!AB286</f>
        <v>5.33209935985546</v>
      </c>
      <c r="AC6" s="116" t="n">
        <f aca="false">38_v69_E1!AC286</f>
        <v>5.46487358450161</v>
      </c>
      <c r="AD6" s="116" t="n">
        <f aca="false">38_v69_E1!AD286</f>
        <v>5.6004226480704</v>
      </c>
      <c r="AE6" s="116" t="n">
        <f aca="false">38_v69_E1!AE286</f>
        <v>5.73878837622045</v>
      </c>
      <c r="AF6" s="116" t="n">
        <f aca="false">38_v69_E1!AF286</f>
        <v>5.88001333298167</v>
      </c>
    </row>
    <row r="7" customFormat="false" ht="15" hidden="false" customHeight="true" outlineLevel="0" collapsed="false">
      <c r="B7" s="1" t="str">
        <f aca="false">38_v69_E1!$B$285</f>
        <v>  Capital cobrado en el año (cuota sobre el saldo que sí paga, o lo que baje la deuda si es más)</v>
      </c>
      <c r="C7" s="116" t="n">
        <f aca="false">38_v69_E1!C285</f>
        <v>0</v>
      </c>
      <c r="D7" s="116" t="n">
        <f aca="false">38_v69_E1!D285</f>
        <v>0.110195821340508</v>
      </c>
      <c r="E7" s="116" t="n">
        <f aca="false">38_v69_E1!E285</f>
        <v>0.279343725969307</v>
      </c>
      <c r="F7" s="116" t="n">
        <f aca="false">38_v69_E1!F285</f>
        <v>1.5813864170516</v>
      </c>
      <c r="G7" s="116" t="n">
        <f aca="false">38_v69_E1!G285</f>
        <v>0.385761887986245</v>
      </c>
      <c r="H7" s="116" t="n">
        <f aca="false">38_v69_E1!H285</f>
        <v>0.637548143041533</v>
      </c>
      <c r="I7" s="116" t="n">
        <f aca="false">38_v69_E1!I285</f>
        <v>0.895751062721894</v>
      </c>
      <c r="J7" s="116" t="n">
        <f aca="false">38_v69_E1!J285</f>
        <v>1.16052115325707</v>
      </c>
      <c r="K7" s="116" t="n">
        <f aca="false">38_v69_E1!K285</f>
        <v>1.43201227714876</v>
      </c>
      <c r="L7" s="116" t="n">
        <f aca="false">38_v69_E1!L285</f>
        <v>1.71038173624506</v>
      </c>
      <c r="M7" s="116" t="n">
        <f aca="false">38_v69_E1!M285</f>
        <v>1.99558063854146</v>
      </c>
      <c r="N7" s="116" t="n">
        <f aca="false">38_v69_E1!N285</f>
        <v>2.45322734374137</v>
      </c>
      <c r="O7" s="116" t="n">
        <f aca="false">38_v69_E1!O285</f>
        <v>2.63999815119515</v>
      </c>
      <c r="P7" s="116" t="n">
        <f aca="false">38_v69_E1!P285</f>
        <v>2.69536384733162</v>
      </c>
      <c r="Q7" s="116" t="n">
        <f aca="false">38_v69_E1!Q285</f>
        <v>2.75640675137927</v>
      </c>
      <c r="R7" s="116" t="n">
        <f aca="false">38_v69_E1!R285</f>
        <v>2.81907665351393</v>
      </c>
      <c r="S7" s="116" t="n">
        <f aca="false">38_v69_E1!S285</f>
        <v>2.8835766198651</v>
      </c>
      <c r="T7" s="116" t="n">
        <f aca="false">38_v69_E1!T285</f>
        <v>2.94993364683301</v>
      </c>
      <c r="U7" s="116" t="n">
        <f aca="false">38_v69_E1!U285</f>
        <v>3.01816550521911</v>
      </c>
      <c r="V7" s="116" t="n">
        <f aca="false">38_v69_E1!V285</f>
        <v>3.08829141917732</v>
      </c>
      <c r="W7" s="116" t="n">
        <f aca="false">38_v69_E1!W285</f>
        <v>3.16033171959692</v>
      </c>
      <c r="X7" s="116" t="n">
        <f aca="false">38_v69_E1!X285</f>
        <v>3.23452630438812</v>
      </c>
      <c r="Y7" s="116" t="n">
        <f aca="false">38_v69_E1!Y285</f>
        <v>3.31089644921985</v>
      </c>
      <c r="Z7" s="116" t="n">
        <f aca="false">38_v69_E1!Z285</f>
        <v>3.38946430082999</v>
      </c>
      <c r="AA7" s="116" t="n">
        <f aca="false">38_v69_E1!AA285</f>
        <v>3.47025294598716</v>
      </c>
      <c r="AB7" s="116" t="n">
        <f aca="false">38_v69_E1!AB285</f>
        <v>3.55328639883703</v>
      </c>
      <c r="AC7" s="116" t="n">
        <f aca="false">38_v69_E1!AC285</f>
        <v>3.63858481984107</v>
      </c>
      <c r="AD7" s="116" t="n">
        <f aca="false">38_v69_E1!AD285</f>
        <v>3.72616935881602</v>
      </c>
      <c r="AE7" s="116" t="n">
        <f aca="false">38_v69_E1!AE285</f>
        <v>3.81606214125546</v>
      </c>
      <c r="AF7" s="116" t="n">
        <f aca="false">38_v69_E1!AF285</f>
        <v>3.90828625455071</v>
      </c>
    </row>
    <row r="8" customFormat="false" ht="15" hidden="false" customHeight="true" outlineLevel="0" collapsed="false">
      <c r="B8" s="1" t="str">
        <f aca="false">38_v69_E1!$B$284</f>
        <v>  Deuda pendiente (fin de año)</v>
      </c>
      <c r="C8" s="116" t="n">
        <f aca="false">38_v69_E1!C284</f>
        <v>2.20612254935952</v>
      </c>
      <c r="D8" s="116" t="n">
        <f aca="false">38_v69_E1!D284</f>
        <v>5.59246698637251</v>
      </c>
      <c r="E8" s="116" t="n">
        <f aca="false">38_v69_E1!E284</f>
        <v>9.31366079829524</v>
      </c>
      <c r="F8" s="116" t="n">
        <f aca="false">38_v69_E1!F284</f>
        <v>7.72296072044535</v>
      </c>
      <c r="G8" s="116" t="n">
        <f aca="false">38_v69_E1!G284</f>
        <v>12.7637265874181</v>
      </c>
      <c r="H8" s="116" t="n">
        <f aca="false">38_v69_E1!H284</f>
        <v>17.9329542086465</v>
      </c>
      <c r="I8" s="116" t="n">
        <f aca="false">38_v69_E1!I284</f>
        <v>23.2336567218633</v>
      </c>
      <c r="J8" s="116" t="n">
        <f aca="false">38_v69_E1!J284</f>
        <v>28.6689144574326</v>
      </c>
      <c r="K8" s="116" t="n">
        <f aca="false">38_v69_E1!K284</f>
        <v>34.2418766015027</v>
      </c>
      <c r="L8" s="116" t="n">
        <f aca="false">38_v69_E1!L284</f>
        <v>39.9515643351644</v>
      </c>
      <c r="M8" s="116" t="n">
        <f aca="false">38_v69_E1!M284</f>
        <v>49.1136605353627</v>
      </c>
      <c r="N8" s="116" t="n">
        <f aca="false">38_v69_E1!N284</f>
        <v>52.8528158397428</v>
      </c>
      <c r="O8" s="116" t="n">
        <f aca="false">38_v69_E1!O284</f>
        <v>53.9612381848173</v>
      </c>
      <c r="P8" s="116" t="n">
        <f aca="false">38_v69_E1!P284</f>
        <v>55.1833183459313</v>
      </c>
      <c r="Q8" s="116" t="n">
        <f aca="false">38_v69_E1!Q284</f>
        <v>56.4379710413199</v>
      </c>
      <c r="R8" s="116" t="n">
        <f aca="false">38_v69_E1!R284</f>
        <v>57.729261658961</v>
      </c>
      <c r="S8" s="116" t="n">
        <f aca="false">38_v69_E1!S284</f>
        <v>59.0577306673275</v>
      </c>
      <c r="T8" s="116" t="n">
        <f aca="false">38_v69_E1!T284</f>
        <v>60.4237338382204</v>
      </c>
      <c r="U8" s="116" t="n">
        <f aca="false">38_v69_E1!U284</f>
        <v>61.8276560395859</v>
      </c>
      <c r="V8" s="116" t="n">
        <f aca="false">38_v69_E1!V284</f>
        <v>63.2699042962346</v>
      </c>
      <c r="W8" s="116" t="n">
        <f aca="false">38_v69_E1!W284</f>
        <v>64.7552813691315</v>
      </c>
      <c r="X8" s="116" t="n">
        <f aca="false">38_v69_E1!X284</f>
        <v>66.2842131975945</v>
      </c>
      <c r="Y8" s="116" t="n">
        <f aca="false">38_v69_E1!Y284</f>
        <v>67.8571431597596</v>
      </c>
      <c r="Z8" s="116" t="n">
        <f aca="false">38_v69_E1!Z284</f>
        <v>69.4745334531963</v>
      </c>
      <c r="AA8" s="116" t="n">
        <f aca="false">38_v69_E1!AA284</f>
        <v>71.1368648415822</v>
      </c>
      <c r="AB8" s="116" t="n">
        <f aca="false">38_v69_E1!AB284</f>
        <v>72.8445409377591</v>
      </c>
      <c r="AC8" s="116" t="n">
        <f aca="false">38_v69_E1!AC284</f>
        <v>74.5979851614819</v>
      </c>
      <c r="AD8" s="116" t="n">
        <f aca="false">38_v69_E1!AD284</f>
        <v>76.3976404655748</v>
      </c>
      <c r="AE8" s="116" t="n">
        <f aca="false">38_v69_E1!AE284</f>
        <v>78.2439690600742</v>
      </c>
      <c r="AF8" s="116" t="n">
        <f aca="false">38_v69_E1!AF284</f>
        <v>80.1374521694451</v>
      </c>
    </row>
    <row r="9" customFormat="false" ht="15" hidden="false" customHeight="true" outlineLevel="0" collapsed="false">
      <c r="B9" s="1" t="str">
        <f aca="false">38_v69_E1!$B$287</f>
        <v>  Intereses del año (IPC + tasa de la fila 175; pagan pensiones)</v>
      </c>
      <c r="C9" s="116" t="n">
        <f aca="false">38_v69_E1!C287</f>
        <v>0.0947684063528368</v>
      </c>
      <c r="D9" s="116" t="n">
        <f aca="false">38_v69_E1!D287</f>
        <v>0.240235604333604</v>
      </c>
      <c r="E9" s="116" t="n">
        <f aca="false">38_v69_E1!E287</f>
        <v>0.400086926912368</v>
      </c>
      <c r="F9" s="116" t="n">
        <f aca="false">38_v69_E1!F287</f>
        <v>0.331755223668171</v>
      </c>
      <c r="G9" s="116" t="n">
        <f aca="false">38_v69_E1!G287</f>
        <v>0.548291403015719</v>
      </c>
      <c r="H9" s="116" t="n">
        <f aca="false">38_v69_E1!H287</f>
        <v>0.770345913940829</v>
      </c>
      <c r="I9" s="116" t="n">
        <f aca="false">38_v69_E1!I287</f>
        <v>0.99804819180108</v>
      </c>
      <c r="J9" s="116" t="n">
        <f aca="false">38_v69_E1!J287</f>
        <v>1.23153055834793</v>
      </c>
      <c r="K9" s="116" t="n">
        <f aca="false">38_v69_E1!K287</f>
        <v>1.47092829317075</v>
      </c>
      <c r="L9" s="116" t="n">
        <f aca="false">38_v69_E1!L287</f>
        <v>1.71619934914566</v>
      </c>
      <c r="M9" s="116" t="n">
        <f aca="false">38_v69_E1!M287</f>
        <v>2.10977551561758</v>
      </c>
      <c r="N9" s="116" t="n">
        <f aca="false">38_v69_E1!N287</f>
        <v>2.27039841002783</v>
      </c>
      <c r="O9" s="116" t="n">
        <f aca="false">38_v69_E1!O287</f>
        <v>2.3180129087052</v>
      </c>
      <c r="P9" s="116" t="n">
        <f aca="false">38_v69_E1!P287</f>
        <v>2.37050980618617</v>
      </c>
      <c r="Q9" s="116" t="n">
        <f aca="false">38_v69_E1!Q287</f>
        <v>2.42440592202198</v>
      </c>
      <c r="R9" s="116" t="n">
        <f aca="false">38_v69_E1!R287</f>
        <v>2.47987589308399</v>
      </c>
      <c r="S9" s="116" t="n">
        <f aca="false">38_v69_E1!S287</f>
        <v>2.53694293627639</v>
      </c>
      <c r="T9" s="116" t="n">
        <f aca="false">38_v69_E1!T287</f>
        <v>2.59562233448843</v>
      </c>
      <c r="U9" s="116" t="n">
        <f aca="false">38_v69_E1!U287</f>
        <v>2.65593062049249</v>
      </c>
      <c r="V9" s="116" t="n">
        <f aca="false">38_v69_E1!V287</f>
        <v>2.71788527885335</v>
      </c>
      <c r="W9" s="116" t="n">
        <f aca="false">38_v69_E1!W287</f>
        <v>2.78169262177378</v>
      </c>
      <c r="X9" s="116" t="n">
        <f aca="false">38_v69_E1!X287</f>
        <v>2.84737094632907</v>
      </c>
      <c r="Y9" s="116" t="n">
        <f aca="false">38_v69_E1!Y287</f>
        <v>2.91493929871379</v>
      </c>
      <c r="Z9" s="116" t="n">
        <f aca="false">38_v69_E1!Z287</f>
        <v>2.98441753354896</v>
      </c>
      <c r="AA9" s="116" t="n">
        <f aca="false">38_v69_E1!AA287</f>
        <v>3.05582630299985</v>
      </c>
      <c r="AB9" s="116" t="n">
        <f aca="false">38_v69_E1!AB287</f>
        <v>3.12918294506332</v>
      </c>
      <c r="AC9" s="116" t="n">
        <f aca="false">38_v69_E1!AC287</f>
        <v>3.20450564858178</v>
      </c>
      <c r="AD9" s="116" t="n">
        <f aca="false">38_v69_E1!AD287</f>
        <v>3.28181344147969</v>
      </c>
      <c r="AE9" s="116" t="n">
        <f aca="false">38_v69_E1!AE287</f>
        <v>3.36112617891361</v>
      </c>
      <c r="AF9" s="116" t="n">
        <f aca="false">38_v69_E1!AF287</f>
        <v>3.44246453284285</v>
      </c>
    </row>
    <row r="10" customFormat="false" ht="15" hidden="false" customHeight="true" outlineLevel="0" collapsed="false">
      <c r="B10" s="146" t="str">
        <f aca="false">38_v69_E1!$B$288</f>
        <v>EMPRESAS</v>
      </c>
    </row>
    <row r="11" customFormat="false" ht="15" hidden="false" customHeight="true" outlineLevel="0" collapsed="false">
      <c r="B11" s="1" t="str">
        <f aca="false">38_v69_E1!$B$291</f>
        <v>  Préstamos nuevos del año = saldo final − saldo anterior + capital cobrado + capital castigado (incluye reponer lo castigado)</v>
      </c>
      <c r="C11" s="116" t="n">
        <f aca="false">38_v69_E1!C291</f>
        <v>3.04655018721076</v>
      </c>
      <c r="D11" s="116" t="n">
        <f aca="false">38_v69_E1!D291</f>
        <v>5.28812769060986</v>
      </c>
      <c r="E11" s="116" t="n">
        <f aca="false">38_v69_E1!E291</f>
        <v>6.68955591908589</v>
      </c>
      <c r="F11" s="116" t="n">
        <f aca="false">38_v69_E1!F291</f>
        <v>0.38595272871362</v>
      </c>
      <c r="G11" s="116" t="n">
        <f aca="false">38_v69_E1!G291</f>
        <v>9.10259785759556</v>
      </c>
      <c r="H11" s="116" t="n">
        <f aca="false">38_v69_E1!H291</f>
        <v>10.6777777942608</v>
      </c>
      <c r="I11" s="116" t="n">
        <f aca="false">38_v69_E1!I291</f>
        <v>12.2927405633846</v>
      </c>
      <c r="J11" s="116" t="n">
        <f aca="false">38_v69_E1!J291</f>
        <v>13.9484144835364</v>
      </c>
      <c r="K11" s="116" t="n">
        <f aca="false">38_v69_E1!K291</f>
        <v>15.645748802217</v>
      </c>
      <c r="L11" s="116" t="n">
        <f aca="false">38_v69_E1!L291</f>
        <v>17.3799161953361</v>
      </c>
      <c r="M11" s="116" t="n">
        <f aca="false">38_v69_E1!M291</f>
        <v>23.7307971067753</v>
      </c>
      <c r="N11" s="116" t="n">
        <f aca="false">38_v69_E1!N291</f>
        <v>18.7825796122165</v>
      </c>
      <c r="O11" s="116" t="n">
        <f aca="false">38_v69_E1!O291</f>
        <v>16.1865126288167</v>
      </c>
      <c r="P11" s="116" t="n">
        <f aca="false">38_v69_E1!P291</f>
        <v>16.6508288985778</v>
      </c>
      <c r="Q11" s="116" t="n">
        <f aca="false">38_v69_E1!Q291</f>
        <v>17.0346870265855</v>
      </c>
      <c r="R11" s="116" t="n">
        <f aca="false">38_v69_E1!R291</f>
        <v>17.4331914704479</v>
      </c>
      <c r="S11" s="116" t="n">
        <f aca="false">38_v69_E1!S291</f>
        <v>17.842601796909</v>
      </c>
      <c r="T11" s="116" t="n">
        <f aca="false">38_v69_E1!T291</f>
        <v>18.2628128179941</v>
      </c>
      <c r="U11" s="116" t="n">
        <f aca="false">38_v69_E1!U291</f>
        <v>18.6939633679203</v>
      </c>
      <c r="V11" s="116" t="n">
        <f aca="false">38_v69_E1!V291</f>
        <v>19.1361907663109</v>
      </c>
      <c r="W11" s="116" t="n">
        <f aca="false">38_v69_E1!W291</f>
        <v>19.5956781815162</v>
      </c>
      <c r="X11" s="116" t="n">
        <f aca="false">38_v69_E1!X291</f>
        <v>20.0677132140074</v>
      </c>
      <c r="Y11" s="116" t="n">
        <f aca="false">38_v69_E1!Y291</f>
        <v>20.5524380569058</v>
      </c>
      <c r="Z11" s="116" t="n">
        <f aca="false">38_v69_E1!Z291</f>
        <v>21.0500016455989</v>
      </c>
      <c r="AA11" s="116" t="n">
        <f aca="false">38_v69_E1!AA291</f>
        <v>21.5605577841831</v>
      </c>
      <c r="AB11" s="116" t="n">
        <f aca="false">38_v69_E1!AB291</f>
        <v>22.0841332445062</v>
      </c>
      <c r="AC11" s="116" t="n">
        <f aca="false">38_v69_E1!AC291</f>
        <v>22.6208672988914</v>
      </c>
      <c r="AD11" s="116" t="n">
        <f aca="false">38_v69_E1!AD291</f>
        <v>23.1709043338588</v>
      </c>
      <c r="AE11" s="116" t="n">
        <f aca="false">38_v69_E1!AE291</f>
        <v>23.7343937714104</v>
      </c>
      <c r="AF11" s="116" t="n">
        <f aca="false">38_v69_E1!AF291</f>
        <v>24.3114900382086</v>
      </c>
    </row>
    <row r="12" customFormat="false" ht="15" hidden="false" customHeight="true" outlineLevel="0" collapsed="false">
      <c r="B12" s="1" t="str">
        <f aca="false">38_v69_E1!$B$290</f>
        <v>  Capital cobrado en el año (cuota sobre el saldo que sí paga; más el pago anticipado de la prueba 01_Supuestos C189-C190, sobre el saldo que queda después de la cuota)</v>
      </c>
      <c r="C12" s="116" t="n">
        <f aca="false">38_v69_E1!C290</f>
        <v>0</v>
      </c>
      <c r="D12" s="116" t="n">
        <f aca="false">38_v69_E1!D290</f>
        <v>0.608700727404711</v>
      </c>
      <c r="E12" s="116" t="n">
        <f aca="false">38_v69_E1!E290</f>
        <v>1.54304153392569</v>
      </c>
      <c r="F12" s="116" t="n">
        <f aca="false">38_v69_E1!F290</f>
        <v>2.56977206654677</v>
      </c>
      <c r="G12" s="116" t="n">
        <f aca="false">38_v69_E1!G290</f>
        <v>2.13087519078116</v>
      </c>
      <c r="H12" s="116" t="n">
        <f aca="false">38_v69_E1!H290</f>
        <v>3.5216945044199</v>
      </c>
      <c r="I12" s="116" t="n">
        <f aca="false">38_v69_E1!I290</f>
        <v>4.9479582512257</v>
      </c>
      <c r="J12" s="116" t="n">
        <f aca="false">38_v69_E1!J290</f>
        <v>6.41049779894381</v>
      </c>
      <c r="K12" s="116" t="n">
        <f aca="false">38_v69_E1!K290</f>
        <v>7.91016305472646</v>
      </c>
      <c r="L12" s="116" t="n">
        <f aca="false">38_v69_E1!L290</f>
        <v>9.44782292402034</v>
      </c>
      <c r="M12" s="116" t="n">
        <f aca="false">38_v69_E1!M290</f>
        <v>11.0232073367052</v>
      </c>
      <c r="N12" s="116" t="n">
        <f aca="false">38_v69_E1!N290</f>
        <v>13.5511605654285</v>
      </c>
      <c r="O12" s="116" t="n">
        <f aca="false">38_v69_E1!O290</f>
        <v>14.5828469304113</v>
      </c>
      <c r="P12" s="116" t="n">
        <f aca="false">38_v69_E1!P290</f>
        <v>14.8886764900223</v>
      </c>
      <c r="Q12" s="116" t="n">
        <f aca="false">38_v69_E1!Q290</f>
        <v>15.2258658647617</v>
      </c>
      <c r="R12" s="116" t="n">
        <f aca="false">38_v69_E1!R290</f>
        <v>15.5720424670293</v>
      </c>
      <c r="S12" s="116" t="n">
        <f aca="false">38_v69_E1!S290</f>
        <v>15.9283279954453</v>
      </c>
      <c r="T12" s="116" t="n">
        <f aca="false">38_v69_E1!T290</f>
        <v>16.2948715729823</v>
      </c>
      <c r="U12" s="116" t="n">
        <f aca="false">38_v69_E1!U290</f>
        <v>16.6717713621627</v>
      </c>
      <c r="V12" s="116" t="n">
        <f aca="false">38_v69_E1!V290</f>
        <v>17.0591335535509</v>
      </c>
      <c r="W12" s="116" t="n">
        <f aca="false">38_v69_E1!W290</f>
        <v>17.4570704511068</v>
      </c>
      <c r="X12" s="116" t="n">
        <f aca="false">38_v69_E1!X290</f>
        <v>17.8669072051915</v>
      </c>
      <c r="Y12" s="116" t="n">
        <f aca="false">38_v69_E1!Y290</f>
        <v>18.2887613385477</v>
      </c>
      <c r="Z12" s="116" t="n">
        <f aca="false">38_v69_E1!Z290</f>
        <v>18.7227551855371</v>
      </c>
      <c r="AA12" s="116" t="n">
        <f aca="false">38_v69_E1!AA290</f>
        <v>19.1690162730719</v>
      </c>
      <c r="AB12" s="116" t="n">
        <f aca="false">38_v69_E1!AB290</f>
        <v>19.6276772507189</v>
      </c>
      <c r="AC12" s="116" t="n">
        <f aca="false">38_v69_E1!AC290</f>
        <v>20.0988494810268</v>
      </c>
      <c r="AD12" s="116" t="n">
        <f aca="false">38_v69_E1!AD290</f>
        <v>20.5826497915552</v>
      </c>
      <c r="AE12" s="116" t="n">
        <f aca="false">38_v69_E1!AE290</f>
        <v>21.0792003993159</v>
      </c>
      <c r="AF12" s="116" t="n">
        <f aca="false">38_v69_E1!AF290</f>
        <v>21.588628834661</v>
      </c>
    </row>
    <row r="13" customFormat="false" ht="15" hidden="false" customHeight="true" outlineLevel="0" collapsed="false">
      <c r="B13" s="1" t="str">
        <f aca="false">38_v69_E1!$B$289</f>
        <v>  Deuda pendiente (fin de año)</v>
      </c>
      <c r="C13" s="116" t="n">
        <f aca="false">38_v69_E1!C289</f>
        <v>3.04655018721076</v>
      </c>
      <c r="D13" s="116" t="n">
        <f aca="false">38_v69_E1!D289</f>
        <v>7.7229306002287</v>
      </c>
      <c r="E13" s="116" t="n">
        <f aca="false">38_v69_E1!E289</f>
        <v>12.8617220547887</v>
      </c>
      <c r="F13" s="116" t="n">
        <f aca="false">38_v69_E1!F289</f>
        <v>10.6650409949007</v>
      </c>
      <c r="G13" s="116" t="n">
        <f aca="false">38_v69_E1!G289</f>
        <v>17.6260986207202</v>
      </c>
      <c r="H13" s="116" t="n">
        <f aca="false">38_v69_E1!H289</f>
        <v>24.7645558119404</v>
      </c>
      <c r="I13" s="116" t="n">
        <f aca="false">38_v69_E1!I289</f>
        <v>32.0845735682874</v>
      </c>
      <c r="J13" s="116" t="n">
        <f aca="false">38_v69_E1!J289</f>
        <v>39.5904056793116</v>
      </c>
      <c r="K13" s="116" t="n">
        <f aca="false">38_v69_E1!K289</f>
        <v>47.2864010211228</v>
      </c>
      <c r="L13" s="116" t="n">
        <f aca="false">38_v69_E1!L289</f>
        <v>55.1712078914175</v>
      </c>
      <c r="M13" s="116" t="n">
        <f aca="false">38_v69_E1!M289</f>
        <v>67.8236264535962</v>
      </c>
      <c r="N13" s="116" t="n">
        <f aca="false">38_v69_E1!N289</f>
        <v>72.9872218739306</v>
      </c>
      <c r="O13" s="116" t="n">
        <f aca="false">38_v69_E1!O289</f>
        <v>74.517900350462</v>
      </c>
      <c r="P13" s="116" t="n">
        <f aca="false">38_v69_E1!P289</f>
        <v>76.2055348586671</v>
      </c>
      <c r="Q13" s="116" t="n">
        <f aca="false">38_v69_E1!Q289</f>
        <v>77.9381504856322</v>
      </c>
      <c r="R13" s="116" t="n">
        <f aca="false">38_v69_E1!R289</f>
        <v>79.7213613385652</v>
      </c>
      <c r="S13" s="116" t="n">
        <f aca="false">38_v69_E1!S289</f>
        <v>81.5559137786903</v>
      </c>
      <c r="T13" s="116" t="n">
        <f aca="false">38_v69_E1!T289</f>
        <v>83.4422991099234</v>
      </c>
      <c r="U13" s="116" t="n">
        <f aca="false">38_v69_E1!U289</f>
        <v>85.3810488165711</v>
      </c>
      <c r="V13" s="116" t="n">
        <f aca="false">38_v69_E1!V289</f>
        <v>87.3727249805145</v>
      </c>
      <c r="W13" s="116" t="n">
        <f aca="false">38_v69_E1!W289</f>
        <v>89.4239599859434</v>
      </c>
      <c r="X13" s="116" t="n">
        <f aca="false">38_v69_E1!X289</f>
        <v>91.5353420347734</v>
      </c>
      <c r="Y13" s="116" t="n">
        <f aca="false">38_v69_E1!Y289</f>
        <v>93.7074834110967</v>
      </c>
      <c r="Z13" s="116" t="n">
        <f aca="false">38_v69_E1!Z289</f>
        <v>95.9410223877474</v>
      </c>
      <c r="AA13" s="116" t="n">
        <f aca="false">38_v69_E1!AA289</f>
        <v>98.2366228764707</v>
      </c>
      <c r="AB13" s="116" t="n">
        <f aca="false">38_v69_E1!AB289</f>
        <v>100.594842247382</v>
      </c>
      <c r="AC13" s="116" t="n">
        <f aca="false">38_v69_E1!AC289</f>
        <v>103.016265222999</v>
      </c>
      <c r="AD13" s="116" t="n">
        <f aca="false">38_v69_E1!AD289</f>
        <v>105.501503500079</v>
      </c>
      <c r="AE13" s="116" t="n">
        <f aca="false">38_v69_E1!AE289</f>
        <v>108.051195368674</v>
      </c>
      <c r="AF13" s="116" t="n">
        <f aca="false">38_v69_E1!AF289</f>
        <v>110.666005376853</v>
      </c>
    </row>
    <row r="14" customFormat="false" ht="15" hidden="false" customHeight="true" outlineLevel="0" collapsed="false">
      <c r="B14" s="1" t="str">
        <f aca="false">38_v69_E1!$B$292</f>
        <v>  Intereses del año (IPC + tasa de la fila 175; pagan pensiones)</v>
      </c>
      <c r="C14" s="116" t="n">
        <f aca="false">38_v69_E1!C292</f>
        <v>0.130870656392013</v>
      </c>
      <c r="D14" s="116" t="n">
        <f aca="false">38_v69_E1!D292</f>
        <v>0.331753929794024</v>
      </c>
      <c r="E14" s="116" t="n">
        <f aca="false">38_v69_E1!E292</f>
        <v>0.552500994307557</v>
      </c>
      <c r="F14" s="116" t="n">
        <f aca="false">38_v69_E1!F292</f>
        <v>0.45813816601795</v>
      </c>
      <c r="G14" s="116" t="n">
        <f aca="false">38_v69_E1!G292</f>
        <v>0.757164318450278</v>
      </c>
      <c r="H14" s="116" t="n">
        <f aca="false">38_v69_E1!H292</f>
        <v>1.06381102401353</v>
      </c>
      <c r="I14" s="116" t="n">
        <f aca="false">38_v69_E1!I292</f>
        <v>1.37825702677292</v>
      </c>
      <c r="J14" s="116" t="n">
        <f aca="false">38_v69_E1!J292</f>
        <v>1.70068505676619</v>
      </c>
      <c r="K14" s="116" t="n">
        <f aca="false">38_v69_E1!K292</f>
        <v>2.03128192866437</v>
      </c>
      <c r="L14" s="116" t="n">
        <f aca="false">38_v69_E1!L292</f>
        <v>2.36998957739162</v>
      </c>
      <c r="M14" s="116" t="n">
        <f aca="false">38_v69_E1!M292</f>
        <v>2.91349952156713</v>
      </c>
      <c r="N14" s="116" t="n">
        <f aca="false">38_v69_E1!N292</f>
        <v>3.13531209003843</v>
      </c>
      <c r="O14" s="116" t="n">
        <f aca="false">38_v69_E1!O292</f>
        <v>3.2010654453548</v>
      </c>
      <c r="P14" s="116" t="n">
        <f aca="false">38_v69_E1!P292</f>
        <v>3.27356116092376</v>
      </c>
      <c r="Q14" s="116" t="n">
        <f aca="false">38_v69_E1!Q292</f>
        <v>3.3479891304113</v>
      </c>
      <c r="R14" s="116" t="n">
        <f aca="false">38_v69_E1!R292</f>
        <v>3.42459051902075</v>
      </c>
      <c r="S14" s="116" t="n">
        <f aca="false">38_v69_E1!S292</f>
        <v>3.5033973881912</v>
      </c>
      <c r="T14" s="116" t="n">
        <f aca="false">38_v69_E1!T292</f>
        <v>3.58443084286498</v>
      </c>
      <c r="U14" s="116" t="n">
        <f aca="false">38_v69_E1!U292</f>
        <v>3.66771371401344</v>
      </c>
      <c r="V14" s="116" t="n">
        <f aca="false">38_v69_E1!V292</f>
        <v>3.75327014698796</v>
      </c>
      <c r="W14" s="116" t="n">
        <f aca="false">38_v69_E1!W292</f>
        <v>3.84138504911617</v>
      </c>
      <c r="X14" s="116" t="n">
        <f aca="false">38_v69_E1!X292</f>
        <v>3.93208368778776</v>
      </c>
      <c r="Y14" s="116" t="n">
        <f aca="false">38_v69_E1!Y292</f>
        <v>4.02539236489048</v>
      </c>
      <c r="Z14" s="116" t="n">
        <f aca="false">38_v69_E1!Z292</f>
        <v>4.12133849871046</v>
      </c>
      <c r="AA14" s="116" t="n">
        <f aca="false">38_v69_E1!AA292</f>
        <v>4.21995060890455</v>
      </c>
      <c r="AB14" s="116" t="n">
        <f aca="false">38_v69_E1!AB292</f>
        <v>4.32125263842077</v>
      </c>
      <c r="AC14" s="116" t="n">
        <f aca="false">38_v69_E1!AC292</f>
        <v>4.42526970518436</v>
      </c>
      <c r="AD14" s="116" t="n">
        <f aca="false">38_v69_E1!AD292</f>
        <v>4.53202808585291</v>
      </c>
      <c r="AE14" s="116" t="n">
        <f aca="false">38_v69_E1!AE292</f>
        <v>4.64155519945212</v>
      </c>
      <c r="AF14" s="116" t="n">
        <f aca="false">38_v69_E1!AF292</f>
        <v>4.75387959297346</v>
      </c>
    </row>
    <row r="15" customFormat="false" ht="15" hidden="false" customHeight="true" outlineLevel="0" collapsed="false">
      <c r="B15" s="146" t="str">
        <f aca="false">38_v69_E1!$B$293</f>
        <v>ESTADO</v>
      </c>
    </row>
    <row r="16" customFormat="false" ht="15" hidden="false" customHeight="true" outlineLevel="0" collapsed="false">
      <c r="B16" s="1" t="str">
        <f aca="false">38_v69_E1!$B$296</f>
        <v>  Préstamos nuevos del año</v>
      </c>
      <c r="C16" s="116" t="n">
        <f aca="false">38_v69_E1!C296</f>
        <v>7.09732726342972</v>
      </c>
      <c r="D16" s="116" t="n">
        <f aca="false">38_v69_E1!D296</f>
        <v>5.28105787631205</v>
      </c>
      <c r="E16" s="116" t="n">
        <f aca="false">38_v69_E1!E296</f>
        <v>5.23151312485718</v>
      </c>
      <c r="F16" s="116" t="n">
        <f aca="false">38_v69_E1!F296</f>
        <v>18.5826108798794</v>
      </c>
      <c r="G16" s="116" t="n">
        <f aca="false">38_v69_E1!G296</f>
        <v>4.79843802775449</v>
      </c>
      <c r="H16" s="116" t="n">
        <f aca="false">38_v69_E1!H296</f>
        <v>4.95609277773671</v>
      </c>
      <c r="I16" s="116" t="n">
        <f aca="false">38_v69_E1!I296</f>
        <v>5.11425232192986</v>
      </c>
      <c r="J16" s="116" t="n">
        <f aca="false">38_v69_E1!J296</f>
        <v>5.27291936059526</v>
      </c>
      <c r="K16" s="116" t="n">
        <f aca="false">38_v69_E1!K296</f>
        <v>5.43209687808077</v>
      </c>
      <c r="L16" s="116" t="n">
        <f aca="false">38_v69_E1!L296</f>
        <v>5.60178469810331</v>
      </c>
      <c r="M16" s="116" t="n">
        <f aca="false">38_v69_E1!M296</f>
        <v>0</v>
      </c>
      <c r="N16" s="116" t="n">
        <f aca="false">38_v69_E1!N296</f>
        <v>0</v>
      </c>
      <c r="O16" s="116" t="n">
        <f aca="false">38_v69_E1!O296</f>
        <v>3.71642557989603</v>
      </c>
      <c r="P16" s="116" t="n">
        <f aca="false">38_v69_E1!P296</f>
        <v>3.61751084399832</v>
      </c>
      <c r="Q16" s="116" t="n">
        <f aca="false">38_v69_E1!Q296</f>
        <v>3.69461392946908</v>
      </c>
      <c r="R16" s="116" t="n">
        <f aca="false">38_v69_E1!R296</f>
        <v>3.7645316031759</v>
      </c>
      <c r="S16" s="116" t="n">
        <f aca="false">38_v69_E1!S296</f>
        <v>3.83492431840932</v>
      </c>
      <c r="T16" s="116" t="n">
        <f aca="false">38_v69_E1!T296</f>
        <v>3.90634430545878</v>
      </c>
      <c r="U16" s="116" t="n">
        <f aca="false">38_v69_E1!U296</f>
        <v>3.97888428615914</v>
      </c>
      <c r="V16" s="116" t="n">
        <f aca="false">38_v69_E1!V296</f>
        <v>4.05265225102565</v>
      </c>
      <c r="W16" s="116" t="n">
        <f aca="false">38_v69_E1!W296</f>
        <v>4.11734343584916</v>
      </c>
      <c r="X16" s="116" t="n">
        <f aca="false">38_v69_E1!X296</f>
        <v>4.18249945321188</v>
      </c>
      <c r="Y16" s="116" t="n">
        <f aca="false">38_v69_E1!Y296</f>
        <v>4.24824756600557</v>
      </c>
      <c r="Z16" s="116" t="n">
        <f aca="false">38_v69_E1!Z296</f>
        <v>4.31471381239539</v>
      </c>
      <c r="AA16" s="116" t="n">
        <f aca="false">38_v69_E1!AA296</f>
        <v>4.38202671037491</v>
      </c>
      <c r="AB16" s="116" t="n">
        <f aca="false">38_v69_E1!AB296</f>
        <v>4.45054475863185</v>
      </c>
      <c r="AC16" s="116" t="n">
        <f aca="false">38_v69_E1!AC296</f>
        <v>4.52042062661387</v>
      </c>
      <c r="AD16" s="116" t="n">
        <f aca="false">38_v69_E1!AD296</f>
        <v>4.59180972616908</v>
      </c>
      <c r="AE16" s="116" t="n">
        <f aca="false">38_v69_E1!AE296</f>
        <v>4.66487043808463</v>
      </c>
      <c r="AF16" s="116" t="n">
        <f aca="false">38_v69_E1!AF296</f>
        <v>4.73976425916746</v>
      </c>
    </row>
    <row r="17" customFormat="false" ht="15" hidden="false" customHeight="true" outlineLevel="0" collapsed="false">
      <c r="B17" s="1" t="str">
        <f aca="false">38_v69_E1!$B$295</f>
        <v>  Capital devuelto en el año</v>
      </c>
      <c r="C17" s="116" t="n">
        <f aca="false">38_v69_E1!C295</f>
        <v>0</v>
      </c>
      <c r="D17" s="116" t="n">
        <f aca="false">38_v69_E1!D295</f>
        <v>0.709732726342972</v>
      </c>
      <c r="E17" s="116" t="n">
        <f aca="false">38_v69_E1!E295</f>
        <v>1.16686524133988</v>
      </c>
      <c r="F17" s="116" t="n">
        <f aca="false">38_v69_E1!F295</f>
        <v>1.57333002969161</v>
      </c>
      <c r="G17" s="116" t="n">
        <f aca="false">38_v69_E1!G295</f>
        <v>3.27425811471039</v>
      </c>
      <c r="H17" s="116" t="n">
        <f aca="false">38_v69_E1!H295</f>
        <v>3.4266761060148</v>
      </c>
      <c r="I17" s="116" t="n">
        <f aca="false">38_v69_E1!I295</f>
        <v>3.57961777318699</v>
      </c>
      <c r="J17" s="116" t="n">
        <f aca="false">38_v69_E1!J295</f>
        <v>3.73308122806128</v>
      </c>
      <c r="K17" s="116" t="n">
        <f aca="false">38_v69_E1!K295</f>
        <v>3.88706504131468</v>
      </c>
      <c r="L17" s="116" t="n">
        <f aca="false">38_v69_E1!L295</f>
        <v>4.04156822499129</v>
      </c>
      <c r="M17" s="116" t="n">
        <f aca="false">38_v69_E1!M295</f>
        <v>8.39517974460498</v>
      </c>
      <c r="N17" s="116" t="n">
        <f aca="false">38_v69_E1!N295</f>
        <v>5.44083658746472</v>
      </c>
      <c r="O17" s="116" t="n">
        <f aca="false">38_v69_E1!O295</f>
        <v>2.81398823909552</v>
      </c>
      <c r="P17" s="116" t="n">
        <f aca="false">38_v69_E1!P295</f>
        <v>2.90423197317557</v>
      </c>
      <c r="Q17" s="116" t="n">
        <f aca="false">38_v69_E1!Q295</f>
        <v>2.97555986025785</v>
      </c>
      <c r="R17" s="116" t="n">
        <f aca="false">38_v69_E1!R295</f>
        <v>3.04746526717897</v>
      </c>
      <c r="S17" s="116" t="n">
        <f aca="false">38_v69_E1!S295</f>
        <v>3.11917190077866</v>
      </c>
      <c r="T17" s="116" t="n">
        <f aca="false">38_v69_E1!T295</f>
        <v>3.19074714254173</v>
      </c>
      <c r="U17" s="116" t="n">
        <f aca="false">38_v69_E1!U295</f>
        <v>3.26230685883343</v>
      </c>
      <c r="V17" s="116" t="n">
        <f aca="false">38_v69_E1!V295</f>
        <v>3.333964601566</v>
      </c>
      <c r="W17" s="116" t="n">
        <f aca="false">38_v69_E1!W295</f>
        <v>3.40583336651197</v>
      </c>
      <c r="X17" s="116" t="n">
        <f aca="false">38_v69_E1!X295</f>
        <v>3.47698437344569</v>
      </c>
      <c r="Y17" s="116" t="n">
        <f aca="false">38_v69_E1!Y295</f>
        <v>3.54753588142231</v>
      </c>
      <c r="Z17" s="116" t="n">
        <f aca="false">38_v69_E1!Z295</f>
        <v>3.61760704988063</v>
      </c>
      <c r="AA17" s="116" t="n">
        <f aca="false">38_v69_E1!AA295</f>
        <v>3.68731772613211</v>
      </c>
      <c r="AB17" s="116" t="n">
        <f aca="false">38_v69_E1!AB295</f>
        <v>3.75678862455639</v>
      </c>
      <c r="AC17" s="116" t="n">
        <f aca="false">38_v69_E1!AC295</f>
        <v>3.82616423796394</v>
      </c>
      <c r="AD17" s="116" t="n">
        <f aca="false">38_v69_E1!AD295</f>
        <v>3.89558987682893</v>
      </c>
      <c r="AE17" s="116" t="n">
        <f aca="false">38_v69_E1!AE295</f>
        <v>3.96521186176294</v>
      </c>
      <c r="AF17" s="116" t="n">
        <f aca="false">38_v69_E1!AF295</f>
        <v>4.03517771939511</v>
      </c>
    </row>
    <row r="18" customFormat="false" ht="15" hidden="false" customHeight="true" outlineLevel="0" collapsed="false">
      <c r="B18" s="1" t="str">
        <f aca="false">38_v69_E1!$B$294</f>
        <v>  Deuda pendiente (fin de año) (fila 85)</v>
      </c>
      <c r="C18" s="116" t="n">
        <f aca="false">38_v69_E1!C294</f>
        <v>7.09732726342972</v>
      </c>
      <c r="D18" s="116" t="n">
        <f aca="false">38_v69_E1!D294</f>
        <v>11.6686524133988</v>
      </c>
      <c r="E18" s="116" t="n">
        <f aca="false">38_v69_E1!E294</f>
        <v>15.7333002969161</v>
      </c>
      <c r="F18" s="116" t="n">
        <f aca="false">38_v69_E1!F294</f>
        <v>32.7425811471039</v>
      </c>
      <c r="G18" s="116" t="n">
        <f aca="false">38_v69_E1!G294</f>
        <v>34.266761060148</v>
      </c>
      <c r="H18" s="116" t="n">
        <f aca="false">38_v69_E1!H294</f>
        <v>35.7961777318699</v>
      </c>
      <c r="I18" s="116" t="n">
        <f aca="false">38_v69_E1!I294</f>
        <v>37.3308122806128</v>
      </c>
      <c r="J18" s="116" t="n">
        <f aca="false">38_v69_E1!J294</f>
        <v>38.8706504131468</v>
      </c>
      <c r="K18" s="116" t="n">
        <f aca="false">38_v69_E1!K294</f>
        <v>40.4156822499129</v>
      </c>
      <c r="L18" s="116" t="n">
        <f aca="false">38_v69_E1!L294</f>
        <v>41.9758987230249</v>
      </c>
      <c r="M18" s="116" t="n">
        <f aca="false">38_v69_E1!M294</f>
        <v>33.5807189784199</v>
      </c>
      <c r="N18" s="116" t="n">
        <f aca="false">38_v69_E1!N294</f>
        <v>28.1398823909552</v>
      </c>
      <c r="O18" s="116" t="n">
        <f aca="false">38_v69_E1!O294</f>
        <v>29.0423197317557</v>
      </c>
      <c r="P18" s="116" t="n">
        <f aca="false">38_v69_E1!P294</f>
        <v>29.7555986025785</v>
      </c>
      <c r="Q18" s="116" t="n">
        <f aca="false">38_v69_E1!Q294</f>
        <v>30.4746526717897</v>
      </c>
      <c r="R18" s="116" t="n">
        <f aca="false">38_v69_E1!R294</f>
        <v>31.1917190077866</v>
      </c>
      <c r="S18" s="116" t="n">
        <f aca="false">38_v69_E1!S294</f>
        <v>31.9074714254173</v>
      </c>
      <c r="T18" s="116" t="n">
        <f aca="false">38_v69_E1!T294</f>
        <v>32.6230685883343</v>
      </c>
      <c r="U18" s="116" t="n">
        <f aca="false">38_v69_E1!U294</f>
        <v>33.33964601566</v>
      </c>
      <c r="V18" s="116" t="n">
        <f aca="false">38_v69_E1!V294</f>
        <v>34.0583336651197</v>
      </c>
      <c r="W18" s="116" t="n">
        <f aca="false">38_v69_E1!W294</f>
        <v>34.7698437344569</v>
      </c>
      <c r="X18" s="116" t="n">
        <f aca="false">38_v69_E1!X294</f>
        <v>35.4753588142231</v>
      </c>
      <c r="Y18" s="116" t="n">
        <f aca="false">38_v69_E1!Y294</f>
        <v>36.1760704988063</v>
      </c>
      <c r="Z18" s="116" t="n">
        <f aca="false">38_v69_E1!Z294</f>
        <v>36.8731772613211</v>
      </c>
      <c r="AA18" s="116" t="n">
        <f aca="false">38_v69_E1!AA294</f>
        <v>37.5678862455639</v>
      </c>
      <c r="AB18" s="116" t="n">
        <f aca="false">38_v69_E1!AB294</f>
        <v>38.2616423796394</v>
      </c>
      <c r="AC18" s="116" t="n">
        <f aca="false">38_v69_E1!AC294</f>
        <v>38.9558987682893</v>
      </c>
      <c r="AD18" s="116" t="n">
        <f aca="false">38_v69_E1!AD294</f>
        <v>39.6521186176294</v>
      </c>
      <c r="AE18" s="116" t="n">
        <f aca="false">38_v69_E1!AE294</f>
        <v>40.3517771939511</v>
      </c>
      <c r="AF18" s="116" t="n">
        <f aca="false">38_v69_E1!AF294</f>
        <v>41.0563637337235</v>
      </c>
    </row>
    <row r="19" customFormat="false" ht="15" hidden="false" customHeight="true" outlineLevel="0" collapsed="false">
      <c r="B19" s="1" t="str">
        <f aca="false">38_v69_E1!$B$297</f>
        <v>  Intereses del año (01_Supuestos G2; pagan pensiones)</v>
      </c>
      <c r="C19" s="116" t="n">
        <f aca="false">38_v69_E1!C297</f>
        <v>0.283893090537189</v>
      </c>
      <c r="D19" s="116" t="n">
        <f aca="false">38_v69_E1!D297</f>
        <v>0.466746096535952</v>
      </c>
      <c r="E19" s="116" t="n">
        <f aca="false">38_v69_E1!E297</f>
        <v>0.629332011876644</v>
      </c>
      <c r="F19" s="116" t="n">
        <f aca="false">38_v69_E1!F297</f>
        <v>1.30970324588416</v>
      </c>
      <c r="G19" s="116" t="n">
        <f aca="false">38_v69_E1!G297</f>
        <v>1.37067044240592</v>
      </c>
      <c r="H19" s="116" t="n">
        <f aca="false">38_v69_E1!H297</f>
        <v>1.4318471092748</v>
      </c>
      <c r="I19" s="116" t="n">
        <f aca="false">38_v69_E1!I297</f>
        <v>1.49323249122451</v>
      </c>
      <c r="J19" s="116" t="n">
        <f aca="false">38_v69_E1!J297</f>
        <v>1.55482601652587</v>
      </c>
      <c r="K19" s="116" t="n">
        <f aca="false">38_v69_E1!K297</f>
        <v>1.61662728999652</v>
      </c>
      <c r="L19" s="116" t="n">
        <f aca="false">38_v69_E1!L297</f>
        <v>1.679035948921</v>
      </c>
      <c r="M19" s="116" t="n">
        <f aca="false">38_v69_E1!M297</f>
        <v>1.3432287591368</v>
      </c>
      <c r="N19" s="116" t="n">
        <f aca="false">38_v69_E1!N297</f>
        <v>1.12559529563821</v>
      </c>
      <c r="O19" s="116" t="n">
        <f aca="false">38_v69_E1!O297</f>
        <v>1.16169278927023</v>
      </c>
      <c r="P19" s="116" t="n">
        <f aca="false">38_v69_E1!P297</f>
        <v>1.19022394410314</v>
      </c>
      <c r="Q19" s="116" t="n">
        <f aca="false">38_v69_E1!Q297</f>
        <v>1.21898610687159</v>
      </c>
      <c r="R19" s="116" t="n">
        <f aca="false">38_v69_E1!R297</f>
        <v>1.24766876031146</v>
      </c>
      <c r="S19" s="116" t="n">
        <f aca="false">38_v69_E1!S297</f>
        <v>1.27629885701669</v>
      </c>
      <c r="T19" s="116" t="n">
        <f aca="false">38_v69_E1!T297</f>
        <v>1.30492274353337</v>
      </c>
      <c r="U19" s="116" t="n">
        <f aca="false">38_v69_E1!U297</f>
        <v>1.3335858406264</v>
      </c>
      <c r="V19" s="116" t="n">
        <f aca="false">38_v69_E1!V297</f>
        <v>1.36233334660479</v>
      </c>
      <c r="W19" s="116" t="n">
        <f aca="false">38_v69_E1!W297</f>
        <v>1.39079374937828</v>
      </c>
      <c r="X19" s="116" t="n">
        <f aca="false">38_v69_E1!X297</f>
        <v>1.41901435256892</v>
      </c>
      <c r="Y19" s="116" t="n">
        <f aca="false">38_v69_E1!Y297</f>
        <v>1.44704281995225</v>
      </c>
      <c r="Z19" s="116" t="n">
        <f aca="false">38_v69_E1!Z297</f>
        <v>1.47492709045284</v>
      </c>
      <c r="AA19" s="116" t="n">
        <f aca="false">38_v69_E1!AA297</f>
        <v>1.50271544982256</v>
      </c>
      <c r="AB19" s="116" t="n">
        <f aca="false">38_v69_E1!AB297</f>
        <v>1.53046569518557</v>
      </c>
      <c r="AC19" s="116" t="n">
        <f aca="false">38_v69_E1!AC297</f>
        <v>1.55823595073157</v>
      </c>
      <c r="AD19" s="116" t="n">
        <f aca="false">38_v69_E1!AD297</f>
        <v>1.58608474470518</v>
      </c>
      <c r="AE19" s="116" t="n">
        <f aca="false">38_v69_E1!AE297</f>
        <v>1.61407108775804</v>
      </c>
      <c r="AF19" s="116" t="n">
        <f aca="false">38_v69_E1!AF297</f>
        <v>1.64225454934894</v>
      </c>
    </row>
    <row r="20" customFormat="false" ht="15" hidden="false" customHeight="true" outlineLevel="0" collapsed="false">
      <c r="B20" s="1" t="str">
        <f aca="false">38_v69_E1!$B$298</f>
        <v>Aporte ambiental (fila 86): no es préstamo, no se devuelve; se compensa con Acciones Espejo</v>
      </c>
      <c r="C20" s="116" t="n">
        <f aca="false">38_v69_E1!C298</f>
        <v>0.65</v>
      </c>
      <c r="D20" s="116" t="n">
        <f aca="false">38_v69_E1!D298</f>
        <v>1.31495</v>
      </c>
      <c r="E20" s="116" t="n">
        <f aca="false">38_v69_E1!E298</f>
        <v>1.99519385</v>
      </c>
      <c r="F20" s="116" t="n">
        <f aca="false">38_v69_E1!F298</f>
        <v>2.69108330855</v>
      </c>
      <c r="G20" s="116" t="n">
        <f aca="false">38_v69_E1!G298</f>
        <v>3.40297822464665</v>
      </c>
      <c r="H20" s="116" t="n">
        <f aca="false">38_v69_E1!H298</f>
        <v>4.13124672381352</v>
      </c>
      <c r="I20" s="116" t="n">
        <f aca="false">38_v69_E1!I298</f>
        <v>4.87626539846123</v>
      </c>
      <c r="J20" s="116" t="n">
        <f aca="false">38_v69_E1!J298</f>
        <v>5.63841950262584</v>
      </c>
      <c r="K20" s="116" t="n">
        <f aca="false">38_v69_E1!K298</f>
        <v>6.41810315118623</v>
      </c>
      <c r="L20" s="116" t="n">
        <f aca="false">38_v69_E1!L298</f>
        <v>7.21571952366352</v>
      </c>
      <c r="M20" s="116" t="n">
        <f aca="false">38_v69_E1!M298</f>
        <v>7.92200031407257</v>
      </c>
      <c r="N20" s="116" t="n">
        <f aca="false">38_v69_E1!N298</f>
        <v>8.10420632129624</v>
      </c>
      <c r="O20" s="116" t="n">
        <f aca="false">38_v69_E1!O298</f>
        <v>8.29060306668605</v>
      </c>
      <c r="P20" s="116" t="n">
        <f aca="false">38_v69_E1!P298</f>
        <v>8.48128693721983</v>
      </c>
      <c r="Q20" s="116" t="n">
        <f aca="false">38_v69_E1!Q298</f>
        <v>8.67635653677589</v>
      </c>
      <c r="R20" s="116" t="n">
        <f aca="false">38_v69_E1!R298</f>
        <v>8.87591273712173</v>
      </c>
      <c r="S20" s="116" t="n">
        <f aca="false">38_v69_E1!S298</f>
        <v>9.08005873007553</v>
      </c>
      <c r="T20" s="116" t="n">
        <f aca="false">38_v69_E1!T298</f>
        <v>9.28890008086727</v>
      </c>
      <c r="U20" s="116" t="n">
        <f aca="false">38_v69_E1!U298</f>
        <v>9.50254478272721</v>
      </c>
      <c r="V20" s="116" t="n">
        <f aca="false">38_v69_E1!V298</f>
        <v>9.72110331272994</v>
      </c>
      <c r="W20" s="116" t="n">
        <f aca="false">38_v69_E1!W298</f>
        <v>9.94468868892272</v>
      </c>
      <c r="X20" s="116" t="n">
        <f aca="false">38_v69_E1!X298</f>
        <v>10.1734165287679</v>
      </c>
      <c r="Y20" s="116" t="n">
        <f aca="false">38_v69_E1!Y298</f>
        <v>10.4074051089296</v>
      </c>
      <c r="Z20" s="116" t="n">
        <f aca="false">38_v69_E1!Z298</f>
        <v>10.646775426435</v>
      </c>
      <c r="AA20" s="116" t="n">
        <f aca="false">38_v69_E1!AA298</f>
        <v>10.891651261243</v>
      </c>
      <c r="AB20" s="116" t="n">
        <f aca="false">38_v69_E1!AB298</f>
        <v>11.1421592402516</v>
      </c>
      <c r="AC20" s="116" t="n">
        <f aca="false">38_v69_E1!AC298</f>
        <v>11.3984289027774</v>
      </c>
      <c r="AD20" s="116" t="n">
        <f aca="false">38_v69_E1!AD298</f>
        <v>11.6605927675412</v>
      </c>
      <c r="AE20" s="116" t="n">
        <f aca="false">38_v69_E1!AE298</f>
        <v>11.9287864011947</v>
      </c>
      <c r="AF20" s="116" t="n">
        <f aca="false">38_v69_E1!AF298</f>
        <v>12.2031484884222</v>
      </c>
    </row>
    <row r="21" customFormat="false" ht="15" hidden="false" customHeight="true" outlineLevel="0" collapsed="false">
      <c r="B21" s="1" t="str">
        <f aca="false">38_v69_E1!$B$299</f>
        <v>TOTAL préstamos nuevos del año</v>
      </c>
      <c r="C21" s="116" t="n">
        <f aca="false">38_v69_E1!C299</f>
        <v>12.35</v>
      </c>
      <c r="D21" s="116" t="n">
        <f aca="false">38_v69_E1!D299</f>
        <v>14.0679319478248</v>
      </c>
      <c r="E21" s="116" t="n">
        <f aca="false">38_v69_E1!E299</f>
        <v>15.9271990488215</v>
      </c>
      <c r="F21" s="116" t="n">
        <f aca="false">38_v69_E1!F299</f>
        <v>18.9685636085931</v>
      </c>
      <c r="G21" s="116" t="n">
        <f aca="false">38_v69_E1!G299</f>
        <v>19.3352866010295</v>
      </c>
      <c r="H21" s="116" t="n">
        <f aca="false">38_v69_E1!H299</f>
        <v>21.453410062855</v>
      </c>
      <c r="I21" s="116" t="n">
        <f aca="false">38_v69_E1!I299</f>
        <v>23.6213794154617</v>
      </c>
      <c r="J21" s="116" t="n">
        <f aca="false">38_v69_E1!J299</f>
        <v>25.8403463896799</v>
      </c>
      <c r="K21" s="116" t="n">
        <f aca="false">38_v69_E1!K299</f>
        <v>28.1114890159741</v>
      </c>
      <c r="L21" s="116" t="n">
        <f aca="false">38_v69_E1!L299</f>
        <v>30.4360122399477</v>
      </c>
      <c r="M21" s="116" t="n">
        <f aca="false">38_v69_E1!M299</f>
        <v>34.9284255098503</v>
      </c>
      <c r="N21" s="116" t="n">
        <f aca="false">38_v69_E1!N299</f>
        <v>25.0240759208733</v>
      </c>
      <c r="O21" s="116" t="n">
        <f aca="false">38_v69_E1!O299</f>
        <v>23.7042115208221</v>
      </c>
      <c r="P21" s="116" t="n">
        <f aca="false">38_v69_E1!P299</f>
        <v>24.2397449892066</v>
      </c>
      <c r="Q21" s="116" t="n">
        <f aca="false">38_v69_E1!Q299</f>
        <v>24.7955437211684</v>
      </c>
      <c r="R21" s="116" t="n">
        <f aca="false">38_v69_E1!R299</f>
        <v>25.3645283158202</v>
      </c>
      <c r="S21" s="116" t="n">
        <f aca="false">38_v69_E1!S299</f>
        <v>25.9473010052088</v>
      </c>
      <c r="T21" s="116" t="n">
        <f aca="false">38_v69_E1!T299</f>
        <v>26.5441516718461</v>
      </c>
      <c r="U21" s="116" t="n">
        <f aca="false">38_v69_E1!U299</f>
        <v>27.1553590945024</v>
      </c>
      <c r="V21" s="116" t="n">
        <f aca="false">38_v69_E1!V299</f>
        <v>27.7812103492022</v>
      </c>
      <c r="W21" s="116" t="n">
        <f aca="false">38_v69_E1!W299</f>
        <v>28.4220003141554</v>
      </c>
      <c r="X21" s="116" t="n">
        <f aca="false">38_v69_E1!X299</f>
        <v>29.0784260814396</v>
      </c>
      <c r="Y21" s="116" t="n">
        <f aca="false">38_v69_E1!Y299</f>
        <v>29.7507962474939</v>
      </c>
      <c r="Z21" s="116" t="n">
        <f aca="false">38_v69_E1!Z299</f>
        <v>30.4394271954208</v>
      </c>
      <c r="AA21" s="116" t="n">
        <f aca="false">38_v69_E1!AA299</f>
        <v>31.1446433623842</v>
      </c>
      <c r="AB21" s="116" t="n">
        <f aca="false">38_v69_E1!AB299</f>
        <v>31.8667773629935</v>
      </c>
      <c r="AC21" s="116" t="n">
        <f aca="false">38_v69_E1!AC299</f>
        <v>32.6061615100069</v>
      </c>
      <c r="AD21" s="116" t="n">
        <f aca="false">38_v69_E1!AD299</f>
        <v>33.3631367080983</v>
      </c>
      <c r="AE21" s="116" t="n">
        <f aca="false">38_v69_E1!AE299</f>
        <v>34.1380525857155</v>
      </c>
      <c r="AF21" s="116" t="n">
        <f aca="false">38_v69_E1!AF299</f>
        <v>34.9312676303577</v>
      </c>
    </row>
    <row r="22" customFormat="false" ht="15" hidden="false" customHeight="true" outlineLevel="0" collapsed="false">
      <c r="B22" s="1" t="str">
        <f aca="false">38_v69_E1!$B$300</f>
        <v>TOTAL capital devuelto en el año (se netea: se anula la plata creada)</v>
      </c>
      <c r="C22" s="116" t="n">
        <f aca="false">38_v69_E1!C300</f>
        <v>0</v>
      </c>
      <c r="D22" s="116" t="n">
        <f aca="false">38_v69_E1!D300</f>
        <v>1.42862927508819</v>
      </c>
      <c r="E22" s="116" t="n">
        <f aca="false">38_v69_E1!E300</f>
        <v>2.98925050123488</v>
      </c>
      <c r="F22" s="116" t="n">
        <f aca="false">38_v69_E1!F300</f>
        <v>5.72448851328998</v>
      </c>
      <c r="G22" s="116" t="n">
        <f aca="false">38_v69_E1!G300</f>
        <v>5.7908951934778</v>
      </c>
      <c r="H22" s="116" t="n">
        <f aca="false">38_v69_E1!H300</f>
        <v>7.58591875347624</v>
      </c>
      <c r="I22" s="116" t="n">
        <f aca="false">38_v69_E1!I300</f>
        <v>9.42332708713459</v>
      </c>
      <c r="J22" s="116" t="n">
        <f aca="false">38_v69_E1!J300</f>
        <v>11.3041001802622</v>
      </c>
      <c r="K22" s="116" t="n">
        <f aca="false">38_v69_E1!K300</f>
        <v>13.2292403731899</v>
      </c>
      <c r="L22" s="116" t="n">
        <f aca="false">38_v69_E1!L300</f>
        <v>15.1997728852567</v>
      </c>
      <c r="M22" s="116" t="n">
        <f aca="false">38_v69_E1!M300</f>
        <v>21.4139677198517</v>
      </c>
      <c r="N22" s="116" t="n">
        <f aca="false">38_v69_E1!N300</f>
        <v>21.4452244966346</v>
      </c>
      <c r="O22" s="116" t="n">
        <f aca="false">38_v69_E1!O300</f>
        <v>20.036833320702</v>
      </c>
      <c r="P22" s="116" t="n">
        <f aca="false">38_v69_E1!P300</f>
        <v>20.4882723105295</v>
      </c>
      <c r="Q22" s="116" t="n">
        <f aca="false">38_v69_E1!Q300</f>
        <v>20.9578324763988</v>
      </c>
      <c r="R22" s="116" t="n">
        <f aca="false">38_v69_E1!R300</f>
        <v>21.4385843877222</v>
      </c>
      <c r="S22" s="116" t="n">
        <f aca="false">38_v69_E1!S300</f>
        <v>21.9310765160891</v>
      </c>
      <c r="T22" s="116" t="n">
        <f aca="false">38_v69_E1!T300</f>
        <v>22.4355523623571</v>
      </c>
      <c r="U22" s="116" t="n">
        <f aca="false">38_v69_E1!U300</f>
        <v>22.9522437262152</v>
      </c>
      <c r="V22" s="116" t="n">
        <f aca="false">38_v69_E1!V300</f>
        <v>23.4813895742942</v>
      </c>
      <c r="W22" s="116" t="n">
        <f aca="false">38_v69_E1!W300</f>
        <v>24.0232355372157</v>
      </c>
      <c r="X22" s="116" t="n">
        <f aca="false">38_v69_E1!X300</f>
        <v>24.5784178830253</v>
      </c>
      <c r="Y22" s="116" t="n">
        <f aca="false">38_v69_E1!Y300</f>
        <v>25.1471936691899</v>
      </c>
      <c r="Z22" s="116" t="n">
        <f aca="false">38_v69_E1!Z300</f>
        <v>25.7298265362477</v>
      </c>
      <c r="AA22" s="116" t="n">
        <f aca="false">38_v69_E1!AA300</f>
        <v>26.3265869451912</v>
      </c>
      <c r="AB22" s="116" t="n">
        <f aca="false">38_v69_E1!AB300</f>
        <v>26.9377522741123</v>
      </c>
      <c r="AC22" s="116" t="n">
        <f aca="false">38_v69_E1!AC300</f>
        <v>27.5635985388318</v>
      </c>
      <c r="AD22" s="116" t="n">
        <f aca="false">38_v69_E1!AD300</f>
        <v>28.2044090272001</v>
      </c>
      <c r="AE22" s="116" t="n">
        <f aca="false">38_v69_E1!AE300</f>
        <v>28.8604744023343</v>
      </c>
      <c r="AF22" s="116" t="n">
        <f aca="false">38_v69_E1!AF300</f>
        <v>29.5320928086069</v>
      </c>
    </row>
    <row r="23" customFormat="false" ht="15" hidden="false" customHeight="true" outlineLevel="0" collapsed="false">
      <c r="B23" s="1" t="str">
        <f aca="false">38_v69_E1!$B$301</f>
        <v>TOTAL deuda pendiente (fin de año)</v>
      </c>
      <c r="C23" s="116" t="n">
        <f aca="false">38_v69_E1!C301</f>
        <v>12.35</v>
      </c>
      <c r="D23" s="116" t="n">
        <f aca="false">38_v69_E1!D301</f>
        <v>24.98405</v>
      </c>
      <c r="E23" s="116" t="n">
        <f aca="false">38_v69_E1!E301</f>
        <v>37.90868315</v>
      </c>
      <c r="F23" s="116" t="n">
        <f aca="false">38_v69_E1!F301</f>
        <v>51.13058286245</v>
      </c>
      <c r="G23" s="116" t="n">
        <f aca="false">38_v69_E1!G301</f>
        <v>64.6565862682863</v>
      </c>
      <c r="H23" s="116" t="n">
        <f aca="false">38_v69_E1!H301</f>
        <v>78.4936877524569</v>
      </c>
      <c r="I23" s="116" t="n">
        <f aca="false">38_v69_E1!I301</f>
        <v>92.6490425707634</v>
      </c>
      <c r="J23" s="116" t="n">
        <f aca="false">38_v69_E1!J301</f>
        <v>107.129970549891</v>
      </c>
      <c r="K23" s="116" t="n">
        <f aca="false">38_v69_E1!K301</f>
        <v>121.943959872538</v>
      </c>
      <c r="L23" s="116" t="n">
        <f aca="false">38_v69_E1!L301</f>
        <v>137.098670949607</v>
      </c>
      <c r="M23" s="116" t="n">
        <f aca="false">38_v69_E1!M301</f>
        <v>150.518005967379</v>
      </c>
      <c r="N23" s="116" t="n">
        <f aca="false">38_v69_E1!N301</f>
        <v>153.979920104629</v>
      </c>
      <c r="O23" s="116" t="n">
        <f aca="false">38_v69_E1!O301</f>
        <v>157.521458267035</v>
      </c>
      <c r="P23" s="116" t="n">
        <f aca="false">38_v69_E1!P301</f>
        <v>161.144451807177</v>
      </c>
      <c r="Q23" s="116" t="n">
        <f aca="false">38_v69_E1!Q301</f>
        <v>164.850774198742</v>
      </c>
      <c r="R23" s="116" t="n">
        <f aca="false">38_v69_E1!R301</f>
        <v>168.642342005313</v>
      </c>
      <c r="S23" s="116" t="n">
        <f aca="false">38_v69_E1!S301</f>
        <v>172.521115871435</v>
      </c>
      <c r="T23" s="116" t="n">
        <f aca="false">38_v69_E1!T301</f>
        <v>176.489101536478</v>
      </c>
      <c r="U23" s="116" t="n">
        <f aca="false">38_v69_E1!U301</f>
        <v>180.548350871817</v>
      </c>
      <c r="V23" s="116" t="n">
        <f aca="false">38_v69_E1!V301</f>
        <v>184.700962941869</v>
      </c>
      <c r="W23" s="116" t="n">
        <f aca="false">38_v69_E1!W301</f>
        <v>188.949085089532</v>
      </c>
      <c r="X23" s="116" t="n">
        <f aca="false">38_v69_E1!X301</f>
        <v>193.294914046591</v>
      </c>
      <c r="Y23" s="116" t="n">
        <f aca="false">38_v69_E1!Y301</f>
        <v>197.740697069663</v>
      </c>
      <c r="Z23" s="116" t="n">
        <f aca="false">38_v69_E1!Z301</f>
        <v>202.288733102265</v>
      </c>
      <c r="AA23" s="116" t="n">
        <f aca="false">38_v69_E1!AA301</f>
        <v>206.941373963617</v>
      </c>
      <c r="AB23" s="116" t="n">
        <f aca="false">38_v69_E1!AB301</f>
        <v>211.70102556478</v>
      </c>
      <c r="AC23" s="116" t="n">
        <f aca="false">38_v69_E1!AC301</f>
        <v>216.57014915277</v>
      </c>
      <c r="AD23" s="116" t="n">
        <f aca="false">38_v69_E1!AD301</f>
        <v>221.551262583284</v>
      </c>
      <c r="AE23" s="116" t="n">
        <f aca="false">38_v69_E1!AE301</f>
        <v>226.646941622699</v>
      </c>
      <c r="AF23" s="116" t="n">
        <f aca="false">38_v69_E1!AF301</f>
        <v>231.859821280021</v>
      </c>
    </row>
    <row r="24" customFormat="false" ht="15" hidden="false" customHeight="true" outlineLevel="0" collapsed="false">
      <c r="B24" s="1" t="str">
        <f aca="false">38_v69_E1!$B$302</f>
        <v>TOTAL intereses del año</v>
      </c>
      <c r="C24" s="116" t="n">
        <f aca="false">38_v69_E1!C302</f>
        <v>0.509532153282038</v>
      </c>
      <c r="D24" s="116" t="n">
        <f aca="false">38_v69_E1!D302</f>
        <v>1.03873563066358</v>
      </c>
      <c r="E24" s="116" t="n">
        <f aca="false">38_v69_E1!E302</f>
        <v>1.58191993309657</v>
      </c>
      <c r="F24" s="116" t="n">
        <f aca="false">38_v69_E1!F302</f>
        <v>2.09959663557028</v>
      </c>
      <c r="G24" s="116" t="n">
        <f aca="false">38_v69_E1!G302</f>
        <v>2.67612616387192</v>
      </c>
      <c r="H24" s="116" t="n">
        <f aca="false">38_v69_E1!H302</f>
        <v>3.26600404722915</v>
      </c>
      <c r="I24" s="116" t="n">
        <f aca="false">38_v69_E1!I302</f>
        <v>3.86953770979851</v>
      </c>
      <c r="J24" s="116" t="n">
        <f aca="false">38_v69_E1!J302</f>
        <v>4.48704163163999</v>
      </c>
      <c r="K24" s="116" t="n">
        <f aca="false">38_v69_E1!K302</f>
        <v>5.11883751183164</v>
      </c>
      <c r="L24" s="116" t="n">
        <f aca="false">38_v69_E1!L302</f>
        <v>5.76522487545828</v>
      </c>
      <c r="M24" s="116" t="n">
        <f aca="false">38_v69_E1!M302</f>
        <v>6.3665037963215</v>
      </c>
      <c r="N24" s="116" t="n">
        <f aca="false">38_v69_E1!N302</f>
        <v>6.53130579570447</v>
      </c>
      <c r="O24" s="116" t="n">
        <f aca="false">38_v69_E1!O302</f>
        <v>6.68077114333022</v>
      </c>
      <c r="P24" s="116" t="n">
        <f aca="false">38_v69_E1!P302</f>
        <v>6.83429491121307</v>
      </c>
      <c r="Q24" s="116" t="n">
        <f aca="false">38_v69_E1!Q302</f>
        <v>6.99138115930487</v>
      </c>
      <c r="R24" s="116" t="n">
        <f aca="false">38_v69_E1!R302</f>
        <v>7.1521351724162</v>
      </c>
      <c r="S24" s="116" t="n">
        <f aca="false">38_v69_E1!S302</f>
        <v>7.31663918148428</v>
      </c>
      <c r="T24" s="116" t="n">
        <f aca="false">38_v69_E1!T302</f>
        <v>7.48497592088678</v>
      </c>
      <c r="U24" s="116" t="n">
        <f aca="false">38_v69_E1!U302</f>
        <v>7.65723017513234</v>
      </c>
      <c r="V24" s="116" t="n">
        <f aca="false">38_v69_E1!V302</f>
        <v>7.8334887724461</v>
      </c>
      <c r="W24" s="116" t="n">
        <f aca="false">38_v69_E1!W302</f>
        <v>8.01387142026823</v>
      </c>
      <c r="X24" s="116" t="n">
        <f aca="false">38_v69_E1!X302</f>
        <v>8.19846898668575</v>
      </c>
      <c r="Y24" s="116" t="n">
        <f aca="false">38_v69_E1!Y302</f>
        <v>8.38737448355653</v>
      </c>
      <c r="Z24" s="116" t="n">
        <f aca="false">38_v69_E1!Z302</f>
        <v>8.58068312271226</v>
      </c>
      <c r="AA24" s="116" t="n">
        <f aca="false">38_v69_E1!AA302</f>
        <v>8.77849236172696</v>
      </c>
      <c r="AB24" s="116" t="n">
        <f aca="false">38_v69_E1!AB302</f>
        <v>8.98090127866966</v>
      </c>
      <c r="AC24" s="116" t="n">
        <f aca="false">38_v69_E1!AC302</f>
        <v>9.18801130449771</v>
      </c>
      <c r="AD24" s="116" t="n">
        <f aca="false">38_v69_E1!AD302</f>
        <v>9.39992627203778</v>
      </c>
      <c r="AE24" s="116" t="n">
        <f aca="false">38_v69_E1!AE302</f>
        <v>9.61675246612377</v>
      </c>
      <c r="AF24" s="116" t="n">
        <f aca="false">38_v69_E1!AF302</f>
        <v>9.83859867516525</v>
      </c>
    </row>
    <row r="25" customFormat="false" ht="15" hidden="false" customHeight="true" outlineLevel="0" collapsed="false">
      <c r="B25" s="146" t="str">
        <f aca="false">38_v69_E1!$B$306</f>
        <v>ACCIÓN ESPEJO: LÍMITE DE EMISIÓN (regla del autor: registra el derecho del jubilado y limita la emisión; no pone plata)</v>
      </c>
    </row>
    <row r="26" customFormat="false" ht="15" hidden="false" customHeight="true" outlineLevel="0" collapsed="false">
      <c r="B26" s="1" t="str">
        <f aca="false">38_v69_E1!$B$307</f>
        <v>Derecho de los jubilados registrado en Acciones Espejo (fondo de las familias, fila 81)</v>
      </c>
      <c r="C26" s="116" t="n">
        <f aca="false">38_v69_E1!C307</f>
        <v>59.1443938619143</v>
      </c>
      <c r="D26" s="116" t="n">
        <f aca="false">38_v69_E1!D307</f>
        <v>97.2387701116566</v>
      </c>
      <c r="E26" s="116" t="n">
        <f aca="false">38_v69_E1!E307</f>
        <v>131.110835807634</v>
      </c>
      <c r="F26" s="116" t="n">
        <f aca="false">38_v69_E1!F307</f>
        <v>272.854842892533</v>
      </c>
      <c r="G26" s="116" t="n">
        <f aca="false">38_v69_E1!G307</f>
        <v>285.5563421679</v>
      </c>
      <c r="H26" s="116" t="n">
        <f aca="false">38_v69_E1!H307</f>
        <v>298.301481098916</v>
      </c>
      <c r="I26" s="116" t="n">
        <f aca="false">38_v69_E1!I307</f>
        <v>311.09010233844</v>
      </c>
      <c r="J26" s="116" t="n">
        <f aca="false">38_v69_E1!J307</f>
        <v>323.922086776223</v>
      </c>
      <c r="K26" s="116" t="n">
        <f aca="false">38_v69_E1!K307</f>
        <v>336.797352082607</v>
      </c>
      <c r="L26" s="116" t="n">
        <f aca="false">38_v69_E1!L307</f>
        <v>349.799156025208</v>
      </c>
      <c r="M26" s="116" t="n">
        <f aca="false">38_v69_E1!M307</f>
        <v>362.419591755768</v>
      </c>
      <c r="N26" s="116" t="n">
        <f aca="false">38_v69_E1!N307</f>
        <v>375.198431879403</v>
      </c>
      <c r="O26" s="116" t="n">
        <f aca="false">38_v69_E1!O307</f>
        <v>387.230929756743</v>
      </c>
      <c r="P26" s="116" t="n">
        <f aca="false">38_v69_E1!P307</f>
        <v>396.741314701046</v>
      </c>
      <c r="Q26" s="116" t="n">
        <f aca="false">38_v69_E1!Q307</f>
        <v>406.328702290529</v>
      </c>
      <c r="R26" s="116" t="n">
        <f aca="false">38_v69_E1!R307</f>
        <v>415.889586770488</v>
      </c>
      <c r="S26" s="116" t="n">
        <f aca="false">38_v69_E1!S307</f>
        <v>425.432952338897</v>
      </c>
      <c r="T26" s="116" t="n">
        <f aca="false">38_v69_E1!T307</f>
        <v>434.974247844458</v>
      </c>
      <c r="U26" s="116" t="n">
        <f aca="false">38_v69_E1!U307</f>
        <v>444.528613542134</v>
      </c>
      <c r="V26" s="116" t="n">
        <f aca="false">38_v69_E1!V307</f>
        <v>454.111115534929</v>
      </c>
      <c r="W26" s="116" t="n">
        <f aca="false">38_v69_E1!W307</f>
        <v>463.597916459425</v>
      </c>
      <c r="X26" s="116" t="n">
        <f aca="false">38_v69_E1!X307</f>
        <v>473.004784189641</v>
      </c>
      <c r="Y26" s="116" t="n">
        <f aca="false">38_v69_E1!Y307</f>
        <v>482.347606650751</v>
      </c>
      <c r="Z26" s="116" t="n">
        <f aca="false">38_v69_E1!Z307</f>
        <v>491.642363484281</v>
      </c>
      <c r="AA26" s="116" t="n">
        <f aca="false">38_v69_E1!AA307</f>
        <v>500.905149940852</v>
      </c>
      <c r="AB26" s="116" t="n">
        <f aca="false">38_v69_E1!AB307</f>
        <v>510.155231728525</v>
      </c>
      <c r="AC26" s="116" t="n">
        <f aca="false">38_v69_E1!AC307</f>
        <v>519.411983577191</v>
      </c>
      <c r="AD26" s="116" t="n">
        <f aca="false">38_v69_E1!AD307</f>
        <v>528.694914901726</v>
      </c>
      <c r="AE26" s="116" t="n">
        <f aca="false">38_v69_E1!AE307</f>
        <v>538.023695919348</v>
      </c>
      <c r="AF26" s="116" t="n">
        <f aca="false">38_v69_E1!AF307</f>
        <v>547.418183116313</v>
      </c>
    </row>
    <row r="27" customFormat="false" ht="15" hidden="false" customHeight="true" outlineLevel="0" collapsed="false">
      <c r="B27" s="1" t="str">
        <f aca="false">38_v69_E1!$B$308</f>
        <v>Créditos vinculados a Acciones Espejo (personas + empresas + Estado)</v>
      </c>
      <c r="C27" s="116" t="n">
        <f aca="false">38_v69_E1!C308</f>
        <v>12.35</v>
      </c>
      <c r="D27" s="116" t="n">
        <f aca="false">38_v69_E1!D308</f>
        <v>24.98405</v>
      </c>
      <c r="E27" s="116" t="n">
        <f aca="false">38_v69_E1!E308</f>
        <v>37.90868315</v>
      </c>
      <c r="F27" s="116" t="n">
        <f aca="false">38_v69_E1!F308</f>
        <v>51.13058286245</v>
      </c>
      <c r="G27" s="116" t="n">
        <f aca="false">38_v69_E1!G308</f>
        <v>64.6565862682863</v>
      </c>
      <c r="H27" s="116" t="n">
        <f aca="false">38_v69_E1!H308</f>
        <v>78.4936877524569</v>
      </c>
      <c r="I27" s="116" t="n">
        <f aca="false">38_v69_E1!I308</f>
        <v>92.6490425707634</v>
      </c>
      <c r="J27" s="116" t="n">
        <f aca="false">38_v69_E1!J308</f>
        <v>107.129970549891</v>
      </c>
      <c r="K27" s="116" t="n">
        <f aca="false">38_v69_E1!K308</f>
        <v>121.943959872538</v>
      </c>
      <c r="L27" s="116" t="n">
        <f aca="false">38_v69_E1!L308</f>
        <v>137.098670949607</v>
      </c>
      <c r="M27" s="116" t="n">
        <f aca="false">38_v69_E1!M308</f>
        <v>150.518005967379</v>
      </c>
      <c r="N27" s="116" t="n">
        <f aca="false">38_v69_E1!N308</f>
        <v>153.979920104629</v>
      </c>
      <c r="O27" s="116" t="n">
        <f aca="false">38_v69_E1!O308</f>
        <v>157.521458267035</v>
      </c>
      <c r="P27" s="116" t="n">
        <f aca="false">38_v69_E1!P308</f>
        <v>161.144451807177</v>
      </c>
      <c r="Q27" s="116" t="n">
        <f aca="false">38_v69_E1!Q308</f>
        <v>164.850774198742</v>
      </c>
      <c r="R27" s="116" t="n">
        <f aca="false">38_v69_E1!R308</f>
        <v>168.642342005313</v>
      </c>
      <c r="S27" s="116" t="n">
        <f aca="false">38_v69_E1!S308</f>
        <v>172.521115871435</v>
      </c>
      <c r="T27" s="116" t="n">
        <f aca="false">38_v69_E1!T308</f>
        <v>176.489101536478</v>
      </c>
      <c r="U27" s="116" t="n">
        <f aca="false">38_v69_E1!U308</f>
        <v>180.548350871817</v>
      </c>
      <c r="V27" s="116" t="n">
        <f aca="false">38_v69_E1!V308</f>
        <v>184.700962941869</v>
      </c>
      <c r="W27" s="116" t="n">
        <f aca="false">38_v69_E1!W308</f>
        <v>188.949085089532</v>
      </c>
      <c r="X27" s="116" t="n">
        <f aca="false">38_v69_E1!X308</f>
        <v>193.294914046591</v>
      </c>
      <c r="Y27" s="116" t="n">
        <f aca="false">38_v69_E1!Y308</f>
        <v>197.740697069663</v>
      </c>
      <c r="Z27" s="116" t="n">
        <f aca="false">38_v69_E1!Z308</f>
        <v>202.288733102265</v>
      </c>
      <c r="AA27" s="116" t="n">
        <f aca="false">38_v69_E1!AA308</f>
        <v>206.941373963617</v>
      </c>
      <c r="AB27" s="116" t="n">
        <f aca="false">38_v69_E1!AB308</f>
        <v>211.70102556478</v>
      </c>
      <c r="AC27" s="116" t="n">
        <f aca="false">38_v69_E1!AC308</f>
        <v>216.57014915277</v>
      </c>
      <c r="AD27" s="116" t="n">
        <f aca="false">38_v69_E1!AD308</f>
        <v>221.551262583284</v>
      </c>
      <c r="AE27" s="116" t="n">
        <f aca="false">38_v69_E1!AE308</f>
        <v>226.646941622699</v>
      </c>
      <c r="AF27" s="116" t="n">
        <f aca="false">38_v69_E1!AF308</f>
        <v>231.859821280021</v>
      </c>
    </row>
    <row r="28" customFormat="false" ht="15" hidden="false" customHeight="true" outlineLevel="0" collapsed="false">
      <c r="B28" s="1" t="str">
        <f aca="false">38_v69_E1!$B$309</f>
        <v>Acciones Espejo libres para vincular a créditos nuevos</v>
      </c>
      <c r="C28" s="116" t="n">
        <f aca="false">38_v69_E1!C309</f>
        <v>46.7943938619143</v>
      </c>
      <c r="D28" s="116" t="n">
        <f aca="false">38_v69_E1!D309</f>
        <v>72.2547201116566</v>
      </c>
      <c r="E28" s="116" t="n">
        <f aca="false">38_v69_E1!E309</f>
        <v>93.2021526576341</v>
      </c>
      <c r="F28" s="116" t="n">
        <f aca="false">38_v69_E1!F309</f>
        <v>221.724260030083</v>
      </c>
      <c r="G28" s="116" t="n">
        <f aca="false">38_v69_E1!G309</f>
        <v>220.899755899614</v>
      </c>
      <c r="H28" s="116" t="n">
        <f aca="false">38_v69_E1!H309</f>
        <v>219.807793346459</v>
      </c>
      <c r="I28" s="116" t="n">
        <f aca="false">38_v69_E1!I309</f>
        <v>218.441059767677</v>
      </c>
      <c r="J28" s="116" t="n">
        <f aca="false">38_v69_E1!J309</f>
        <v>216.792116226332</v>
      </c>
      <c r="K28" s="116" t="n">
        <f aca="false">38_v69_E1!K309</f>
        <v>214.853392210069</v>
      </c>
      <c r="L28" s="116" t="n">
        <f aca="false">38_v69_E1!L309</f>
        <v>212.700485075601</v>
      </c>
      <c r="M28" s="116" t="n">
        <f aca="false">38_v69_E1!M309</f>
        <v>211.901585788389</v>
      </c>
      <c r="N28" s="116" t="n">
        <f aca="false">38_v69_E1!N309</f>
        <v>221.218511774774</v>
      </c>
      <c r="O28" s="116" t="n">
        <f aca="false">38_v69_E1!O309</f>
        <v>229.709471489708</v>
      </c>
      <c r="P28" s="116" t="n">
        <f aca="false">38_v69_E1!P309</f>
        <v>235.596862893869</v>
      </c>
      <c r="Q28" s="116" t="n">
        <f aca="false">38_v69_E1!Q309</f>
        <v>241.477928091787</v>
      </c>
      <c r="R28" s="116" t="n">
        <f aca="false">38_v69_E1!R309</f>
        <v>247.247244765175</v>
      </c>
      <c r="S28" s="116" t="n">
        <f aca="false">38_v69_E1!S309</f>
        <v>252.911836467462</v>
      </c>
      <c r="T28" s="116" t="n">
        <f aca="false">38_v69_E1!T309</f>
        <v>258.48514630798</v>
      </c>
      <c r="U28" s="116" t="n">
        <f aca="false">38_v69_E1!U309</f>
        <v>263.980262670317</v>
      </c>
      <c r="V28" s="116" t="n">
        <f aca="false">38_v69_E1!V309</f>
        <v>269.41015259306</v>
      </c>
      <c r="W28" s="116" t="n">
        <f aca="false">38_v69_E1!W309</f>
        <v>274.648831369893</v>
      </c>
      <c r="X28" s="116" t="n">
        <f aca="false">38_v69_E1!X309</f>
        <v>279.70987014305</v>
      </c>
      <c r="Y28" s="116" t="n">
        <f aca="false">38_v69_E1!Y309</f>
        <v>284.606909581089</v>
      </c>
      <c r="Z28" s="116" t="n">
        <f aca="false">38_v69_E1!Z309</f>
        <v>289.353630382016</v>
      </c>
      <c r="AA28" s="116" t="n">
        <f aca="false">38_v69_E1!AA309</f>
        <v>293.963775977235</v>
      </c>
      <c r="AB28" s="116" t="n">
        <f aca="false">38_v69_E1!AB309</f>
        <v>298.454206163745</v>
      </c>
      <c r="AC28" s="116" t="n">
        <f aca="false">38_v69_E1!AC309</f>
        <v>302.841834424421</v>
      </c>
      <c r="AD28" s="116" t="n">
        <f aca="false">38_v69_E1!AD309</f>
        <v>307.143652318442</v>
      </c>
      <c r="AE28" s="116" t="n">
        <f aca="false">38_v69_E1!AE309</f>
        <v>311.376754296649</v>
      </c>
      <c r="AF28" s="116" t="n">
        <f aca="false">38_v69_E1!AF309</f>
        <v>315.558361836292</v>
      </c>
    </row>
    <row r="29" customFormat="false" ht="15" hidden="false" customHeight="true" outlineLevel="0" collapsed="false">
      <c r="B29" s="1" t="str">
        <f aca="false">38_v69_E1!$B$310</f>
        <v>Créditos vinculados por cada $100 de derecho (el tope del B1 lo limita a $45)</v>
      </c>
      <c r="C29" s="116" t="n">
        <f aca="false">38_v69_E1!C310</f>
        <v>20.8810999548559</v>
      </c>
      <c r="D29" s="116" t="n">
        <f aca="false">38_v69_E1!D310</f>
        <v>25.6935067888163</v>
      </c>
      <c r="E29" s="116" t="n">
        <f aca="false">38_v69_E1!E310</f>
        <v>28.9134631142308</v>
      </c>
      <c r="F29" s="116" t="n">
        <f aca="false">38_v69_E1!F310</f>
        <v>18.7391150255627</v>
      </c>
      <c r="G29" s="116" t="n">
        <f aca="false">38_v69_E1!G310</f>
        <v>22.642321924081</v>
      </c>
      <c r="H29" s="116" t="n">
        <f aca="false">38_v69_E1!H310</f>
        <v>26.3135427498694</v>
      </c>
      <c r="I29" s="116" t="n">
        <f aca="false">38_v69_E1!I310</f>
        <v>29.7820605266216</v>
      </c>
      <c r="J29" s="116" t="n">
        <f aca="false">38_v69_E1!J310</f>
        <v>33.0727588279277</v>
      </c>
      <c r="K29" s="116" t="n">
        <f aca="false">38_v69_E1!K310</f>
        <v>36.2069235754053</v>
      </c>
      <c r="L29" s="116" t="n">
        <f aca="false">38_v69_E1!L310</f>
        <v>39.1935396607209</v>
      </c>
      <c r="M29" s="116" t="n">
        <f aca="false">38_v69_E1!M310</f>
        <v>41.5314208699876</v>
      </c>
      <c r="N29" s="116" t="n">
        <f aca="false">38_v69_E1!N310</f>
        <v>41.0395958568721</v>
      </c>
      <c r="O29" s="116" t="n">
        <f aca="false">38_v69_E1!O310</f>
        <v>40.6789453430255</v>
      </c>
      <c r="P29" s="116" t="n">
        <f aca="false">38_v69_E1!P310</f>
        <v>40.6170080695032</v>
      </c>
      <c r="Q29" s="116" t="n">
        <f aca="false">38_v69_E1!Q310</f>
        <v>40.5707923829786</v>
      </c>
      <c r="R29" s="116" t="n">
        <f aca="false">38_v69_E1!R310</f>
        <v>40.5497870997139</v>
      </c>
      <c r="S29" s="116" t="n">
        <f aca="false">38_v69_E1!S310</f>
        <v>40.5518930592866</v>
      </c>
      <c r="T29" s="116" t="n">
        <f aca="false">38_v69_E1!T310</f>
        <v>40.5746092811427</v>
      </c>
      <c r="U29" s="116" t="n">
        <f aca="false">38_v69_E1!U310</f>
        <v>40.6156871282492</v>
      </c>
      <c r="V29" s="116" t="n">
        <f aca="false">38_v69_E1!V310</f>
        <v>40.6730768358966</v>
      </c>
      <c r="W29" s="116" t="n">
        <f aca="false">38_v69_E1!W310</f>
        <v>40.7571040294071</v>
      </c>
      <c r="X29" s="116" t="n">
        <f aca="false">38_v69_E1!X310</f>
        <v>40.8653190216134</v>
      </c>
      <c r="Y29" s="116" t="n">
        <f aca="false">38_v69_E1!Y310</f>
        <v>40.9954759478757</v>
      </c>
      <c r="Z29" s="116" t="n">
        <f aca="false">38_v69_E1!Z310</f>
        <v>41.1455049700436</v>
      </c>
      <c r="AA29" s="116" t="n">
        <f aca="false">38_v69_E1!AA310</f>
        <v>41.3134849957228</v>
      </c>
      <c r="AB29" s="116" t="n">
        <f aca="false">38_v69_E1!AB310</f>
        <v>41.4973742104903</v>
      </c>
      <c r="AC29" s="116" t="n">
        <f aca="false">38_v69_E1!AC310</f>
        <v>41.6952546341444</v>
      </c>
      <c r="AD29" s="116" t="n">
        <f aca="false">38_v69_E1!AD310</f>
        <v>41.9053136957948</v>
      </c>
      <c r="AE29" s="116" t="n">
        <f aca="false">38_v69_E1!AE310</f>
        <v>42.1258289071109</v>
      </c>
      <c r="AF29" s="116" t="n">
        <f aca="false">38_v69_E1!AF310</f>
        <v>42.3551552416659</v>
      </c>
    </row>
    <row r="30" customFormat="false" ht="15" hidden="false" customHeight="true" outlineLevel="0" collapsed="false">
      <c r="B30" s="146" t="str">
        <f aca="false">38_v69_E1!$B$312</f>
        <v>CÓMO SE PAGAN LAS PENSIONES (el flujo del impuesto redirigido entra una sola vez, a la caja, fila 114; no amplía la emisión)</v>
      </c>
    </row>
    <row r="31" customFormat="false" ht="15" hidden="false" customHeight="true" outlineLevel="0" collapsed="false">
      <c r="B31" s="1" t="str">
        <f aca="false">38_v69_E1!$B$313</f>
        <v>Pensiones que se pagan (fila 111)</v>
      </c>
      <c r="C31" s="116" t="n">
        <f aca="false">38_v69_E1!C313</f>
        <v>2.7678832694438</v>
      </c>
      <c r="D31" s="116" t="n">
        <f aca="false">38_v69_E1!D313</f>
        <v>4.3735351761424</v>
      </c>
      <c r="E31" s="116" t="n">
        <f aca="false">38_v69_E1!E313</f>
        <v>5.67892317111064</v>
      </c>
      <c r="F31" s="116" t="n">
        <f aca="false">38_v69_E1!F313</f>
        <v>12.0443998036171</v>
      </c>
      <c r="G31" s="116" t="n">
        <f aca="false">38_v69_E1!G313</f>
        <v>11.9819731818688</v>
      </c>
      <c r="H31" s="116" t="n">
        <f aca="false">38_v69_E1!H313</f>
        <v>11.9443885205307</v>
      </c>
      <c r="I31" s="116" t="n">
        <f aca="false">38_v69_E1!I313</f>
        <v>11.9301765419694</v>
      </c>
      <c r="J31" s="116" t="n">
        <f aca="false">38_v69_E1!J313</f>
        <v>11.9379641311511</v>
      </c>
      <c r="K31" s="116" t="n">
        <f aca="false">38_v69_E1!K313</f>
        <v>11.9664681843108</v>
      </c>
      <c r="L31" s="116" t="n">
        <f aca="false">38_v69_E1!L313</f>
        <v>12.0144898536262</v>
      </c>
      <c r="M31" s="116" t="n">
        <f aca="false">38_v69_E1!M313</f>
        <v>12.1731377818496</v>
      </c>
      <c r="N31" s="116" t="n">
        <f aca="false">38_v69_E1!N313</f>
        <v>12.3995659728803</v>
      </c>
      <c r="O31" s="116" t="n">
        <f aca="false">38_v69_E1!O313</f>
        <v>12.6811119740544</v>
      </c>
      <c r="P31" s="116" t="n">
        <f aca="false">38_v69_E1!P313</f>
        <v>13.1722970754047</v>
      </c>
      <c r="Q31" s="116" t="n">
        <f aca="false">38_v69_E1!Q313</f>
        <v>13.653870464581</v>
      </c>
      <c r="R31" s="116" t="n">
        <f aca="false">38_v69_E1!R313</f>
        <v>14.1221357146533</v>
      </c>
      <c r="S31" s="116" t="n">
        <f aca="false">38_v69_E1!S313</f>
        <v>14.5778889652226</v>
      </c>
      <c r="T31" s="116" t="n">
        <f aca="false">38_v69_E1!T313</f>
        <v>15.0218835607841</v>
      </c>
      <c r="U31" s="116" t="n">
        <f aca="false">38_v69_E1!U313</f>
        <v>15.4548330022679</v>
      </c>
      <c r="V31" s="116" t="n">
        <f aca="false">38_v69_E1!V313</f>
        <v>15.8774137109029</v>
      </c>
      <c r="W31" s="116" t="n">
        <f aca="false">38_v69_E1!W313</f>
        <v>16.2902676166039</v>
      </c>
      <c r="X31" s="116" t="n">
        <f aca="false">38_v69_E1!X313</f>
        <v>16.6940045822918</v>
      </c>
      <c r="Y31" s="116" t="n">
        <f aca="false">38_v69_E1!Y313</f>
        <v>17.0892046748216</v>
      </c>
      <c r="Z31" s="116" t="n">
        <f aca="false">38_v69_E1!Z313</f>
        <v>17.4764202925041</v>
      </c>
      <c r="AA31" s="116" t="n">
        <f aca="false">38_v69_E1!AA313</f>
        <v>17.8561781585618</v>
      </c>
      <c r="AB31" s="116" t="n">
        <f aca="false">38_v69_E1!AB313</f>
        <v>18.2289811892588</v>
      </c>
      <c r="AC31" s="116" t="n">
        <f aca="false">38_v69_E1!AC313</f>
        <v>18.5953102448786</v>
      </c>
      <c r="AD31" s="116" t="n">
        <f aca="false">38_v69_E1!AD313</f>
        <v>18.9556257711976</v>
      </c>
      <c r="AE31" s="116" t="n">
        <f aca="false">38_v69_E1!AE313</f>
        <v>19.3103693386089</v>
      </c>
      <c r="AF31" s="116" t="n">
        <f aca="false">38_v69_E1!AF313</f>
        <v>19.6599650855894</v>
      </c>
    </row>
    <row r="32" customFormat="false" ht="15" hidden="false" customHeight="true" outlineLevel="0" collapsed="false">
      <c r="B32" s="1" t="str">
        <f aca="false">38_v69_E1!$B$314</f>
        <v>Intereses de los créditos (fila 302)</v>
      </c>
      <c r="C32" s="116" t="n">
        <f aca="false">38_v69_E1!C314</f>
        <v>0.509532153282038</v>
      </c>
      <c r="D32" s="116" t="n">
        <f aca="false">38_v69_E1!D314</f>
        <v>1.03873563066358</v>
      </c>
      <c r="E32" s="116" t="n">
        <f aca="false">38_v69_E1!E314</f>
        <v>1.58191993309657</v>
      </c>
      <c r="F32" s="116" t="n">
        <f aca="false">38_v69_E1!F314</f>
        <v>2.09959663557028</v>
      </c>
      <c r="G32" s="116" t="n">
        <f aca="false">38_v69_E1!G314</f>
        <v>2.67612616387192</v>
      </c>
      <c r="H32" s="116" t="n">
        <f aca="false">38_v69_E1!H314</f>
        <v>3.26600404722915</v>
      </c>
      <c r="I32" s="116" t="n">
        <f aca="false">38_v69_E1!I314</f>
        <v>3.86953770979851</v>
      </c>
      <c r="J32" s="116" t="n">
        <f aca="false">38_v69_E1!J314</f>
        <v>4.48704163163999</v>
      </c>
      <c r="K32" s="116" t="n">
        <f aca="false">38_v69_E1!K314</f>
        <v>5.11883751183164</v>
      </c>
      <c r="L32" s="116" t="n">
        <f aca="false">38_v69_E1!L314</f>
        <v>5.76522487545828</v>
      </c>
      <c r="M32" s="116" t="n">
        <f aca="false">38_v69_E1!M314</f>
        <v>6.3665037963215</v>
      </c>
      <c r="N32" s="116" t="n">
        <f aca="false">38_v69_E1!N314</f>
        <v>6.53130579570447</v>
      </c>
      <c r="O32" s="116" t="n">
        <f aca="false">38_v69_E1!O314</f>
        <v>6.68077114333022</v>
      </c>
      <c r="P32" s="116" t="n">
        <f aca="false">38_v69_E1!P314</f>
        <v>6.83429491121307</v>
      </c>
      <c r="Q32" s="116" t="n">
        <f aca="false">38_v69_E1!Q314</f>
        <v>6.99138115930487</v>
      </c>
      <c r="R32" s="116" t="n">
        <f aca="false">38_v69_E1!R314</f>
        <v>7.1521351724162</v>
      </c>
      <c r="S32" s="116" t="n">
        <f aca="false">38_v69_E1!S314</f>
        <v>7.31663918148428</v>
      </c>
      <c r="T32" s="116" t="n">
        <f aca="false">38_v69_E1!T314</f>
        <v>7.48497592088678</v>
      </c>
      <c r="U32" s="116" t="n">
        <f aca="false">38_v69_E1!U314</f>
        <v>7.65723017513234</v>
      </c>
      <c r="V32" s="116" t="n">
        <f aca="false">38_v69_E1!V314</f>
        <v>7.8334887724461</v>
      </c>
      <c r="W32" s="116" t="n">
        <f aca="false">38_v69_E1!W314</f>
        <v>8.01387142026823</v>
      </c>
      <c r="X32" s="116" t="n">
        <f aca="false">38_v69_E1!X314</f>
        <v>8.19846898668575</v>
      </c>
      <c r="Y32" s="116" t="n">
        <f aca="false">38_v69_E1!Y314</f>
        <v>8.38737448355653</v>
      </c>
      <c r="Z32" s="116" t="n">
        <f aca="false">38_v69_E1!Z314</f>
        <v>8.58068312271226</v>
      </c>
      <c r="AA32" s="116" t="n">
        <f aca="false">38_v69_E1!AA314</f>
        <v>8.77849236172696</v>
      </c>
      <c r="AB32" s="116" t="n">
        <f aca="false">38_v69_E1!AB314</f>
        <v>8.98090127866966</v>
      </c>
      <c r="AC32" s="116" t="n">
        <f aca="false">38_v69_E1!AC314</f>
        <v>9.18801130449771</v>
      </c>
      <c r="AD32" s="116" t="n">
        <f aca="false">38_v69_E1!AD314</f>
        <v>9.39992627203778</v>
      </c>
      <c r="AE32" s="116" t="n">
        <f aca="false">38_v69_E1!AE314</f>
        <v>9.61675246612377</v>
      </c>
      <c r="AF32" s="116" t="n">
        <f aca="false">38_v69_E1!AF314</f>
        <v>9.83859867516525</v>
      </c>
    </row>
    <row r="33" customFormat="false" ht="15" hidden="false" customHeight="true" outlineLevel="0" collapsed="false">
      <c r="B33" s="1" t="str">
        <f aca="false">38_v69_E1!$B$315</f>
        <v>Flujo del impuesto redirigido a las Acciones Espejo (fila 56)</v>
      </c>
      <c r="C33" s="116" t="n">
        <f aca="false">38_v69_E1!C315</f>
        <v>1.07</v>
      </c>
      <c r="D33" s="116" t="n">
        <f aca="false">38_v69_E1!D315</f>
        <v>1.09675</v>
      </c>
      <c r="E33" s="116" t="n">
        <f aca="false">38_v69_E1!E315</f>
        <v>1.12416875</v>
      </c>
      <c r="F33" s="116" t="n">
        <f aca="false">38_v69_E1!F315</f>
        <v>1.15227296875</v>
      </c>
      <c r="G33" s="116" t="n">
        <f aca="false">38_v69_E1!G315</f>
        <v>1.18107979296875</v>
      </c>
      <c r="H33" s="116" t="n">
        <f aca="false">38_v69_E1!H315</f>
        <v>1.21060678779297</v>
      </c>
      <c r="I33" s="116" t="n">
        <f aca="false">38_v69_E1!I315</f>
        <v>1.24087195748779</v>
      </c>
      <c r="J33" s="116" t="n">
        <f aca="false">38_v69_E1!J315</f>
        <v>1.27189375642499</v>
      </c>
      <c r="K33" s="116" t="n">
        <f aca="false">38_v69_E1!K315</f>
        <v>1.30369110033561</v>
      </c>
      <c r="L33" s="116" t="n">
        <f aca="false">38_v69_E1!L315</f>
        <v>1.336283377844</v>
      </c>
      <c r="M33" s="116" t="n">
        <f aca="false">38_v69_E1!M315</f>
        <v>1.3696904622901</v>
      </c>
      <c r="N33" s="116" t="n">
        <f aca="false">38_v69_E1!N315</f>
        <v>1.40393272384735</v>
      </c>
      <c r="O33" s="116" t="n">
        <f aca="false">38_v69_E1!O315</f>
        <v>1.43903104194354</v>
      </c>
      <c r="P33" s="116" t="n">
        <f aca="false">38_v69_E1!P315</f>
        <v>1.47500681799213</v>
      </c>
      <c r="Q33" s="116" t="n">
        <f aca="false">38_v69_E1!Q315</f>
        <v>1.51188198844193</v>
      </c>
      <c r="R33" s="116" t="n">
        <f aca="false">38_v69_E1!R315</f>
        <v>1.54967903815298</v>
      </c>
      <c r="S33" s="116" t="n">
        <f aca="false">38_v69_E1!S315</f>
        <v>1.5884210141068</v>
      </c>
      <c r="T33" s="116" t="n">
        <f aca="false">38_v69_E1!T315</f>
        <v>1.62813153945947</v>
      </c>
      <c r="U33" s="116" t="n">
        <f aca="false">38_v69_E1!U315</f>
        <v>1.66883482794596</v>
      </c>
      <c r="V33" s="116" t="n">
        <f aca="false">38_v69_E1!V315</f>
        <v>1.71055569864461</v>
      </c>
      <c r="W33" s="116" t="n">
        <f aca="false">38_v69_E1!W315</f>
        <v>1.75331959111072</v>
      </c>
      <c r="X33" s="116" t="n">
        <f aca="false">38_v69_E1!X315</f>
        <v>1.79715258088849</v>
      </c>
      <c r="Y33" s="116" t="n">
        <f aca="false">38_v69_E1!Y315</f>
        <v>1.8420813954107</v>
      </c>
      <c r="Z33" s="116" t="n">
        <f aca="false">38_v69_E1!Z315</f>
        <v>1.88813343029597</v>
      </c>
      <c r="AA33" s="116" t="n">
        <f aca="false">38_v69_E1!AA315</f>
        <v>1.93533676605337</v>
      </c>
      <c r="AB33" s="116" t="n">
        <f aca="false">38_v69_E1!AB315</f>
        <v>1.9837201852047</v>
      </c>
      <c r="AC33" s="116" t="n">
        <f aca="false">38_v69_E1!AC315</f>
        <v>2.03331318983482</v>
      </c>
      <c r="AD33" s="116" t="n">
        <f aca="false">38_v69_E1!AD315</f>
        <v>2.08414601958069</v>
      </c>
      <c r="AE33" s="116" t="n">
        <f aca="false">38_v69_E1!AE315</f>
        <v>2.13624967007021</v>
      </c>
      <c r="AF33" s="116" t="n">
        <f aca="false">38_v69_E1!AF315</f>
        <v>2.18965591182196</v>
      </c>
    </row>
    <row r="34" customFormat="false" ht="15" hidden="false" customHeight="true" outlineLevel="0" collapsed="false">
      <c r="B34" s="1" t="str">
        <f aca="false">38_v69_E1!$B$316</f>
        <v>Intereses + flujo por cada $100 de pensiones (el resto viene de las inversiones y de la reserva, fila 113)</v>
      </c>
      <c r="C34" s="116" t="n">
        <f aca="false">38_v69_E1!C316</f>
        <v>57.066429452404</v>
      </c>
      <c r="D34" s="116" t="n">
        <f aca="false">38_v69_E1!D316</f>
        <v>48.8274483834642</v>
      </c>
      <c r="E34" s="116" t="n">
        <f aca="false">38_v69_E1!E316</f>
        <v>47.6514402741486</v>
      </c>
      <c r="F34" s="116" t="n">
        <f aca="false">38_v69_E1!F316</f>
        <v>26.9990174466285</v>
      </c>
      <c r="G34" s="116" t="n">
        <f aca="false">38_v69_E1!G316</f>
        <v>32.191742531</v>
      </c>
      <c r="H34" s="116" t="n">
        <f aca="false">38_v69_E1!H316</f>
        <v>37.4787778154359</v>
      </c>
      <c r="I34" s="116" t="n">
        <f aca="false">38_v69_E1!I316</f>
        <v>42.8359936611859</v>
      </c>
      <c r="J34" s="116" t="n">
        <f aca="false">38_v69_E1!J316</f>
        <v>48.2405150894827</v>
      </c>
      <c r="K34" s="116" t="n">
        <f aca="false">38_v69_E1!K316</f>
        <v>53.671045735849</v>
      </c>
      <c r="L34" s="116" t="n">
        <f aca="false">38_v69_E1!L316</f>
        <v>59.1078634200925</v>
      </c>
      <c r="M34" s="116" t="n">
        <f aca="false">38_v69_E1!M316</f>
        <v>63.551357072015</v>
      </c>
      <c r="N34" s="116" t="n">
        <f aca="false">38_v69_E1!N316</f>
        <v>63.9960990320742</v>
      </c>
      <c r="O34" s="116" t="n">
        <f aca="false">38_v69_E1!O316</f>
        <v>64.0306796587466</v>
      </c>
      <c r="P34" s="116" t="n">
        <f aca="false">38_v69_E1!P316</f>
        <v>63.0816453777093</v>
      </c>
      <c r="Q34" s="116" t="n">
        <f aca="false">38_v69_E1!Q316</f>
        <v>62.2773093519876</v>
      </c>
      <c r="R34" s="116" t="n">
        <f aca="false">38_v69_E1!R316</f>
        <v>61.6182593510983</v>
      </c>
      <c r="S34" s="116" t="n">
        <f aca="false">38_v69_E1!S316</f>
        <v>61.0860750609037</v>
      </c>
      <c r="T34" s="116" t="n">
        <f aca="false">38_v69_E1!T316</f>
        <v>60.6655445268979</v>
      </c>
      <c r="U34" s="116" t="n">
        <f aca="false">38_v69_E1!U316</f>
        <v>60.3440037282172</v>
      </c>
      <c r="V34" s="116" t="n">
        <f aca="false">38_v69_E1!V316</f>
        <v>60.1108256348885</v>
      </c>
      <c r="W34" s="116" t="n">
        <f aca="false">38_v69_E1!W316</f>
        <v>59.9572164267193</v>
      </c>
      <c r="X34" s="116" t="n">
        <f aca="false">38_v69_E1!X316</f>
        <v>59.8755170953836</v>
      </c>
      <c r="Y34" s="116" t="n">
        <f aca="false">38_v69_E1!Y316</f>
        <v>59.8591688356263</v>
      </c>
      <c r="Z34" s="116" t="n">
        <f aca="false">38_v69_E1!Z316</f>
        <v>59.9025222430617</v>
      </c>
      <c r="AA34" s="116" t="n">
        <f aca="false">38_v69_E1!AA316</f>
        <v>60.0006845397831</v>
      </c>
      <c r="AB34" s="116" t="n">
        <f aca="false">38_v69_E1!AB316</f>
        <v>60.1493926074987</v>
      </c>
      <c r="AC34" s="116" t="n">
        <f aca="false">38_v69_E1!AC316</f>
        <v>60.3449167911734</v>
      </c>
      <c r="AD34" s="116" t="n">
        <f aca="false">38_v69_E1!AD316</f>
        <v>60.5839787630126</v>
      </c>
      <c r="AE34" s="116" t="n">
        <f aca="false">38_v69_E1!AE316</f>
        <v>60.8636838068923</v>
      </c>
      <c r="AF34" s="116" t="n">
        <f aca="false">38_v69_E1!AF316</f>
        <v>61.1814646395472</v>
      </c>
    </row>
    <row r="35" customFormat="false" ht="15" hidden="false" customHeight="true" outlineLevel="0" collapsed="false">
      <c r="B35" s="1" t="str">
        <f aca="false">38_v69_E1!$B$303</f>
        <v>Control: deuda por destino + aporte ambiental − créditos del B1, fila 83 (debe ser 0)</v>
      </c>
      <c r="C35" s="116" t="n">
        <f aca="false">38_v69_E1!C303</f>
        <v>0</v>
      </c>
      <c r="D35" s="116" t="n">
        <f aca="false">38_v69_E1!D303</f>
        <v>0</v>
      </c>
      <c r="E35" s="116" t="n">
        <f aca="false">38_v69_E1!E303</f>
        <v>0</v>
      </c>
      <c r="F35" s="116" t="n">
        <f aca="false">38_v69_E1!F303</f>
        <v>0</v>
      </c>
      <c r="G35" s="116" t="n">
        <f aca="false">38_v69_E1!G303</f>
        <v>0</v>
      </c>
      <c r="H35" s="116" t="n">
        <f aca="false">38_v69_E1!H303</f>
        <v>0</v>
      </c>
      <c r="I35" s="116" t="n">
        <f aca="false">38_v69_E1!I303</f>
        <v>0</v>
      </c>
      <c r="J35" s="116" t="n">
        <f aca="false">38_v69_E1!J303</f>
        <v>0</v>
      </c>
      <c r="K35" s="116" t="n">
        <f aca="false">38_v69_E1!K303</f>
        <v>0</v>
      </c>
      <c r="L35" s="116" t="n">
        <f aca="false">38_v69_E1!L303</f>
        <v>0</v>
      </c>
      <c r="M35" s="116" t="n">
        <f aca="false">38_v69_E1!M303</f>
        <v>0</v>
      </c>
      <c r="N35" s="116" t="n">
        <f aca="false">38_v69_E1!N303</f>
        <v>0</v>
      </c>
      <c r="O35" s="116" t="n">
        <f aca="false">38_v69_E1!O303</f>
        <v>0</v>
      </c>
      <c r="P35" s="116" t="n">
        <f aca="false">38_v69_E1!P303</f>
        <v>0</v>
      </c>
      <c r="Q35" s="116" t="n">
        <f aca="false">38_v69_E1!Q303</f>
        <v>0</v>
      </c>
      <c r="R35" s="116" t="n">
        <f aca="false">38_v69_E1!R303</f>
        <v>0</v>
      </c>
      <c r="S35" s="116" t="n">
        <f aca="false">38_v69_E1!S303</f>
        <v>0</v>
      </c>
      <c r="T35" s="116" t="n">
        <f aca="false">38_v69_E1!T303</f>
        <v>0</v>
      </c>
      <c r="U35" s="116" t="n">
        <f aca="false">38_v69_E1!U303</f>
        <v>0</v>
      </c>
      <c r="V35" s="116" t="n">
        <f aca="false">38_v69_E1!V303</f>
        <v>0</v>
      </c>
      <c r="W35" s="116" t="n">
        <f aca="false">38_v69_E1!W303</f>
        <v>0</v>
      </c>
      <c r="X35" s="116" t="n">
        <f aca="false">38_v69_E1!X303</f>
        <v>0</v>
      </c>
      <c r="Y35" s="116" t="n">
        <f aca="false">38_v69_E1!Y303</f>
        <v>0</v>
      </c>
      <c r="Z35" s="116" t="n">
        <f aca="false">38_v69_E1!Z303</f>
        <v>0</v>
      </c>
      <c r="AA35" s="116" t="n">
        <f aca="false">38_v69_E1!AA303</f>
        <v>0</v>
      </c>
      <c r="AB35" s="116" t="n">
        <f aca="false">38_v69_E1!AB303</f>
        <v>0</v>
      </c>
      <c r="AC35" s="116" t="n">
        <f aca="false">38_v69_E1!AC303</f>
        <v>0</v>
      </c>
      <c r="AD35" s="116" t="n">
        <f aca="false">38_v69_E1!AD303</f>
        <v>0</v>
      </c>
      <c r="AE35" s="116" t="n">
        <f aca="false">38_v69_E1!AE303</f>
        <v>0</v>
      </c>
      <c r="AF35" s="116" t="n">
        <f aca="false">38_v69_E1!AF303</f>
        <v>0</v>
      </c>
    </row>
    <row r="36" customFormat="false" ht="15" hidden="false" customHeight="true" outlineLevel="0" collapsed="false">
      <c r="B36" s="1" t="str">
        <f aca="false">38_v69_E1!$B$304</f>
        <v>Control: intereses por destino − rendimiento del B1 sin el impuesto ambiental, fila 107 (debe ser 0)</v>
      </c>
      <c r="C36" s="116" t="n">
        <f aca="false">38_v69_E1!C304</f>
        <v>0</v>
      </c>
      <c r="D36" s="116" t="n">
        <f aca="false">38_v69_E1!D304</f>
        <v>0</v>
      </c>
      <c r="E36" s="116" t="n">
        <f aca="false">38_v69_E1!E304</f>
        <v>0</v>
      </c>
      <c r="F36" s="116" t="n">
        <f aca="false">38_v69_E1!F304</f>
        <v>0</v>
      </c>
      <c r="G36" s="116" t="n">
        <f aca="false">38_v69_E1!G304</f>
        <v>0</v>
      </c>
      <c r="H36" s="116" t="n">
        <f aca="false">38_v69_E1!H304</f>
        <v>0</v>
      </c>
      <c r="I36" s="116" t="n">
        <f aca="false">38_v69_E1!I304</f>
        <v>0</v>
      </c>
      <c r="J36" s="116" t="n">
        <f aca="false">38_v69_E1!J304</f>
        <v>0</v>
      </c>
      <c r="K36" s="116" t="n">
        <f aca="false">38_v69_E1!K304</f>
        <v>0</v>
      </c>
      <c r="L36" s="116" t="n">
        <f aca="false">38_v69_E1!L304</f>
        <v>0</v>
      </c>
      <c r="M36" s="116" t="n">
        <f aca="false">38_v69_E1!M304</f>
        <v>0</v>
      </c>
      <c r="N36" s="116" t="n">
        <f aca="false">38_v69_E1!N304</f>
        <v>0</v>
      </c>
      <c r="O36" s="116" t="n">
        <f aca="false">38_v69_E1!O304</f>
        <v>0</v>
      </c>
      <c r="P36" s="116" t="n">
        <f aca="false">38_v69_E1!P304</f>
        <v>0</v>
      </c>
      <c r="Q36" s="116" t="n">
        <f aca="false">38_v69_E1!Q304</f>
        <v>0</v>
      </c>
      <c r="R36" s="116" t="n">
        <f aca="false">38_v69_E1!R304</f>
        <v>0</v>
      </c>
      <c r="S36" s="116" t="n">
        <f aca="false">38_v69_E1!S304</f>
        <v>0</v>
      </c>
      <c r="T36" s="116" t="n">
        <f aca="false">38_v69_E1!T304</f>
        <v>0</v>
      </c>
      <c r="U36" s="116" t="n">
        <f aca="false">38_v69_E1!U304</f>
        <v>0</v>
      </c>
      <c r="V36" s="116" t="n">
        <f aca="false">38_v69_E1!V304</f>
        <v>0</v>
      </c>
      <c r="W36" s="116" t="n">
        <f aca="false">38_v69_E1!W304</f>
        <v>0</v>
      </c>
      <c r="X36" s="116" t="n">
        <f aca="false">38_v69_E1!X304</f>
        <v>0</v>
      </c>
      <c r="Y36" s="116" t="n">
        <f aca="false">38_v69_E1!Y304</f>
        <v>0</v>
      </c>
      <c r="Z36" s="116" t="n">
        <f aca="false">38_v69_E1!Z304</f>
        <v>0</v>
      </c>
      <c r="AA36" s="116" t="n">
        <f aca="false">38_v69_E1!AA304</f>
        <v>0</v>
      </c>
      <c r="AB36" s="116" t="n">
        <f aca="false">38_v69_E1!AB304</f>
        <v>0</v>
      </c>
      <c r="AC36" s="116" t="n">
        <f aca="false">38_v69_E1!AC304</f>
        <v>0</v>
      </c>
      <c r="AD36" s="116" t="n">
        <f aca="false">38_v69_E1!AD304</f>
        <v>0</v>
      </c>
      <c r="AE36" s="116" t="n">
        <f aca="false">38_v69_E1!AE304</f>
        <v>0</v>
      </c>
      <c r="AF36" s="116" t="n">
        <f aca="false">38_v69_E1!AF304</f>
        <v>0</v>
      </c>
    </row>
    <row r="37" customFormat="false" ht="15" hidden="false" customHeight="true" outlineLevel="0" collapsed="false">
      <c r="B37" s="1" t="str">
        <f aca="false">38_v69_E1!$B$305</f>
        <v>Control del neteo: deuda anterior + nuevos − cobrado − castigado − deuda final (debe ser 0)</v>
      </c>
      <c r="C37" s="116" t="n">
        <f aca="false">38_v69_E1!C305</f>
        <v>0</v>
      </c>
      <c r="D37" s="116" t="n">
        <f aca="false">38_v69_E1!D305</f>
        <v>0</v>
      </c>
      <c r="E37" s="116" t="n">
        <f aca="false">38_v69_E1!E305</f>
        <v>0</v>
      </c>
      <c r="F37" s="116" t="n">
        <f aca="false">38_v69_E1!F305</f>
        <v>0</v>
      </c>
      <c r="G37" s="116" t="n">
        <f aca="false">38_v69_E1!G305</f>
        <v>0</v>
      </c>
      <c r="H37" s="116" t="n">
        <f aca="false">38_v69_E1!H305</f>
        <v>0</v>
      </c>
      <c r="I37" s="116" t="n">
        <f aca="false">38_v69_E1!I305</f>
        <v>0</v>
      </c>
      <c r="J37" s="116" t="n">
        <f aca="false">38_v69_E1!J305</f>
        <v>0</v>
      </c>
      <c r="K37" s="116" t="n">
        <f aca="false">38_v69_E1!K305</f>
        <v>0</v>
      </c>
      <c r="L37" s="116" t="n">
        <f aca="false">38_v69_E1!L305</f>
        <v>0</v>
      </c>
      <c r="M37" s="116" t="n">
        <f aca="false">38_v69_E1!M305</f>
        <v>0</v>
      </c>
      <c r="N37" s="116" t="n">
        <f aca="false">38_v69_E1!N305</f>
        <v>0</v>
      </c>
      <c r="O37" s="116" t="n">
        <f aca="false">38_v69_E1!O305</f>
        <v>0</v>
      </c>
      <c r="P37" s="116" t="n">
        <f aca="false">38_v69_E1!P305</f>
        <v>0</v>
      </c>
      <c r="Q37" s="116" t="n">
        <f aca="false">38_v69_E1!Q305</f>
        <v>0</v>
      </c>
      <c r="R37" s="116" t="n">
        <f aca="false">38_v69_E1!R305</f>
        <v>0</v>
      </c>
      <c r="S37" s="116" t="n">
        <f aca="false">38_v69_E1!S305</f>
        <v>0</v>
      </c>
      <c r="T37" s="116" t="n">
        <f aca="false">38_v69_E1!T305</f>
        <v>0</v>
      </c>
      <c r="U37" s="116" t="n">
        <f aca="false">38_v69_E1!U305</f>
        <v>0</v>
      </c>
      <c r="V37" s="116" t="n">
        <f aca="false">38_v69_E1!V305</f>
        <v>0</v>
      </c>
      <c r="W37" s="116" t="n">
        <f aca="false">38_v69_E1!W305</f>
        <v>0</v>
      </c>
      <c r="X37" s="116" t="n">
        <f aca="false">38_v69_E1!X305</f>
        <v>0</v>
      </c>
      <c r="Y37" s="116" t="n">
        <f aca="false">38_v69_E1!Y305</f>
        <v>0</v>
      </c>
      <c r="Z37" s="116" t="n">
        <f aca="false">38_v69_E1!Z305</f>
        <v>0</v>
      </c>
      <c r="AA37" s="116" t="n">
        <f aca="false">38_v69_E1!AA305</f>
        <v>0</v>
      </c>
      <c r="AB37" s="116" t="n">
        <f aca="false">38_v69_E1!AB305</f>
        <v>0</v>
      </c>
      <c r="AC37" s="116" t="n">
        <f aca="false">38_v69_E1!AC305</f>
        <v>0</v>
      </c>
      <c r="AD37" s="116" t="n">
        <f aca="false">38_v69_E1!AD305</f>
        <v>0</v>
      </c>
      <c r="AE37" s="116" t="n">
        <f aca="false">38_v69_E1!AE305</f>
        <v>0</v>
      </c>
      <c r="AF37" s="116" t="n">
        <f aca="false">38_v69_E1!AF305</f>
        <v>0</v>
      </c>
    </row>
    <row r="38" customFormat="false" ht="15" hidden="false" customHeight="true" outlineLevel="0" collapsed="false">
      <c r="B38" s="1" t="str">
        <f aca="false">38_v69_E1!$B$311</f>
        <v>Control: créditos que superan el derecho registrado (debe ser 0)</v>
      </c>
      <c r="C38" s="116" t="n">
        <f aca="false">38_v69_E1!C311</f>
        <v>0</v>
      </c>
      <c r="D38" s="116" t="n">
        <f aca="false">38_v69_E1!D311</f>
        <v>0</v>
      </c>
      <c r="E38" s="116" t="n">
        <f aca="false">38_v69_E1!E311</f>
        <v>0</v>
      </c>
      <c r="F38" s="116" t="n">
        <f aca="false">38_v69_E1!F311</f>
        <v>0</v>
      </c>
      <c r="G38" s="116" t="n">
        <f aca="false">38_v69_E1!G311</f>
        <v>0</v>
      </c>
      <c r="H38" s="116" t="n">
        <f aca="false">38_v69_E1!H311</f>
        <v>0</v>
      </c>
      <c r="I38" s="116" t="n">
        <f aca="false">38_v69_E1!I311</f>
        <v>0</v>
      </c>
      <c r="J38" s="116" t="n">
        <f aca="false">38_v69_E1!J311</f>
        <v>0</v>
      </c>
      <c r="K38" s="116" t="n">
        <f aca="false">38_v69_E1!K311</f>
        <v>0</v>
      </c>
      <c r="L38" s="116" t="n">
        <f aca="false">38_v69_E1!L311</f>
        <v>0</v>
      </c>
      <c r="M38" s="116" t="n">
        <f aca="false">38_v69_E1!M311</f>
        <v>0</v>
      </c>
      <c r="N38" s="116" t="n">
        <f aca="false">38_v69_E1!N311</f>
        <v>0</v>
      </c>
      <c r="O38" s="116" t="n">
        <f aca="false">38_v69_E1!O311</f>
        <v>0</v>
      </c>
      <c r="P38" s="116" t="n">
        <f aca="false">38_v69_E1!P311</f>
        <v>0</v>
      </c>
      <c r="Q38" s="116" t="n">
        <f aca="false">38_v69_E1!Q311</f>
        <v>0</v>
      </c>
      <c r="R38" s="116" t="n">
        <f aca="false">38_v69_E1!R311</f>
        <v>0</v>
      </c>
      <c r="S38" s="116" t="n">
        <f aca="false">38_v69_E1!S311</f>
        <v>0</v>
      </c>
      <c r="T38" s="116" t="n">
        <f aca="false">38_v69_E1!T311</f>
        <v>0</v>
      </c>
      <c r="U38" s="116" t="n">
        <f aca="false">38_v69_E1!U311</f>
        <v>0</v>
      </c>
      <c r="V38" s="116" t="n">
        <f aca="false">38_v69_E1!V311</f>
        <v>0</v>
      </c>
      <c r="W38" s="116" t="n">
        <f aca="false">38_v69_E1!W311</f>
        <v>0</v>
      </c>
      <c r="X38" s="116" t="n">
        <f aca="false">38_v69_E1!X311</f>
        <v>0</v>
      </c>
      <c r="Y38" s="116" t="n">
        <f aca="false">38_v69_E1!Y311</f>
        <v>0</v>
      </c>
      <c r="Z38" s="116" t="n">
        <f aca="false">38_v69_E1!Z311</f>
        <v>0</v>
      </c>
      <c r="AA38" s="116" t="n">
        <f aca="false">38_v69_E1!AA311</f>
        <v>0</v>
      </c>
      <c r="AB38" s="116" t="n">
        <f aca="false">38_v69_E1!AB311</f>
        <v>0</v>
      </c>
      <c r="AC38" s="116" t="n">
        <f aca="false">38_v69_E1!AC311</f>
        <v>0</v>
      </c>
      <c r="AD38" s="116" t="n">
        <f aca="false">38_v69_E1!AD311</f>
        <v>0</v>
      </c>
      <c r="AE38" s="116" t="n">
        <f aca="false">38_v69_E1!AE311</f>
        <v>0</v>
      </c>
      <c r="AF38" s="116" t="n">
        <f aca="false">38_v69_E1!AF311</f>
        <v>0</v>
      </c>
    </row>
    <row r="39" customFormat="false" ht="15" hidden="false" customHeight="true" outlineLevel="0" collapsed="false">
      <c r="B39" s="1" t="str">
        <f aca="false">38_v69_E1!$B$277</f>
        <v>Préstamo del Banco Central usado para convertir saldos (v7.20: 0, salvo 01_Supuestos C174 = Sí)</v>
      </c>
      <c r="C39" s="116" t="n">
        <f aca="false">38_v69_E1!C277</f>
        <v>0</v>
      </c>
      <c r="D39" s="116" t="n">
        <f aca="false">38_v69_E1!D277</f>
        <v>0</v>
      </c>
      <c r="E39" s="116" t="n">
        <f aca="false">38_v69_E1!E277</f>
        <v>0</v>
      </c>
      <c r="F39" s="116" t="n">
        <f aca="false">38_v69_E1!F277</f>
        <v>0</v>
      </c>
      <c r="G39" s="116" t="n">
        <f aca="false">38_v69_E1!G277</f>
        <v>0</v>
      </c>
      <c r="H39" s="116" t="n">
        <f aca="false">38_v69_E1!H277</f>
        <v>0</v>
      </c>
      <c r="I39" s="116" t="n">
        <f aca="false">38_v69_E1!I277</f>
        <v>0</v>
      </c>
      <c r="J39" s="116" t="n">
        <f aca="false">38_v69_E1!J277</f>
        <v>0</v>
      </c>
      <c r="K39" s="116" t="n">
        <f aca="false">38_v69_E1!K277</f>
        <v>0</v>
      </c>
      <c r="L39" s="116" t="n">
        <f aca="false">38_v69_E1!L277</f>
        <v>0</v>
      </c>
      <c r="M39" s="116" t="n">
        <f aca="false">38_v69_E1!M277</f>
        <v>0</v>
      </c>
      <c r="N39" s="116" t="n">
        <f aca="false">38_v69_E1!N277</f>
        <v>0</v>
      </c>
      <c r="O39" s="116" t="n">
        <f aca="false">38_v69_E1!O277</f>
        <v>0</v>
      </c>
      <c r="P39" s="116" t="n">
        <f aca="false">38_v69_E1!P277</f>
        <v>0</v>
      </c>
      <c r="Q39" s="116" t="n">
        <f aca="false">38_v69_E1!Q277</f>
        <v>0</v>
      </c>
      <c r="R39" s="116" t="n">
        <f aca="false">38_v69_E1!R277</f>
        <v>0</v>
      </c>
      <c r="S39" s="116" t="n">
        <f aca="false">38_v69_E1!S277</f>
        <v>0</v>
      </c>
      <c r="T39" s="116" t="n">
        <f aca="false">38_v69_E1!T277</f>
        <v>0</v>
      </c>
      <c r="U39" s="116" t="n">
        <f aca="false">38_v69_E1!U277</f>
        <v>0</v>
      </c>
      <c r="V39" s="116" t="n">
        <f aca="false">38_v69_E1!V277</f>
        <v>0</v>
      </c>
      <c r="W39" s="116" t="n">
        <f aca="false">38_v69_E1!W277</f>
        <v>0</v>
      </c>
      <c r="X39" s="116" t="n">
        <f aca="false">38_v69_E1!X277</f>
        <v>0</v>
      </c>
      <c r="Y39" s="116" t="n">
        <f aca="false">38_v69_E1!Y277</f>
        <v>0</v>
      </c>
      <c r="Z39" s="116" t="n">
        <f aca="false">38_v69_E1!Z277</f>
        <v>0</v>
      </c>
      <c r="AA39" s="116" t="n">
        <f aca="false">38_v69_E1!AA277</f>
        <v>0</v>
      </c>
      <c r="AB39" s="116" t="n">
        <f aca="false">38_v69_E1!AB277</f>
        <v>0</v>
      </c>
      <c r="AC39" s="116" t="n">
        <f aca="false">38_v69_E1!AC277</f>
        <v>0</v>
      </c>
      <c r="AD39" s="116" t="n">
        <f aca="false">38_v69_E1!AD277</f>
        <v>0</v>
      </c>
      <c r="AE39" s="116" t="n">
        <f aca="false">38_v69_E1!AE277</f>
        <v>0</v>
      </c>
      <c r="AF39" s="116" t="n">
        <f aca="false">38_v69_E1!AF277</f>
        <v>0</v>
      </c>
    </row>
    <row r="41" customFormat="false" ht="15" hidden="false" customHeight="true" outlineLevel="0" collapsed="false">
      <c r="B41" s="146" t="s">
        <v>1801</v>
      </c>
    </row>
    <row r="42" customFormat="false" ht="45" hidden="false" customHeight="true" outlineLevel="0" collapsed="false">
      <c r="B42" s="215" t="s">
        <v>1802</v>
      </c>
      <c r="C42" s="215" t="s">
        <v>1803</v>
      </c>
      <c r="D42" s="215" t="s">
        <v>1804</v>
      </c>
      <c r="E42" s="215" t="s">
        <v>1805</v>
      </c>
      <c r="F42" s="215" t="s">
        <v>1806</v>
      </c>
      <c r="G42" s="215" t="s">
        <v>1807</v>
      </c>
      <c r="H42" s="215" t="s">
        <v>1808</v>
      </c>
      <c r="I42" s="215" t="s">
        <v>1809</v>
      </c>
      <c r="J42" s="215" t="s">
        <v>1810</v>
      </c>
    </row>
    <row r="43" customFormat="false" ht="15" hidden="false" customHeight="true" outlineLevel="0" collapsed="false">
      <c r="B43" s="1" t="s">
        <v>1811</v>
      </c>
      <c r="C43" s="116" t="n">
        <f aca="false">38_v69_E1!AF284</f>
        <v>80.1374521694451</v>
      </c>
      <c r="D43" s="116" t="n">
        <f aca="false">38_v69_E1!AF289</f>
        <v>110.666005376853</v>
      </c>
      <c r="E43" s="116" t="n">
        <f aca="false">38_v69_E1!AF294</f>
        <v>41.0563637337235</v>
      </c>
      <c r="F43" s="116" t="n">
        <f aca="false">SUM(38_v69_E1!C299:AF299)</f>
        <v>791.336859426753</v>
      </c>
      <c r="G43" s="116" t="n">
        <f aca="false">SUM(38_v69_E1!C300:AF300)</f>
        <v>556.16018727516</v>
      </c>
      <c r="H43" s="116" t="n">
        <f aca="false">SUM(38_v69_E1!C302:AF302)</f>
        <v>190.244362692126</v>
      </c>
      <c r="I43" s="116" t="n">
        <f aca="false">MAX(38_v69_E1!C277:AF277)</f>
        <v>0</v>
      </c>
      <c r="J43" s="116" t="n">
        <f aca="false">SUMPRODUCT(ABS(38_v69_E1!C303:AF305))+SUM(38_v69_E1!C311:AF311)</f>
        <v>0</v>
      </c>
    </row>
    <row r="44" customFormat="false" ht="15" hidden="false" customHeight="true" outlineLevel="0" collapsed="false">
      <c r="B44" s="1" t="s">
        <v>1812</v>
      </c>
      <c r="C44" s="116" t="n">
        <f aca="false">39_v69_E2!AF284</f>
        <v>79.5084805712838</v>
      </c>
      <c r="D44" s="116" t="n">
        <f aca="false">39_v69_E2!AF289</f>
        <v>109.79742555082</v>
      </c>
      <c r="E44" s="116" t="n">
        <f aca="false">39_v69_E2!AF294</f>
        <v>42.553915157917</v>
      </c>
      <c r="F44" s="116" t="n">
        <f aca="false">SUM(39_v69_E2!C299:AF299)</f>
        <v>780.61860495029</v>
      </c>
      <c r="G44" s="116" t="n">
        <f aca="false">SUM(39_v69_E2!C300:AF300)</f>
        <v>545.462002992814</v>
      </c>
      <c r="H44" s="116" t="n">
        <f aca="false">SUM(39_v69_E2!C302:AF302)</f>
        <v>186.873897624466</v>
      </c>
      <c r="I44" s="116" t="n">
        <f aca="false">MAX(39_v69_E2!C277:AF277)</f>
        <v>0</v>
      </c>
      <c r="J44" s="116" t="n">
        <f aca="false">SUMPRODUCT(ABS(39_v69_E2!C303:AF305))+SUM(39_v69_E2!C311:AF311)</f>
        <v>0</v>
      </c>
    </row>
    <row r="45" customFormat="false" ht="15" hidden="false" customHeight="true" outlineLevel="0" collapsed="false">
      <c r="B45" s="1" t="s">
        <v>1813</v>
      </c>
      <c r="C45" s="116" t="n">
        <f aca="false">40_v69_E3!AF284</f>
        <v>72.7601616531544</v>
      </c>
      <c r="D45" s="116" t="n">
        <f aca="false">40_v69_E3!AF289</f>
        <v>100.478318473404</v>
      </c>
      <c r="E45" s="116" t="n">
        <f aca="false">40_v69_E3!AF294</f>
        <v>36.4561005789916</v>
      </c>
      <c r="F45" s="116" t="n">
        <f aca="false">SUM(40_v69_E3!C299:AF299)</f>
        <v>748.644550145808</v>
      </c>
      <c r="G45" s="116" t="n">
        <f aca="false">SUM(40_v69_E3!C300:AF300)</f>
        <v>508.979453178143</v>
      </c>
      <c r="H45" s="116" t="n">
        <f aca="false">SUM(40_v69_E3!C302:AF302)</f>
        <v>172.680248079121</v>
      </c>
      <c r="I45" s="116" t="n">
        <f aca="false">MAX(40_v69_E3!C277:AF277)</f>
        <v>0</v>
      </c>
      <c r="J45" s="116" t="n">
        <f aca="false">SUMPRODUCT(ABS(40_v69_E3!C303:AF305))+SUM(40_v69_E3!C311:AF311)</f>
        <v>0</v>
      </c>
    </row>
    <row r="46" customFormat="false" ht="15" hidden="false" customHeight="true" outlineLevel="0" collapsed="false">
      <c r="B46" s="1" t="s">
        <v>1814</v>
      </c>
      <c r="C46" s="116" t="n">
        <f aca="false">41_v69_E4!AF284</f>
        <v>75.6164181902649</v>
      </c>
      <c r="D46" s="116" t="n">
        <f aca="false">41_v69_E4!AF289</f>
        <v>104.422672738937</v>
      </c>
      <c r="E46" s="116" t="n">
        <f aca="false">41_v69_E4!AF294</f>
        <v>37.9030390476393</v>
      </c>
      <c r="F46" s="116" t="n">
        <f aca="false">SUM(41_v69_E4!C299:AF299)</f>
        <v>755.211245411774</v>
      </c>
      <c r="G46" s="116" t="n">
        <f aca="false">SUM(41_v69_E4!C300:AF300)</f>
        <v>506.583686455936</v>
      </c>
      <c r="H46" s="116" t="n">
        <f aca="false">SUM(41_v69_E4!C302:AF302)</f>
        <v>173.569120706326</v>
      </c>
      <c r="I46" s="116" t="n">
        <f aca="false">MAX(41_v69_E4!C277:AF277)</f>
        <v>0</v>
      </c>
      <c r="J46" s="116" t="n">
        <f aca="false">SUMPRODUCT(ABS(41_v69_E4!C303:AF305))+SUM(41_v69_E4!C311:AF311)</f>
        <v>0</v>
      </c>
    </row>
    <row r="47" customFormat="false" ht="15" hidden="false" customHeight="true" outlineLevel="0" collapsed="false">
      <c r="B47" s="1" t="s">
        <v>1815</v>
      </c>
      <c r="C47" s="116" t="n">
        <f aca="false">45_v69_E1_10!AF284</f>
        <v>80.1374521694451</v>
      </c>
      <c r="D47" s="116" t="n">
        <f aca="false">45_v69_E1_10!AF289</f>
        <v>110.666005376853</v>
      </c>
      <c r="E47" s="116" t="n">
        <f aca="false">45_v69_E1_10!AF294</f>
        <v>41.0563637337235</v>
      </c>
      <c r="F47" s="116" t="n">
        <f aca="false">SUM(45_v69_E1_10!C299:AF299)</f>
        <v>791.336859426753</v>
      </c>
      <c r="G47" s="116" t="n">
        <f aca="false">SUM(45_v69_E1_10!C300:AF300)</f>
        <v>556.16018727516</v>
      </c>
      <c r="H47" s="116" t="n">
        <f aca="false">SUM(45_v69_E1_10!C302:AF302)</f>
        <v>190.244362692126</v>
      </c>
      <c r="I47" s="116" t="n">
        <f aca="false">MAX(45_v69_E1_10!C277:AF277)</f>
        <v>0</v>
      </c>
      <c r="J47" s="116" t="n">
        <f aca="false">SUMPRODUCT(ABS(45_v69_E1_10!C303:AF305))+SUM(45_v69_E1_10!C311:AF311)</f>
        <v>0</v>
      </c>
    </row>
    <row r="48" customFormat="false" ht="15" hidden="false" customHeight="true" outlineLevel="0" collapsed="false">
      <c r="B48" s="1" t="s">
        <v>1816</v>
      </c>
      <c r="C48" s="116" t="n">
        <f aca="false">46_v69_E3_10!AF284</f>
        <v>72.7601616531544</v>
      </c>
      <c r="D48" s="116" t="n">
        <f aca="false">46_v69_E3_10!AF289</f>
        <v>100.478318473404</v>
      </c>
      <c r="E48" s="116" t="n">
        <f aca="false">46_v69_E3_10!AF294</f>
        <v>36.4561005789916</v>
      </c>
      <c r="F48" s="116" t="n">
        <f aca="false">SUM(46_v69_E3_10!C299:AF299)</f>
        <v>748.644550145808</v>
      </c>
      <c r="G48" s="116" t="n">
        <f aca="false">SUM(46_v69_E3_10!C300:AF300)</f>
        <v>508.979453178143</v>
      </c>
      <c r="H48" s="116" t="n">
        <f aca="false">SUM(46_v69_E3_10!C302:AF302)</f>
        <v>172.680248079121</v>
      </c>
      <c r="I48" s="116" t="n">
        <f aca="false">MAX(46_v69_E3_10!C277:AF277)</f>
        <v>0</v>
      </c>
      <c r="J48" s="116" t="n">
        <f aca="false">SUMPRODUCT(ABS(46_v69_E3_10!C303:AF305))+SUM(46_v69_E3_10!C311:AF311)</f>
        <v>0</v>
      </c>
    </row>
    <row r="49" customFormat="false" ht="15" hidden="false" customHeight="true" outlineLevel="0" collapsed="false">
      <c r="B49" s="1" t="s">
        <v>1817</v>
      </c>
      <c r="C49" s="116" t="n">
        <f aca="false">44_v69_E6!AF284</f>
        <v>79.9201598324317</v>
      </c>
      <c r="D49" s="116" t="n">
        <f aca="false">44_v69_E6!AF289</f>
        <v>110.365935006691</v>
      </c>
      <c r="E49" s="116" t="n">
        <f aca="false">44_v69_E6!AF294</f>
        <v>41.5737264408981</v>
      </c>
      <c r="F49" s="116" t="n">
        <f aca="false">SUM(44_v69_E6!C299:AF299)</f>
        <v>810.534639361092</v>
      </c>
      <c r="G49" s="116" t="n">
        <f aca="false">SUM(44_v69_E6!C300:AF300)</f>
        <v>575.214560317406</v>
      </c>
      <c r="H49" s="116" t="n">
        <f aca="false">SUM(44_v69_E6!C302:AF302)</f>
        <v>196.636602028359</v>
      </c>
      <c r="I49" s="116" t="n">
        <f aca="false">MAX(44_v69_E6!C277:AF277)</f>
        <v>0</v>
      </c>
      <c r="J49" s="116" t="n">
        <f aca="false">SUMPRODUCT(ABS(44_v69_E6!C303:AF305))+SUM(44_v69_E6!C311:AF311)</f>
        <v>0</v>
      </c>
    </row>
    <row r="50" customFormat="false" ht="15" hidden="false" customHeight="true" outlineLevel="0" collapsed="false">
      <c r="B50" s="1" t="s">
        <v>1818</v>
      </c>
      <c r="C50" s="116" t="n">
        <f aca="false">49_v69_E1_Ref!AF284</f>
        <v>80.1379417686444</v>
      </c>
      <c r="D50" s="116" t="n">
        <f aca="false">49_v69_E1_Ref!AF289</f>
        <v>110.666681490033</v>
      </c>
      <c r="E50" s="116" t="n">
        <f aca="false">49_v69_E1_Ref!AF294</f>
        <v>41.055198021344</v>
      </c>
      <c r="F50" s="116" t="n">
        <f aca="false">SUM(49_v69_E1_Ref!C299:AF299)</f>
        <v>791.337080340943</v>
      </c>
      <c r="G50" s="116" t="n">
        <f aca="false">SUM(49_v69_E1_Ref!C300:AF300)</f>
        <v>556.160392630215</v>
      </c>
      <c r="H50" s="116" t="n">
        <f aca="false">SUM(49_v69_E1_Ref!C302:AF302)</f>
        <v>190.2444121475</v>
      </c>
      <c r="I50" s="116" t="n">
        <f aca="false">MAX(49_v69_E1_Ref!C277:AF277)</f>
        <v>0</v>
      </c>
      <c r="J50" s="116" t="n">
        <f aca="false">SUMPRODUCT(ABS(49_v69_E1_Ref!C303:AF305))+SUM(49_v69_E1_Ref!C311:AF311)</f>
        <v>0</v>
      </c>
    </row>
    <row r="51" customFormat="false" ht="15" hidden="false" customHeight="true" outlineLevel="0" collapsed="false">
      <c r="B51" s="1" t="s">
        <v>1819</v>
      </c>
      <c r="C51" s="116" t="n">
        <f aca="false">50_v69_E3_Ref!AF284</f>
        <v>72.6144927759697</v>
      </c>
      <c r="D51" s="116" t="n">
        <f aca="false">50_v69_E3_Ref!AF289</f>
        <v>100.277156690625</v>
      </c>
      <c r="E51" s="116" t="n">
        <f aca="false">50_v69_E3_Ref!AF294</f>
        <v>36.4165272462292</v>
      </c>
      <c r="F51" s="116" t="n">
        <f aca="false">SUM(50_v69_E3_Ref!C299:AF299)</f>
        <v>747.993121021937</v>
      </c>
      <c r="G51" s="116" t="n">
        <f aca="false">SUM(50_v69_E3_Ref!C300:AF300)</f>
        <v>508.731637566013</v>
      </c>
      <c r="H51" s="116" t="n">
        <f aca="false">SUM(50_v69_E3_Ref!C302:AF302)</f>
        <v>172.584706679239</v>
      </c>
      <c r="I51" s="116" t="n">
        <f aca="false">MAX(50_v69_E3_Ref!C277:AF277)</f>
        <v>0</v>
      </c>
      <c r="J51" s="116" t="n">
        <f aca="false">SUMPRODUCT(ABS(50_v69_E3_Ref!C303:AF305))+SUM(50_v69_E3_Ref!C311:AF311)</f>
        <v>0</v>
      </c>
    </row>
    <row r="52" customFormat="false" ht="15" hidden="false" customHeight="true" outlineLevel="0" collapsed="false">
      <c r="B52" s="1" t="s">
        <v>1820</v>
      </c>
      <c r="C52" s="116" t="n">
        <f aca="false">42_v69_Diablo!AF284</f>
        <v>71.1751754835971</v>
      </c>
      <c r="D52" s="116" t="n">
        <f aca="false">42_v69_Diablo!AF289</f>
        <v>98.289528048777</v>
      </c>
      <c r="E52" s="116" t="n">
        <f aca="false">42_v69_Diablo!AF294</f>
        <v>35.7759654292397</v>
      </c>
      <c r="F52" s="116" t="n">
        <f aca="false">SUM(42_v69_Diablo!C299:AF299)</f>
        <v>767.20284923807</v>
      </c>
      <c r="G52" s="116" t="n">
        <f aca="false">SUM(42_v69_Diablo!C300:AF300)</f>
        <v>529.464162994481</v>
      </c>
      <c r="H52" s="116" t="n">
        <f aca="false">SUM(42_v69_Diablo!C302:AF302)</f>
        <v>180.065206875612</v>
      </c>
      <c r="I52" s="116" t="n">
        <f aca="false">MAX(42_v69_Diablo!C277:AF277)</f>
        <v>0</v>
      </c>
      <c r="J52" s="116" t="n">
        <f aca="false">SUMPRODUCT(ABS(42_v69_Diablo!C303:AF305))+SUM(42_v69_Diablo!C311:AF311)</f>
        <v>0</v>
      </c>
    </row>
    <row r="53" customFormat="false" ht="15" hidden="false" customHeight="true" outlineLevel="0" collapsed="false">
      <c r="B53" s="1" t="s">
        <v>1821</v>
      </c>
      <c r="C53" s="116" t="n">
        <f aca="false">43_Diablo_Defensas!AF284</f>
        <v>71.5835643720453</v>
      </c>
      <c r="D53" s="116" t="n">
        <f aca="false">43_Diablo_Defensas!AF289</f>
        <v>98.853493656634</v>
      </c>
      <c r="E53" s="116" t="n">
        <f aca="false">43_Diablo_Defensas!AF294</f>
        <v>35.9442563233237</v>
      </c>
      <c r="F53" s="116" t="n">
        <f aca="false">SUM(43_Diablo_Defensas!C299:AF299)</f>
        <v>768.947499607663</v>
      </c>
      <c r="G53" s="116" t="n">
        <f aca="false">SUM(43_Diablo_Defensas!C300:AF300)</f>
        <v>530.030844664128</v>
      </c>
      <c r="H53" s="116" t="n">
        <f aca="false">SUM(43_Diablo_Defensas!C302:AF302)</f>
        <v>180.296403219916</v>
      </c>
      <c r="I53" s="116" t="n">
        <f aca="false">MAX(43_Diablo_Defensas!C277:AF277)</f>
        <v>0</v>
      </c>
      <c r="J53" s="116" t="n">
        <f aca="false">SUMPRODUCT(ABS(43_Diablo_Defensas!C303:AF305))+SUM(43_Diablo_Defensas!C311:AF311)</f>
        <v>0</v>
      </c>
    </row>
    <row r="54" customFormat="false" ht="15" hidden="false" customHeight="true" outlineLevel="0" collapsed="false">
      <c r="B54" s="1" t="s">
        <v>1822</v>
      </c>
      <c r="C54" s="116" t="n">
        <f aca="false">51_v69_E1_Freno!AF284</f>
        <v>80.1556712582826</v>
      </c>
      <c r="D54" s="116" t="n">
        <f aca="false">51_v69_E1_Freno!AF289</f>
        <v>110.691165070962</v>
      </c>
      <c r="E54" s="116" t="n">
        <f aca="false">51_v69_E1_Freno!AF294</f>
        <v>41.012984950777</v>
      </c>
      <c r="F54" s="116" t="n">
        <f aca="false">SUM(51_v69_E1_Freno!C299:AF299)</f>
        <v>790.098556322294</v>
      </c>
      <c r="G54" s="116" t="n">
        <f aca="false">SUM(51_v69_E1_Freno!C300:AF300)</f>
        <v>554.930614531573</v>
      </c>
      <c r="H54" s="116" t="n">
        <f aca="false">SUM(51_v69_E1_Freno!C302:AF302)</f>
        <v>189.843905746791</v>
      </c>
      <c r="I54" s="116" t="n">
        <f aca="false">MAX(51_v69_E1_Freno!C277:AF277)</f>
        <v>0</v>
      </c>
      <c r="J54" s="116" t="n">
        <f aca="false">SUMPRODUCT(ABS(51_v69_E1_Freno!C303:AF305))+SUM(51_v69_E1_Freno!C311:AF311)</f>
        <v>0</v>
      </c>
    </row>
    <row r="55" customFormat="false" ht="15" hidden="false" customHeight="true" outlineLevel="0" collapsed="false">
      <c r="B55" s="1" t="s">
        <v>1823</v>
      </c>
      <c r="C55" s="116" t="n">
        <f aca="false">52_v69_E3_Freno!AF284</f>
        <v>73.8403301301185</v>
      </c>
      <c r="D55" s="116" t="n">
        <f aca="false">52_v69_E3_Freno!AF289</f>
        <v>101.969979703497</v>
      </c>
      <c r="E55" s="116" t="n">
        <f aca="false">52_v69_E3_Freno!AF294</f>
        <v>37.0032983890038</v>
      </c>
      <c r="F55" s="116" t="n">
        <f aca="false">SUM(52_v69_E3_Freno!C299:AF299)</f>
        <v>789.709571275451</v>
      </c>
      <c r="G55" s="116" t="n">
        <f aca="false">SUM(52_v69_E3_Freno!C300:AF300)</f>
        <v>544.076422081052</v>
      </c>
      <c r="H55" s="116" t="n">
        <f aca="false">SUM(52_v69_E3_Freno!C302:AF302)</f>
        <v>185.247220495551</v>
      </c>
      <c r="I55" s="116" t="n">
        <f aca="false">MAX(52_v69_E3_Freno!C277:AF277)</f>
        <v>0</v>
      </c>
      <c r="J55" s="116" t="n">
        <f aca="false">SUMPRODUCT(ABS(52_v69_E3_Freno!C303:AF305))+SUM(52_v69_E3_Freno!C311:AF311)</f>
        <v>0</v>
      </c>
    </row>
    <row r="56" customFormat="false" ht="15" hidden="false" customHeight="true" outlineLevel="0" collapsed="false">
      <c r="B56" s="1" t="s">
        <v>1824</v>
      </c>
      <c r="C56" s="116" t="n">
        <f aca="false">54_v69_E1_Tope!AF284</f>
        <v>59.7397044329792</v>
      </c>
      <c r="D56" s="116" t="n">
        <f aca="false">54_v69_E1_Tope!AF289</f>
        <v>82.4976870741141</v>
      </c>
      <c r="E56" s="116" t="n">
        <f aca="false">54_v69_E1_Tope!AF294</f>
        <v>38.0980250440344</v>
      </c>
      <c r="F56" s="116" t="n">
        <f aca="false">SUM(54_v69_E1_Tope!C299:AF299)</f>
        <v>628.051099088987</v>
      </c>
      <c r="G56" s="116" t="n">
        <f aca="false">SUM(54_v69_E1_Tope!C300:AF300)</f>
        <v>445.192993803641</v>
      </c>
      <c r="H56" s="116" t="n">
        <f aca="false">SUM(54_v69_E1_Tope!C302:AF302)</f>
        <v>152.945367987422</v>
      </c>
      <c r="I56" s="116" t="n">
        <f aca="false">MAX(54_v69_E1_Tope!C277:AF277)</f>
        <v>0</v>
      </c>
      <c r="J56" s="116" t="n">
        <f aca="false">SUMPRODUCT(ABS(54_v69_E1_Tope!C303:AF305))+SUM(54_v69_E1_Tope!C311:AF311)</f>
        <v>0</v>
      </c>
    </row>
    <row r="57" customFormat="false" ht="15" hidden="false" customHeight="true" outlineLevel="0" collapsed="false">
      <c r="B57" s="1" t="s">
        <v>1825</v>
      </c>
      <c r="C57" s="116" t="n">
        <f aca="false">55_E1_Crec022!AF284</f>
        <v>80.1217862144597</v>
      </c>
      <c r="D57" s="116" t="n">
        <f aca="false">55_E1_Crec022!AF289</f>
        <v>110.644371439016</v>
      </c>
      <c r="E57" s="116" t="n">
        <f aca="false">55_E1_Crec022!AF294</f>
        <v>41.0936636265457</v>
      </c>
      <c r="F57" s="116" t="n">
        <f aca="false">SUM(55_E1_Crec022!C299:AF299)</f>
        <v>791.328292975048</v>
      </c>
      <c r="G57" s="116" t="n">
        <f aca="false">SUM(55_E1_Crec022!C300:AF300)</f>
        <v>556.151832213446</v>
      </c>
      <c r="H57" s="116" t="n">
        <f aca="false">SUM(55_E1_Crec022!C302:AF302)</f>
        <v>190.243627316137</v>
      </c>
      <c r="I57" s="116" t="n">
        <f aca="false">MAX(55_E1_Crec022!C277:AF277)</f>
        <v>0</v>
      </c>
      <c r="J57" s="116" t="n">
        <f aca="false">SUMPRODUCT(ABS(55_E1_Crec022!C303:AF305))+SUM(55_E1_Crec022!C311:AF311)</f>
        <v>0</v>
      </c>
    </row>
    <row r="58" customFormat="false" ht="15" hidden="false" customHeight="true" outlineLevel="0" collapsed="false">
      <c r="B58" s="1" t="s">
        <v>1826</v>
      </c>
      <c r="C58" s="116" t="n">
        <f aca="false">56_E1_Crec049!AF284</f>
        <v>80.101905280193</v>
      </c>
      <c r="D58" s="116" t="n">
        <f aca="false">56_E1_Crec049!AF289</f>
        <v>110.616916815505</v>
      </c>
      <c r="E58" s="116" t="n">
        <f aca="false">56_E1_Crec049!AF294</f>
        <v>41.1409991843236</v>
      </c>
      <c r="F58" s="116" t="n">
        <f aca="false">SUM(56_E1_Crec049!C299:AF299)</f>
        <v>791.317506174652</v>
      </c>
      <c r="G58" s="116" t="n">
        <f aca="false">SUM(56_E1_Crec049!C300:AF300)</f>
        <v>556.14131183706</v>
      </c>
      <c r="H58" s="116" t="n">
        <f aca="false">SUM(56_E1_Crec049!C302:AF302)</f>
        <v>190.242699529097</v>
      </c>
      <c r="I58" s="116" t="n">
        <f aca="false">MAX(56_E1_Crec049!C277:AF277)</f>
        <v>0</v>
      </c>
      <c r="J58" s="116" t="n">
        <f aca="false">SUMPRODUCT(ABS(56_E1_Crec049!C303:AF305))+SUM(56_E1_Crec049!C311:AF311)</f>
        <v>0</v>
      </c>
    </row>
    <row r="59" customFormat="false" ht="15" hidden="false" customHeight="true" outlineLevel="0" collapsed="false">
      <c r="B59" s="1" t="s">
        <v>1827</v>
      </c>
      <c r="C59" s="116" t="n">
        <f aca="false">57_E1_AE25!AF284</f>
        <v>80.1843532744586</v>
      </c>
      <c r="D59" s="116" t="n">
        <f aca="false">57_E1_AE25!AF289</f>
        <v>110.730773569491</v>
      </c>
      <c r="E59" s="116" t="n">
        <f aca="false">57_E1_AE25!AF294</f>
        <v>40.9446944360721</v>
      </c>
      <c r="F59" s="116" t="n">
        <f aca="false">SUM(57_E1_AE25!C299:AF299)</f>
        <v>791.35281676728</v>
      </c>
      <c r="G59" s="116" t="n">
        <f aca="false">SUM(57_E1_AE25!C300:AF300)</f>
        <v>556.175723166237</v>
      </c>
      <c r="H59" s="116" t="n">
        <f aca="false">SUM(57_E1_AE25!C302:AF302)</f>
        <v>190.245939124263</v>
      </c>
      <c r="I59" s="116" t="n">
        <f aca="false">MAX(57_E1_AE25!C277:AF277)</f>
        <v>0</v>
      </c>
      <c r="J59" s="116" t="n">
        <f aca="false">SUMPRODUCT(ABS(57_E1_AE25!C303:AF305))+SUM(57_E1_AE25!C311:AF311)</f>
        <v>0</v>
      </c>
    </row>
    <row r="60" customFormat="false" ht="15" hidden="false" customHeight="true" outlineLevel="0" collapsed="false">
      <c r="B60" s="1" t="s">
        <v>1828</v>
      </c>
      <c r="C60" s="116" t="n">
        <f aca="false">58_E1_AE50!AF284</f>
        <v>80.2312543794722</v>
      </c>
      <c r="D60" s="116" t="n">
        <f aca="false">58_E1_AE50!AF289</f>
        <v>110.795541762128</v>
      </c>
      <c r="E60" s="116" t="n">
        <f aca="false">58_E1_AE50!AF294</f>
        <v>40.8330251384207</v>
      </c>
      <c r="F60" s="116" t="n">
        <f aca="false">SUM(58_E1_AE50!C299:AF299)</f>
        <v>791.368774107807</v>
      </c>
      <c r="G60" s="116" t="n">
        <f aca="false">SUM(58_E1_AE50!C300:AF300)</f>
        <v>556.191259057314</v>
      </c>
      <c r="H60" s="116" t="n">
        <f aca="false">SUM(58_E1_AE50!C302:AF302)</f>
        <v>190.2475155564</v>
      </c>
      <c r="I60" s="116" t="n">
        <f aca="false">MAX(58_E1_AE50!C277:AF277)</f>
        <v>0</v>
      </c>
      <c r="J60" s="116" t="n">
        <f aca="false">SUMPRODUCT(ABS(58_E1_AE50!C303:AF305))+SUM(58_E1_AE50!C311:AF311)</f>
        <v>0</v>
      </c>
    </row>
    <row r="61" customFormat="false" ht="15" hidden="false" customHeight="true" outlineLevel="0" collapsed="false">
      <c r="B61" s="1" t="s">
        <v>1829</v>
      </c>
      <c r="C61" s="116" t="n">
        <f aca="false">59_E1_Crec022_AE25!AF284</f>
        <v>80.1707031555286</v>
      </c>
      <c r="D61" s="116" t="n">
        <f aca="false">59_E1_Crec022_AE25!AF289</f>
        <v>110.711923405254</v>
      </c>
      <c r="E61" s="116" t="n">
        <f aca="false">59_E1_Crec022_AE25!AF294</f>
        <v>40.9771947192387</v>
      </c>
      <c r="F61" s="116" t="n">
        <f aca="false">SUM(59_E1_Crec022_AE25!C299:AF299)</f>
        <v>791.344889299474</v>
      </c>
      <c r="G61" s="116" t="n">
        <f aca="false">SUM(59_E1_Crec022_AE25!C300:AF300)</f>
        <v>556.167990212214</v>
      </c>
      <c r="H61" s="116" t="n">
        <f aca="false">SUM(59_E1_Crec022_AE25!C302:AF302)</f>
        <v>190.245267843669</v>
      </c>
      <c r="I61" s="116" t="n">
        <f aca="false">MAX(59_E1_Crec022_AE25!C277:AF277)</f>
        <v>0</v>
      </c>
      <c r="J61" s="116" t="n">
        <f aca="false">SUMPRODUCT(ABS(59_E1_Crec022_AE25!C303:AF305))+SUM(59_E1_Crec022_AE25!C311:AF311)</f>
        <v>0</v>
      </c>
    </row>
    <row r="62" customFormat="false" ht="15" hidden="false" customHeight="true" outlineLevel="0" collapsed="false">
      <c r="B62" s="146" t="s">
        <v>1830</v>
      </c>
      <c r="J62" s="216" t="n">
        <f aca="false">SUM(J43:J61)</f>
        <v>0</v>
      </c>
    </row>
    <row r="64" customFormat="false" ht="15" hidden="false" customHeight="true" outlineLevel="0" collapsed="false">
      <c r="B64" s="217" t="s">
        <v>840</v>
      </c>
    </row>
    <row r="65" customFormat="false" ht="31.5" hidden="false" customHeight="true" outlineLevel="0" collapsed="false">
      <c r="B65" s="93" t="s">
        <v>1831</v>
      </c>
      <c r="C65" s="93"/>
      <c r="D65" s="93"/>
      <c r="E65" s="93"/>
      <c r="F65" s="93"/>
      <c r="G65" s="93"/>
      <c r="H65" s="93"/>
      <c r="I65" s="93"/>
      <c r="J65" s="93"/>
      <c r="K65" s="93"/>
      <c r="L65" s="93"/>
      <c r="M65" s="93"/>
      <c r="N65" s="93"/>
    </row>
    <row r="66" customFormat="false" ht="31.5" hidden="false" customHeight="true" outlineLevel="0" collapsed="false">
      <c r="B66" s="93" t="s">
        <v>1832</v>
      </c>
      <c r="C66" s="93"/>
      <c r="D66" s="93"/>
      <c r="E66" s="93"/>
      <c r="F66" s="93"/>
      <c r="G66" s="93"/>
      <c r="H66" s="93"/>
      <c r="I66" s="93"/>
      <c r="J66" s="93"/>
      <c r="K66" s="93"/>
      <c r="L66" s="93"/>
      <c r="M66" s="93"/>
      <c r="N66" s="93"/>
    </row>
    <row r="67" customFormat="false" ht="31.5" hidden="false" customHeight="true" outlineLevel="0" collapsed="false">
      <c r="B67" s="93" t="s">
        <v>1833</v>
      </c>
      <c r="C67" s="93"/>
      <c r="D67" s="93"/>
      <c r="E67" s="93"/>
      <c r="F67" s="93"/>
      <c r="G67" s="93"/>
      <c r="H67" s="93"/>
      <c r="I67" s="93"/>
      <c r="J67" s="93"/>
      <c r="K67" s="93"/>
      <c r="L67" s="93"/>
      <c r="M67" s="93"/>
      <c r="N67" s="93"/>
    </row>
    <row r="68" customFormat="false" ht="31.5" hidden="false" customHeight="true" outlineLevel="0" collapsed="false">
      <c r="B68" s="93" t="s">
        <v>1834</v>
      </c>
      <c r="C68" s="93"/>
      <c r="D68" s="93"/>
      <c r="E68" s="93"/>
      <c r="F68" s="93"/>
      <c r="G68" s="93"/>
      <c r="H68" s="93"/>
      <c r="I68" s="93"/>
      <c r="J68" s="93"/>
      <c r="K68" s="93"/>
      <c r="L68" s="93"/>
      <c r="M68" s="93"/>
      <c r="N68" s="93"/>
    </row>
    <row r="69" customFormat="false" ht="31.5" hidden="false" customHeight="true" outlineLevel="0" collapsed="false">
      <c r="B69" s="93" t="s">
        <v>1835</v>
      </c>
      <c r="C69" s="93"/>
      <c r="D69" s="93"/>
      <c r="E69" s="93"/>
      <c r="F69" s="93"/>
      <c r="G69" s="93"/>
      <c r="H69" s="93"/>
      <c r="I69" s="93"/>
      <c r="J69" s="93"/>
      <c r="K69" s="93"/>
      <c r="L69" s="93"/>
      <c r="M69" s="93"/>
      <c r="N69" s="93"/>
    </row>
    <row r="70" customFormat="false" ht="31.5" hidden="false" customHeight="true" outlineLevel="0" collapsed="false">
      <c r="B70" s="93" t="s">
        <v>1836</v>
      </c>
      <c r="C70" s="93"/>
      <c r="D70" s="93"/>
      <c r="E70" s="93"/>
      <c r="F70" s="93"/>
      <c r="G70" s="93"/>
      <c r="H70" s="93"/>
      <c r="I70" s="93"/>
      <c r="J70" s="93"/>
      <c r="K70" s="93"/>
      <c r="L70" s="93"/>
      <c r="M70" s="93"/>
      <c r="N70" s="93"/>
    </row>
  </sheetData>
  <mergeCells count="6">
    <mergeCell ref="B65:N65"/>
    <mergeCell ref="B66:N66"/>
    <mergeCell ref="B67:N67"/>
    <mergeCell ref="B68:N68"/>
    <mergeCell ref="B69:N69"/>
    <mergeCell ref="B70:N7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N8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44"/>
    <col collapsed="false" customWidth="true" hidden="false" outlineLevel="0" max="3" min="3" style="1" width="34"/>
    <col collapsed="false" customWidth="true" hidden="false" outlineLevel="0" max="4" min="4" style="1" width="20"/>
    <col collapsed="false" customWidth="true" hidden="false" outlineLevel="0" max="6" min="5" style="1" width="12"/>
    <col collapsed="false" customWidth="true" hidden="false" outlineLevel="0" max="7" min="7" style="1" width="9"/>
    <col collapsed="false" customWidth="true" hidden="false" outlineLevel="0" max="8" min="8" style="1" width="14"/>
    <col collapsed="false" customWidth="true" hidden="false" outlineLevel="0" max="9" min="9" style="1" width="13"/>
    <col collapsed="false" customWidth="true" hidden="false" outlineLevel="0" max="10" min="10" style="1" width="12"/>
    <col collapsed="false" customWidth="true" hidden="false" outlineLevel="0" max="11" min="11" style="1" width="11"/>
    <col collapsed="false" customWidth="true" hidden="false" outlineLevel="0" max="12" min="12" style="1" width="12"/>
    <col collapsed="false" customWidth="true" hidden="false" outlineLevel="0" max="13" min="13" style="1" width="13"/>
    <col collapsed="false" customWidth="true" hidden="false" outlineLevel="0" max="14" min="14" style="1" width="12"/>
  </cols>
  <sheetData>
    <row r="1" customFormat="false" ht="17.25" hidden="false" customHeight="true" outlineLevel="0" collapsed="false">
      <c r="B1" s="214" t="s">
        <v>1837</v>
      </c>
    </row>
    <row r="2" customFormat="false" ht="78" hidden="false" customHeight="true" outlineLevel="0" collapsed="false">
      <c r="B2" s="93" t="s">
        <v>1838</v>
      </c>
      <c r="C2" s="93"/>
      <c r="D2" s="93"/>
      <c r="E2" s="93"/>
      <c r="F2" s="93"/>
      <c r="G2" s="93"/>
      <c r="H2" s="93"/>
      <c r="I2" s="93"/>
      <c r="J2" s="93"/>
      <c r="K2" s="93"/>
      <c r="L2" s="93"/>
      <c r="M2" s="93"/>
      <c r="N2" s="93"/>
    </row>
    <row r="4" customFormat="false" ht="57.75" hidden="false" customHeight="true" outlineLevel="0" collapsed="false">
      <c r="B4" s="218" t="s">
        <v>929</v>
      </c>
      <c r="C4" s="218" t="s">
        <v>1839</v>
      </c>
      <c r="D4" s="218" t="s">
        <v>1840</v>
      </c>
      <c r="E4" s="218" t="s">
        <v>1841</v>
      </c>
      <c r="F4" s="218" t="s">
        <v>1842</v>
      </c>
      <c r="G4" s="218" t="s">
        <v>1843</v>
      </c>
      <c r="H4" s="218" t="s">
        <v>1844</v>
      </c>
      <c r="I4" s="218" t="s">
        <v>1845</v>
      </c>
      <c r="J4" s="218" t="s">
        <v>1846</v>
      </c>
      <c r="K4" s="218" t="s">
        <v>1847</v>
      </c>
      <c r="L4" s="218" t="s">
        <v>1848</v>
      </c>
      <c r="M4" s="218" t="s">
        <v>1849</v>
      </c>
      <c r="N4" s="218" t="s">
        <v>1850</v>
      </c>
    </row>
    <row r="5" customFormat="false" ht="15" hidden="false" customHeight="true" outlineLevel="0" collapsed="false">
      <c r="B5" s="146" t="s">
        <v>1851</v>
      </c>
      <c r="C5" s="146" t="s">
        <v>955</v>
      </c>
      <c r="D5" s="1" t="s">
        <v>1783</v>
      </c>
      <c r="E5" s="1" t="n">
        <v>71.8</v>
      </c>
      <c r="F5" s="1" t="n">
        <v>14</v>
      </c>
      <c r="G5" s="1" t="n">
        <v>0</v>
      </c>
      <c r="H5" s="1" t="n">
        <v>0</v>
      </c>
      <c r="I5" s="1" t="n">
        <v>-164.3</v>
      </c>
      <c r="J5" s="1" t="n">
        <v>103.7</v>
      </c>
      <c r="K5" s="1" t="n">
        <v>22</v>
      </c>
      <c r="L5" s="1" t="n">
        <v>0</v>
      </c>
      <c r="M5" s="1" t="n">
        <v>0</v>
      </c>
      <c r="N5" s="1" t="n">
        <v>16.5</v>
      </c>
    </row>
    <row r="6" customFormat="false" ht="15" hidden="false" customHeight="true" outlineLevel="0" collapsed="false">
      <c r="D6" s="1" t="s">
        <v>122</v>
      </c>
      <c r="E6" s="1" t="n">
        <v>52.2</v>
      </c>
      <c r="F6" s="1" t="n">
        <v>10.2</v>
      </c>
      <c r="G6" s="1" t="n">
        <v>0</v>
      </c>
      <c r="H6" s="1" t="n">
        <v>0</v>
      </c>
      <c r="I6" s="1" t="n">
        <v>-196.1</v>
      </c>
      <c r="J6" s="1" t="n">
        <v>103.1</v>
      </c>
      <c r="K6" s="1" t="n">
        <v>30</v>
      </c>
      <c r="L6" s="1" t="n">
        <v>0</v>
      </c>
      <c r="M6" s="1" t="n">
        <v>0</v>
      </c>
      <c r="N6" s="1" t="n">
        <v>17.1</v>
      </c>
    </row>
    <row r="7" customFormat="false" ht="15" hidden="false" customHeight="true" outlineLevel="0" collapsed="false">
      <c r="D7" s="1" t="s">
        <v>1852</v>
      </c>
      <c r="E7" s="1" t="n">
        <v>10.3</v>
      </c>
      <c r="F7" s="1" t="n">
        <v>2</v>
      </c>
      <c r="G7" s="1" t="n">
        <v>8</v>
      </c>
      <c r="H7" s="1" t="n">
        <v>0</v>
      </c>
      <c r="I7" s="1" t="n">
        <v>-159.3</v>
      </c>
      <c r="J7" s="1" t="n">
        <v>76.6</v>
      </c>
      <c r="K7" s="1" t="n">
        <v>10</v>
      </c>
      <c r="L7" s="1" t="n">
        <v>0</v>
      </c>
      <c r="M7" s="1" t="n">
        <v>0</v>
      </c>
      <c r="N7" s="1" t="n">
        <v>10.3</v>
      </c>
    </row>
    <row r="8" customFormat="false" ht="15" hidden="false" customHeight="true" outlineLevel="0" collapsed="false">
      <c r="D8" s="1" t="s">
        <v>629</v>
      </c>
      <c r="E8" s="1" t="n">
        <v>9.4</v>
      </c>
      <c r="F8" s="1" t="n">
        <v>1.8</v>
      </c>
      <c r="G8" s="1" t="n">
        <v>11</v>
      </c>
      <c r="H8" s="1" t="n">
        <v>0</v>
      </c>
      <c r="I8" s="1" t="n">
        <v>-206.9</v>
      </c>
      <c r="J8" s="1" t="n">
        <v>85.6</v>
      </c>
      <c r="K8" s="1" t="n">
        <v>30</v>
      </c>
      <c r="L8" s="1" t="n">
        <v>0</v>
      </c>
      <c r="M8" s="1" t="n">
        <v>0</v>
      </c>
      <c r="N8" s="1" t="n">
        <v>9.4</v>
      </c>
    </row>
    <row r="9" customFormat="false" ht="15" hidden="false" customHeight="true" outlineLevel="0" collapsed="false">
      <c r="D9" s="1" t="s">
        <v>1797</v>
      </c>
      <c r="E9" s="1" t="n">
        <v>20.9</v>
      </c>
      <c r="F9" s="1" t="n">
        <v>4.1</v>
      </c>
      <c r="G9" s="1" t="n">
        <v>10</v>
      </c>
      <c r="H9" s="1" t="n">
        <v>0</v>
      </c>
      <c r="I9" s="1" t="n">
        <v>-203.5</v>
      </c>
      <c r="J9" s="1" t="n">
        <v>90.5</v>
      </c>
      <c r="K9" s="1" t="n">
        <v>30</v>
      </c>
      <c r="L9" s="1" t="n">
        <v>0</v>
      </c>
      <c r="M9" s="1" t="n">
        <v>0</v>
      </c>
      <c r="N9" s="1" t="n">
        <v>19.5</v>
      </c>
    </row>
    <row r="11" customFormat="false" ht="15" hidden="false" customHeight="true" outlineLevel="0" collapsed="false">
      <c r="B11" s="146" t="s">
        <v>1853</v>
      </c>
      <c r="C11" s="146" t="s">
        <v>1854</v>
      </c>
      <c r="D11" s="1" t="s">
        <v>1783</v>
      </c>
      <c r="E11" s="1" t="n">
        <v>0</v>
      </c>
      <c r="F11" s="1" t="n">
        <v>0</v>
      </c>
      <c r="G11" s="1" t="n">
        <v>16</v>
      </c>
      <c r="H11" s="1" t="n">
        <v>36.4</v>
      </c>
      <c r="I11" s="1" t="n">
        <v>-247</v>
      </c>
      <c r="J11" s="1" t="n">
        <v>90.5</v>
      </c>
      <c r="K11" s="1" t="n">
        <v>30</v>
      </c>
      <c r="L11" s="1" t="n">
        <v>0</v>
      </c>
      <c r="M11" s="1" t="n">
        <v>0</v>
      </c>
      <c r="N11" s="1" t="n">
        <v>0</v>
      </c>
    </row>
    <row r="12" customFormat="false" ht="15" hidden="false" customHeight="true" outlineLevel="0" collapsed="false">
      <c r="D12" s="1" t="s">
        <v>122</v>
      </c>
      <c r="E12" s="1" t="n">
        <v>0</v>
      </c>
      <c r="F12" s="1" t="n">
        <v>0</v>
      </c>
      <c r="G12" s="1" t="n">
        <v>16</v>
      </c>
      <c r="H12" s="1" t="n">
        <v>64.7</v>
      </c>
      <c r="I12" s="1" t="n">
        <v>-275.7</v>
      </c>
      <c r="J12" s="1" t="n">
        <v>86.2</v>
      </c>
      <c r="K12" s="1" t="n">
        <v>30</v>
      </c>
      <c r="L12" s="1" t="n">
        <v>0</v>
      </c>
      <c r="M12" s="1" t="n">
        <v>0</v>
      </c>
      <c r="N12" s="1" t="n">
        <v>0</v>
      </c>
    </row>
    <row r="13" customFormat="false" ht="15" hidden="false" customHeight="true" outlineLevel="0" collapsed="false">
      <c r="D13" s="1" t="s">
        <v>1852</v>
      </c>
      <c r="E13" s="1" t="n">
        <v>0</v>
      </c>
      <c r="F13" s="1" t="n">
        <v>0</v>
      </c>
      <c r="G13" s="1" t="n">
        <v>16</v>
      </c>
      <c r="H13" s="1" t="n">
        <v>115.3</v>
      </c>
      <c r="I13" s="1" t="n">
        <v>-275.7</v>
      </c>
      <c r="J13" s="1" t="n">
        <v>65.6</v>
      </c>
      <c r="K13" s="1" t="n">
        <v>10</v>
      </c>
      <c r="L13" s="1" t="n">
        <v>0</v>
      </c>
      <c r="M13" s="1" t="n">
        <v>0</v>
      </c>
      <c r="N13" s="1" t="n">
        <v>0</v>
      </c>
    </row>
    <row r="14" customFormat="false" ht="15" hidden="false" customHeight="true" outlineLevel="0" collapsed="false">
      <c r="D14" s="1" t="s">
        <v>629</v>
      </c>
      <c r="E14" s="1" t="n">
        <v>0</v>
      </c>
      <c r="F14" s="1" t="n">
        <v>0</v>
      </c>
      <c r="G14" s="1" t="n">
        <v>16</v>
      </c>
      <c r="H14" s="1" t="n">
        <v>75.9</v>
      </c>
      <c r="I14" s="1" t="n">
        <v>-287</v>
      </c>
      <c r="J14" s="1" t="n">
        <v>76.7</v>
      </c>
      <c r="K14" s="1" t="n">
        <v>30</v>
      </c>
      <c r="L14" s="1" t="n">
        <v>0</v>
      </c>
      <c r="M14" s="1" t="n">
        <v>0</v>
      </c>
      <c r="N14" s="1" t="n">
        <v>0</v>
      </c>
    </row>
    <row r="15" customFormat="false" ht="15" hidden="false" customHeight="true" outlineLevel="0" collapsed="false">
      <c r="D15" s="1" t="s">
        <v>1797</v>
      </c>
      <c r="E15" s="1" t="n">
        <v>0</v>
      </c>
      <c r="F15" s="1" t="n">
        <v>0</v>
      </c>
      <c r="G15" s="1" t="n">
        <v>16</v>
      </c>
      <c r="H15" s="1" t="n">
        <v>66.3</v>
      </c>
      <c r="I15" s="1" t="n">
        <v>-277.4</v>
      </c>
      <c r="J15" s="1" t="n">
        <v>78.3</v>
      </c>
      <c r="K15" s="1" t="n">
        <v>30</v>
      </c>
      <c r="L15" s="1" t="n">
        <v>0</v>
      </c>
      <c r="M15" s="1" t="n">
        <v>0</v>
      </c>
      <c r="N15" s="1" t="n">
        <v>0</v>
      </c>
    </row>
    <row r="17" customFormat="false" ht="15" hidden="false" customHeight="true" outlineLevel="0" collapsed="false">
      <c r="B17" s="146" t="s">
        <v>1855</v>
      </c>
      <c r="C17" s="146" t="s">
        <v>1856</v>
      </c>
      <c r="D17" s="1" t="s">
        <v>1783</v>
      </c>
      <c r="E17" s="1" t="n">
        <v>67.5</v>
      </c>
      <c r="F17" s="1" t="n">
        <v>12.3</v>
      </c>
      <c r="G17" s="1" t="n">
        <v>0</v>
      </c>
      <c r="H17" s="1" t="n">
        <v>0</v>
      </c>
      <c r="I17" s="1" t="n">
        <v>-206.4</v>
      </c>
      <c r="J17" s="1" t="n">
        <v>111.2</v>
      </c>
      <c r="K17" s="1" t="n">
        <v>30</v>
      </c>
      <c r="L17" s="1" t="n">
        <v>0</v>
      </c>
      <c r="M17" s="1" t="n">
        <v>0</v>
      </c>
      <c r="N17" s="1" t="n">
        <v>16.5</v>
      </c>
    </row>
    <row r="18" customFormat="false" ht="15" hidden="false" customHeight="true" outlineLevel="0" collapsed="false">
      <c r="D18" s="1" t="s">
        <v>122</v>
      </c>
      <c r="E18" s="1" t="n">
        <v>21.1</v>
      </c>
      <c r="F18" s="1" t="n">
        <v>4.1</v>
      </c>
      <c r="G18" s="1" t="n">
        <v>15</v>
      </c>
      <c r="H18" s="1" t="n">
        <v>0</v>
      </c>
      <c r="I18" s="1" t="n">
        <v>-210.1</v>
      </c>
      <c r="J18" s="1" t="n">
        <v>97.1</v>
      </c>
      <c r="K18" s="1" t="n">
        <v>30</v>
      </c>
      <c r="L18" s="1" t="n">
        <v>0</v>
      </c>
      <c r="M18" s="1" t="n">
        <v>0</v>
      </c>
      <c r="N18" s="1" t="n">
        <v>17.1</v>
      </c>
    </row>
    <row r="19" customFormat="false" ht="15" hidden="false" customHeight="true" outlineLevel="0" collapsed="false">
      <c r="D19" s="1" t="s">
        <v>1852</v>
      </c>
      <c r="E19" s="1" t="n">
        <v>0</v>
      </c>
      <c r="F19" s="1" t="n">
        <v>0</v>
      </c>
      <c r="G19" s="1" t="n">
        <v>15</v>
      </c>
      <c r="H19" s="1" t="n">
        <v>38.2</v>
      </c>
      <c r="I19" s="1" t="n">
        <v>-198</v>
      </c>
      <c r="J19" s="1" t="n">
        <v>68.9</v>
      </c>
      <c r="K19" s="1" t="n">
        <v>10</v>
      </c>
      <c r="L19" s="1" t="n">
        <v>0</v>
      </c>
      <c r="M19" s="1" t="n">
        <v>0</v>
      </c>
      <c r="N19" s="1" t="n">
        <v>0</v>
      </c>
    </row>
    <row r="20" customFormat="false" ht="15" hidden="false" customHeight="true" outlineLevel="0" collapsed="false">
      <c r="D20" s="1" t="s">
        <v>629</v>
      </c>
      <c r="E20" s="1" t="n">
        <v>0</v>
      </c>
      <c r="F20" s="1" t="n">
        <v>0</v>
      </c>
      <c r="G20" s="1" t="n">
        <v>15</v>
      </c>
      <c r="H20" s="1" t="n">
        <v>19.5</v>
      </c>
      <c r="I20" s="1" t="n">
        <v>-230.2</v>
      </c>
      <c r="J20" s="1" t="n">
        <v>79.3</v>
      </c>
      <c r="K20" s="1" t="n">
        <v>30</v>
      </c>
      <c r="L20" s="1" t="n">
        <v>0</v>
      </c>
      <c r="M20" s="1" t="n">
        <v>0</v>
      </c>
      <c r="N20" s="1" t="n">
        <v>0</v>
      </c>
    </row>
    <row r="21" customFormat="false" ht="15" hidden="false" customHeight="true" outlineLevel="0" collapsed="false">
      <c r="D21" s="1" t="s">
        <v>1797</v>
      </c>
      <c r="E21" s="1" t="n">
        <v>0</v>
      </c>
      <c r="F21" s="1" t="n">
        <v>0</v>
      </c>
      <c r="G21" s="1" t="n">
        <v>14</v>
      </c>
      <c r="H21" s="1" t="n">
        <v>5</v>
      </c>
      <c r="I21" s="1" t="n">
        <v>-215.6</v>
      </c>
      <c r="J21" s="1" t="n">
        <v>82.7</v>
      </c>
      <c r="K21" s="1" t="n">
        <v>30</v>
      </c>
      <c r="L21" s="1" t="n">
        <v>0</v>
      </c>
      <c r="M21" s="1" t="n">
        <v>0</v>
      </c>
      <c r="N21" s="1" t="n">
        <v>0</v>
      </c>
    </row>
    <row r="23" customFormat="false" ht="15" hidden="false" customHeight="true" outlineLevel="0" collapsed="false">
      <c r="B23" s="146" t="s">
        <v>1857</v>
      </c>
      <c r="C23" s="146" t="s">
        <v>1858</v>
      </c>
      <c r="D23" s="1" t="s">
        <v>1783</v>
      </c>
      <c r="E23" s="1" t="n">
        <v>58.3</v>
      </c>
      <c r="F23" s="1" t="n">
        <v>11.4</v>
      </c>
      <c r="G23" s="1" t="n">
        <v>0</v>
      </c>
      <c r="H23" s="1" t="n">
        <v>0</v>
      </c>
      <c r="I23" s="1" t="n">
        <v>-184.4</v>
      </c>
      <c r="J23" s="1" t="n">
        <v>103.7</v>
      </c>
      <c r="K23" s="1" t="n">
        <v>30</v>
      </c>
      <c r="L23" s="1" t="n">
        <v>0</v>
      </c>
      <c r="M23" s="1" t="n">
        <v>0</v>
      </c>
      <c r="N23" s="1" t="n">
        <v>16.5</v>
      </c>
    </row>
    <row r="24" customFormat="false" ht="15" hidden="false" customHeight="true" outlineLevel="0" collapsed="false">
      <c r="D24" s="1" t="s">
        <v>122</v>
      </c>
      <c r="E24" s="1" t="n">
        <v>41.2</v>
      </c>
      <c r="F24" s="1" t="n">
        <v>8.1</v>
      </c>
      <c r="G24" s="1" t="n">
        <v>7</v>
      </c>
      <c r="H24" s="1" t="n">
        <v>0</v>
      </c>
      <c r="I24" s="1" t="n">
        <v>-199.7</v>
      </c>
      <c r="J24" s="1" t="n">
        <v>98.7</v>
      </c>
      <c r="K24" s="1" t="n">
        <v>30</v>
      </c>
      <c r="L24" s="1" t="n">
        <v>0</v>
      </c>
      <c r="M24" s="1" t="n">
        <v>0</v>
      </c>
      <c r="N24" s="1" t="n">
        <v>17.1</v>
      </c>
    </row>
    <row r="25" customFormat="false" ht="15" hidden="false" customHeight="true" outlineLevel="0" collapsed="false">
      <c r="D25" s="1" t="s">
        <v>1852</v>
      </c>
      <c r="E25" s="1" t="n">
        <v>0</v>
      </c>
      <c r="F25" s="1" t="n">
        <v>0</v>
      </c>
      <c r="G25" s="1" t="n">
        <v>9</v>
      </c>
      <c r="H25" s="1" t="n">
        <v>5.1</v>
      </c>
      <c r="I25" s="1" t="n">
        <v>-164.5</v>
      </c>
      <c r="J25" s="1" t="n">
        <v>71.5</v>
      </c>
      <c r="K25" s="1" t="n">
        <v>10</v>
      </c>
      <c r="L25" s="1" t="n">
        <v>0</v>
      </c>
      <c r="M25" s="1" t="n">
        <v>0</v>
      </c>
      <c r="N25" s="1" t="n">
        <v>0</v>
      </c>
    </row>
    <row r="26" customFormat="false" ht="15" hidden="false" customHeight="true" outlineLevel="0" collapsed="false">
      <c r="D26" s="1" t="s">
        <v>629</v>
      </c>
      <c r="E26" s="1" t="n">
        <v>9.4</v>
      </c>
      <c r="F26" s="1" t="n">
        <v>1.8</v>
      </c>
      <c r="G26" s="1" t="n">
        <v>11</v>
      </c>
      <c r="H26" s="1" t="n">
        <v>0</v>
      </c>
      <c r="I26" s="1" t="n">
        <v>-206.9</v>
      </c>
      <c r="J26" s="1" t="n">
        <v>85.6</v>
      </c>
      <c r="K26" s="1" t="n">
        <v>30</v>
      </c>
      <c r="L26" s="1" t="n">
        <v>0</v>
      </c>
      <c r="M26" s="1" t="n">
        <v>0</v>
      </c>
      <c r="N26" s="1" t="n">
        <v>9.4</v>
      </c>
    </row>
    <row r="27" customFormat="false" ht="15" hidden="false" customHeight="true" outlineLevel="0" collapsed="false">
      <c r="D27" s="1" t="s">
        <v>1797</v>
      </c>
      <c r="E27" s="1" t="n">
        <v>9.4</v>
      </c>
      <c r="F27" s="1" t="n">
        <v>1.8</v>
      </c>
      <c r="G27" s="1" t="n">
        <v>11</v>
      </c>
      <c r="H27" s="1" t="n">
        <v>0</v>
      </c>
      <c r="I27" s="1" t="n">
        <v>-206.9</v>
      </c>
      <c r="J27" s="1" t="n">
        <v>85.6</v>
      </c>
      <c r="K27" s="1" t="n">
        <v>30</v>
      </c>
      <c r="L27" s="1" t="n">
        <v>0</v>
      </c>
      <c r="M27" s="1" t="n">
        <v>0</v>
      </c>
      <c r="N27" s="1" t="n">
        <v>9.4</v>
      </c>
    </row>
    <row r="29" customFormat="false" ht="15" hidden="false" customHeight="true" outlineLevel="0" collapsed="false">
      <c r="B29" s="146" t="s">
        <v>1859</v>
      </c>
      <c r="C29" s="146" t="s">
        <v>1860</v>
      </c>
      <c r="D29" s="1" t="s">
        <v>1783</v>
      </c>
      <c r="E29" s="1" t="n">
        <v>42.3</v>
      </c>
      <c r="F29" s="1" t="n">
        <v>8.3</v>
      </c>
      <c r="G29" s="1" t="n">
        <v>6</v>
      </c>
      <c r="H29" s="1" t="n">
        <v>0</v>
      </c>
      <c r="I29" s="1" t="n">
        <v>-192.1</v>
      </c>
      <c r="J29" s="1" t="n">
        <v>97.5</v>
      </c>
      <c r="K29" s="1" t="n">
        <v>30</v>
      </c>
      <c r="L29" s="1" t="n">
        <v>0</v>
      </c>
      <c r="M29" s="1" t="n">
        <v>0</v>
      </c>
      <c r="N29" s="1" t="n">
        <v>16.4</v>
      </c>
    </row>
    <row r="30" customFormat="false" ht="15" hidden="false" customHeight="true" outlineLevel="0" collapsed="false">
      <c r="D30" s="1" t="s">
        <v>122</v>
      </c>
      <c r="E30" s="1" t="n">
        <v>23.5</v>
      </c>
      <c r="F30" s="1" t="n">
        <v>4.6</v>
      </c>
      <c r="G30" s="1" t="n">
        <v>10</v>
      </c>
      <c r="H30" s="1" t="n">
        <v>0</v>
      </c>
      <c r="I30" s="1" t="n">
        <v>-203.3</v>
      </c>
      <c r="J30" s="1" t="n">
        <v>92.5</v>
      </c>
      <c r="K30" s="1" t="n">
        <v>30</v>
      </c>
      <c r="L30" s="1" t="n">
        <v>0</v>
      </c>
      <c r="M30" s="1" t="n">
        <v>0</v>
      </c>
      <c r="N30" s="1" t="n">
        <v>17.1</v>
      </c>
    </row>
    <row r="31" customFormat="false" ht="15" hidden="false" customHeight="true" outlineLevel="0" collapsed="false">
      <c r="D31" s="1" t="s">
        <v>1852</v>
      </c>
      <c r="E31" s="1" t="n">
        <v>0</v>
      </c>
      <c r="F31" s="1" t="n">
        <v>0</v>
      </c>
      <c r="G31" s="1" t="n">
        <v>11</v>
      </c>
      <c r="H31" s="1" t="n">
        <v>25.6</v>
      </c>
      <c r="I31" s="1" t="n">
        <v>-185.1</v>
      </c>
      <c r="J31" s="1" t="n">
        <v>67.4</v>
      </c>
      <c r="K31" s="1" t="n">
        <v>10</v>
      </c>
      <c r="L31" s="1" t="n">
        <v>0</v>
      </c>
      <c r="M31" s="1" t="n">
        <v>0</v>
      </c>
      <c r="N31" s="1" t="n">
        <v>0</v>
      </c>
    </row>
    <row r="32" customFormat="false" ht="15" hidden="false" customHeight="true" outlineLevel="0" collapsed="false">
      <c r="D32" s="1" t="s">
        <v>629</v>
      </c>
      <c r="E32" s="1" t="n">
        <v>0</v>
      </c>
      <c r="F32" s="1" t="n">
        <v>0</v>
      </c>
      <c r="G32" s="1" t="n">
        <v>12</v>
      </c>
      <c r="H32" s="1" t="n">
        <v>7.9</v>
      </c>
      <c r="I32" s="1" t="n">
        <v>-218.4</v>
      </c>
      <c r="J32" s="1" t="n">
        <v>78.6</v>
      </c>
      <c r="K32" s="1" t="n">
        <v>30</v>
      </c>
      <c r="L32" s="1" t="n">
        <v>0</v>
      </c>
      <c r="M32" s="1" t="n">
        <v>0</v>
      </c>
      <c r="N32" s="1" t="n">
        <v>0</v>
      </c>
    </row>
    <row r="33" customFormat="false" ht="15" hidden="false" customHeight="true" outlineLevel="0" collapsed="false">
      <c r="D33" s="1" t="s">
        <v>1797</v>
      </c>
      <c r="E33" s="1" t="n">
        <v>0</v>
      </c>
      <c r="F33" s="1" t="n">
        <v>0</v>
      </c>
      <c r="G33" s="1" t="n">
        <v>12</v>
      </c>
      <c r="H33" s="1" t="n">
        <v>7.9</v>
      </c>
      <c r="I33" s="1" t="n">
        <v>-218.4</v>
      </c>
      <c r="J33" s="1" t="n">
        <v>78.6</v>
      </c>
      <c r="K33" s="1" t="n">
        <v>30</v>
      </c>
      <c r="L33" s="1" t="n">
        <v>0</v>
      </c>
      <c r="M33" s="1" t="n">
        <v>0</v>
      </c>
      <c r="N33" s="1" t="n">
        <v>0</v>
      </c>
    </row>
    <row r="35" customFormat="false" ht="15" hidden="false" customHeight="true" outlineLevel="0" collapsed="false">
      <c r="B35" s="146" t="s">
        <v>1861</v>
      </c>
      <c r="C35" s="146" t="s">
        <v>1862</v>
      </c>
      <c r="D35" s="1" t="s">
        <v>1783</v>
      </c>
      <c r="E35" s="1" t="n">
        <v>73.6</v>
      </c>
      <c r="F35" s="1" t="n">
        <v>14.4</v>
      </c>
      <c r="G35" s="1" t="n">
        <v>0</v>
      </c>
      <c r="H35" s="1" t="n">
        <v>0</v>
      </c>
      <c r="I35" s="1" t="n">
        <v>-159.7</v>
      </c>
      <c r="J35" s="1" t="n">
        <v>95.7</v>
      </c>
      <c r="K35" s="1" t="n">
        <v>14</v>
      </c>
      <c r="L35" s="1" t="n">
        <v>0</v>
      </c>
      <c r="M35" s="1" t="n">
        <v>0</v>
      </c>
      <c r="N35" s="1" t="n">
        <v>15.8</v>
      </c>
    </row>
    <row r="36" customFormat="false" ht="15" hidden="false" customHeight="true" outlineLevel="0" collapsed="false">
      <c r="D36" s="1" t="s">
        <v>122</v>
      </c>
      <c r="E36" s="1" t="n">
        <v>57.5</v>
      </c>
      <c r="F36" s="1" t="n">
        <v>11.2</v>
      </c>
      <c r="G36" s="1" t="n">
        <v>0</v>
      </c>
      <c r="H36" s="1" t="n">
        <v>0</v>
      </c>
      <c r="I36" s="1" t="n">
        <v>-188</v>
      </c>
      <c r="J36" s="1" t="n">
        <v>103.9</v>
      </c>
      <c r="K36" s="1" t="n">
        <v>30</v>
      </c>
      <c r="L36" s="1" t="n">
        <v>0</v>
      </c>
      <c r="M36" s="1" t="n">
        <v>0</v>
      </c>
      <c r="N36" s="1" t="n">
        <v>15.8</v>
      </c>
    </row>
    <row r="37" customFormat="false" ht="15" hidden="false" customHeight="true" outlineLevel="0" collapsed="false">
      <c r="D37" s="1" t="s">
        <v>1852</v>
      </c>
      <c r="E37" s="1" t="n">
        <v>24.9</v>
      </c>
      <c r="F37" s="1" t="n">
        <v>4.9</v>
      </c>
      <c r="G37" s="1" t="n">
        <v>6</v>
      </c>
      <c r="H37" s="1" t="n">
        <v>0</v>
      </c>
      <c r="I37" s="1" t="n">
        <v>-158.7</v>
      </c>
      <c r="J37" s="1" t="n">
        <v>79.3</v>
      </c>
      <c r="K37" s="1" t="n">
        <v>10</v>
      </c>
      <c r="L37" s="1" t="n">
        <v>0</v>
      </c>
      <c r="M37" s="1" t="n">
        <v>0</v>
      </c>
      <c r="N37" s="1" t="n">
        <v>15.8</v>
      </c>
    </row>
    <row r="38" customFormat="false" ht="15" hidden="false" customHeight="true" outlineLevel="0" collapsed="false">
      <c r="D38" s="1" t="s">
        <v>629</v>
      </c>
      <c r="E38" s="1" t="n">
        <v>9.4</v>
      </c>
      <c r="F38" s="1" t="n">
        <v>1.8</v>
      </c>
      <c r="G38" s="1" t="n">
        <v>11</v>
      </c>
      <c r="H38" s="1" t="n">
        <v>0</v>
      </c>
      <c r="I38" s="1" t="n">
        <v>-206.9</v>
      </c>
      <c r="J38" s="1" t="n">
        <v>85.6</v>
      </c>
      <c r="K38" s="1" t="n">
        <v>30</v>
      </c>
      <c r="L38" s="1" t="n">
        <v>0</v>
      </c>
      <c r="M38" s="1" t="n">
        <v>0</v>
      </c>
      <c r="N38" s="1" t="n">
        <v>9.4</v>
      </c>
    </row>
    <row r="39" customFormat="false" ht="15" hidden="false" customHeight="true" outlineLevel="0" collapsed="false">
      <c r="D39" s="1" t="s">
        <v>1797</v>
      </c>
      <c r="E39" s="1" t="n">
        <v>20.9</v>
      </c>
      <c r="F39" s="1" t="n">
        <v>4.1</v>
      </c>
      <c r="G39" s="1" t="n">
        <v>10</v>
      </c>
      <c r="H39" s="1" t="n">
        <v>0</v>
      </c>
      <c r="I39" s="1" t="n">
        <v>-203.5</v>
      </c>
      <c r="J39" s="1" t="n">
        <v>90.5</v>
      </c>
      <c r="K39" s="1" t="n">
        <v>30</v>
      </c>
      <c r="L39" s="1" t="n">
        <v>0</v>
      </c>
      <c r="M39" s="1" t="n">
        <v>0</v>
      </c>
      <c r="N39" s="1" t="n">
        <v>19.5</v>
      </c>
    </row>
    <row r="41" customFormat="false" ht="15" hidden="false" customHeight="true" outlineLevel="0" collapsed="false">
      <c r="B41" s="146" t="s">
        <v>1863</v>
      </c>
      <c r="C41" s="146" t="s">
        <v>1864</v>
      </c>
      <c r="D41" s="1" t="s">
        <v>1783</v>
      </c>
      <c r="E41" s="1" t="n">
        <v>75.4</v>
      </c>
      <c r="F41" s="1" t="n">
        <v>14.7</v>
      </c>
      <c r="G41" s="1" t="n">
        <v>0</v>
      </c>
      <c r="H41" s="1" t="n">
        <v>0</v>
      </c>
      <c r="I41" s="1" t="n">
        <v>-158.7</v>
      </c>
      <c r="J41" s="1" t="n">
        <v>91.9</v>
      </c>
      <c r="K41" s="1" t="n">
        <v>10</v>
      </c>
      <c r="L41" s="1" t="n">
        <v>0</v>
      </c>
      <c r="M41" s="1" t="n">
        <v>0</v>
      </c>
      <c r="N41" s="1" t="n">
        <v>15.8</v>
      </c>
    </row>
    <row r="42" customFormat="false" ht="15" hidden="false" customHeight="true" outlineLevel="0" collapsed="false">
      <c r="D42" s="1" t="s">
        <v>122</v>
      </c>
      <c r="E42" s="1" t="n">
        <v>59.5</v>
      </c>
      <c r="F42" s="1" t="n">
        <v>11.6</v>
      </c>
      <c r="G42" s="1" t="n">
        <v>0</v>
      </c>
      <c r="H42" s="1" t="n">
        <v>0</v>
      </c>
      <c r="I42" s="1" t="n">
        <v>-183.8</v>
      </c>
      <c r="J42" s="1" t="n">
        <v>104.2</v>
      </c>
      <c r="K42" s="1" t="n">
        <v>30</v>
      </c>
      <c r="L42" s="1" t="n">
        <v>0</v>
      </c>
      <c r="M42" s="1" t="n">
        <v>0</v>
      </c>
      <c r="N42" s="1" t="n">
        <v>15.8</v>
      </c>
    </row>
    <row r="43" customFormat="false" ht="15" hidden="false" customHeight="true" outlineLevel="0" collapsed="false">
      <c r="D43" s="1" t="s">
        <v>1852</v>
      </c>
      <c r="E43" s="1" t="n">
        <v>31.7</v>
      </c>
      <c r="F43" s="1" t="n">
        <v>6.2</v>
      </c>
      <c r="G43" s="1" t="n">
        <v>4</v>
      </c>
      <c r="H43" s="1" t="n">
        <v>0</v>
      </c>
      <c r="I43" s="1" t="n">
        <v>-158.4</v>
      </c>
      <c r="J43" s="1" t="n">
        <v>80.3</v>
      </c>
      <c r="K43" s="1" t="n">
        <v>10</v>
      </c>
      <c r="L43" s="1" t="n">
        <v>0</v>
      </c>
      <c r="M43" s="1" t="n">
        <v>0</v>
      </c>
      <c r="N43" s="1" t="n">
        <v>15.8</v>
      </c>
    </row>
    <row r="44" customFormat="false" ht="15" hidden="false" customHeight="true" outlineLevel="0" collapsed="false">
      <c r="D44" s="1" t="s">
        <v>629</v>
      </c>
      <c r="E44" s="1" t="n">
        <v>11.8</v>
      </c>
      <c r="F44" s="1" t="n">
        <v>2.3</v>
      </c>
      <c r="G44" s="1" t="n">
        <v>10</v>
      </c>
      <c r="H44" s="1" t="n">
        <v>0</v>
      </c>
      <c r="I44" s="1" t="n">
        <v>-206.8</v>
      </c>
      <c r="J44" s="1" t="n">
        <v>85.9</v>
      </c>
      <c r="K44" s="1" t="n">
        <v>30</v>
      </c>
      <c r="L44" s="1" t="n">
        <v>0</v>
      </c>
      <c r="M44" s="1" t="n">
        <v>0</v>
      </c>
      <c r="N44" s="1" t="n">
        <v>11.8</v>
      </c>
    </row>
    <row r="45" customFormat="false" ht="15" hidden="false" customHeight="true" outlineLevel="0" collapsed="false">
      <c r="D45" s="1" t="s">
        <v>1797</v>
      </c>
      <c r="E45" s="1" t="n">
        <v>23.3</v>
      </c>
      <c r="F45" s="1" t="n">
        <v>4.6</v>
      </c>
      <c r="G45" s="1" t="n">
        <v>9</v>
      </c>
      <c r="H45" s="1" t="n">
        <v>0</v>
      </c>
      <c r="I45" s="1" t="n">
        <v>-203.3</v>
      </c>
      <c r="J45" s="1" t="n">
        <v>91.1</v>
      </c>
      <c r="K45" s="1" t="n">
        <v>30</v>
      </c>
      <c r="L45" s="1" t="n">
        <v>0</v>
      </c>
      <c r="M45" s="1" t="n">
        <v>0</v>
      </c>
      <c r="N45" s="1" t="n">
        <v>19.5</v>
      </c>
    </row>
    <row r="47" customFormat="false" ht="15" hidden="false" customHeight="true" outlineLevel="0" collapsed="false">
      <c r="B47" s="146" t="s">
        <v>1865</v>
      </c>
      <c r="C47" s="146" t="s">
        <v>1866</v>
      </c>
      <c r="D47" s="1" t="s">
        <v>1783</v>
      </c>
      <c r="E47" s="1" t="n">
        <v>65.8</v>
      </c>
      <c r="F47" s="1" t="n">
        <v>12</v>
      </c>
      <c r="G47" s="1" t="n">
        <v>0</v>
      </c>
      <c r="H47" s="1" t="n">
        <v>0</v>
      </c>
      <c r="I47" s="1" t="n">
        <v>-181.1</v>
      </c>
      <c r="J47" s="1" t="n">
        <v>110.9</v>
      </c>
      <c r="K47" s="1" t="n">
        <v>30</v>
      </c>
      <c r="L47" s="1" t="n">
        <v>0</v>
      </c>
      <c r="M47" s="1" t="n">
        <v>0</v>
      </c>
      <c r="N47" s="1" t="n">
        <v>16.5</v>
      </c>
    </row>
    <row r="48" customFormat="false" ht="15" hidden="false" customHeight="true" outlineLevel="0" collapsed="false">
      <c r="D48" s="1" t="s">
        <v>122</v>
      </c>
      <c r="E48" s="1" t="n">
        <v>25</v>
      </c>
      <c r="F48" s="1" t="n">
        <v>4.9</v>
      </c>
      <c r="G48" s="1" t="n">
        <v>15</v>
      </c>
      <c r="H48" s="1" t="n">
        <v>0</v>
      </c>
      <c r="I48" s="1" t="n">
        <v>-191</v>
      </c>
      <c r="J48" s="1" t="n">
        <v>98.8</v>
      </c>
      <c r="K48" s="1" t="n">
        <v>30</v>
      </c>
      <c r="L48" s="1" t="n">
        <v>0</v>
      </c>
      <c r="M48" s="1" t="n">
        <v>0</v>
      </c>
      <c r="N48" s="1" t="n">
        <v>17.1</v>
      </c>
    </row>
    <row r="49" customFormat="false" ht="15" hidden="false" customHeight="true" outlineLevel="0" collapsed="false">
      <c r="D49" s="1" t="s">
        <v>1852</v>
      </c>
      <c r="E49" s="1" t="n">
        <v>0</v>
      </c>
      <c r="F49" s="1" t="n">
        <v>0</v>
      </c>
      <c r="G49" s="1" t="n">
        <v>16</v>
      </c>
      <c r="H49" s="1" t="n">
        <v>47.9</v>
      </c>
      <c r="I49" s="1" t="n">
        <v>-179.2</v>
      </c>
      <c r="J49" s="1" t="n">
        <v>67.8</v>
      </c>
      <c r="K49" s="1" t="n">
        <v>10</v>
      </c>
      <c r="L49" s="1" t="n">
        <v>0</v>
      </c>
      <c r="M49" s="1" t="n">
        <v>0</v>
      </c>
      <c r="N49" s="1" t="n">
        <v>0</v>
      </c>
    </row>
    <row r="50" customFormat="false" ht="15" hidden="false" customHeight="true" outlineLevel="0" collapsed="false">
      <c r="D50" s="1" t="s">
        <v>629</v>
      </c>
      <c r="E50" s="1" t="n">
        <v>0</v>
      </c>
      <c r="F50" s="1" t="n">
        <v>0</v>
      </c>
      <c r="G50" s="1" t="n">
        <v>17</v>
      </c>
      <c r="H50" s="1" t="n">
        <v>22.6</v>
      </c>
      <c r="I50" s="1" t="n">
        <v>-217.3</v>
      </c>
      <c r="J50" s="1" t="n">
        <v>78.8</v>
      </c>
      <c r="K50" s="1" t="n">
        <v>30</v>
      </c>
      <c r="L50" s="1" t="n">
        <v>0</v>
      </c>
      <c r="M50" s="1" t="n">
        <v>0</v>
      </c>
      <c r="N50" s="1" t="n">
        <v>0</v>
      </c>
    </row>
    <row r="51" customFormat="false" ht="15" hidden="false" customHeight="true" outlineLevel="0" collapsed="false">
      <c r="D51" s="1" t="s">
        <v>1797</v>
      </c>
      <c r="E51" s="1" t="n">
        <v>0</v>
      </c>
      <c r="F51" s="1" t="n">
        <v>0</v>
      </c>
      <c r="G51" s="1" t="n">
        <v>16</v>
      </c>
      <c r="H51" s="1" t="n">
        <v>12.3</v>
      </c>
      <c r="I51" s="1" t="n">
        <v>-203.9</v>
      </c>
      <c r="J51" s="1" t="n">
        <v>81.2</v>
      </c>
      <c r="K51" s="1" t="n">
        <v>30</v>
      </c>
      <c r="L51" s="1" t="n">
        <v>0</v>
      </c>
      <c r="M51" s="1" t="n">
        <v>0</v>
      </c>
      <c r="N51" s="1" t="n">
        <v>0</v>
      </c>
    </row>
    <row r="53" customFormat="false" ht="15" hidden="false" customHeight="true" outlineLevel="0" collapsed="false">
      <c r="B53" s="146" t="s">
        <v>1867</v>
      </c>
      <c r="C53" s="146" t="s">
        <v>1868</v>
      </c>
      <c r="D53" s="1" t="s">
        <v>1783</v>
      </c>
      <c r="E53" s="1" t="n">
        <v>71.8</v>
      </c>
      <c r="F53" s="1" t="n">
        <v>14</v>
      </c>
      <c r="G53" s="1" t="n">
        <v>0</v>
      </c>
      <c r="H53" s="1" t="n">
        <v>0</v>
      </c>
      <c r="I53" s="1" t="n">
        <v>-165.5</v>
      </c>
      <c r="J53" s="1" t="n">
        <v>103.7</v>
      </c>
      <c r="K53" s="1" t="n">
        <v>22</v>
      </c>
      <c r="L53" s="1" t="n">
        <v>0</v>
      </c>
      <c r="M53" s="1" t="n">
        <v>0</v>
      </c>
      <c r="N53" s="1" t="n">
        <v>16.5</v>
      </c>
    </row>
    <row r="54" customFormat="false" ht="15" hidden="false" customHeight="true" outlineLevel="0" collapsed="false">
      <c r="D54" s="1" t="s">
        <v>122</v>
      </c>
      <c r="E54" s="1" t="n">
        <v>52.9</v>
      </c>
      <c r="F54" s="1" t="n">
        <v>10.3</v>
      </c>
      <c r="G54" s="1" t="n">
        <v>0</v>
      </c>
      <c r="H54" s="1" t="n">
        <v>0</v>
      </c>
      <c r="I54" s="1" t="n">
        <v>-197.3</v>
      </c>
      <c r="J54" s="1" t="n">
        <v>103.2</v>
      </c>
      <c r="K54" s="1" t="n">
        <v>30</v>
      </c>
      <c r="L54" s="1" t="n">
        <v>0</v>
      </c>
      <c r="M54" s="1" t="n">
        <v>0</v>
      </c>
      <c r="N54" s="1" t="n">
        <v>17.1</v>
      </c>
    </row>
    <row r="55" customFormat="false" ht="15" hidden="false" customHeight="true" outlineLevel="0" collapsed="false">
      <c r="D55" s="1" t="s">
        <v>1852</v>
      </c>
      <c r="E55" s="1" t="n">
        <v>10.9</v>
      </c>
      <c r="F55" s="1" t="n">
        <v>2.1</v>
      </c>
      <c r="G55" s="1" t="n">
        <v>8</v>
      </c>
      <c r="H55" s="1" t="n">
        <v>0</v>
      </c>
      <c r="I55" s="1" t="n">
        <v>-160.5</v>
      </c>
      <c r="J55" s="1" t="n">
        <v>76.7</v>
      </c>
      <c r="K55" s="1" t="n">
        <v>10</v>
      </c>
      <c r="L55" s="1" t="n">
        <v>0</v>
      </c>
      <c r="M55" s="1" t="n">
        <v>0</v>
      </c>
      <c r="N55" s="1" t="n">
        <v>10.9</v>
      </c>
    </row>
    <row r="56" customFormat="false" ht="15" hidden="false" customHeight="true" outlineLevel="0" collapsed="false">
      <c r="D56" s="1" t="s">
        <v>629</v>
      </c>
      <c r="E56" s="1" t="n">
        <v>10.5</v>
      </c>
      <c r="F56" s="1" t="n">
        <v>2.1</v>
      </c>
      <c r="G56" s="1" t="n">
        <v>10</v>
      </c>
      <c r="H56" s="1" t="n">
        <v>0</v>
      </c>
      <c r="I56" s="1" t="n">
        <v>-207.9</v>
      </c>
      <c r="J56" s="1" t="n">
        <v>85.7</v>
      </c>
      <c r="K56" s="1" t="n">
        <v>30</v>
      </c>
      <c r="L56" s="1" t="n">
        <v>0</v>
      </c>
      <c r="M56" s="1" t="n">
        <v>0</v>
      </c>
      <c r="N56" s="1" t="n">
        <v>10.5</v>
      </c>
    </row>
    <row r="57" customFormat="false" ht="15" hidden="false" customHeight="true" outlineLevel="0" collapsed="false">
      <c r="D57" s="1" t="s">
        <v>1797</v>
      </c>
      <c r="E57" s="1" t="n">
        <v>21.2</v>
      </c>
      <c r="F57" s="1" t="n">
        <v>4.2</v>
      </c>
      <c r="G57" s="1" t="n">
        <v>9</v>
      </c>
      <c r="H57" s="1" t="n">
        <v>0</v>
      </c>
      <c r="I57" s="1" t="n">
        <v>-204.4</v>
      </c>
      <c r="J57" s="1" t="n">
        <v>90.7</v>
      </c>
      <c r="K57" s="1" t="n">
        <v>30</v>
      </c>
      <c r="L57" s="1" t="n">
        <v>0</v>
      </c>
      <c r="M57" s="1" t="n">
        <v>0</v>
      </c>
      <c r="N57" s="1" t="n">
        <v>19.5</v>
      </c>
    </row>
    <row r="59" customFormat="false" ht="15" hidden="false" customHeight="true" outlineLevel="0" collapsed="false">
      <c r="B59" s="146" t="s">
        <v>1869</v>
      </c>
      <c r="C59" s="146" t="s">
        <v>1870</v>
      </c>
      <c r="D59" s="1" t="s">
        <v>1783</v>
      </c>
      <c r="E59" s="1" t="n">
        <v>71.6</v>
      </c>
      <c r="F59" s="1" t="n">
        <v>13.5</v>
      </c>
      <c r="G59" s="1" t="n">
        <v>0</v>
      </c>
      <c r="H59" s="1" t="n">
        <v>0</v>
      </c>
      <c r="I59" s="1" t="n">
        <v>-176.3</v>
      </c>
      <c r="J59" s="1" t="n">
        <v>109.9</v>
      </c>
      <c r="K59" s="1" t="n">
        <v>30</v>
      </c>
      <c r="L59" s="1" t="n">
        <v>0</v>
      </c>
      <c r="M59" s="1" t="n">
        <v>0</v>
      </c>
      <c r="N59" s="1" t="n">
        <v>13.8</v>
      </c>
    </row>
    <row r="60" customFormat="false" ht="15" hidden="false" customHeight="true" outlineLevel="0" collapsed="false">
      <c r="D60" s="1" t="s">
        <v>122</v>
      </c>
      <c r="E60" s="1" t="n">
        <v>44.9</v>
      </c>
      <c r="F60" s="1" t="n">
        <v>8.8</v>
      </c>
      <c r="G60" s="1" t="n">
        <v>6</v>
      </c>
      <c r="H60" s="1" t="n">
        <v>0</v>
      </c>
      <c r="I60" s="1" t="n">
        <v>-199.7</v>
      </c>
      <c r="J60" s="1" t="n">
        <v>100.3</v>
      </c>
      <c r="K60" s="1" t="n">
        <v>30</v>
      </c>
      <c r="L60" s="1" t="n">
        <v>0</v>
      </c>
      <c r="M60" s="1" t="n">
        <v>0</v>
      </c>
      <c r="N60" s="1" t="n">
        <v>14.8</v>
      </c>
    </row>
    <row r="61" customFormat="false" ht="15" hidden="false" customHeight="true" outlineLevel="0" collapsed="false">
      <c r="D61" s="1" t="s">
        <v>1852</v>
      </c>
      <c r="E61" s="1" t="n">
        <v>0</v>
      </c>
      <c r="F61" s="1" t="n">
        <v>0</v>
      </c>
      <c r="G61" s="1" t="n">
        <v>9</v>
      </c>
      <c r="H61" s="1" t="n">
        <v>1.5</v>
      </c>
      <c r="I61" s="1" t="n">
        <v>-160.9</v>
      </c>
      <c r="J61" s="1" t="n">
        <v>72.8</v>
      </c>
      <c r="K61" s="1" t="n">
        <v>10</v>
      </c>
      <c r="L61" s="1" t="n">
        <v>0</v>
      </c>
      <c r="M61" s="1" t="n">
        <v>0</v>
      </c>
      <c r="N61" s="1" t="n">
        <v>0</v>
      </c>
    </row>
    <row r="62" customFormat="false" ht="15" hidden="false" customHeight="true" outlineLevel="0" collapsed="false">
      <c r="D62" s="1" t="s">
        <v>629</v>
      </c>
      <c r="E62" s="1" t="n">
        <v>2.9</v>
      </c>
      <c r="F62" s="1" t="n">
        <v>0.6</v>
      </c>
      <c r="G62" s="1" t="n">
        <v>11</v>
      </c>
      <c r="H62" s="1" t="n">
        <v>0</v>
      </c>
      <c r="I62" s="1" t="n">
        <v>-207</v>
      </c>
      <c r="J62" s="1" t="n">
        <v>83</v>
      </c>
      <c r="K62" s="1" t="n">
        <v>30</v>
      </c>
      <c r="L62" s="1" t="n">
        <v>0</v>
      </c>
      <c r="M62" s="1" t="n">
        <v>0</v>
      </c>
      <c r="N62" s="1" t="n">
        <v>2.9</v>
      </c>
    </row>
    <row r="63" customFormat="false" ht="15" hidden="false" customHeight="true" outlineLevel="0" collapsed="false">
      <c r="D63" s="1" t="s">
        <v>1797</v>
      </c>
      <c r="E63" s="1" t="n">
        <v>14.3</v>
      </c>
      <c r="F63" s="1" t="n">
        <v>2.8</v>
      </c>
      <c r="G63" s="1" t="n">
        <v>10</v>
      </c>
      <c r="H63" s="1" t="n">
        <v>0</v>
      </c>
      <c r="I63" s="1" t="n">
        <v>-203.5</v>
      </c>
      <c r="J63" s="1" t="n">
        <v>87.9</v>
      </c>
      <c r="K63" s="1" t="n">
        <v>30</v>
      </c>
      <c r="L63" s="1" t="n">
        <v>0</v>
      </c>
      <c r="M63" s="1" t="n">
        <v>0</v>
      </c>
      <c r="N63" s="1" t="n">
        <v>14.3</v>
      </c>
    </row>
    <row r="65" customFormat="false" ht="15" hidden="false" customHeight="true" outlineLevel="0" collapsed="false">
      <c r="B65" s="146" t="s">
        <v>1871</v>
      </c>
      <c r="C65" s="146" t="s">
        <v>1872</v>
      </c>
      <c r="D65" s="1" t="s">
        <v>1783</v>
      </c>
      <c r="E65" s="1" t="n">
        <v>94.2</v>
      </c>
      <c r="F65" s="1" t="n">
        <v>10.2</v>
      </c>
      <c r="G65" s="1" t="n">
        <v>0</v>
      </c>
      <c r="H65" s="1" t="n">
        <v>0</v>
      </c>
      <c r="I65" s="1" t="n">
        <v>-222</v>
      </c>
      <c r="J65" s="1" t="n">
        <v>106.1</v>
      </c>
      <c r="K65" s="1" t="n">
        <v>30</v>
      </c>
      <c r="L65" s="1" t="n">
        <v>0</v>
      </c>
      <c r="M65" s="1" t="n">
        <v>0</v>
      </c>
      <c r="N65" s="1" t="n">
        <v>10.1</v>
      </c>
    </row>
    <row r="66" customFormat="false" ht="15" hidden="false" customHeight="true" outlineLevel="0" collapsed="false">
      <c r="D66" s="1" t="s">
        <v>122</v>
      </c>
      <c r="E66" s="1" t="n">
        <v>31.8</v>
      </c>
      <c r="F66" s="1" t="n">
        <v>0</v>
      </c>
      <c r="G66" s="1" t="n">
        <v>16</v>
      </c>
      <c r="H66" s="1" t="n">
        <v>0</v>
      </c>
      <c r="I66" s="1" t="n">
        <v>-217</v>
      </c>
      <c r="J66" s="1" t="n">
        <v>88</v>
      </c>
      <c r="K66" s="1" t="n">
        <v>30</v>
      </c>
      <c r="L66" s="1" t="n">
        <v>0</v>
      </c>
      <c r="M66" s="1" t="n">
        <v>1.56</v>
      </c>
      <c r="N66" s="1" t="n">
        <v>0</v>
      </c>
    </row>
    <row r="67" customFormat="false" ht="15" hidden="false" customHeight="true" outlineLevel="0" collapsed="false">
      <c r="D67" s="1" t="s">
        <v>1852</v>
      </c>
      <c r="E67" s="1" t="n">
        <v>0</v>
      </c>
      <c r="F67" s="1" t="n">
        <v>0</v>
      </c>
      <c r="G67" s="1" t="n">
        <v>16</v>
      </c>
      <c r="H67" s="1" t="n">
        <v>31.4</v>
      </c>
      <c r="I67" s="1" t="n">
        <v>-191.5</v>
      </c>
      <c r="J67" s="1" t="n">
        <v>65.7</v>
      </c>
      <c r="K67" s="1" t="n">
        <v>10</v>
      </c>
      <c r="L67" s="1" t="n">
        <v>0</v>
      </c>
      <c r="M67" s="1" t="n">
        <v>30.72</v>
      </c>
      <c r="N67" s="1" t="n">
        <v>0</v>
      </c>
    </row>
    <row r="68" customFormat="false" ht="15" hidden="false" customHeight="true" outlineLevel="0" collapsed="false">
      <c r="D68" s="1" t="s">
        <v>629</v>
      </c>
      <c r="E68" s="1" t="n">
        <v>0</v>
      </c>
      <c r="F68" s="1" t="n">
        <v>0</v>
      </c>
      <c r="G68" s="1" t="n">
        <v>12</v>
      </c>
      <c r="H68" s="1" t="n">
        <v>1.6</v>
      </c>
      <c r="I68" s="1" t="n">
        <v>-212</v>
      </c>
      <c r="J68" s="1" t="n">
        <v>80</v>
      </c>
      <c r="K68" s="1" t="n">
        <v>30</v>
      </c>
      <c r="L68" s="1" t="n">
        <v>0</v>
      </c>
      <c r="M68" s="1" t="n">
        <v>0</v>
      </c>
      <c r="N68" s="1" t="n">
        <v>0</v>
      </c>
    </row>
    <row r="69" customFormat="false" ht="15" hidden="false" customHeight="true" outlineLevel="0" collapsed="false">
      <c r="D69" s="1" t="s">
        <v>1797</v>
      </c>
      <c r="E69" s="1" t="n">
        <v>9.5</v>
      </c>
      <c r="F69" s="1" t="n">
        <v>1.7</v>
      </c>
      <c r="G69" s="1" t="n">
        <v>11</v>
      </c>
      <c r="H69" s="1" t="n">
        <v>0</v>
      </c>
      <c r="I69" s="1" t="n">
        <v>-207</v>
      </c>
      <c r="J69" s="1" t="n">
        <v>84.6</v>
      </c>
      <c r="K69" s="1" t="n">
        <v>30</v>
      </c>
      <c r="L69" s="1" t="n">
        <v>0</v>
      </c>
      <c r="M69" s="1" t="n">
        <v>0</v>
      </c>
      <c r="N69" s="1" t="n">
        <v>8.4</v>
      </c>
    </row>
    <row r="71" customFormat="false" ht="15" hidden="false" customHeight="true" outlineLevel="0" collapsed="false">
      <c r="B71" s="146" t="s">
        <v>1873</v>
      </c>
      <c r="C71" s="146" t="s">
        <v>1874</v>
      </c>
      <c r="D71" s="1" t="s">
        <v>1783</v>
      </c>
      <c r="E71" s="1" t="n">
        <v>58</v>
      </c>
      <c r="F71" s="1" t="n">
        <v>11.3</v>
      </c>
      <c r="G71" s="1" t="n">
        <v>0</v>
      </c>
      <c r="H71" s="1" t="n">
        <v>0</v>
      </c>
      <c r="I71" s="1" t="n">
        <v>-188.3</v>
      </c>
      <c r="J71" s="1" t="n">
        <v>103.5</v>
      </c>
      <c r="K71" s="1" t="n">
        <v>30</v>
      </c>
      <c r="L71" s="1" t="n">
        <v>0</v>
      </c>
      <c r="M71" s="1" t="n">
        <v>0</v>
      </c>
      <c r="N71" s="1" t="n">
        <v>16.4</v>
      </c>
    </row>
    <row r="72" customFormat="false" ht="15" hidden="false" customHeight="true" outlineLevel="0" collapsed="false">
      <c r="D72" s="1" t="s">
        <v>122</v>
      </c>
      <c r="E72" s="1" t="n">
        <v>28.6</v>
      </c>
      <c r="F72" s="1" t="n">
        <v>5.6</v>
      </c>
      <c r="G72" s="1" t="n">
        <v>9</v>
      </c>
      <c r="H72" s="1" t="n">
        <v>0</v>
      </c>
      <c r="I72" s="1" t="n">
        <v>-206.7</v>
      </c>
      <c r="J72" s="1" t="n">
        <v>94.2</v>
      </c>
      <c r="K72" s="1" t="n">
        <v>30</v>
      </c>
      <c r="L72" s="1" t="n">
        <v>0</v>
      </c>
      <c r="M72" s="1" t="n">
        <v>0</v>
      </c>
      <c r="N72" s="1" t="n">
        <v>17</v>
      </c>
    </row>
    <row r="73" customFormat="false" ht="15" hidden="false" customHeight="true" outlineLevel="0" collapsed="false">
      <c r="D73" s="1" t="s">
        <v>1852</v>
      </c>
      <c r="E73" s="1" t="n">
        <v>0</v>
      </c>
      <c r="F73" s="1" t="n">
        <v>0</v>
      </c>
      <c r="G73" s="1" t="n">
        <v>11</v>
      </c>
      <c r="H73" s="1" t="n">
        <v>25.7</v>
      </c>
      <c r="I73" s="1" t="n">
        <v>-185.3</v>
      </c>
      <c r="J73" s="1" t="n">
        <v>67.2</v>
      </c>
      <c r="K73" s="1" t="n">
        <v>10</v>
      </c>
      <c r="L73" s="1" t="n">
        <v>0</v>
      </c>
      <c r="M73" s="1" t="n">
        <v>0</v>
      </c>
      <c r="N73" s="1" t="n">
        <v>0</v>
      </c>
    </row>
    <row r="74" customFormat="false" ht="15" hidden="false" customHeight="true" outlineLevel="0" collapsed="false">
      <c r="D74" s="1" t="s">
        <v>629</v>
      </c>
      <c r="E74" s="1" t="n">
        <v>0</v>
      </c>
      <c r="F74" s="1" t="n">
        <v>0</v>
      </c>
      <c r="G74" s="1" t="n">
        <v>12</v>
      </c>
      <c r="H74" s="1" t="n">
        <v>6.9</v>
      </c>
      <c r="I74" s="1" t="n">
        <v>-217.4</v>
      </c>
      <c r="J74" s="1" t="n">
        <v>79</v>
      </c>
      <c r="K74" s="1" t="n">
        <v>30</v>
      </c>
      <c r="L74" s="1" t="n">
        <v>0</v>
      </c>
      <c r="M74" s="1" t="n">
        <v>0</v>
      </c>
      <c r="N74" s="1" t="n">
        <v>0</v>
      </c>
    </row>
    <row r="75" customFormat="false" ht="15" hidden="false" customHeight="true" outlineLevel="0" collapsed="false">
      <c r="D75" s="1" t="s">
        <v>1797</v>
      </c>
      <c r="E75" s="1" t="n">
        <v>4</v>
      </c>
      <c r="F75" s="1" t="n">
        <v>0.8</v>
      </c>
      <c r="G75" s="1" t="n">
        <v>11</v>
      </c>
      <c r="H75" s="1" t="n">
        <v>0</v>
      </c>
      <c r="I75" s="1" t="n">
        <v>-207</v>
      </c>
      <c r="J75" s="1" t="n">
        <v>83.4</v>
      </c>
      <c r="K75" s="1" t="n">
        <v>30</v>
      </c>
      <c r="L75" s="1" t="n">
        <v>0</v>
      </c>
      <c r="M75" s="1" t="n">
        <v>0</v>
      </c>
      <c r="N75" s="1" t="n">
        <v>4</v>
      </c>
    </row>
    <row r="77" customFormat="false" ht="15" hidden="false" customHeight="true" outlineLevel="0" collapsed="false">
      <c r="B77" s="146" t="s">
        <v>1875</v>
      </c>
      <c r="C77" s="146" t="s">
        <v>1876</v>
      </c>
      <c r="D77" s="1" t="s">
        <v>1783</v>
      </c>
      <c r="E77" s="1" t="n">
        <v>76.2</v>
      </c>
      <c r="F77" s="1" t="n">
        <v>14.9</v>
      </c>
      <c r="G77" s="1" t="n">
        <v>0</v>
      </c>
      <c r="H77" s="1" t="n">
        <v>0</v>
      </c>
      <c r="I77" s="1" t="n">
        <v>-158.5</v>
      </c>
      <c r="J77" s="1" t="n">
        <v>92.1</v>
      </c>
      <c r="K77" s="1" t="n">
        <v>10</v>
      </c>
      <c r="L77" s="1" t="n">
        <v>0</v>
      </c>
      <c r="M77" s="1" t="n">
        <v>0</v>
      </c>
      <c r="N77" s="1" t="n">
        <v>16.5</v>
      </c>
    </row>
    <row r="78" customFormat="false" ht="15" hidden="false" customHeight="true" outlineLevel="0" collapsed="false">
      <c r="D78" s="1" t="s">
        <v>122</v>
      </c>
      <c r="E78" s="1" t="n">
        <v>62.3</v>
      </c>
      <c r="F78" s="1" t="n">
        <v>12.1</v>
      </c>
      <c r="G78" s="1" t="n">
        <v>0</v>
      </c>
      <c r="H78" s="1" t="n">
        <v>0</v>
      </c>
      <c r="I78" s="1" t="n">
        <v>-199.4</v>
      </c>
      <c r="J78" s="1" t="n">
        <v>104.6</v>
      </c>
      <c r="K78" s="1" t="n">
        <v>30</v>
      </c>
      <c r="L78" s="1" t="n">
        <v>0</v>
      </c>
      <c r="M78" s="1" t="n">
        <v>0</v>
      </c>
      <c r="N78" s="1" t="n">
        <v>17.1</v>
      </c>
    </row>
    <row r="79" customFormat="false" ht="15" hidden="false" customHeight="true" outlineLevel="0" collapsed="false">
      <c r="D79" s="1" t="s">
        <v>1852</v>
      </c>
      <c r="E79" s="1" t="n">
        <v>15.3</v>
      </c>
      <c r="F79" s="1" t="n">
        <v>3</v>
      </c>
      <c r="G79" s="1" t="n">
        <v>7</v>
      </c>
      <c r="H79" s="1" t="n">
        <v>0</v>
      </c>
      <c r="I79" s="1" t="n">
        <v>-159</v>
      </c>
      <c r="J79" s="1" t="n">
        <v>77.5</v>
      </c>
      <c r="K79" s="1" t="n">
        <v>10</v>
      </c>
      <c r="L79" s="1" t="n">
        <v>0</v>
      </c>
      <c r="M79" s="1" t="n">
        <v>0</v>
      </c>
      <c r="N79" s="1" t="n">
        <v>15.3</v>
      </c>
    </row>
    <row r="80" customFormat="false" ht="15" hidden="false" customHeight="true" outlineLevel="0" collapsed="false">
      <c r="D80" s="1" t="s">
        <v>629</v>
      </c>
      <c r="E80" s="1" t="n">
        <v>15.1</v>
      </c>
      <c r="F80" s="1" t="n">
        <v>3</v>
      </c>
      <c r="G80" s="1" t="n">
        <v>11</v>
      </c>
      <c r="H80" s="1" t="n">
        <v>0</v>
      </c>
      <c r="I80" s="1" t="n">
        <v>-206.5</v>
      </c>
      <c r="J80" s="1" t="n">
        <v>87</v>
      </c>
      <c r="K80" s="1" t="n">
        <v>30</v>
      </c>
      <c r="L80" s="1" t="n">
        <v>0</v>
      </c>
      <c r="M80" s="1" t="n">
        <v>0</v>
      </c>
      <c r="N80" s="1" t="n">
        <v>15.1</v>
      </c>
    </row>
    <row r="81" customFormat="false" ht="15" hidden="false" customHeight="true" outlineLevel="0" collapsed="false">
      <c r="D81" s="1" t="s">
        <v>1797</v>
      </c>
      <c r="E81" s="1" t="n">
        <v>32.8</v>
      </c>
      <c r="F81" s="1" t="n">
        <v>6.4</v>
      </c>
      <c r="G81" s="1" t="n">
        <v>8</v>
      </c>
      <c r="H81" s="1" t="n">
        <v>0</v>
      </c>
      <c r="I81" s="1" t="n">
        <v>-206.4</v>
      </c>
      <c r="J81" s="1" t="n">
        <v>92.8</v>
      </c>
      <c r="K81" s="1" t="n">
        <v>30</v>
      </c>
      <c r="L81" s="1" t="n">
        <v>0</v>
      </c>
      <c r="M81" s="1" t="n">
        <v>0</v>
      </c>
      <c r="N81" s="1" t="n">
        <v>19.5</v>
      </c>
    </row>
    <row r="83" customFormat="false" ht="15" hidden="false" customHeight="true" outlineLevel="0" collapsed="false">
      <c r="B83" s="146" t="s">
        <v>1877</v>
      </c>
      <c r="C83" s="146" t="s">
        <v>1878</v>
      </c>
      <c r="D83" s="1" t="s">
        <v>1783</v>
      </c>
      <c r="E83" s="1" t="n">
        <v>58.3</v>
      </c>
      <c r="F83" s="1" t="n">
        <v>11.4</v>
      </c>
      <c r="G83" s="1" t="n">
        <v>0</v>
      </c>
      <c r="H83" s="1" t="n">
        <v>0</v>
      </c>
      <c r="I83" s="1" t="n">
        <v>-182.5</v>
      </c>
      <c r="J83" s="1" t="n">
        <v>102.5</v>
      </c>
      <c r="K83" s="1" t="n">
        <v>30</v>
      </c>
      <c r="L83" s="1" t="n">
        <v>0</v>
      </c>
      <c r="M83" s="1" t="n">
        <v>0</v>
      </c>
      <c r="N83" s="1" t="n">
        <v>16.5</v>
      </c>
    </row>
    <row r="84" customFormat="false" ht="15" hidden="false" customHeight="true" outlineLevel="0" collapsed="false">
      <c r="D84" s="1" t="s">
        <v>122</v>
      </c>
      <c r="E84" s="1" t="n">
        <v>31.8</v>
      </c>
      <c r="F84" s="1" t="n">
        <v>6.2</v>
      </c>
      <c r="G84" s="1" t="n">
        <v>7</v>
      </c>
      <c r="H84" s="1" t="n">
        <v>0</v>
      </c>
      <c r="I84" s="1" t="n">
        <v>-197.8</v>
      </c>
      <c r="J84" s="1" t="n">
        <v>93.7</v>
      </c>
      <c r="K84" s="1" t="n">
        <v>30</v>
      </c>
      <c r="L84" s="1" t="n">
        <v>0</v>
      </c>
      <c r="M84" s="1" t="n">
        <v>0</v>
      </c>
      <c r="N84" s="1" t="n">
        <v>17.1</v>
      </c>
    </row>
    <row r="85" customFormat="false" ht="15" hidden="false" customHeight="true" outlineLevel="0" collapsed="false">
      <c r="D85" s="1" t="s">
        <v>1852</v>
      </c>
      <c r="E85" s="1" t="n">
        <v>0</v>
      </c>
      <c r="F85" s="1" t="n">
        <v>0</v>
      </c>
      <c r="G85" s="1" t="n">
        <v>8</v>
      </c>
      <c r="H85" s="1" t="n">
        <v>8.1</v>
      </c>
      <c r="I85" s="1" t="n">
        <v>-169.4</v>
      </c>
      <c r="J85" s="1" t="n">
        <v>65</v>
      </c>
      <c r="K85" s="1" t="n">
        <v>10</v>
      </c>
      <c r="L85" s="1" t="n">
        <v>0</v>
      </c>
      <c r="M85" s="1" t="n">
        <v>0</v>
      </c>
      <c r="N85" s="1" t="n">
        <v>0</v>
      </c>
    </row>
    <row r="86" customFormat="false" ht="15" hidden="false" customHeight="true" outlineLevel="0" collapsed="false">
      <c r="D86" s="1" t="s">
        <v>629</v>
      </c>
      <c r="E86" s="1" t="n">
        <v>0</v>
      </c>
      <c r="F86" s="1" t="n">
        <v>0</v>
      </c>
      <c r="G86" s="1" t="n">
        <v>11</v>
      </c>
      <c r="H86" s="1" t="n">
        <v>6</v>
      </c>
      <c r="I86" s="1" t="n">
        <v>-211.5</v>
      </c>
      <c r="J86" s="1" t="n">
        <v>75</v>
      </c>
      <c r="K86" s="1" t="n">
        <v>30</v>
      </c>
      <c r="L86" s="1" t="n">
        <v>0</v>
      </c>
      <c r="M86" s="1" t="n">
        <v>0</v>
      </c>
      <c r="N86" s="1" t="n">
        <v>0</v>
      </c>
    </row>
    <row r="87" customFormat="false" ht="15" hidden="false" customHeight="true" outlineLevel="0" collapsed="false">
      <c r="D87" s="1" t="s">
        <v>1797</v>
      </c>
      <c r="E87" s="1" t="n">
        <v>2.1</v>
      </c>
      <c r="F87" s="1" t="n">
        <v>0.4</v>
      </c>
      <c r="G87" s="1" t="n">
        <v>10</v>
      </c>
      <c r="H87" s="1" t="n">
        <v>0</v>
      </c>
      <c r="I87" s="1" t="n">
        <v>-201.9</v>
      </c>
      <c r="J87" s="1" t="n">
        <v>78.1</v>
      </c>
      <c r="K87" s="1" t="n">
        <v>30</v>
      </c>
      <c r="L87" s="1" t="n">
        <v>0</v>
      </c>
      <c r="M87" s="1" t="n">
        <v>0</v>
      </c>
      <c r="N87" s="1" t="n">
        <v>2.1</v>
      </c>
    </row>
  </sheetData>
  <mergeCells count="1">
    <mergeCell ref="B2:N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48"/>
    <col collapsed="false" customWidth="true" hidden="false" outlineLevel="0" max="3" min="3" style="1" width="12"/>
    <col collapsed="false" customWidth="true" hidden="false" outlineLevel="0" max="4" min="4" style="1" width="8"/>
    <col collapsed="false" customWidth="true" hidden="false" outlineLevel="0" max="6" min="5" style="1" width="9"/>
    <col collapsed="false" customWidth="true" hidden="false" outlineLevel="0" max="7" min="7" style="1" width="18"/>
    <col collapsed="false" customWidth="true" hidden="false" outlineLevel="0" max="8" min="8" style="1" width="12"/>
    <col collapsed="false" customWidth="true" hidden="false" outlineLevel="0" max="9" min="9" style="1" width="10"/>
    <col collapsed="false" customWidth="true" hidden="false" outlineLevel="0" max="10" min="10" style="1" width="14"/>
  </cols>
  <sheetData>
    <row r="2" customFormat="false" ht="15.75" hidden="false" customHeight="true" outlineLevel="0" collapsed="false">
      <c r="B2" s="219" t="s">
        <v>1879</v>
      </c>
    </row>
    <row r="3" customFormat="false" ht="15" hidden="false" customHeight="true" outlineLevel="0" collapsed="false">
      <c r="B3" s="1" t="s">
        <v>1880</v>
      </c>
    </row>
    <row r="5" customFormat="false" ht="41.25" hidden="false" customHeight="true" outlineLevel="0" collapsed="false">
      <c r="B5" s="220" t="s">
        <v>1881</v>
      </c>
      <c r="C5" s="220" t="s">
        <v>1882</v>
      </c>
      <c r="D5" s="220" t="s">
        <v>1883</v>
      </c>
      <c r="E5" s="220" t="s">
        <v>1884</v>
      </c>
      <c r="F5" s="220" t="s">
        <v>1885</v>
      </c>
      <c r="G5" s="220" t="s">
        <v>1886</v>
      </c>
      <c r="H5" s="220" t="s">
        <v>1887</v>
      </c>
    </row>
    <row r="6" customFormat="false" ht="15" hidden="false" customHeight="true" outlineLevel="0" collapsed="false">
      <c r="B6" s="1" t="s">
        <v>1888</v>
      </c>
      <c r="C6" s="1" t="n">
        <v>81257</v>
      </c>
      <c r="D6" s="1" t="n">
        <v>1800000</v>
      </c>
      <c r="E6" s="1" t="n">
        <f aca="false">D6*C6/1000000000000</f>
        <v>0.1462626</v>
      </c>
      <c r="F6" s="1" t="s">
        <v>1889</v>
      </c>
      <c r="G6" s="1" t="n">
        <f aca="false">E6*20</f>
        <v>2.925252</v>
      </c>
      <c r="H6" s="1" t="s">
        <v>1890</v>
      </c>
    </row>
    <row r="7" customFormat="false" ht="15" hidden="false" customHeight="true" outlineLevel="0" collapsed="false">
      <c r="B7" s="1" t="s">
        <v>1891</v>
      </c>
      <c r="C7" s="1" t="s">
        <v>1892</v>
      </c>
      <c r="E7" s="1" t="n">
        <v>0.19</v>
      </c>
      <c r="F7" s="1" t="s">
        <v>1893</v>
      </c>
      <c r="G7" s="1" t="n">
        <f aca="false">E7*20</f>
        <v>3.8</v>
      </c>
      <c r="H7" s="1" t="s">
        <v>1894</v>
      </c>
    </row>
    <row r="8" customFormat="false" ht="15" hidden="false" customHeight="true" outlineLevel="0" collapsed="false">
      <c r="B8" s="147" t="s">
        <v>1895</v>
      </c>
      <c r="E8" s="1" t="n">
        <f aca="false">E6+E7</f>
        <v>0.3362626</v>
      </c>
      <c r="G8" s="1" t="n">
        <f aca="false">G6+G7</f>
        <v>6.725252</v>
      </c>
    </row>
    <row r="10" customFormat="false" ht="15" hidden="false" customHeight="true" outlineLevel="0" collapsed="false">
      <c r="B10" s="1" t="s">
        <v>1896</v>
      </c>
    </row>
    <row r="11" customFormat="false" ht="15" hidden="false" customHeight="true" outlineLevel="0" collapsed="false">
      <c r="B11" s="1" t="s">
        <v>1897</v>
      </c>
    </row>
    <row r="12" customFormat="false" ht="15" hidden="false" customHeight="true" outlineLevel="0" collapsed="false">
      <c r="B12" s="1" t="s">
        <v>1898</v>
      </c>
    </row>
    <row r="13" customFormat="false" ht="15" hidden="false" customHeight="true" outlineLevel="0" collapsed="false">
      <c r="B13" s="1" t="s">
        <v>1899</v>
      </c>
      <c r="E13" s="1" t="n">
        <f aca="false">01_Supuestos!$I$149</f>
        <v>0</v>
      </c>
    </row>
    <row r="15" customFormat="false" ht="15" hidden="false" customHeight="true" outlineLevel="0" collapsed="false">
      <c r="B15" s="147" t="s">
        <v>1900</v>
      </c>
    </row>
    <row r="16" customFormat="false" ht="15" hidden="false" customHeight="true" outlineLevel="0" collapsed="false">
      <c r="B16" s="1" t="s">
        <v>1901</v>
      </c>
      <c r="E16" s="1" t="n">
        <f aca="false">C6/12*240</f>
        <v>1625140</v>
      </c>
    </row>
    <row r="17" customFormat="false" ht="15" hidden="false" customHeight="true" outlineLevel="0" collapsed="false">
      <c r="B17" s="1" t="s">
        <v>1902</v>
      </c>
      <c r="E17" s="91" t="n">
        <v>970200</v>
      </c>
    </row>
    <row r="18" customFormat="false" ht="15" hidden="false" customHeight="true" outlineLevel="0" collapsed="false">
      <c r="B18" s="1" t="s">
        <v>1903</v>
      </c>
      <c r="E18" s="1" t="n">
        <f aca="false">E17/20</f>
        <v>48510</v>
      </c>
    </row>
    <row r="19" customFormat="false" ht="15" hidden="false" customHeight="true" outlineLevel="0" collapsed="false">
      <c r="E19" s="91"/>
    </row>
    <row r="20" customFormat="false" ht="15" hidden="false" customHeight="true" outlineLevel="0" collapsed="false">
      <c r="B20" s="147" t="s">
        <v>1904</v>
      </c>
      <c r="E20" s="1" t="n">
        <f aca="false">SUM(H30:H36)*1000000000000/SUM(C30:C36)</f>
        <v>3010316.32791992</v>
      </c>
    </row>
    <row r="21" customFormat="false" ht="15" hidden="false" customHeight="true" outlineLevel="0" collapsed="false"/>
    <row r="22" customFormat="false" ht="15" hidden="false" customHeight="true" outlineLevel="0" collapsed="false"/>
    <row r="23" customFormat="false" ht="15" hidden="false" customHeight="true" outlineLevel="0" collapsed="false"/>
    <row r="24" customFormat="false" ht="15" hidden="false" customHeight="true" outlineLevel="0" collapsed="false"/>
    <row r="25" customFormat="false" ht="15" hidden="false" customHeight="true" outlineLevel="0" collapsed="false"/>
    <row r="26" customFormat="false" ht="15" hidden="false" customHeight="true" outlineLevel="0" collapsed="false"/>
    <row r="28" customFormat="false" ht="15" hidden="false" customHeight="true" outlineLevel="0" collapsed="false">
      <c r="B28" s="147" t="s">
        <v>1905</v>
      </c>
    </row>
    <row r="29" customFormat="false" ht="189" hidden="false" customHeight="true" outlineLevel="0" collapsed="false">
      <c r="B29" s="220" t="s">
        <v>1906</v>
      </c>
      <c r="C29" s="220" t="s">
        <v>1907</v>
      </c>
      <c r="D29" s="220" t="s">
        <v>1908</v>
      </c>
      <c r="E29" s="220" t="s">
        <v>1909</v>
      </c>
      <c r="F29" s="220" t="s">
        <v>1910</v>
      </c>
      <c r="G29" s="220" t="s">
        <v>1911</v>
      </c>
      <c r="H29" s="220" t="s">
        <v>1912</v>
      </c>
      <c r="I29" s="220" t="s">
        <v>1913</v>
      </c>
      <c r="J29" s="220" t="s">
        <v>1914</v>
      </c>
    </row>
    <row r="30" customFormat="false" ht="15" hidden="false" customHeight="true" outlineLevel="0" collapsed="false">
      <c r="B30" s="1" t="s">
        <v>1915</v>
      </c>
      <c r="C30" s="221" t="n">
        <f aca="false">01_Supuestos!$I$55</f>
        <v>176536</v>
      </c>
      <c r="D30" s="1" t="n">
        <v>1</v>
      </c>
      <c r="E30" s="91" t="n">
        <v>0.33</v>
      </c>
      <c r="F30" s="91" t="n">
        <v>2.5</v>
      </c>
      <c r="G30" s="1" t="n">
        <f aca="false">$E$16+E30*F30*$E$17</f>
        <v>2425555</v>
      </c>
      <c r="H30" s="1" t="n">
        <f aca="false">C30*G30/1000000000000</f>
        <v>0.42819777748</v>
      </c>
      <c r="I30" s="91" t="s">
        <v>352</v>
      </c>
      <c r="J30" s="1" t="n">
        <f aca="false">IF(I30="Sí",$C$6+E30*F30*$E$18,0)</f>
        <v>0</v>
      </c>
    </row>
    <row r="31" customFormat="false" ht="15" hidden="false" customHeight="true" outlineLevel="0" collapsed="false">
      <c r="B31" s="1" t="s">
        <v>1916</v>
      </c>
      <c r="C31" s="221" t="n">
        <f aca="false">01_Supuestos!$I$57</f>
        <v>200000</v>
      </c>
      <c r="D31" s="1" t="n">
        <v>3</v>
      </c>
      <c r="E31" s="91" t="n">
        <v>0.7</v>
      </c>
      <c r="F31" s="91" t="n">
        <v>2.3</v>
      </c>
      <c r="G31" s="1" t="n">
        <f aca="false">$E$16+E31*F31*$E$17</f>
        <v>3187162</v>
      </c>
      <c r="H31" s="1" t="n">
        <f aca="false">C31*G31/1000000000000</f>
        <v>0.6374324</v>
      </c>
      <c r="I31" s="91" t="s">
        <v>352</v>
      </c>
      <c r="J31" s="1" t="n">
        <f aca="false">IF(I31="Sí",$C$6+E31*F31*$E$18,0)</f>
        <v>0</v>
      </c>
    </row>
    <row r="32" customFormat="false" ht="15" hidden="false" customHeight="true" outlineLevel="0" collapsed="false">
      <c r="B32" s="1" t="s">
        <v>1917</v>
      </c>
      <c r="C32" s="221" t="n">
        <f aca="false">01_Supuestos!$I$59</f>
        <v>100000</v>
      </c>
      <c r="D32" s="1" t="n">
        <v>3</v>
      </c>
      <c r="E32" s="91" t="n">
        <v>0.5</v>
      </c>
      <c r="F32" s="91" t="n">
        <v>2.8</v>
      </c>
      <c r="G32" s="1" t="n">
        <f aca="false">$E$16+E32*F32*$E$17</f>
        <v>2983420</v>
      </c>
      <c r="H32" s="1" t="n">
        <f aca="false">C32*G32/1000000000000</f>
        <v>0.298342</v>
      </c>
      <c r="I32" s="91" t="s">
        <v>352</v>
      </c>
      <c r="J32" s="1" t="n">
        <f aca="false">IF(I32="Sí",$C$6+E32*F32*$E$18,0)</f>
        <v>0</v>
      </c>
    </row>
    <row r="33" customFormat="false" ht="15" hidden="false" customHeight="true" outlineLevel="0" collapsed="false">
      <c r="B33" s="1" t="s">
        <v>1918</v>
      </c>
      <c r="C33" s="221" t="n">
        <f aca="false">01_Supuestos!$I$65</f>
        <v>456100</v>
      </c>
      <c r="D33" s="1" t="n">
        <v>2</v>
      </c>
      <c r="E33" s="91" t="n">
        <v>0.5</v>
      </c>
      <c r="F33" s="91" t="n">
        <v>2.8</v>
      </c>
      <c r="G33" s="1" t="n">
        <f aca="false">$E$16+E33*F33*$E$17</f>
        <v>2983420</v>
      </c>
      <c r="H33" s="1" t="n">
        <f aca="false">C33*G33/1000000000000</f>
        <v>1.360737862</v>
      </c>
      <c r="I33" s="91" t="s">
        <v>398</v>
      </c>
      <c r="J33" s="1" t="n">
        <f aca="false">IF(I33="Sí",$C$6+E33*F33*$E$18,0)</f>
        <v>149171</v>
      </c>
    </row>
    <row r="34" customFormat="false" ht="15" hidden="false" customHeight="true" outlineLevel="0" collapsed="false">
      <c r="B34" s="1" t="s">
        <v>1919</v>
      </c>
      <c r="C34" s="221" t="n">
        <f aca="false">01_Supuestos!$I$85</f>
        <v>476181</v>
      </c>
      <c r="D34" s="1" t="n">
        <v>4</v>
      </c>
      <c r="E34" s="91" t="n">
        <v>0.7</v>
      </c>
      <c r="F34" s="91" t="n">
        <v>2.8</v>
      </c>
      <c r="G34" s="1" t="n">
        <f aca="false">$E$16+E34*F34*$E$17</f>
        <v>3526732</v>
      </c>
      <c r="H34" s="1" t="n">
        <f aca="false">C34*G34/1000000000000</f>
        <v>1.679362770492</v>
      </c>
      <c r="I34" s="91" t="s">
        <v>398</v>
      </c>
      <c r="J34" s="1" t="n">
        <f aca="false">IF(I34="Sí",$C$6+E34*F34*$E$18,0)</f>
        <v>176336.6</v>
      </c>
    </row>
    <row r="35" customFormat="false" ht="15" hidden="false" customHeight="true" outlineLevel="0" collapsed="false">
      <c r="B35" s="1" t="s">
        <v>1920</v>
      </c>
      <c r="C35" s="221" t="n">
        <f aca="false">01_Supuestos!$I$87</f>
        <v>328204</v>
      </c>
      <c r="D35" s="1" t="n">
        <v>4</v>
      </c>
      <c r="E35" s="91" t="n">
        <v>0.55</v>
      </c>
      <c r="F35" s="91" t="n">
        <v>2.5</v>
      </c>
      <c r="G35" s="1" t="n">
        <f aca="false">$E$16+E35*F35*$E$17</f>
        <v>2959165</v>
      </c>
      <c r="H35" s="1" t="n">
        <f aca="false">C35*G35/1000000000000</f>
        <v>0.97120978966</v>
      </c>
      <c r="I35" s="91" t="s">
        <v>398</v>
      </c>
      <c r="J35" s="1" t="n">
        <f aca="false">IF(I35="Sí",$C$6+E35*F35*$E$18,0)</f>
        <v>147958.25</v>
      </c>
    </row>
    <row r="36" customFormat="false" ht="15" hidden="false" customHeight="true" outlineLevel="0" collapsed="false">
      <c r="B36" s="1" t="s">
        <v>1921</v>
      </c>
      <c r="C36" s="221" t="n">
        <f aca="false">01_Supuestos!$I$88</f>
        <v>297000</v>
      </c>
      <c r="D36" s="1" t="n">
        <v>4</v>
      </c>
      <c r="E36" s="91" t="n">
        <v>0.4</v>
      </c>
      <c r="F36" s="91" t="n">
        <v>2.3</v>
      </c>
      <c r="G36" s="1" t="n">
        <f aca="false">$E$16+E36*F36*$E$17</f>
        <v>2517724</v>
      </c>
      <c r="H36" s="1" t="n">
        <f aca="false">C36*G36/1000000000000</f>
        <v>0.747764028</v>
      </c>
      <c r="I36" s="91" t="s">
        <v>352</v>
      </c>
      <c r="J36" s="1" t="n">
        <f aca="false">IF(I36="Sí",$C$6+E36*F36*$E$18,0)</f>
        <v>0</v>
      </c>
    </row>
    <row r="37" customFormat="false" ht="15" hidden="false" customHeight="true" outlineLevel="0" collapsed="false">
      <c r="B37" s="147" t="s">
        <v>1895</v>
      </c>
      <c r="C37" s="1" t="n">
        <f aca="false">SUM(C30:C36)</f>
        <v>2034021</v>
      </c>
      <c r="H37" s="1" t="n">
        <f aca="false">SUM(H30:H36)</f>
        <v>6.123046627632</v>
      </c>
    </row>
    <row r="39" customFormat="false" ht="15" hidden="false" customHeight="true" outlineLevel="0" collapsed="false">
      <c r="B39" s="1" t="s">
        <v>1922</v>
      </c>
    </row>
    <row r="41" customFormat="false" ht="15" hidden="false" customHeight="true" outlineLevel="0" collapsed="false">
      <c r="B41" s="1" t="s">
        <v>1923</v>
      </c>
    </row>
    <row r="42" customFormat="false" ht="15" hidden="false" customHeight="true" outlineLevel="0" collapsed="false">
      <c r="B42" s="1" t="s">
        <v>1924</v>
      </c>
      <c r="E42" s="116" t="n">
        <f aca="false">38_v69_E1!L137</f>
        <v>0.220537144658202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30"/>
    <col collapsed="false" customWidth="true" hidden="false" outlineLevel="0" max="4" min="3" style="1" width="12"/>
    <col collapsed="false" customWidth="true" hidden="false" outlineLevel="0" max="5" min="5" style="1" width="16"/>
    <col collapsed="false" customWidth="true" hidden="false" outlineLevel="0" max="8" min="6" style="1" width="14"/>
    <col collapsed="false" customWidth="true" hidden="false" outlineLevel="0" max="9" min="9" style="1" width="26"/>
  </cols>
  <sheetData>
    <row r="2" customFormat="false" ht="15.75" hidden="false" customHeight="true" outlineLevel="0" collapsed="false">
      <c r="B2" s="219" t="s">
        <v>1925</v>
      </c>
    </row>
    <row r="3" customFormat="false" ht="15" hidden="false" customHeight="true" outlineLevel="0" collapsed="false">
      <c r="B3" s="1" t="s">
        <v>1926</v>
      </c>
    </row>
    <row r="5" customFormat="false" ht="15" hidden="false" customHeight="true" outlineLevel="0" collapsed="false">
      <c r="B5" s="1" t="s">
        <v>1927</v>
      </c>
      <c r="D5" s="91" t="n">
        <v>100</v>
      </c>
    </row>
    <row r="6" customFormat="false" ht="15" hidden="false" customHeight="true" outlineLevel="0" collapsed="false">
      <c r="B6" s="1" t="s">
        <v>1928</v>
      </c>
      <c r="D6" s="91" t="n">
        <v>0.3</v>
      </c>
    </row>
    <row r="7" customFormat="false" ht="15" hidden="false" customHeight="true" outlineLevel="0" collapsed="false">
      <c r="B7" s="1" t="s">
        <v>1929</v>
      </c>
      <c r="D7" s="91" t="n">
        <v>5</v>
      </c>
    </row>
    <row r="8" customFormat="false" ht="15" hidden="false" customHeight="true" outlineLevel="0" collapsed="false">
      <c r="B8" s="1" t="s">
        <v>1930</v>
      </c>
      <c r="D8" s="91" t="n">
        <v>0.043</v>
      </c>
    </row>
    <row r="9" customFormat="false" ht="15" hidden="false" customHeight="true" outlineLevel="0" collapsed="false">
      <c r="B9" s="1" t="s">
        <v>1931</v>
      </c>
      <c r="D9" s="91" t="n">
        <v>1</v>
      </c>
    </row>
    <row r="10" customFormat="false" ht="54.75" hidden="false" customHeight="true" outlineLevel="0" collapsed="false">
      <c r="B10" s="220" t="s">
        <v>784</v>
      </c>
      <c r="C10" s="220" t="s">
        <v>1932</v>
      </c>
      <c r="D10" s="220" t="s">
        <v>1933</v>
      </c>
      <c r="E10" s="220" t="s">
        <v>1934</v>
      </c>
      <c r="F10" s="220" t="s">
        <v>1935</v>
      </c>
      <c r="G10" s="220" t="s">
        <v>1936</v>
      </c>
      <c r="H10" s="220" t="s">
        <v>1937</v>
      </c>
      <c r="I10" s="220" t="s">
        <v>1938</v>
      </c>
    </row>
    <row r="11" customFormat="false" ht="15" hidden="false" customHeight="true" outlineLevel="0" collapsed="false">
      <c r="B11" s="1" t="n">
        <v>0</v>
      </c>
      <c r="C11" s="1" t="n">
        <v>0</v>
      </c>
      <c r="D11" s="1" t="n">
        <f aca="false">$D$5</f>
        <v>100</v>
      </c>
      <c r="E11" s="1" t="n">
        <f aca="false">$D$5*$D$6</f>
        <v>30</v>
      </c>
      <c r="F11" s="1" t="n">
        <v>0</v>
      </c>
      <c r="G11" s="1" t="n">
        <f aca="false">D11-E11</f>
        <v>70</v>
      </c>
      <c r="H11" s="1" t="n">
        <v>0</v>
      </c>
      <c r="I11" s="1" t="str">
        <f aca="false">"Pagados: "&amp;TEXT(E11,"0")&amp;" (no vuelven)"</f>
        <v>Pagados: 30 (no vuelven)</v>
      </c>
    </row>
    <row r="12" customFormat="false" ht="15" hidden="false" customHeight="true" outlineLevel="0" collapsed="false">
      <c r="B12" s="1" t="n">
        <f aca="false">IF(B11&lt;$D$7,B11+1,"")</f>
        <v>1</v>
      </c>
      <c r="C12" s="1" t="n">
        <f aca="false">IF(B12="","",MIN(D11,$D$5/$D$7))</f>
        <v>20</v>
      </c>
      <c r="D12" s="1" t="n">
        <f aca="false">IF(B12="","",D11-C12)</f>
        <v>80</v>
      </c>
      <c r="E12" s="1" t="n">
        <f aca="false">IF(B12="","",IF($D$9=1,MAX(0,E11-C12),D12*$D$6))</f>
        <v>10</v>
      </c>
      <c r="F12" s="1" t="n">
        <f aca="false">IF(B12="","",E11-E12)</f>
        <v>20</v>
      </c>
      <c r="G12" s="1" t="n">
        <f aca="false">IF(B12="","",D12-E12)</f>
        <v>70</v>
      </c>
      <c r="H12" s="1" t="n">
        <f aca="false">IF(B12="","",D11*$D$8)</f>
        <v>4.3</v>
      </c>
      <c r="I12" s="1" t="str">
        <f aca="false">IF(B12="","","0 (cobra pesos)")</f>
        <v>0 (cobra pesos)</v>
      </c>
    </row>
    <row r="13" customFormat="false" ht="15" hidden="false" customHeight="true" outlineLevel="0" collapsed="false">
      <c r="B13" s="1" t="n">
        <f aca="false">IF(B12&lt;$D$7,B12+1,"")</f>
        <v>2</v>
      </c>
      <c r="C13" s="1" t="n">
        <f aca="false">IF(B13="","",MIN(D12,$D$5/$D$7))</f>
        <v>20</v>
      </c>
      <c r="D13" s="1" t="n">
        <f aca="false">IF(B13="","",D12-C13)</f>
        <v>60</v>
      </c>
      <c r="E13" s="1" t="n">
        <f aca="false">IF(B13="","",IF($D$9=1,MAX(0,E12-C13),D13*$D$6))</f>
        <v>0</v>
      </c>
      <c r="F13" s="1" t="n">
        <f aca="false">IF(B13="","",E12-E13)</f>
        <v>10</v>
      </c>
      <c r="G13" s="1" t="n">
        <f aca="false">IF(B13="","",D13-E13)</f>
        <v>60</v>
      </c>
      <c r="H13" s="1" t="n">
        <f aca="false">IF(B13="","",D12*$D$8)</f>
        <v>3.44</v>
      </c>
      <c r="I13" s="1" t="str">
        <f aca="false">IF(B13="","","0 (cobra pesos)")</f>
        <v>0 (cobra pesos)</v>
      </c>
    </row>
    <row r="14" customFormat="false" ht="15" hidden="false" customHeight="true" outlineLevel="0" collapsed="false">
      <c r="B14" s="1" t="n">
        <f aca="false">IF(B13&lt;$D$7,B13+1,"")</f>
        <v>3</v>
      </c>
      <c r="C14" s="1" t="n">
        <f aca="false">IF(B14="","",MIN(D13,$D$5/$D$7))</f>
        <v>20</v>
      </c>
      <c r="D14" s="1" t="n">
        <f aca="false">IF(B14="","",D13-C14)</f>
        <v>40</v>
      </c>
      <c r="E14" s="1" t="n">
        <f aca="false">IF(B14="","",IF($D$9=1,MAX(0,E13-C14),D14*$D$6))</f>
        <v>0</v>
      </c>
      <c r="F14" s="1" t="n">
        <f aca="false">IF(B14="","",E13-E14)</f>
        <v>0</v>
      </c>
      <c r="G14" s="1" t="n">
        <f aca="false">IF(B14="","",D14-E14)</f>
        <v>40</v>
      </c>
      <c r="H14" s="1" t="n">
        <f aca="false">IF(B14="","",D13*$D$8)</f>
        <v>2.58</v>
      </c>
      <c r="I14" s="1" t="str">
        <f aca="false">IF(B14="","","0 (cobra pesos)")</f>
        <v>0 (cobra pesos)</v>
      </c>
    </row>
    <row r="15" customFormat="false" ht="15" hidden="false" customHeight="true" outlineLevel="0" collapsed="false">
      <c r="B15" s="1" t="n">
        <f aca="false">IF(B14&lt;$D$7,B14+1,"")</f>
        <v>4</v>
      </c>
      <c r="C15" s="1" t="n">
        <f aca="false">IF(B15="","",MIN(D14,$D$5/$D$7))</f>
        <v>20</v>
      </c>
      <c r="D15" s="1" t="n">
        <f aca="false">IF(B15="","",D14-C15)</f>
        <v>20</v>
      </c>
      <c r="E15" s="1" t="n">
        <f aca="false">IF(B15="","",IF($D$9=1,MAX(0,E14-C15),D15*$D$6))</f>
        <v>0</v>
      </c>
      <c r="F15" s="1" t="n">
        <f aca="false">IF(B15="","",E14-E15)</f>
        <v>0</v>
      </c>
      <c r="G15" s="1" t="n">
        <f aca="false">IF(B15="","",D15-E15)</f>
        <v>20</v>
      </c>
      <c r="H15" s="1" t="n">
        <f aca="false">IF(B15="","",D14*$D$8)</f>
        <v>1.72</v>
      </c>
      <c r="I15" s="1" t="str">
        <f aca="false">IF(B15="","","0 (cobra pesos)")</f>
        <v>0 (cobra pesos)</v>
      </c>
    </row>
    <row r="16" customFormat="false" ht="15" hidden="false" customHeight="true" outlineLevel="0" collapsed="false">
      <c r="B16" s="1" t="n">
        <f aca="false">IF(B15&lt;$D$7,B15+1,"")</f>
        <v>5</v>
      </c>
      <c r="C16" s="1" t="n">
        <f aca="false">IF(B16="","",MIN(D15,$D$5/$D$7))</f>
        <v>20</v>
      </c>
      <c r="D16" s="1" t="n">
        <f aca="false">IF(B16="","",D15-C16)</f>
        <v>0</v>
      </c>
      <c r="E16" s="1" t="n">
        <f aca="false">IF(B16="","",IF($D$9=1,MAX(0,E15-C16),D16*$D$6))</f>
        <v>0</v>
      </c>
      <c r="F16" s="1" t="n">
        <f aca="false">IF(B16="","",E15-E16)</f>
        <v>0</v>
      </c>
      <c r="G16" s="1" t="n">
        <f aca="false">IF(B16="","",D16-E16)</f>
        <v>0</v>
      </c>
      <c r="H16" s="1" t="n">
        <f aca="false">IF(B16="","",D15*$D$8)</f>
        <v>0.86</v>
      </c>
      <c r="I16" s="1" t="str">
        <f aca="false">IF(B16="","","0 (cobra pesos)")</f>
        <v>0 (cobra pesos)</v>
      </c>
    </row>
    <row r="17" customFormat="false" ht="15" hidden="false" customHeight="true" outlineLevel="0" collapsed="false">
      <c r="B17" s="1" t="str">
        <f aca="false">IF(B16&lt;$D$7,B16+1,"")</f>
        <v/>
      </c>
      <c r="C17" s="1" t="str">
        <f aca="false">IF(B17="","",MIN(D16,$D$5/$D$7))</f>
        <v/>
      </c>
      <c r="D17" s="1" t="str">
        <f aca="false">IF(B17="","",D16-C17)</f>
        <v/>
      </c>
      <c r="E17" s="1" t="str">
        <f aca="false">IF(B17="","",IF($D$9=1,MAX(0,E16-C17),D17*$D$6))</f>
        <v/>
      </c>
      <c r="F17" s="1" t="str">
        <f aca="false">IF(B17="","",E16-E17)</f>
        <v/>
      </c>
      <c r="G17" s="1" t="str">
        <f aca="false">IF(B17="","",D17-E17)</f>
        <v/>
      </c>
      <c r="H17" s="1" t="str">
        <f aca="false">IF(B17="","",D16*$D$8)</f>
        <v/>
      </c>
      <c r="I17" s="1" t="str">
        <f aca="false">IF(B17="","","0 (cobra pesos)")</f>
        <v/>
      </c>
    </row>
    <row r="18" customFormat="false" ht="15" hidden="false" customHeight="true" outlineLevel="0" collapsed="false">
      <c r="B18" s="1" t="str">
        <f aca="false">IF(B17&lt;$D$7,B17+1,"")</f>
        <v/>
      </c>
      <c r="C18" s="1" t="str">
        <f aca="false">IF(B18="","",MIN(D17,$D$5/$D$7))</f>
        <v/>
      </c>
      <c r="D18" s="1" t="str">
        <f aca="false">IF(B18="","",D17-C18)</f>
        <v/>
      </c>
      <c r="E18" s="1" t="str">
        <f aca="false">IF(B18="","",IF($D$9=1,MAX(0,E17-C18),D18*$D$6))</f>
        <v/>
      </c>
      <c r="F18" s="1" t="str">
        <f aca="false">IF(B18="","",E17-E18)</f>
        <v/>
      </c>
      <c r="G18" s="1" t="str">
        <f aca="false">IF(B18="","",D18-E18)</f>
        <v/>
      </c>
      <c r="H18" s="1" t="str">
        <f aca="false">IF(B18="","",D17*$D$8)</f>
        <v/>
      </c>
      <c r="I18" s="1" t="str">
        <f aca="false">IF(B18="","","0 (cobra pesos)")</f>
        <v/>
      </c>
    </row>
    <row r="19" customFormat="false" ht="15" hidden="false" customHeight="true" outlineLevel="0" collapsed="false">
      <c r="B19" s="1" t="str">
        <f aca="false">IF(B18&lt;$D$7,B18+1,"")</f>
        <v/>
      </c>
      <c r="C19" s="1" t="str">
        <f aca="false">IF(B19="","",MIN(D18,$D$5/$D$7))</f>
        <v/>
      </c>
      <c r="D19" s="1" t="str">
        <f aca="false">IF(B19="","",D18-C19)</f>
        <v/>
      </c>
      <c r="E19" s="1" t="str">
        <f aca="false">IF(B19="","",IF($D$9=1,MAX(0,E18-C19),D19*$D$6))</f>
        <v/>
      </c>
      <c r="F19" s="1" t="str">
        <f aca="false">IF(B19="","",E18-E19)</f>
        <v/>
      </c>
      <c r="G19" s="1" t="str">
        <f aca="false">IF(B19="","",D19-E19)</f>
        <v/>
      </c>
      <c r="H19" s="1" t="str">
        <f aca="false">IF(B19="","",D18*$D$8)</f>
        <v/>
      </c>
      <c r="I19" s="1" t="str">
        <f aca="false">IF(B19="","","0 (cobra pesos)")</f>
        <v/>
      </c>
    </row>
    <row r="20" customFormat="false" ht="15" hidden="false" customHeight="true" outlineLevel="0" collapsed="false">
      <c r="B20" s="1" t="str">
        <f aca="false">IF(B19&lt;$D$7,B19+1,"")</f>
        <v/>
      </c>
      <c r="C20" s="1" t="str">
        <f aca="false">IF(B20="","",MIN(D19,$D$5/$D$7))</f>
        <v/>
      </c>
      <c r="D20" s="1" t="str">
        <f aca="false">IF(B20="","",D19-C20)</f>
        <v/>
      </c>
      <c r="E20" s="1" t="str">
        <f aca="false">IF(B20="","",IF($D$9=1,MAX(0,E19-C20),D20*$D$6))</f>
        <v/>
      </c>
      <c r="F20" s="1" t="str">
        <f aca="false">IF(B20="","",E19-E20)</f>
        <v/>
      </c>
      <c r="G20" s="1" t="str">
        <f aca="false">IF(B20="","",D20-E20)</f>
        <v/>
      </c>
      <c r="H20" s="1" t="str">
        <f aca="false">IF(B20="","",D19*$D$8)</f>
        <v/>
      </c>
      <c r="I20" s="1" t="str">
        <f aca="false">IF(B20="","","0 (cobra pesos)")</f>
        <v/>
      </c>
    </row>
    <row r="21" customFormat="false" ht="15" hidden="false" customHeight="true" outlineLevel="0" collapsed="false">
      <c r="B21" s="1" t="str">
        <f aca="false">IF(B20&lt;$D$7,B20+1,"")</f>
        <v/>
      </c>
      <c r="C21" s="1" t="str">
        <f aca="false">IF(B21="","",MIN(D20,$D$5/$D$7))</f>
        <v/>
      </c>
      <c r="D21" s="1" t="str">
        <f aca="false">IF(B21="","",D20-C21)</f>
        <v/>
      </c>
      <c r="E21" s="1" t="str">
        <f aca="false">IF(B21="","",IF($D$9=1,MAX(0,E20-C21),D21*$D$6))</f>
        <v/>
      </c>
      <c r="F21" s="1" t="str">
        <f aca="false">IF(B21="","",E20-E21)</f>
        <v/>
      </c>
      <c r="G21" s="1" t="str">
        <f aca="false">IF(B21="","",D21-E21)</f>
        <v/>
      </c>
      <c r="H21" s="1" t="str">
        <f aca="false">IF(B21="","",D20*$D$8)</f>
        <v/>
      </c>
      <c r="I21" s="1" t="str">
        <f aca="false">IF(B21="","","0 (cobra pesos)")</f>
        <v/>
      </c>
    </row>
    <row r="23" customFormat="false" ht="15" hidden="false" customHeight="true" outlineLevel="0" collapsed="false">
      <c r="B23" s="1" t="s">
        <v>1939</v>
      </c>
      <c r="F23" s="1" t="n">
        <f aca="false">SUM(F12:F21)</f>
        <v>30</v>
      </c>
      <c r="G23" s="1" t="n">
        <f aca="false">E11</f>
        <v>30</v>
      </c>
    </row>
    <row r="24" customFormat="false" ht="15" hidden="false" customHeight="true" outlineLevel="0" collapsed="false">
      <c r="B24" s="1" t="s">
        <v>1940</v>
      </c>
      <c r="F24" s="1" t="n">
        <f aca="false">IFERROR(INDEX(B12:B21,MATCH(0,E12:E21,0)),"")</f>
        <v>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1941</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0.01</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1357</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1019</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5</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11.440447555496</v>
      </c>
      <c r="D48" s="116" t="n">
        <f aca="false">SUMPRODUCT(($C$39:$BT$39&gt;=D$39-$C$29+1)*($C$39:$BT$39&lt;=D$39)*($C$45:$BT$45))/$C$29+D47</f>
        <v>18.433684727896</v>
      </c>
      <c r="E48" s="116" t="n">
        <f aca="false">SUMPRODUCT(($C$39:$BT$39&gt;=E$39-$C$29+1)*($C$39:$BT$39&lt;=E$39)*($C$45:$BT$45))/$C$29+E47</f>
        <v>24.380839607896</v>
      </c>
      <c r="F48" s="116" t="n">
        <f aca="false">SUMPRODUCT(($C$39:$BT$39&gt;=F$39-$C$29+1)*($C$39:$BT$39&lt;=F$39)*($C$45:$BT$45))/$C$29+F47</f>
        <v>40.7905342941664</v>
      </c>
      <c r="G48" s="116" t="n">
        <f aca="false">SUMPRODUCT(($C$39:$BT$39&gt;=G$39-$C$29+1)*($C$39:$BT$39&lt;=G$39)*($C$45:$BT$45))/$C$29+G47</f>
        <v>40.7905342941664</v>
      </c>
      <c r="H48" s="116" t="n">
        <f aca="false">SUMPRODUCT(($C$39:$BT$39&gt;=H$39-$C$29+1)*($C$39:$BT$39&lt;=H$39)*($C$45:$BT$45))/$C$29+H47</f>
        <v>29.3500867386704</v>
      </c>
      <c r="I48" s="116" t="n">
        <f aca="false">SUMPRODUCT(($C$39:$BT$39&gt;=I$39-$C$29+1)*($C$39:$BT$39&lt;=I$39)*($C$45:$BT$45))/$C$29+I47</f>
        <v>22.3568495662704</v>
      </c>
      <c r="J48" s="116" t="n">
        <f aca="false">SUMPRODUCT(($C$39:$BT$39&gt;=J$39-$C$29+1)*($C$39:$BT$39&lt;=J$39)*($C$45:$BT$45))/$C$29+J47</f>
        <v>16.4096946862704</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9.1280816</v>
      </c>
      <c r="G49" s="116" t="n">
        <f aca="false">SUMPRODUCT(($C$39:$BT$39&gt;=G$39-$C$29+1)*($C$39:$BT$39&lt;=G$39)*($C$46:$BT$46))/$C$29</f>
        <v>9.1280816</v>
      </c>
      <c r="H49" s="116" t="n">
        <f aca="false">SUMPRODUCT(($C$39:$BT$39&gt;=H$39-$C$29+1)*($C$39:$BT$39&lt;=H$39)*($C$46:$BT$46))/$C$29</f>
        <v>9.1280816</v>
      </c>
      <c r="I49" s="116" t="n">
        <f aca="false">SUMPRODUCT(($C$39:$BT$39&gt;=I$39-$C$29+1)*($C$39:$BT$39&lt;=I$39)*($C$46:$BT$46))/$C$29</f>
        <v>9.1280816</v>
      </c>
      <c r="J49" s="116" t="n">
        <f aca="false">SUMPRODUCT(($C$39:$BT$39&gt;=J$39-$C$29+1)*($C$39:$BT$39&lt;=J$39)*($C$46:$BT$46))/$C$29</f>
        <v>9.1280816</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3.230422220638</v>
      </c>
      <c r="AC50" s="116" t="n">
        <f aca="false">IF($C$6="Sí",23_v67_Intermedio!AC24,22_v67_Prudente!AC24)-AC194+AC345</f>
        <v>3.130322136886</v>
      </c>
      <c r="AD50" s="116" t="n">
        <f aca="false">IF($C$6="Sí",23_v67_Intermedio!AD24,22_v67_Prudente!AD24)-AD194+AD345</f>
        <v>3.030222053134</v>
      </c>
      <c r="AE50" s="116" t="n">
        <f aca="false">IF($C$6="Sí",23_v67_Intermedio!AE24,22_v67_Prudente!AE24)-AE194+AE345</f>
        <v>2.930121969382</v>
      </c>
      <c r="AF50" s="116" t="n">
        <f aca="false">IF($C$6="Sí",23_v67_Intermedio!AF24,22_v67_Prudente!AF24)-AF194+AF345</f>
        <v>2.83002188563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11.440447555496</v>
      </c>
      <c r="D64" s="116" t="n">
        <f aca="false">D48+D50-D57</f>
        <v>18.433684727896</v>
      </c>
      <c r="E64" s="116" t="n">
        <f aca="false">E48+E50-E57</f>
        <v>24.380839607896</v>
      </c>
      <c r="F64" s="116" t="n">
        <f aca="false">F48+F50-F57</f>
        <v>40.7905342941664</v>
      </c>
      <c r="G64" s="116" t="n">
        <f aca="false">G48+G50-G57</f>
        <v>40.7905342941664</v>
      </c>
      <c r="H64" s="116" t="n">
        <f aca="false">H48+H50-H57</f>
        <v>29.3500867386704</v>
      </c>
      <c r="I64" s="116" t="n">
        <f aca="false">I48+I50-I57</f>
        <v>22.3568495662704</v>
      </c>
      <c r="J64" s="116" t="n">
        <f aca="false">J48+J50-J57</f>
        <v>16.4096946862704</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3.230422220638</v>
      </c>
      <c r="AC64" s="116" t="n">
        <f aca="false">AC48+AC50-AC57</f>
        <v>3.130322136886</v>
      </c>
      <c r="AD64" s="116" t="n">
        <f aca="false">AD48+AD50-AD57</f>
        <v>3.030222053134</v>
      </c>
      <c r="AE64" s="116" t="n">
        <f aca="false">AE48+AE50-AE57</f>
        <v>2.930121969382</v>
      </c>
      <c r="AF64" s="116" t="n">
        <f aca="false">AF48+AF50-AF57</f>
        <v>2.83002188563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0.091908323251863</v>
      </c>
      <c r="H65" s="116" t="n">
        <f aca="false">MIN(H58,H64)</f>
        <v>0.0951526870626538</v>
      </c>
      <c r="I65" s="116" t="n">
        <f aca="false">MIN(I58,I64)</f>
        <v>0.0985115769159654</v>
      </c>
      <c r="J65" s="116" t="n">
        <f aca="false">MIN(J58,J64)</f>
        <v>0.101989035581099</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11.360447555496</v>
      </c>
      <c r="D66" s="116" t="n">
        <f aca="false">D64-D65</f>
        <v>18.350860727896</v>
      </c>
      <c r="E66" s="116" t="n">
        <f aca="false">E64-E65</f>
        <v>24.295091920696</v>
      </c>
      <c r="F66" s="116" t="n">
        <f aca="false">F64-F65</f>
        <v>40.7017597136082</v>
      </c>
      <c r="G66" s="116" t="n">
        <f aca="false">G64-G65</f>
        <v>40.6986259709145</v>
      </c>
      <c r="H66" s="116" t="n">
        <f aca="false">H64-H65</f>
        <v>29.2549340516077</v>
      </c>
      <c r="I66" s="116" t="n">
        <f aca="false">I64-I65</f>
        <v>22.2583379893544</v>
      </c>
      <c r="J66" s="116" t="n">
        <f aca="false">J64-J65</f>
        <v>16.3077056506893</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3.03998784899078</v>
      </c>
      <c r="AC66" s="116" t="n">
        <f aca="false">AC64-AC65</f>
        <v>2.93316543191963</v>
      </c>
      <c r="AD66" s="116" t="n">
        <f aca="false">AD64-AD65</f>
        <v>2.82610571648232</v>
      </c>
      <c r="AE66" s="116" t="n">
        <f aca="false">AE64-AE65</f>
        <v>2.71880032604652</v>
      </c>
      <c r="AF66" s="116" t="n">
        <f aca="false">AF64-AF65</f>
        <v>2.61124058828477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11.360447555496</v>
      </c>
      <c r="D67" s="116" t="n">
        <f aca="false">C67+D66-D63</f>
        <v>29.711308283392</v>
      </c>
      <c r="E67" s="116" t="n">
        <f aca="false">D67+E66-E63</f>
        <v>54.006400204088</v>
      </c>
      <c r="F67" s="116" t="n">
        <f aca="false">E67+F66-F63</f>
        <v>94.7081599176962</v>
      </c>
      <c r="G67" s="116" t="n">
        <f aca="false">F67+G66-G63</f>
        <v>134.022471588611</v>
      </c>
      <c r="H67" s="116" t="n">
        <f aca="false">G67+H66-H63</f>
        <v>161.905582755219</v>
      </c>
      <c r="I67" s="116" t="n">
        <f aca="false">H67+I66-I63</f>
        <v>182.803964703823</v>
      </c>
      <c r="J67" s="116" t="n">
        <f aca="false">I67+J66-J63</f>
        <v>197.7629878158</v>
      </c>
      <c r="K67" s="116" t="n">
        <f aca="false">J67+K66-K63</f>
        <v>196.425015104023</v>
      </c>
      <c r="L67" s="116" t="n">
        <f aca="false">K67+L66-L63</f>
        <v>195.097216727835</v>
      </c>
      <c r="M67" s="116" t="n">
        <f aca="false">L67+M66-M63</f>
        <v>197.997431689176</v>
      </c>
      <c r="N67" s="116" t="n">
        <f aca="false">M67+N66-N63</f>
        <v>200.902833895947</v>
      </c>
      <c r="O67" s="116" t="n">
        <f aca="false">N67+O66-O63</f>
        <v>203.812823204492</v>
      </c>
      <c r="P67" s="116" t="n">
        <f aca="false">O67+P66-P63</f>
        <v>206.726817448754</v>
      </c>
      <c r="Q67" s="116" t="n">
        <f aca="false">P67+Q66-Q63</f>
        <v>209.644251116752</v>
      </c>
      <c r="R67" s="116" t="n">
        <f aca="false">Q67+R66-R63</f>
        <v>212.464473994491</v>
      </c>
      <c r="S67" s="116" t="n">
        <f aca="false">R67+S66-S63</f>
        <v>215.186950109226</v>
      </c>
      <c r="T67" s="116" t="n">
        <f aca="false">S67+T66-T63</f>
        <v>217.811156466612</v>
      </c>
      <c r="U67" s="116" t="n">
        <f aca="false">T67+U66-U63</f>
        <v>220.336581913935</v>
      </c>
      <c r="V67" s="116" t="n">
        <f aca="false">U67+V66-V63</f>
        <v>222.762726042949</v>
      </c>
      <c r="W67" s="116" t="n">
        <f aca="false">V67+W66-W63</f>
        <v>225.089098129754</v>
      </c>
      <c r="X67" s="116" t="n">
        <f aca="false">W67+X66-X63</f>
        <v>227.315216109209</v>
      </c>
      <c r="Y67" s="116" t="n">
        <f aca="false">X67+Y66-Y63</f>
        <v>229.440605581527</v>
      </c>
      <c r="Z67" s="116" t="n">
        <f aca="false">Y67+Z66-Z63</f>
        <v>231.464798848744</v>
      </c>
      <c r="AA67" s="116" t="n">
        <f aca="false">Z67+AA66-AA63</f>
        <v>233.38733397889</v>
      </c>
      <c r="AB67" s="116" t="n">
        <f aca="false">AA67+AB66-AB63</f>
        <v>235.20775389574</v>
      </c>
      <c r="AC67" s="116" t="n">
        <f aca="false">AB67+AC66-AC63</f>
        <v>236.925605492126</v>
      </c>
      <c r="AD67" s="116" t="n">
        <f aca="false">AC67+AD66-AD63</f>
        <v>238.540438764851</v>
      </c>
      <c r="AE67" s="116" t="n">
        <f aca="false">AD67+AE66-AE63</f>
        <v>240.051805969328</v>
      </c>
      <c r="AF67" s="116" t="n">
        <f aca="false">AE67+AF66-AF63</f>
        <v>241.459260792122</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3.86255216886864</v>
      </c>
      <c r="D68" s="116" t="n">
        <f aca="false">C68+(01_Supuestos!$I$125-1)*D66</f>
        <v>10.1018448163533</v>
      </c>
      <c r="E68" s="116" t="n">
        <f aca="false">D68+(01_Supuestos!$I$125-1)*E66</f>
        <v>18.3621760693899</v>
      </c>
      <c r="F68" s="116" t="n">
        <f aca="false">E68+(01_Supuestos!$I$125-1)*F66</f>
        <v>32.2007743720167</v>
      </c>
      <c r="G68" s="116" t="n">
        <f aca="false">F68+(01_Supuestos!$I$125-1)*G66</f>
        <v>46.0383072021277</v>
      </c>
      <c r="H68" s="116" t="n">
        <f aca="false">G68+(01_Supuestos!$I$125-1)*H66</f>
        <v>55.9849847796743</v>
      </c>
      <c r="I68" s="116" t="n">
        <f aca="false">H68+(01_Supuestos!$I$125-1)*I66</f>
        <v>63.5528196960548</v>
      </c>
      <c r="J68" s="116" t="n">
        <f aca="false">I68+(01_Supuestos!$I$125-1)*J66</f>
        <v>69.0974396172892</v>
      </c>
      <c r="K68" s="116" t="n">
        <f aca="false">J68+(01_Supuestos!$I$125-1)*K66</f>
        <v>69.0974396172892</v>
      </c>
      <c r="L68" s="116" t="n">
        <f aca="false">K68+(01_Supuestos!$I$125-1)*L66</f>
        <v>69.0974396172892</v>
      </c>
      <c r="M68" s="116" t="n">
        <f aca="false">L68+(01_Supuestos!$I$125-1)*M66</f>
        <v>70.5316778416538</v>
      </c>
      <c r="N68" s="116" t="n">
        <f aca="false">M68+(01_Supuestos!$I$125-1)*N66</f>
        <v>71.9645577345893</v>
      </c>
      <c r="O68" s="116" t="n">
        <f aca="false">N68+(01_Supuestos!$I$125-1)*O66</f>
        <v>73.3960313469962</v>
      </c>
      <c r="P68" s="116" t="n">
        <f aca="false">O68+(01_Supuestos!$I$125-1)*P66</f>
        <v>74.8260490371719</v>
      </c>
      <c r="Q68" s="116" t="n">
        <f aca="false">P68+(01_Supuestos!$I$125-1)*Q66</f>
        <v>76.2545594110615</v>
      </c>
      <c r="R68" s="116" t="n">
        <f aca="false">Q68+(01_Supuestos!$I$125-1)*R66</f>
        <v>77.6474752319246</v>
      </c>
      <c r="S68" s="116" t="n">
        <f aca="false">R68+(01_Supuestos!$I$125-1)*S66</f>
        <v>79.0047414132445</v>
      </c>
      <c r="T68" s="116" t="n">
        <f aca="false">S68+(01_Supuestos!$I$125-1)*T66</f>
        <v>80.3263009239504</v>
      </c>
      <c r="U68" s="116" t="n">
        <f aca="false">T68+(01_Supuestos!$I$125-1)*U66</f>
        <v>81.612094719775</v>
      </c>
      <c r="V68" s="116" t="n">
        <f aca="false">U68+(01_Supuestos!$I$125-1)*V66</f>
        <v>82.862061672188</v>
      </c>
      <c r="W68" s="116" t="n">
        <f aca="false">V68+(01_Supuestos!$I$125-1)*W66</f>
        <v>84.0761384948223</v>
      </c>
      <c r="X68" s="116" t="n">
        <f aca="false">W68+(01_Supuestos!$I$125-1)*X66</f>
        <v>85.2542596673019</v>
      </c>
      <c r="Y68" s="116" t="n">
        <f aca="false">X68+(01_Supuestos!$I$125-1)*Y66</f>
        <v>86.3963573563814</v>
      </c>
      <c r="Z68" s="116" t="n">
        <f aca="false">Y68+(01_Supuestos!$I$125-1)*Z66</f>
        <v>87.5023613343021</v>
      </c>
      <c r="AA68" s="116" t="n">
        <f aca="false">Z68+(01_Supuestos!$I$125-1)*AA66</f>
        <v>88.5721988942652</v>
      </c>
      <c r="AB68" s="116" t="n">
        <f aca="false">AA68+(01_Supuestos!$I$125-1)*AB66</f>
        <v>89.6057947629221</v>
      </c>
      <c r="AC68" s="116" t="n">
        <f aca="false">AB68+(01_Supuestos!$I$125-1)*AC66</f>
        <v>90.6030710097748</v>
      </c>
      <c r="AD68" s="116" t="n">
        <f aca="false">AC68+(01_Supuestos!$I$125-1)*AD66</f>
        <v>91.5639469533788</v>
      </c>
      <c r="AE68" s="116" t="n">
        <f aca="false">AD68+(01_Supuestos!$I$125-1)*AE66</f>
        <v>92.4883390642346</v>
      </c>
      <c r="AF68" s="116" t="n">
        <f aca="false">AE68+(01_Supuestos!$I$125-1)*AF66</f>
        <v>93.3761608642514</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11.440447555496</v>
      </c>
      <c r="D69" s="116" t="n">
        <f aca="false">C69+D48+D49+D50+D51-D63+D245</f>
        <v>29.874132283392</v>
      </c>
      <c r="E69" s="116" t="n">
        <f aca="false">D69+E48+E49+E50+E51-E63+E245</f>
        <v>54.254971891288</v>
      </c>
      <c r="F69" s="116" t="n">
        <f aca="false">E69+F48+F49+F50+F51-F63+F245</f>
        <v>111.187509327364</v>
      </c>
      <c r="G69" s="116" t="n">
        <f aca="false">F69+G48+G49+G50+G51-G63+G245</f>
        <v>166.735732463441</v>
      </c>
      <c r="H69" s="116" t="n">
        <f aca="false">G69+H48+H49+H50+H51-H63+H245</f>
        <v>210.855999459021</v>
      </c>
      <c r="I69" s="116" t="n">
        <f aca="false">H69+I48+I49+I50+I51-I63+I245</f>
        <v>247.994896126452</v>
      </c>
      <c r="J69" s="116" t="n">
        <f aca="false">I69+J48+J49+J50+J51-J63+J245</f>
        <v>279.197911415919</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319.126273175617</v>
      </c>
      <c r="R69" s="116" t="n">
        <f aca="false">Q69+R48+R49+R50+R51-R63+R245</f>
        <v>324.763506273682</v>
      </c>
      <c r="S69" s="116" t="n">
        <f aca="false">R69+S48+S49+S50+S51-S63+S245</f>
        <v>330.307744406</v>
      </c>
      <c r="T69" s="116" t="n">
        <f aca="false">S69+T48+T49+T50+T51-T63+T245</f>
        <v>335.758632316669</v>
      </c>
      <c r="U69" s="116" t="n">
        <f aca="false">T69+U48+U49+U50+U51-U63+U245</f>
        <v>341.115832512586</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380.565374819157</v>
      </c>
      <c r="AD69" s="116" t="n">
        <f aca="false">AC69+AD48+AD49+AD50+AD51-AD63+AD245</f>
        <v>385.066722828534</v>
      </c>
      <c r="AE69" s="116" t="n">
        <f aca="false">AD69+AE48+AE49+AE50+AE51-AE63+AE245</f>
        <v>389.471810076347</v>
      </c>
      <c r="AF69" s="116" t="n">
        <f aca="false">AE69+AF48+AF49+AF50+AF51-AF63+AF245</f>
        <v>393.780444596486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16.4793494096682</v>
      </c>
      <c r="G70" s="116" t="n">
        <f aca="false">F70+G49+G51+G57+G65+G245</f>
        <v>32.71326087483</v>
      </c>
      <c r="H70" s="116" t="n">
        <f aca="false">G70+H49+H51+H57+H65+H245</f>
        <v>48.9504167038027</v>
      </c>
      <c r="I70" s="116" t="n">
        <f aca="false">H70+I49+I51+I57+I65+I245</f>
        <v>65.1909314226286</v>
      </c>
      <c r="J70" s="116" t="n">
        <f aca="false">I70+J49+J51+J57+J65+J245</f>
        <v>81.4349236001197</v>
      </c>
      <c r="K70" s="116" t="n">
        <f aca="false">J70+K49+K51+K57+K65+K245</f>
        <v>88.4488451420297</v>
      </c>
      <c r="L70" s="116" t="n">
        <f aca="false">K70+L49+L51+L57+L65+L245</f>
        <v>95.4627666839397</v>
      </c>
      <c r="M70" s="116" t="n">
        <f aca="false">L70+M49+M51+M57+M65+M245</f>
        <v>98.2583405071303</v>
      </c>
      <c r="N70" s="116" t="n">
        <f aca="false">M70+N49+N51+N57+N65+N245</f>
        <v>101.057909422759</v>
      </c>
      <c r="O70" s="116" t="n">
        <f aca="false">N70+O49+O51+O57+O65+O245</f>
        <v>103.86161445759</v>
      </c>
      <c r="P70" s="116" t="n">
        <f aca="false">O70+P49+P51+P57+P65+P245</f>
        <v>106.669601616631</v>
      </c>
      <c r="Q70" s="116" t="n">
        <f aca="false">P70+Q49+Q51+Q57+Q65+Q245</f>
        <v>109.482022058865</v>
      </c>
      <c r="R70" s="116" t="n">
        <f aca="false">Q70+R49+R51+R57+R65+R245</f>
        <v>112.299032279191</v>
      </c>
      <c r="S70" s="116" t="n">
        <f aca="false">R70+S49+S51+S57+S65+S245</f>
        <v>115.120794296774</v>
      </c>
      <c r="T70" s="116" t="n">
        <f aca="false">S70+T49+T51+T57+T65+T245</f>
        <v>117.947475850057</v>
      </c>
      <c r="U70" s="116" t="n">
        <f aca="false">T70+U49+U51+U57+U65+U245</f>
        <v>120.779250598652</v>
      </c>
      <c r="V70" s="116" t="n">
        <f aca="false">U70+V49+V51+V57+V65+V245</f>
        <v>123.616298332351</v>
      </c>
      <c r="W70" s="116" t="n">
        <f aca="false">V70+W49+W51+W57+W65+W245</f>
        <v>126.458805187531</v>
      </c>
      <c r="X70" s="116" t="n">
        <f aca="false">W70+X49+X51+X57+X65+X245</f>
        <v>129.306963871178</v>
      </c>
      <c r="Y70" s="116" t="n">
        <f aca="false">X70+Y49+Y51+Y57+Y65+Y245</f>
        <v>132.160973892838</v>
      </c>
      <c r="Z70" s="116" t="n">
        <f aca="false">Y70+Z49+Z51+Z57+Z65+Z245</f>
        <v>135.021041804743</v>
      </c>
      <c r="AA70" s="116" t="n">
        <f aca="false">Z70+AA49+AA51+AA57+AA65+AA245</f>
        <v>137.887381450418</v>
      </c>
      <c r="AB70" s="116" t="n">
        <f aca="false">AA70+AB49+AB51+AB57+AB65+AB245</f>
        <v>140.760214222065</v>
      </c>
      <c r="AC70" s="116" t="n">
        <f aca="false">AB70+AC49+AC51+AC57+AC65+AC245</f>
        <v>143.639769327032</v>
      </c>
      <c r="AD70" s="116" t="n">
        <f aca="false">AC70+AD49+AD51+AD57+AD65+AD245</f>
        <v>146.526284063683</v>
      </c>
      <c r="AE70" s="116" t="n">
        <f aca="false">AD70+AE49+AE51+AE57+AE65+AE245</f>
        <v>149.420004107019</v>
      </c>
      <c r="AF70" s="116" t="n">
        <f aca="false">AE70+AF49+AF51+AF57+AF65+AF245</f>
        <v>152.321183804364</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1358</v>
      </c>
      <c r="C72" s="116" t="n">
        <f aca="false">IF($C$173="Sí",(C83-C326)+C181,$C$15*0)</f>
        <v>5.99497779535458</v>
      </c>
      <c r="D72" s="116" t="n">
        <f aca="false">IF($C$173="Sí",(D83-D326)+D181,$C$15*C83)</f>
        <v>16.0714063617387</v>
      </c>
      <c r="E72" s="116" t="n">
        <f aca="false">IF($C$173="Sí",(E83-E326)+E181,$C$15*D83)</f>
        <v>28.8608867898546</v>
      </c>
      <c r="F72" s="116" t="n">
        <f aca="false">IF($C$173="Sí",(F83-F326)+F181,$C$15*E83)</f>
        <v>42.8880032461946</v>
      </c>
      <c r="G72" s="116" t="n">
        <f aca="false">IF($C$173="Sí",(G83-G326)+G181,$C$15*F83)</f>
        <v>56.9586948084126</v>
      </c>
      <c r="H72" s="116" t="n">
        <f aca="false">IF($C$173="Sí",(H83-H326)+H181,$C$15*G83)</f>
        <v>70.9319257622879</v>
      </c>
      <c r="I72" s="116" t="n">
        <f aca="false">IF($C$173="Sí",(I83-I326)+I181,$C$15*H83)</f>
        <v>85.1920007336856</v>
      </c>
      <c r="J72" s="116" t="n">
        <f aca="false">IF($C$173="Sí",(J83-J326)+J181,$C$15*I83)</f>
        <v>99.7827849436026</v>
      </c>
      <c r="K72" s="116" t="n">
        <f aca="false">IF($C$173="Sí",(K83-K326)+K181,$C$15*J83)</f>
        <v>114.259506266228</v>
      </c>
      <c r="L72" s="116" t="n">
        <f aca="false">IF($C$173="Sí",(L83-L326)+L181,$C$15*K83)</f>
        <v>129.348433884454</v>
      </c>
      <c r="M72" s="116" t="n">
        <f aca="false">IF($C$173="Sí",(M83-M326)+M181,$C$15*L83)</f>
        <v>143.270413390829</v>
      </c>
      <c r="N72" s="116" t="n">
        <f aca="false">IF($C$173="Sí",(N83-N326)+N181,$C$15*M83)</f>
        <v>153.001889506478</v>
      </c>
      <c r="O72" s="116" t="n">
        <f aca="false">IF($C$173="Sí",(O83-O326)+O181,$C$15*N83)</f>
        <v>158.500620639813</v>
      </c>
      <c r="P72" s="116" t="n">
        <f aca="false">IF($C$173="Sí",(P83-P326)+P181,$C$15*O83)</f>
        <v>162.704718717026</v>
      </c>
      <c r="Q72" s="116" t="n">
        <f aca="false">IF($C$173="Sí",(Q83-Q326)+Q181,$C$15*P83)</f>
        <v>166.427983782937</v>
      </c>
      <c r="R72" s="116" t="n">
        <f aca="false">IF($C$173="Sí",(R83-R326)+R181,$C$15*Q83)</f>
        <v>170.235751546277</v>
      </c>
      <c r="S72" s="116" t="n">
        <f aca="false">IF($C$173="Sí",(S83-S326)+S181,$C$15*R83)</f>
        <v>174.131356512559</v>
      </c>
      <c r="T72" s="116" t="n">
        <f aca="false">IF($C$173="Sí",(T83-T326)+T181,$C$15*S83)</f>
        <v>178.117012467472</v>
      </c>
      <c r="U72" s="116" t="n">
        <f aca="false">IF($C$173="Sí",(U83-U326)+U181,$C$15*T83)</f>
        <v>182.199964148863</v>
      </c>
      <c r="V72" s="116" t="n">
        <f aca="false">IF($C$173="Sí",(V83-V326)+V181,$C$15*U83)</f>
        <v>185.323607465169</v>
      </c>
      <c r="W72" s="116" t="n">
        <f aca="false">IF($C$173="Sí",(W83-W326)+W181,$C$15*V83)</f>
        <v>188.166263255523</v>
      </c>
      <c r="X72" s="116" t="n">
        <f aca="false">IF($C$173="Sí",(X83-X326)+X181,$C$15*W83)</f>
        <v>190.88944211945</v>
      </c>
      <c r="Y72" s="116" t="n">
        <f aca="false">IF($C$173="Sí",(Y83-Y326)+Y181,$C$15*X83)</f>
        <v>193.54809239456</v>
      </c>
      <c r="Z72" s="116" t="n">
        <f aca="false">IF($C$173="Sí",(Z83-Z326)+Z181,$C$15*Y83)</f>
        <v>196.149921589219</v>
      </c>
      <c r="AA72" s="116" t="n">
        <f aca="false">IF($C$173="Sí",(AA83-AA326)+AA181,$C$15*Z83)</f>
        <v>198.694777836586</v>
      </c>
      <c r="AB72" s="116" t="n">
        <f aca="false">IF($C$173="Sí",(AB83-AB326)+AB181,$C$15*AA83)</f>
        <v>201.182557990054</v>
      </c>
      <c r="AC72" s="116" t="n">
        <f aca="false">IF($C$173="Sí",(AC83-AC326)+AC181,$C$15*AB83)</f>
        <v>203.613142824044</v>
      </c>
      <c r="AD72" s="116" t="n">
        <f aca="false">IF($C$173="Sí",(AD83-AD326)+AD181,$C$15*AC83)</f>
        <v>205.986404852058</v>
      </c>
      <c r="AE72" s="116" t="n">
        <f aca="false">IF($C$173="Sí",(AE83-AE326)+AE181,$C$15*AD83)</f>
        <v>208.302220000676</v>
      </c>
      <c r="AF72" s="116" t="n">
        <f aca="false">IF($C$173="Sí",(AF83-AF326)+AF181,$C$15*AE83)</f>
        <v>210.560467334371</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5.99497779535458</v>
      </c>
      <c r="D73" s="116" t="n">
        <f aca="false">D72-C72</f>
        <v>10.0764285663841</v>
      </c>
      <c r="E73" s="116" t="n">
        <f aca="false">E72-D72</f>
        <v>12.7894804281159</v>
      </c>
      <c r="F73" s="116" t="n">
        <f aca="false">F72-E72</f>
        <v>14.0271164563399</v>
      </c>
      <c r="G73" s="116" t="n">
        <f aca="false">G72-F72</f>
        <v>14.0706915622181</v>
      </c>
      <c r="H73" s="116" t="n">
        <f aca="false">H72-G72</f>
        <v>13.9732309538752</v>
      </c>
      <c r="I73" s="116" t="n">
        <f aca="false">I72-H72</f>
        <v>14.2600749713978</v>
      </c>
      <c r="J73" s="116" t="n">
        <f aca="false">J72-I72</f>
        <v>14.590784209917</v>
      </c>
      <c r="K73" s="116" t="n">
        <f aca="false">K72-J72</f>
        <v>14.4767213226254</v>
      </c>
      <c r="L73" s="116" t="n">
        <f aca="false">L72-K72</f>
        <v>15.0889276182263</v>
      </c>
      <c r="M73" s="116" t="n">
        <f aca="false">M72-L72</f>
        <v>13.9219795063746</v>
      </c>
      <c r="N73" s="116" t="n">
        <f aca="false">N72-M72</f>
        <v>9.73147611564869</v>
      </c>
      <c r="O73" s="116" t="n">
        <f aca="false">O72-N72</f>
        <v>5.4987311333351</v>
      </c>
      <c r="P73" s="116" t="n">
        <f aca="false">P72-O72</f>
        <v>4.20409807721316</v>
      </c>
      <c r="Q73" s="116" t="n">
        <f aca="false">Q72-P72</f>
        <v>3.72326506591091</v>
      </c>
      <c r="R73" s="116" t="n">
        <f aca="false">R72-Q72</f>
        <v>3.80776776334034</v>
      </c>
      <c r="S73" s="116" t="n">
        <f aca="false">S72-R72</f>
        <v>3.89560496628229</v>
      </c>
      <c r="T73" s="116" t="n">
        <f aca="false">T72-S72</f>
        <v>3.98565595491232</v>
      </c>
      <c r="U73" s="116" t="n">
        <f aca="false">U72-T72</f>
        <v>4.0829516813908</v>
      </c>
      <c r="V73" s="116" t="n">
        <f aca="false">V72-U72</f>
        <v>3.12364331630667</v>
      </c>
      <c r="W73" s="116" t="n">
        <f aca="false">W72-V72</f>
        <v>2.84265579035426</v>
      </c>
      <c r="X73" s="116" t="n">
        <f aca="false">X72-W72</f>
        <v>2.72317886392631</v>
      </c>
      <c r="Y73" s="116" t="n">
        <f aca="false">Y72-X72</f>
        <v>2.65865027511057</v>
      </c>
      <c r="Z73" s="116" t="n">
        <f aca="false">Z72-Y72</f>
        <v>2.60182919465905</v>
      </c>
      <c r="AA73" s="116" t="n">
        <f aca="false">AA72-Z72</f>
        <v>2.54485624736643</v>
      </c>
      <c r="AB73" s="116" t="n">
        <f aca="false">AB72-AA72</f>
        <v>2.48778015346826</v>
      </c>
      <c r="AC73" s="116" t="n">
        <f aca="false">AC72-AB72</f>
        <v>2.43058483398966</v>
      </c>
      <c r="AD73" s="116" t="n">
        <f aca="false">AD72-AC72</f>
        <v>2.37326202801407</v>
      </c>
      <c r="AE73" s="116" t="n">
        <f aca="false">AE72-AD72</f>
        <v>2.31581514861864</v>
      </c>
      <c r="AF73" s="116" t="n">
        <f aca="false">AF72-AE72</f>
        <v>2.25824733369507</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0.591335138619143</v>
      </c>
      <c r="E75" s="116" t="n">
        <f aca="false">$C$19*D81</f>
        <v>1.56352859909571</v>
      </c>
      <c r="F75" s="116" t="n">
        <f aca="false">$C$19*E81</f>
        <v>2.87438145983746</v>
      </c>
      <c r="G75" s="116" t="n">
        <f aca="false">$C$19*F81</f>
        <v>5.88201220350136</v>
      </c>
      <c r="H75" s="116" t="n">
        <f aca="false">$C$19*G81</f>
        <v>8.88961489631582</v>
      </c>
      <c r="I75" s="116" t="n">
        <f aca="false">$C$19*H81</f>
        <v>11.3755531699932</v>
      </c>
      <c r="J75" s="116" t="n">
        <f aca="false">$C$19*I81</f>
        <v>13.550262101845</v>
      </c>
      <c r="K75" s="116" t="n">
        <f aca="false">$C$19*J81</f>
        <v>15.4559000644048</v>
      </c>
      <c r="L75" s="116" t="n">
        <f aca="false">$C$19*K81</f>
        <v>16.085184703998</v>
      </c>
      <c r="M75" s="116" t="n">
        <f aca="false">$C$19*L81</f>
        <v>16.7149780603705</v>
      </c>
      <c r="N75" s="116" t="n">
        <f aca="false">$C$19*M81</f>
        <v>17.333113127961</v>
      </c>
      <c r="O75" s="116" t="n">
        <f aca="false">$C$19*N81</f>
        <v>17.9276752486722</v>
      </c>
      <c r="P75" s="116" t="n">
        <f aca="false">$C$19*O81</f>
        <v>18.488529242229</v>
      </c>
      <c r="Q75" s="116" t="n">
        <f aca="false">$C$19*P81</f>
        <v>18.9877546857199</v>
      </c>
      <c r="R75" s="116" t="n">
        <f aca="false">$C$19*Q81</f>
        <v>19.4253286522762</v>
      </c>
      <c r="S75" s="116" t="n">
        <f aca="false">$C$19*R81</f>
        <v>19.8155027594407</v>
      </c>
      <c r="T75" s="116" t="n">
        <f aca="false">$C$19*S81</f>
        <v>20.1699742746425</v>
      </c>
      <c r="U75" s="116" t="n">
        <f aca="false">$C$19*T81</f>
        <v>20.4986629767093</v>
      </c>
      <c r="V75" s="116" t="n">
        <f aca="false">$C$19*U81</f>
        <v>20.8290962620176</v>
      </c>
      <c r="W75" s="116" t="n">
        <f aca="false">$C$19*V81</f>
        <v>21.1610789654278</v>
      </c>
      <c r="X75" s="116" t="n">
        <f aca="false">$C$19*W81</f>
        <v>21.4872452157929</v>
      </c>
      <c r="Y75" s="116" t="n">
        <f aca="false">$C$19*X81</f>
        <v>21.8074075586116</v>
      </c>
      <c r="Z75" s="116" t="n">
        <f aca="false">$C$19*Y81</f>
        <v>22.1213791633574</v>
      </c>
      <c r="AA75" s="116" t="n">
        <f aca="false">$C$19*Z81</f>
        <v>22.4289737837991</v>
      </c>
      <c r="AB75" s="116" t="n">
        <f aca="false">$C$19*AA81</f>
        <v>22.7300057200062</v>
      </c>
      <c r="AC75" s="116" t="n">
        <f aca="false">$C$19*AB81</f>
        <v>23.024459952086</v>
      </c>
      <c r="AD75" s="116" t="n">
        <f aca="false">$C$19*AC81</f>
        <v>23.3123219351363</v>
      </c>
      <c r="AE75" s="116" t="n">
        <f aca="false">$C$19*AD81</f>
        <v>23.5935775657523</v>
      </c>
      <c r="AF75" s="116" t="n">
        <f aca="false">$C$19*AE81</f>
        <v>23.8682131498652</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118.390804597701</v>
      </c>
      <c r="D76" s="116" t="n">
        <f aca="false">(IF($C$173="Sí",(MAX(0,D74-C96)+MAX(0,C276+D53-D75))/D327,D73+MAX(0,D74-C96)+MAX(0,C276+D53-D75)))+IF($C$173="Sí",MAX(0,$C$226*(D70+C121)*0.3/0.55-C227)/D327,0)</f>
        <v>295.174266869667</v>
      </c>
      <c r="E76" s="116" t="n">
        <f aca="false">(IF($C$173="Sí",(MAX(0,E74-D96)+MAX(0,D276+E53-E75))/E327,E73+MAX(0,E74-D96)+MAX(0,D276+E53-E75)))+IF($C$173="Sí",MAX(0,$C$226*(E70+D121)*0.3/0.55-D227)/E327,0)</f>
        <v>414.614270819738</v>
      </c>
      <c r="F76" s="116" t="n">
        <f aca="false">(IF($C$173="Sí",(MAX(0,F74-E96)+MAX(0,E276+F53-F75))/F327,F73+MAX(0,F74-E96)+MAX(0,E276+F53-F75)))+IF($C$173="Sí",MAX(0,$C$226*(F70+E121)*0.3/0.55-E227)/F327,0)</f>
        <v>535.30200655214</v>
      </c>
      <c r="G76" s="116" t="n">
        <f aca="false">(IF($C$173="Sí",(MAX(0,G74-F96)+MAX(0,F276+G53-G75))/G327,G73+MAX(0,G74-F96)+MAX(0,F276+G53-G75)))+IF($C$173="Sí",MAX(0,$C$226*(G70+F121)*0.3/0.55-F227)/G327,0)</f>
        <v>823.224830378226</v>
      </c>
      <c r="H76" s="116" t="n">
        <f aca="false">(IF($C$173="Sí",(MAX(0,H74-G96)+MAX(0,G276+H53-H75))/H327,H73+MAX(0,H74-G96)+MAX(0,G276+H53-H75)))+IF($C$173="Sí",MAX(0,$C$226*(H70+G121)*0.3/0.55-G227)/H327,0)</f>
        <v>888.723067085633</v>
      </c>
      <c r="I76" s="116" t="n">
        <f aca="false">(IF($C$173="Sí",(MAX(0,I74-H96)+MAX(0,H276+I53-I75))/I327,I73+MAX(0,I74-H96)+MAX(0,H276+I53-I75)))+IF($C$173="Sí",MAX(0,$C$226*(I70+H121)*0.3/0.55-H227)/I327,0)</f>
        <v>872.284099177557</v>
      </c>
      <c r="J76" s="116" t="n">
        <f aca="false">(IF($C$173="Sí",(MAX(0,J74-I96)+MAX(0,I276+J53-J75))/J327,J73+MAX(0,J74-I96)+MAX(0,I276+J53-J75)))+IF($C$173="Sí",MAX(0,$C$226*(J70+I121)*0.3/0.55-I227)/J327,0)</f>
        <v>886.743621881474</v>
      </c>
      <c r="K76" s="116" t="n">
        <f aca="false">(IF($C$173="Sí",(MAX(0,K74-J96)+MAX(0,J276+K53-K75))/K327,K73+MAX(0,K74-J96)+MAX(0,J276+K53-K75)))+IF($C$173="Sí",MAX(0,$C$226*(K70+J121)*0.3/0.55-J227)/K327,0)</f>
        <v>909.379248867381</v>
      </c>
      <c r="L76" s="116" t="n">
        <f aca="false">(IF($C$173="Sí",(MAX(0,L74-K96)+MAX(0,K276+L53-L75))/L327,L73+MAX(0,L74-K96)+MAX(0,K276+L53-L75)))+IF($C$173="Sí",MAX(0,$C$226*(L70+K121)*0.3/0.55-K227)/L327,0)</f>
        <v>862.451723084828</v>
      </c>
      <c r="M76" s="116" t="n">
        <f aca="false">(IF($C$173="Sí",(MAX(0,M74-L96)+MAX(0,L276+M53-M75))/M327,M73+MAX(0,M74-L96)+MAX(0,L276+M53-M75)))+IF($C$173="Sí",MAX(0,$C$226*(M70+L121)*0.3/0.55-L227)/M327,0)</f>
        <v>802.968547764406</v>
      </c>
      <c r="N76" s="116" t="n">
        <f aca="false">(IF($C$173="Sí",(MAX(0,N74-M96)+MAX(0,M276+N53-N75))/N327,N73+MAX(0,N74-M96)+MAX(0,M276+N53-N75)))+IF($C$173="Sí",MAX(0,$C$226*(N70+M121)*0.3/0.55-M227)/N327,0)</f>
        <v>669.821669748918</v>
      </c>
      <c r="O76" s="116" t="n">
        <f aca="false">(IF($C$173="Sí",(MAX(0,O74-N96)+MAX(0,N276+O53-O75))/O327,O73+MAX(0,O74-N96)+MAX(0,N276+O53-O75)))+IF($C$173="Sí",MAX(0,$C$226*(O70+N121)*0.3/0.55-N227)/O327,0)</f>
        <v>629.636981995933</v>
      </c>
      <c r="P76" s="116" t="n">
        <f aca="false">(IF($C$173="Sí",(MAX(0,P74-O96)+MAX(0,O276+P53-P75))/P327,P73+MAX(0,P74-O96)+MAX(0,O276+P53-P75)))+IF($C$173="Sí",MAX(0,$C$226*(P70+O121)*0.3/0.55-O227)/P327,0)</f>
        <v>666.099858787283</v>
      </c>
      <c r="Q76" s="116" t="n">
        <f aca="false">(IF($C$173="Sí",(MAX(0,Q74-P96)+MAX(0,P276+Q53-Q75))/Q327,Q73+MAX(0,Q74-P96)+MAX(0,P276+Q53-Q75)))+IF($C$173="Sí",MAX(0,$C$226*(Q70+P121)*0.3/0.55-P227)/Q327,0)</f>
        <v>668.274453112837</v>
      </c>
      <c r="R76" s="116" t="n">
        <f aca="false">(IF($C$173="Sí",(MAX(0,R74-Q96)+MAX(0,Q276+R53-R75))/R327,R73+MAX(0,R74-Q96)+MAX(0,Q276+R53-R75)))+IF($C$173="Sí",MAX(0,$C$226*(R70+Q121)*0.3/0.55-Q227)/R327,0)</f>
        <v>667.589858084915</v>
      </c>
      <c r="S76" s="116" t="n">
        <f aca="false">(IF($C$173="Sí",(MAX(0,S74-R96)+MAX(0,R276+S53-S75))/S327,S73+MAX(0,S74-R96)+MAX(0,R276+S53-S75)))+IF($C$173="Sí",MAX(0,$C$226*(S70+R121)*0.3/0.55-R227)/S327,0)</f>
        <v>666.822926462795</v>
      </c>
      <c r="T76" s="116" t="n">
        <f aca="false">(IF($C$173="Sí",(MAX(0,T74-S96)+MAX(0,S276+T53-T75))/T327,T73+MAX(0,T74-S96)+MAX(0,S276+T53-T75)))+IF($C$173="Sí",MAX(0,$C$226*(T70+S121)*0.3/0.55-S227)/T327,0)</f>
        <v>665.682742009882</v>
      </c>
      <c r="U76" s="116" t="n">
        <f aca="false">(IF($C$173="Sí",(MAX(0,U74-T96)+MAX(0,T276+U53-U75))/U327,U73+MAX(0,U74-T96)+MAX(0,T276+U53-U75)))+IF($C$173="Sí",MAX(0,$C$226*(U70+T121)*0.3/0.55-T227)/U327,0)</f>
        <v>663.952912397062</v>
      </c>
      <c r="V76" s="116" t="n">
        <f aca="false">(IF($C$173="Sí",(MAX(0,V74-U96)+MAX(0,U276+V53-V75))/V327,V73+MAX(0,V74-U96)+MAX(0,U276+V53-V75)))+IF($C$173="Sí",MAX(0,$C$226*(V70+U121)*0.3/0.55-U227)/V327,0)</f>
        <v>662.073041728444</v>
      </c>
      <c r="W76" s="116" t="n">
        <f aca="false">(IF($C$173="Sí",(MAX(0,W74-V96)+MAX(0,V276+W53-W75))/W327,W73+MAX(0,W74-V96)+MAX(0,V276+W53-W75)))+IF($C$173="Sí",MAX(0,$C$226*(W70+V121)*0.3/0.55-V227)/W327,0)</f>
        <v>655.484035253596</v>
      </c>
      <c r="X76" s="116" t="n">
        <f aca="false">(IF($C$173="Sí",(MAX(0,X74-W96)+MAX(0,W276+X53-X75))/X327,X73+MAX(0,X74-W96)+MAX(0,W276+X53-X75)))+IF($C$173="Sí",MAX(0,$C$226*(X70+W121)*0.3/0.55-W227)/X327,0)</f>
        <v>651.761608692831</v>
      </c>
      <c r="Y76" s="116" t="n">
        <f aca="false">(IF($C$173="Sí",(MAX(0,Y74-X96)+MAX(0,X276+Y53-Y75))/Y327,Y73+MAX(0,Y74-X96)+MAX(0,X276+Y53-Y75)))+IF($C$173="Sí",MAX(0,$C$226*(Y70+X121)*0.3/0.55-X227)/Y327,0)</f>
        <v>647.67412756827</v>
      </c>
      <c r="Z76" s="116" t="n">
        <f aca="false">(IF($C$173="Sí",(MAX(0,Z74-Y96)+MAX(0,Y276+Z53-Z75))/Z327,Z73+MAX(0,Z74-Y96)+MAX(0,Y276+Z53-Z75)))+IF($C$173="Sí",MAX(0,$C$226*(Z70+Y121)*0.3/0.55-Y227)/Z327,0)</f>
        <v>642.720941007097</v>
      </c>
      <c r="AA76" s="116" t="n">
        <f aca="false">(IF($C$173="Sí",(MAX(0,AA74-Z96)+MAX(0,Z276+AA53-AA75))/AA327,AA73+MAX(0,AA74-Z96)+MAX(0,Z276+AA53-AA75)))+IF($C$173="Sí",MAX(0,$C$226*(AA70+Z121)*0.3/0.55-Z227)/AA327,0)</f>
        <v>636.965111475073</v>
      </c>
      <c r="AB76" s="116" t="n">
        <f aca="false">(IF($C$173="Sí",(MAX(0,AB74-AA96)+MAX(0,AA276+AB53-AB75))/AB327,AB73+MAX(0,AB74-AA96)+MAX(0,AA276+AB53-AB75)))+IF($C$173="Sí",MAX(0,$C$226*(AB70+AA121)*0.3/0.55-AA227)/AB327,0)</f>
        <v>630.432308473976</v>
      </c>
      <c r="AC76" s="116" t="n">
        <f aca="false">(IF($C$173="Sí",(MAX(0,AC74-AB96)+MAX(0,AB276+AC53-AC75))/AC327,AC73+MAX(0,AC74-AB96)+MAX(0,AB276+AC53-AC75)))+IF($C$173="Sí",MAX(0,$C$226*(AC70+AB121)*0.3/0.55-AB227)/AC327,0)</f>
        <v>623.150515322392</v>
      </c>
      <c r="AD76" s="116" t="n">
        <f aca="false">(IF($C$173="Sí",(MAX(0,AD74-AC96)+MAX(0,AC276+AD53-AD75))/AD327,AD73+MAX(0,AD74-AC96)+MAX(0,AC276+AD53-AD75)))+IF($C$173="Sí",MAX(0,$C$226*(AD70+AC121)*0.3/0.55-AC227)/AD327,0)</f>
        <v>615.142529861223</v>
      </c>
      <c r="AE76" s="116" t="n">
        <f aca="false">(IF($C$173="Sí",(MAX(0,AE74-AD96)+MAX(0,AD276+AE53-AE75))/AE327,AE73+MAX(0,AE74-AD96)+MAX(0,AD276+AE53-AE75)))+IF($C$173="Sí",MAX(0,$C$226*(AE70+AD121)*0.3/0.55-AD227)/AE327,0)</f>
        <v>606.430121642199</v>
      </c>
      <c r="AF76" s="116" t="n">
        <f aca="false">(IF($C$173="Sí",(MAX(0,AF74-AE96)+MAX(0,AE276+AF53-AF75))/AF327,AF73+MAX(0,AF74-AE96)+MAX(0,AE276+AF53-AF75)))+IF($C$173="Sí",MAX(0,$C$226*(AF70+AE121)*0.3/0.55-AE227)/AF327,0)</f>
        <v>597.034188884554</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20.1853498759641</v>
      </c>
      <c r="E78" s="116" t="n">
        <f aca="false">MIN(MIN(D83+IF(E$39&lt;=01_Supuestos!$C$182,01_Supuestos!$C$181,$C$174)*E41,D83+E76),IF(01_Supuestos!$C$179&gt;0,01_Supuestos!$C$179/(1-01_Supuestos!$C$179)*64_Inflacion!$C$5*E41/$C$41,1E+099))</f>
        <v>31.5940666948854</v>
      </c>
      <c r="F78" s="116" t="n">
        <f aca="false">MIN(MIN(E83+IF(F$39&lt;=01_Supuestos!$C$182,01_Supuestos!$C$181,$C$174)*F41,E83+F76),IF(01_Supuestos!$C$179&gt;0,01_Supuestos!$C$179/(1-01_Supuestos!$C$179)*64_Inflacion!$C$5*F41/$C$41,1E+099))</f>
        <v>45.5118558658854</v>
      </c>
      <c r="G78" s="116" t="n">
        <f aca="false">MIN(MIN(F83+IF(G$39&lt;=01_Supuestos!$C$182,01_Supuestos!$C$181,$C$174)*G41,F83+G76),IF(01_Supuestos!$C$179&gt;0,01_Supuestos!$C$179/(1-01_Supuestos!$C$179)*64_Inflacion!$C$5*G41/$C$41,1E+099))</f>
        <v>59.7497541878184</v>
      </c>
      <c r="H78" s="116" t="n">
        <f aca="false">MIN(MIN(G83+IF(H$39&lt;=01_Supuestos!$C$182,01_Supuestos!$C$181,$C$174)*H41,G83+H76),IF(01_Supuestos!$C$179&gt;0,01_Supuestos!$C$179/(1-01_Supuestos!$C$179)*64_Inflacion!$C$5*H41/$C$41,1E+099))</f>
        <v>74.3151241711558</v>
      </c>
      <c r="I78" s="116" t="n">
        <f aca="false">MIN(MIN(H83+IF(I$39&lt;=01_Supuestos!$C$182,01_Supuestos!$C$181,$C$174)*I41,H83+I76),IF(01_Supuestos!$C$179&gt;0,01_Supuestos!$C$179/(1-01_Supuestos!$C$179)*64_Inflacion!$C$5*I41/$C$41,1E+099))</f>
        <v>89.21549766411</v>
      </c>
      <c r="J78" s="116" t="n">
        <f aca="false">MIN(MIN(I83+IF(J$39&lt;=01_Supuestos!$C$182,01_Supuestos!$C$181,$C$174)*J41,I83+J76),IF(01_Supuestos!$C$179&gt;0,01_Supuestos!$C$179/(1-01_Supuestos!$C$179)*64_Inflacion!$C$5*J41/$C$41,1E+099))</f>
        <v>104.458579747402</v>
      </c>
      <c r="K78" s="116" t="n">
        <f aca="false">MIN(MIN(J83+IF(K$39&lt;=01_Supuestos!$C$182,01_Supuestos!$C$181,$C$174)*K41,J83+K76),IF(01_Supuestos!$C$179&gt;0,01_Supuestos!$C$179/(1-01_Supuestos!$C$179)*64_Inflacion!$C$5*K41/$C$41,1E+099))</f>
        <v>120.05225271861</v>
      </c>
      <c r="L78" s="116" t="n">
        <f aca="false">MIN(MIN(K83+IF(L$39&lt;=01_Supuestos!$C$182,01_Supuestos!$C$181,$C$174)*L41,K83+L76),IF(01_Supuestos!$C$179&gt;0,01_Supuestos!$C$179/(1-01_Supuestos!$C$179)*64_Inflacion!$C$5*L41/$C$41,1E+099))</f>
        <v>136.004580168156</v>
      </c>
      <c r="M78" s="116" t="n">
        <f aca="false">MIN(MIN(L83+IF(M$39&lt;=01_Supuestos!$C$182,01_Supuestos!$C$181,$C$174)*M41,L83+M76),IF(01_Supuestos!$C$179&gt;0,01_Supuestos!$C$179/(1-01_Supuestos!$C$179)*64_Inflacion!$C$5*M41/$C$41,1E+099))</f>
        <v>152.323811149041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242.020414876622</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6.88634987596409</v>
      </c>
      <c r="D79" s="116" t="n">
        <f aca="false">MAX(0,MIN(D67,$C$9*(D69+D68+C121),D78))</f>
        <v>17.9891896948854</v>
      </c>
      <c r="E79" s="116" t="n">
        <f aca="false">MAX(0,MIN(E67,$C$9*(E69+E68+D121),E78))</f>
        <v>31.5940666948854</v>
      </c>
      <c r="F79" s="116" t="n">
        <f aca="false">MAX(0,MIN(F67,$C$9*(F69+F68+E121),F78))</f>
        <v>45.5118558658854</v>
      </c>
      <c r="G79" s="116" t="n">
        <f aca="false">MAX(0,MIN(G67,$C$9*(G69+G68+F121),G78))</f>
        <v>59.7497541878184</v>
      </c>
      <c r="H79" s="116" t="n">
        <f aca="false">MAX(0,MIN(H67,$C$9*(H69+H68+G121),H78))</f>
        <v>74.3151241711558</v>
      </c>
      <c r="I79" s="116" t="n">
        <f aca="false">MAX(0,MIN(I67,$C$9*(I69+I68+H121),I78))</f>
        <v>89.21549766411</v>
      </c>
      <c r="J79" s="116" t="n">
        <f aca="false">MAX(0,MIN(J67,$C$9*(J69+J68+I121),J78))</f>
        <v>104.458579747402</v>
      </c>
      <c r="K79" s="116" t="n">
        <f aca="false">MAX(0,MIN(K67,$C$9*(K69+K68+J121),K78))</f>
        <v>120.05225271861</v>
      </c>
      <c r="L79" s="116" t="n">
        <f aca="false">MAX(0,MIN(L67,$C$9*(L69+L68+K121),L78))</f>
        <v>136.004580168156</v>
      </c>
      <c r="M79" s="116" t="n">
        <f aca="false">MAX(0,MIN(M67,$C$9*(M69+M68+L121),M78))</f>
        <v>152.323811149041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193.15848872137</v>
      </c>
      <c r="W79" s="116" t="n">
        <f aca="false">MAX(0,MIN(W67,$C$9*(W69+W68+V121),W78))</f>
        <v>196.030818815448</v>
      </c>
      <c r="X79" s="116" t="n">
        <f aca="false">MAX(0,MIN(X67,$C$9*(X69+X68+W121),X78))</f>
        <v>198.84439784146</v>
      </c>
      <c r="Y79" s="116" t="n">
        <f aca="false">MAX(0,MIN(Y67,$C$9*(Y69+Y68+X121),Y78))</f>
        <v>201.599071573836</v>
      </c>
      <c r="Z79" s="116" t="n">
        <f aca="false">MAX(0,MIN(Z67,$C$9*(Z69+Z68+Y121),Z78))</f>
        <v>204.294690894505</v>
      </c>
      <c r="AA79" s="116" t="n">
        <f aca="false">MAX(0,MIN(AA67,$C$9*(AA69+AA68+Z121),AA78))</f>
        <v>206.931111445608</v>
      </c>
      <c r="AB79" s="116" t="n">
        <f aca="false">MAX(0,MIN(AB67,$C$9*(AB69+AB68+AA121),AB78))</f>
        <v>209.508193296327</v>
      </c>
      <c r="AC79" s="116" t="n">
        <f aca="false">MAX(0,MIN(AC67,$C$9*(AC69+AC68+AB121),AC78))</f>
        <v>212.025800623019</v>
      </c>
      <c r="AD79" s="116" t="n">
        <f aca="false">MAX(0,MIN(AD67,$C$9*(AD69+AD68+AC121),AD78))</f>
        <v>214.483801401861</v>
      </c>
      <c r="AE79" s="116" t="n">
        <f aca="false">MAX(0,MIN(AE67,$C$9*(AE69+AE68+AD121),AE78))</f>
        <v>216.882067113262</v>
      </c>
      <c r="AF79" s="116" t="n">
        <f aca="false">MAX(0,MIN(AF67,$C$9*(AF69+AF68+AE121),AF78))</f>
        <v>219.220472457332</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0.386255216886864</v>
      </c>
      <c r="D80" s="116" t="n">
        <f aca="false">IF($C$177&lt;=1,D68,SUMPRODUCT($C$189:D189,((D$39-$C$39:D$39+1)&gt;=$C$177)+((D$39-$C$39:D$39+1)&lt;$C$177)*(D$39-$C$39:D$39+1)/$C$177))</f>
        <v>1.39643969852219</v>
      </c>
      <c r="E80" s="116" t="n">
        <f aca="false">IF($C$177&lt;=1,E68,SUMPRODUCT($C$189:E189,((E$39-$C$39:E$39+1)&gt;=$C$177)+((E$39-$C$39:E$39+1)&lt;$C$177)*(E$39-$C$39:E$39+1)/$C$177))</f>
        <v>3.23265730546119</v>
      </c>
      <c r="F80" s="116" t="n">
        <f aca="false">IF($C$177&lt;=1,F68,SUMPRODUCT($C$189:F189,((F$39-$C$39:F$39+1)&gt;=$C$177)+((F$39-$C$39:F$39+1)&lt;$C$177)*(F$39-$C$39:F$39+1)/$C$177))</f>
        <v>6.45273474266286</v>
      </c>
      <c r="G80" s="116" t="n">
        <f aca="false">IF($C$177&lt;=1,G68,SUMPRODUCT($C$189:G189,((G$39-$C$39:G$39+1)&gt;=$C$177)+((G$39-$C$39:G$39+1)&lt;$C$177)*(G$39-$C$39:G$39+1)/$C$177))</f>
        <v>11.0565654628756</v>
      </c>
      <c r="H80" s="116" t="n">
        <f aca="false">IF($C$177&lt;=1,H68,SUMPRODUCT($C$189:H189,((H$39-$C$39:H$39+1)&gt;=$C$177)+((H$39-$C$39:H$39+1)&lt;$C$177)*(H$39-$C$39:H$39+1)/$C$177))</f>
        <v>16.6550639408431</v>
      </c>
      <c r="I80" s="116" t="n">
        <f aca="false">IF($C$177&lt;=1,I68,SUMPRODUCT($C$189:I189,((I$39-$C$39:I$39+1)&gt;=$C$177)+((I$39-$C$39:I$39+1)&lt;$C$177)*(I$39-$C$39:I$39+1)/$C$177))</f>
        <v>23.0103459104485</v>
      </c>
      <c r="J80" s="116" t="n">
        <f aca="false">IF($C$177&lt;=1,J68,SUMPRODUCT($C$189:J189,((J$39-$C$39:J$39+1)&gt;=$C$177)+((J$39-$C$39:J$39+1)&lt;$C$177)*(J$39-$C$39:J$39+1)/$C$177))</f>
        <v>29.9200898721775</v>
      </c>
      <c r="K80" s="116" t="n">
        <f aca="false">IF($C$177&lt;=1,K68,SUMPRODUCT($C$189:K189,((K$39-$C$39:K$39+1)&gt;=$C$177)+((K$39-$C$39:K$39+1)&lt;$C$177)*(K$39-$C$39:K$39+1)/$C$177))</f>
        <v>36.8298338339064</v>
      </c>
      <c r="L80" s="116" t="n">
        <f aca="false">IF($C$177&lt;=1,L68,SUMPRODUCT($C$189:L189,((L$39-$C$39:L$39+1)&gt;=$C$177)+((L$39-$C$39:L$39+1)&lt;$C$177)*(L$39-$C$39:L$39+1)/$C$177))</f>
        <v>43.7395777956353</v>
      </c>
      <c r="M80" s="116" t="n">
        <f aca="false">IF($C$177&lt;=1,M68,SUMPRODUCT($C$189:M189,((M$39-$C$39:M$39+1)&gt;=$C$177)+((M$39-$C$39:M$39+1)&lt;$C$177)*(M$39-$C$39:M$39+1)/$C$177))</f>
        <v>50.4064903629138</v>
      </c>
      <c r="N80" s="116" t="n">
        <f aca="false">IF($C$177&lt;=1,N68,SUMPRODUCT($C$189:N189,((N$39-$C$39:N$39+1)&gt;=$C$177)+((N$39-$C$39:N$39+1)&lt;$C$177)*(N$39-$C$39:N$39+1)/$C$177))</f>
        <v>56.5927616547374</v>
      </c>
      <c r="O80" s="116" t="n">
        <f aca="false">IF($C$177&lt;=1,O68,SUMPRODUCT($C$189:O189,((O$39-$C$39:O$39+1)&gt;=$C$177)+((O$39-$C$39:O$39+1)&lt;$C$177)*(O$39-$C$39:O$39+1)/$C$177))</f>
        <v>62.096147182498</v>
      </c>
      <c r="P80" s="116" t="n">
        <f aca="false">IF($C$177&lt;=1,P68,SUMPRODUCT($C$189:P189,((P$39-$C$39:P$39+1)&gt;=$C$177)+((P$39-$C$39:P$39+1)&lt;$C$177)*(P$39-$C$39:P$39+1)/$C$177))</f>
        <v>66.3586746490136</v>
      </c>
      <c r="Q80" s="116" t="n">
        <f aca="false">IF($C$177&lt;=1,Q68,SUMPRODUCT($C$189:Q189,((Q$39-$C$39:Q$39+1)&gt;=$C$177)+((Q$39-$C$39:Q$39+1)&lt;$C$177)*(Q$39-$C$39:Q$39+1)/$C$177))</f>
        <v>69.3802998699069</v>
      </c>
      <c r="R80" s="116" t="n">
        <f aca="false">IF($C$177&lt;=1,R68,SUMPRODUCT($C$189:R189,((R$39-$C$39:R$39+1)&gt;=$C$177)+((R$39-$C$39:R$39+1)&lt;$C$177)*(R$39-$C$39:R$39+1)/$C$177))</f>
        <v>71.546548915132</v>
      </c>
      <c r="S80" s="116" t="n">
        <f aca="false">IF($C$177&lt;=1,S68,SUMPRODUCT($C$189:S189,((S$39-$C$39:S$39+1)&gt;=$C$177)+((S$39-$C$39:S$39+1)&lt;$C$177)*(S$39-$C$39:S$39+1)/$C$177))</f>
        <v>73.0917410868509</v>
      </c>
      <c r="T80" s="116" t="n">
        <f aca="false">IF($C$177&lt;=1,T68,SUMPRODUCT($C$189:T189,((T$39-$C$39:T$39+1)&gt;=$C$177)+((T$39-$C$39:T$39+1)&lt;$C$177)*(T$39-$C$39:T$39+1)/$C$177))</f>
        <v>74.2146272175171</v>
      </c>
      <c r="U80" s="116" t="n">
        <f aca="false">IF($C$177&lt;=1,U68,SUMPRODUCT($C$189:U189,((U$39-$C$39:U$39+1)&gt;=$C$177)+((U$39-$C$39:U$39+1)&lt;$C$177)*(U$39-$C$39:U$39+1)/$C$177))</f>
        <v>75.4660927277656</v>
      </c>
      <c r="V80" s="116" t="n">
        <f aca="false">IF($C$177&lt;=1,V68,SUMPRODUCT($C$189:V189,((V$39-$C$39:V$39+1)&gt;=$C$177)+((V$39-$C$39:V$39+1)&lt;$C$177)*(V$39-$C$39:V$39+1)/$C$177))</f>
        <v>76.8425549332555</v>
      </c>
      <c r="W80" s="116" t="n">
        <f aca="false">IF($C$177&lt;=1,W68,SUMPRODUCT($C$189:W189,((W$39-$C$39:W$39+1)&gt;=$C$177)+((W$39-$C$39:W$39+1)&lt;$C$177)*(W$39-$C$39:W$39+1)/$C$177))</f>
        <v>78.1970009985724</v>
      </c>
      <c r="X80" s="116" t="n">
        <f aca="false">IF($C$177&lt;=1,X68,SUMPRODUCT($C$189:X189,((X$39-$C$39:X$39+1)&gt;=$C$177)+((X$39-$C$39:X$39+1)&lt;$C$177)*(X$39-$C$39:X$39+1)/$C$177))</f>
        <v>79.5259711918436</v>
      </c>
      <c r="Y80" s="116" t="n">
        <f aca="false">IF($C$177&lt;=1,Y68,SUMPRODUCT($C$189:Y189,((Y$39-$C$39:Y$39+1)&gt;=$C$177)+((Y$39-$C$39:Y$39+1)&lt;$C$177)*(Y$39-$C$39:Y$39+1)/$C$177))</f>
        <v>80.8260037927821</v>
      </c>
      <c r="Z80" s="116" t="n">
        <f aca="false">IF($C$177&lt;=1,Z68,SUMPRODUCT($C$189:Z189,((Z$39-$C$39:Z$39+1)&gt;=$C$177)+((Z$39-$C$39:Z$39+1)&lt;$C$177)*(Z$39-$C$39:Z$39+1)/$C$177))</f>
        <v>82.0936350224952</v>
      </c>
      <c r="AA80" s="116" t="n">
        <f aca="false">IF($C$177&lt;=1,AA68,SUMPRODUCT($C$189:AA189,((AA$39-$C$39:AA$39+1)&gt;=$C$177)+((AA$39-$C$39:AA$39+1)&lt;$C$177)*(AA$39-$C$39:AA$39+1)/$C$177))</f>
        <v>83.3253989708155</v>
      </c>
      <c r="AB80" s="116" t="n">
        <f aca="false">IF($C$177&lt;=1,AB68,SUMPRODUCT($C$189:AB189,((AB$39-$C$39:AB$39+1)&gt;=$C$177)+((AB$39-$C$39:AB$39+1)&lt;$C$177)*(AB$39-$C$39:AB$39+1)/$C$177))</f>
        <v>84.5212309239153</v>
      </c>
      <c r="AC80" s="116" t="n">
        <f aca="false">IF($C$177&lt;=1,AC68,SUMPRODUCT($C$189:AC189,((AC$39-$C$39:AC$39+1)&gt;=$C$177)+((AC$39-$C$39:AC$39+1)&lt;$C$177)*(AC$39-$C$39:AC$39+1)/$C$177))</f>
        <v>85.6810638835683</v>
      </c>
      <c r="AD80" s="116" t="n">
        <f aca="false">IF($C$177&lt;=1,AD68,SUMPRODUCT($C$189:AD189,((AD$39-$C$39:AD$39+1)&gt;=$C$177)+((AD$39-$C$39:AD$39+1)&lt;$C$177)*(AD$39-$C$39:AD$39+1)/$C$177))</f>
        <v>86.8048284865111</v>
      </c>
      <c r="AE80" s="116" t="n">
        <f aca="false">IF($C$177&lt;=1,AE68,SUMPRODUCT($C$189:AE189,((AE$39-$C$39:AE$39+1)&gt;=$C$177)+((AE$39-$C$39:AE$39+1)&lt;$C$177)*(AE$39-$C$39:AE$39+1)/$C$177))</f>
        <v>87.8924529209571</v>
      </c>
      <c r="AF80" s="116" t="n">
        <f aca="false">IF($C$177&lt;=1,AF68,SUMPRODUCT($C$189:AF189,((AF$39-$C$39:AF$39+1)&gt;=$C$177)+((AF$39-$C$39:AF$39+1)&lt;$C$177)*(AF$39-$C$39:AF$39+1)/$C$177))</f>
        <v>88.9438628401634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11.8267027723829</v>
      </c>
      <c r="D81" s="116" t="n">
        <f aca="false">D69+D80+C121</f>
        <v>31.2705719819142</v>
      </c>
      <c r="E81" s="116" t="n">
        <f aca="false">E69+E80+D121</f>
        <v>57.4876291967492</v>
      </c>
      <c r="F81" s="116" t="n">
        <f aca="false">F69+F80+E121</f>
        <v>117.640244070027</v>
      </c>
      <c r="G81" s="116" t="n">
        <f aca="false">G69+G80+F121</f>
        <v>177.792297926316</v>
      </c>
      <c r="H81" s="116" t="n">
        <f aca="false">H69+H80+G121</f>
        <v>227.511063399864</v>
      </c>
      <c r="I81" s="116" t="n">
        <f aca="false">I69+I80+H121</f>
        <v>271.0052420369</v>
      </c>
      <c r="J81" s="116" t="n">
        <f aca="false">J69+J80+I121</f>
        <v>309.118001288097</v>
      </c>
      <c r="K81" s="116" t="n">
        <f aca="false">K69+K80+J121</f>
        <v>321.703694079959</v>
      </c>
      <c r="L81" s="116" t="n">
        <f aca="false">L69+L80+K121</f>
        <v>334.29956120741</v>
      </c>
      <c r="M81" s="116" t="n">
        <f aca="false">M69+M80+L121</f>
        <v>346.66226255922</v>
      </c>
      <c r="N81" s="116" t="n">
        <f aca="false">N69+N80+M121</f>
        <v>358.553504973444</v>
      </c>
      <c r="O81" s="116" t="n">
        <f aca="false">O69+O80+N121</f>
        <v>369.77058484458</v>
      </c>
      <c r="P81" s="116" t="n">
        <f aca="false">P69+P80+O121</f>
        <v>379.755093714398</v>
      </c>
      <c r="Q81" s="116" t="n">
        <f aca="false">Q69+Q80+P121</f>
        <v>388.506573045524</v>
      </c>
      <c r="R81" s="116" t="n">
        <f aca="false">R69+R80+Q121</f>
        <v>396.310055188814</v>
      </c>
      <c r="S81" s="116" t="n">
        <f aca="false">S69+S80+R121</f>
        <v>403.39948549285</v>
      </c>
      <c r="T81" s="116" t="n">
        <f aca="false">T69+T80+S121</f>
        <v>409.973259534186</v>
      </c>
      <c r="U81" s="116" t="n">
        <f aca="false">U69+U80+T121</f>
        <v>416.581925240352</v>
      </c>
      <c r="V81" s="116" t="n">
        <f aca="false">V69+V80+U121</f>
        <v>423.221579308556</v>
      </c>
      <c r="W81" s="116" t="n">
        <f aca="false">W69+W80+V121</f>
        <v>429.744904315857</v>
      </c>
      <c r="X81" s="116" t="n">
        <f aca="false">X69+X80+W121</f>
        <v>436.148151172231</v>
      </c>
      <c r="Y81" s="116" t="n">
        <f aca="false">Y69+Y80+X121</f>
        <v>442.427583267148</v>
      </c>
      <c r="Z81" s="116" t="n">
        <f aca="false">Z69+Z80+Y121</f>
        <v>448.579475675982</v>
      </c>
      <c r="AA81" s="116" t="n">
        <f aca="false">AA69+AA80+Z121</f>
        <v>454.600114400124</v>
      </c>
      <c r="AB81" s="116" t="n">
        <f aca="false">AB69+AB80+AA121</f>
        <v>460.489199041721</v>
      </c>
      <c r="AC81" s="116" t="n">
        <f aca="false">AC69+AC80+AB121</f>
        <v>466.246438702726</v>
      </c>
      <c r="AD81" s="116" t="n">
        <f aca="false">AD69+AD80+AC121</f>
        <v>471.871551315046</v>
      </c>
      <c r="AE81" s="116" t="n">
        <f aca="false">AE69+AE80+AD121</f>
        <v>477.364262997304</v>
      </c>
      <c r="AF81" s="116" t="n">
        <f aca="false">AF69+AF80+AE121</f>
        <v>482.72430743665</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6.88634987596409</v>
      </c>
      <c r="D83" s="136" t="n">
        <f aca="false">D79+D82</f>
        <v>17.9891896948854</v>
      </c>
      <c r="E83" s="136" t="n">
        <f aca="false">E79+E82</f>
        <v>31.5940666948854</v>
      </c>
      <c r="F83" s="136" t="n">
        <f aca="false">F79+F82</f>
        <v>45.5118558658854</v>
      </c>
      <c r="G83" s="136" t="n">
        <f aca="false">G79+G82</f>
        <v>59.7497541878184</v>
      </c>
      <c r="H83" s="136" t="n">
        <f aca="false">H79+H82</f>
        <v>74.3151241711558</v>
      </c>
      <c r="I83" s="136" t="n">
        <f aca="false">I79+I82</f>
        <v>89.21549766411</v>
      </c>
      <c r="J83" s="136" t="n">
        <f aca="false">J79+J82</f>
        <v>104.458579747402</v>
      </c>
      <c r="K83" s="136" t="n">
        <f aca="false">K79+K82</f>
        <v>120.05225271861</v>
      </c>
      <c r="L83" s="136" t="n">
        <f aca="false">L79+L82</f>
        <v>136.004580168156</v>
      </c>
      <c r="M83" s="136" t="n">
        <f aca="false">M79+M82</f>
        <v>152.323811149041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193.15848872137</v>
      </c>
      <c r="W83" s="136" t="n">
        <f aca="false">W79+W82</f>
        <v>196.030818815448</v>
      </c>
      <c r="X83" s="136" t="n">
        <f aca="false">X79+X82</f>
        <v>198.84439784146</v>
      </c>
      <c r="Y83" s="136" t="n">
        <f aca="false">Y79+Y82</f>
        <v>201.599071573836</v>
      </c>
      <c r="Z83" s="136" t="n">
        <f aca="false">Z79+Z82</f>
        <v>204.294690894505</v>
      </c>
      <c r="AA83" s="136" t="n">
        <f aca="false">AA79+AA82</f>
        <v>206.931111445608</v>
      </c>
      <c r="AB83" s="136" t="n">
        <f aca="false">AB79+AB82</f>
        <v>209.508193296327</v>
      </c>
      <c r="AC83" s="136" t="n">
        <f aca="false">AC79+AC82</f>
        <v>212.025800623019</v>
      </c>
      <c r="AD83" s="136" t="n">
        <f aca="false">AD79+AD82</f>
        <v>214.483801401861</v>
      </c>
      <c r="AE83" s="136" t="n">
        <f aca="false">AE79+AE82</f>
        <v>216.882067113262</v>
      </c>
      <c r="AF83" s="136" t="n">
        <f aca="false">AF79+AF82</f>
        <v>219.220472457332</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4.86035289641877</v>
      </c>
      <c r="D84" s="116" t="n">
        <f aca="false">D67-D79+D80-D82</f>
        <v>13.1185582870288</v>
      </c>
      <c r="E84" s="116" t="n">
        <f aca="false">E67-E79+E80-E82</f>
        <v>25.6449908146638</v>
      </c>
      <c r="F84" s="116" t="n">
        <f aca="false">F67-F79+F80-F82</f>
        <v>55.6490387944737</v>
      </c>
      <c r="G84" s="116" t="n">
        <f aca="false">G67-G79+G80-G82</f>
        <v>85.3292828636681</v>
      </c>
      <c r="H84" s="116" t="n">
        <f aca="false">H67-H79+H80-H82</f>
        <v>104.245522524906</v>
      </c>
      <c r="I84" s="116" t="n">
        <f aca="false">I67-I79+I80-I82</f>
        <v>116.598812950161</v>
      </c>
      <c r="J84" s="116" t="n">
        <f aca="false">J67-J79+J80-J82</f>
        <v>123.224497940575</v>
      </c>
      <c r="K84" s="116" t="n">
        <f aca="false">K67-K79+K80-K82</f>
        <v>113.202596219319</v>
      </c>
      <c r="L84" s="116" t="n">
        <f aca="false">L67-L79+L80-L82</f>
        <v>102.832214355314</v>
      </c>
      <c r="M84" s="116" t="n">
        <f aca="false">M67-M79+M80-M82</f>
        <v>96.0801109030485</v>
      </c>
      <c r="N84" s="116" t="n">
        <f aca="false">N67-N79+N80-N82</f>
        <v>95.4114691247594</v>
      </c>
      <c r="O84" s="116" t="n">
        <f aca="false">O67-O79+O80-O82</f>
        <v>100.096909053269</v>
      </c>
      <c r="P84" s="116" t="n">
        <f aca="false">P67-P79+P80-P82</f>
        <v>103.459753353371</v>
      </c>
      <c r="Q84" s="116" t="n">
        <f aca="false">Q67-Q79+Q80-Q82</f>
        <v>105.497420251141</v>
      </c>
      <c r="R84" s="116" t="n">
        <f aca="false">R67-R79+R80-R82</f>
        <v>106.492768167189</v>
      </c>
      <c r="S84" s="116" t="n">
        <f aca="false">S67-S79+S80-S82</f>
        <v>106.677516594566</v>
      </c>
      <c r="T84" s="116" t="n">
        <f aca="false">T67-T79+T80-T82</f>
        <v>106.247782066784</v>
      </c>
      <c r="U84" s="116" t="n">
        <f aca="false">U67-U79+U80-U82</f>
        <v>105.751778987156</v>
      </c>
      <c r="V84" s="116" t="n">
        <f aca="false">V67-V79+V80-V82</f>
        <v>106.446792254835</v>
      </c>
      <c r="W84" s="116" t="n">
        <f aca="false">W67-W79+W80-W82</f>
        <v>107.255280312878</v>
      </c>
      <c r="X84" s="116" t="n">
        <f aca="false">X67-X79+X80-X82</f>
        <v>107.996789459593</v>
      </c>
      <c r="Y84" s="116" t="n">
        <f aca="false">Y67-Y79+Y80-Y82</f>
        <v>108.667537800473</v>
      </c>
      <c r="Z84" s="116" t="n">
        <f aca="false">Z67-Z79+Z80-Z82</f>
        <v>109.263742976734</v>
      </c>
      <c r="AA84" s="116" t="n">
        <f aca="false">AA67-AA79+AA80-AA82</f>
        <v>109.781621504097</v>
      </c>
      <c r="AB84" s="116" t="n">
        <f aca="false">AB67-AB79+AB80-AB82</f>
        <v>110.220791523328</v>
      </c>
      <c r="AC84" s="116" t="n">
        <f aca="false">AC67-AC79+AC80-AC82</f>
        <v>110.580868752675</v>
      </c>
      <c r="AD84" s="116" t="n">
        <f aca="false">AD67-AD79+AD80-AD82</f>
        <v>110.861465849501</v>
      </c>
      <c r="AE84" s="116" t="n">
        <f aca="false">AE67-AE79+AE80-AE82</f>
        <v>111.062191777024</v>
      </c>
      <c r="AF84" s="116" t="n">
        <f aca="false">AF67-AF79+AF80-AF82</f>
        <v>111.182651174954</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1.41920433268594</v>
      </c>
      <c r="D85" s="116" t="n">
        <f aca="false">IF(AND($C$31&gt;0,D$39&gt;10),MIN(D83,MAX(01_Supuestos!$I$137*D81,C85*(1-1/MAX(1,$C$31)))),MIN(IF(D$39&lt;=10,01_Supuestos!$I$136,01_Supuestos!$I$137)*D81,D83))</f>
        <v>3.7524686378297</v>
      </c>
      <c r="E85" s="116" t="n">
        <f aca="false">IF(AND($C$31&gt;0,E$39&gt;10),MIN(E83,MAX(01_Supuestos!$I$137*E81,D85*(1-1/MAX(1,$C$31)))),MIN(IF(E$39&lt;=10,01_Supuestos!$I$136,01_Supuestos!$I$137)*E81,E83))</f>
        <v>6.8985155036099</v>
      </c>
      <c r="F85" s="116" t="n">
        <f aca="false">IF(AND($C$31&gt;0,F$39&gt;10),MIN(F83,MAX(01_Supuestos!$I$137*F81,E85*(1-1/MAX(1,$C$31)))),MIN(IF(F$39&lt;=10,01_Supuestos!$I$136,01_Supuestos!$I$137)*F81,F83))</f>
        <v>14.1168292884033</v>
      </c>
      <c r="G85" s="116" t="n">
        <f aca="false">IF(AND($C$31&gt;0,G$39&gt;10),MIN(G83,MAX(01_Supuestos!$I$137*G81,F85*(1-1/MAX(1,$C$31)))),MIN(IF(G$39&lt;=10,01_Supuestos!$I$136,01_Supuestos!$I$137)*G81,G83))</f>
        <v>21.335075751158</v>
      </c>
      <c r="H85" s="116" t="n">
        <f aca="false">IF(AND($C$31&gt;0,H$39&gt;10),MIN(H83,MAX(01_Supuestos!$I$137*H81,G85*(1-1/MAX(1,$C$31)))),MIN(IF(H$39&lt;=10,01_Supuestos!$I$136,01_Supuestos!$I$137)*H81,H83))</f>
        <v>27.3013276079837</v>
      </c>
      <c r="I85" s="116" t="n">
        <f aca="false">IF(AND($C$31&gt;0,I$39&gt;10),MIN(I83,MAX(01_Supuestos!$I$137*I81,H85*(1-1/MAX(1,$C$31)))),MIN(IF(I$39&lt;=10,01_Supuestos!$I$136,01_Supuestos!$I$137)*I81,I83))</f>
        <v>32.520629044428</v>
      </c>
      <c r="J85" s="116" t="n">
        <f aca="false">IF(AND($C$31&gt;0,J$39&gt;10),MIN(J83,MAX(01_Supuestos!$I$137*J81,I85*(1-1/MAX(1,$C$31)))),MIN(IF(J$39&lt;=10,01_Supuestos!$I$136,01_Supuestos!$I$137)*J81,J83))</f>
        <v>37.0941601545716</v>
      </c>
      <c r="K85" s="116" t="n">
        <f aca="false">IF(AND($C$31&gt;0,K$39&gt;10),MIN(K83,MAX(01_Supuestos!$I$137*K81,J85*(1-1/MAX(1,$C$31)))),MIN(IF(K$39&lt;=10,01_Supuestos!$I$136,01_Supuestos!$I$137)*K81,K83))</f>
        <v>38.6044432895951</v>
      </c>
      <c r="L85" s="116" t="n">
        <f aca="false">IF(AND($C$31&gt;0,L$39&gt;10),MIN(L83,MAX(01_Supuestos!$I$137*L81,K85*(1-1/MAX(1,$C$31)))),MIN(IF(L$39&lt;=10,01_Supuestos!$I$136,01_Supuestos!$I$137)*L81,L83))</f>
        <v>40.1159473448892</v>
      </c>
      <c r="M85" s="116" t="n">
        <f aca="false">IF(AND($C$31&gt;0,M$39&gt;10),MIN(M83,MAX(01_Supuestos!$I$137*M81,L85*(1-1/MAX(1,$C$31)))),MIN(IF(M$39&lt;=10,01_Supuestos!$I$136,01_Supuestos!$I$137)*M81,M83))</f>
        <v>32.0927578759113</v>
      </c>
      <c r="N85" s="116" t="n">
        <f aca="false">IF(AND($C$31&gt;0,N$39&gt;10),MIN(N83,MAX(01_Supuestos!$I$137*N81,M85*(1-1/MAX(1,$C$31)))),MIN(IF(N$39&lt;=10,01_Supuestos!$I$136,01_Supuestos!$I$137)*N81,N83))</f>
        <v>26.8915128730083</v>
      </c>
      <c r="O85" s="116" t="n">
        <f aca="false">IF(AND($C$31&gt;0,O$39&gt;10),MIN(O83,MAX(01_Supuestos!$I$137*O81,N85*(1-1/MAX(1,$C$31)))),MIN(IF(O$39&lt;=10,01_Supuestos!$I$136,01_Supuestos!$I$137)*O81,O83))</f>
        <v>27.7327938633435</v>
      </c>
      <c r="P85" s="116" t="n">
        <f aca="false">IF(AND($C$31&gt;0,P$39&gt;10),MIN(P83,MAX(01_Supuestos!$I$137*P81,O85*(1-1/MAX(1,$C$31)))),MIN(IF(P$39&lt;=10,01_Supuestos!$I$136,01_Supuestos!$I$137)*P81,P83))</f>
        <v>28.4816320285799</v>
      </c>
      <c r="Q85" s="116" t="n">
        <f aca="false">IF(AND($C$31&gt;0,Q$39&gt;10),MIN(Q83,MAX(01_Supuestos!$I$137*Q81,P85*(1-1/MAX(1,$C$31)))),MIN(IF(Q$39&lt;=10,01_Supuestos!$I$136,01_Supuestos!$I$137)*Q81,Q83))</f>
        <v>29.1379929784143</v>
      </c>
      <c r="R85" s="116" t="n">
        <f aca="false">IF(AND($C$31&gt;0,R$39&gt;10),MIN(R83,MAX(01_Supuestos!$I$137*R81,Q85*(1-1/MAX(1,$C$31)))),MIN(IF(R$39&lt;=10,01_Supuestos!$I$136,01_Supuestos!$I$137)*R81,R83))</f>
        <v>29.7232541391611</v>
      </c>
      <c r="S85" s="116" t="n">
        <f aca="false">IF(AND($C$31&gt;0,S$39&gt;10),MIN(S83,MAX(01_Supuestos!$I$137*S81,R85*(1-1/MAX(1,$C$31)))),MIN(IF(S$39&lt;=10,01_Supuestos!$I$136,01_Supuestos!$I$137)*S81,S83))</f>
        <v>30.2549614119638</v>
      </c>
      <c r="T85" s="116" t="n">
        <f aca="false">IF(AND($C$31&gt;0,T$39&gt;10),MIN(T83,MAX(01_Supuestos!$I$137*T81,S85*(1-1/MAX(1,$C$31)))),MIN(IF(T$39&lt;=10,01_Supuestos!$I$136,01_Supuestos!$I$137)*T81,T83))</f>
        <v>30.747994465064</v>
      </c>
      <c r="U85" s="116" t="n">
        <f aca="false">IF(AND($C$31&gt;0,U$39&gt;10),MIN(U83,MAX(01_Supuestos!$I$137*U81,T85*(1-1/MAX(1,$C$31)))),MIN(IF(U$39&lt;=10,01_Supuestos!$I$136,01_Supuestos!$I$137)*U81,U83))</f>
        <v>31.2436443930264</v>
      </c>
      <c r="V85" s="116" t="n">
        <f aca="false">IF(AND($C$31&gt;0,V$39&gt;10),MIN(V83,MAX(01_Supuestos!$I$137*V81,U85*(1-1/MAX(1,$C$31)))),MIN(IF(V$39&lt;=10,01_Supuestos!$I$136,01_Supuestos!$I$137)*V81,V83))</f>
        <v>31.7416184481417</v>
      </c>
      <c r="W85" s="116" t="n">
        <f aca="false">IF(AND($C$31&gt;0,W$39&gt;10),MIN(W83,MAX(01_Supuestos!$I$137*W81,V85*(1-1/MAX(1,$C$31)))),MIN(IF(W$39&lt;=10,01_Supuestos!$I$136,01_Supuestos!$I$137)*W81,W83))</f>
        <v>32.2308678236893</v>
      </c>
      <c r="X85" s="116" t="n">
        <f aca="false">IF(AND($C$31&gt;0,X$39&gt;10),MIN(X83,MAX(01_Supuestos!$I$137*X81,W85*(1-1/MAX(1,$C$31)))),MIN(IF(X$39&lt;=10,01_Supuestos!$I$136,01_Supuestos!$I$137)*X81,X83))</f>
        <v>32.7111113379173</v>
      </c>
      <c r="Y85" s="116" t="n">
        <f aca="false">IF(AND($C$31&gt;0,Y$39&gt;10),MIN(Y83,MAX(01_Supuestos!$I$137*Y81,X85*(1-1/MAX(1,$C$31)))),MIN(IF(Y$39&lt;=10,01_Supuestos!$I$136,01_Supuestos!$I$137)*Y81,Y83))</f>
        <v>33.1820687450361</v>
      </c>
      <c r="Z85" s="116" t="n">
        <f aca="false">IF(AND($C$31&gt;0,Z$39&gt;10),MIN(Z83,MAX(01_Supuestos!$I$137*Z81,Y85*(1-1/MAX(1,$C$31)))),MIN(IF(Z$39&lt;=10,01_Supuestos!$I$136,01_Supuestos!$I$137)*Z81,Z83))</f>
        <v>33.6434606756987</v>
      </c>
      <c r="AA85" s="116" t="n">
        <f aca="false">IF(AND($C$31&gt;0,AA$39&gt;10),MIN(AA83,MAX(01_Supuestos!$I$137*AA81,Z85*(1-1/MAX(1,$C$31)))),MIN(IF(AA$39&lt;=10,01_Supuestos!$I$136,01_Supuestos!$I$137)*AA81,AA83))</f>
        <v>34.0950085800093</v>
      </c>
      <c r="AB85" s="116" t="n">
        <f aca="false">IF(AND($C$31&gt;0,AB$39&gt;10),MIN(AB83,MAX(01_Supuestos!$I$137*AB81,AA85*(1-1/MAX(1,$C$31)))),MIN(IF(AB$39&lt;=10,01_Supuestos!$I$136,01_Supuestos!$I$137)*AB81,AB83))</f>
        <v>34.536689928129</v>
      </c>
      <c r="AC85" s="116" t="n">
        <f aca="false">IF(AND($C$31&gt;0,AC$39&gt;10),MIN(AC83,MAX(01_Supuestos!$I$137*AC81,AB85*(1-1/MAX(1,$C$31)))),MIN(IF(AC$39&lt;=10,01_Supuestos!$I$136,01_Supuestos!$I$137)*AC81,AC83))</f>
        <v>34.9684829027044</v>
      </c>
      <c r="AD85" s="116" t="n">
        <f aca="false">IF(AND($C$31&gt;0,AD$39&gt;10),MIN(AD83,MAX(01_Supuestos!$I$137*AD81,AC85*(1-1/MAX(1,$C$31)))),MIN(IF(AD$39&lt;=10,01_Supuestos!$I$136,01_Supuestos!$I$137)*AD81,AD83))</f>
        <v>35.3903663486284</v>
      </c>
      <c r="AE85" s="116" t="n">
        <f aca="false">IF(AND($C$31&gt;0,AE$39&gt;10),MIN(AE83,MAX(01_Supuestos!$I$137*AE81,AD85*(1-1/MAX(1,$C$31)))),MIN(IF(AE$39&lt;=10,01_Supuestos!$I$136,01_Supuestos!$I$137)*AE81,AE83))</f>
        <v>35.8023197247978</v>
      </c>
      <c r="AF85" s="116" t="n">
        <f aca="false">IF(AND($C$31&gt;0,AF$39&gt;10),MIN(AF83,MAX(01_Supuestos!$I$137*AF81,AE85*(1-1/MAX(1,$C$31)))),MIN(IF(AF$39&lt;=10,01_Supuestos!$I$136,01_Supuestos!$I$137)*AF81,AF83))</f>
        <v>36.2043230577487</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0.344317493798204</v>
      </c>
      <c r="D86" s="116" t="n">
        <f aca="false">01_Supuestos!$I$127*D83</f>
        <v>0.899459484744269</v>
      </c>
      <c r="E86" s="116" t="n">
        <f aca="false">01_Supuestos!$I$127*E83</f>
        <v>1.57970333474427</v>
      </c>
      <c r="F86" s="116" t="n">
        <f aca="false">01_Supuestos!$I$127*F83</f>
        <v>2.27559279329427</v>
      </c>
      <c r="G86" s="116" t="n">
        <f aca="false">01_Supuestos!$I$127*G83</f>
        <v>2.98748770939092</v>
      </c>
      <c r="H86" s="116" t="n">
        <f aca="false">01_Supuestos!$I$127*H83</f>
        <v>3.71575620855779</v>
      </c>
      <c r="I86" s="116" t="n">
        <f aca="false">01_Supuestos!$I$127*I83</f>
        <v>4.4607748832055</v>
      </c>
      <c r="J86" s="116" t="n">
        <f aca="false">01_Supuestos!$I$127*J83</f>
        <v>5.22292898737011</v>
      </c>
      <c r="K86" s="116" t="n">
        <f aca="false">01_Supuestos!$I$127*K83</f>
        <v>6.0026126359305</v>
      </c>
      <c r="L86" s="116" t="n">
        <f aca="false">01_Supuestos!$I$127*L83</f>
        <v>6.80022900840779</v>
      </c>
      <c r="M86" s="116" t="n">
        <f aca="false">01_Supuestos!$I$127*M83</f>
        <v>7.61619055745205</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9.6579244360685</v>
      </c>
      <c r="W86" s="116" t="n">
        <f aca="false">01_Supuestos!$I$127*W83</f>
        <v>9.80154094077241</v>
      </c>
      <c r="X86" s="116" t="n">
        <f aca="false">01_Supuestos!$I$127*X83</f>
        <v>9.94221989207301</v>
      </c>
      <c r="Y86" s="116" t="n">
        <f aca="false">01_Supuestos!$I$127*Y83</f>
        <v>10.0799535786918</v>
      </c>
      <c r="Z86" s="116" t="n">
        <f aca="false">01_Supuestos!$I$127*Z83</f>
        <v>10.2147345447253</v>
      </c>
      <c r="AA86" s="116" t="n">
        <f aca="false">01_Supuestos!$I$127*AA83</f>
        <v>10.3465555722804</v>
      </c>
      <c r="AB86" s="116" t="n">
        <f aca="false">01_Supuestos!$I$127*AB83</f>
        <v>10.4754096648164</v>
      </c>
      <c r="AC86" s="116" t="n">
        <f aca="false">01_Supuestos!$I$127*AC83</f>
        <v>10.601290031151</v>
      </c>
      <c r="AD86" s="116" t="n">
        <f aca="false">01_Supuestos!$I$127*AD83</f>
        <v>10.724190070093</v>
      </c>
      <c r="AE86" s="116" t="n">
        <f aca="false">01_Supuestos!$I$127*AE83</f>
        <v>10.8441033556631</v>
      </c>
      <c r="AF86" s="116" t="n">
        <f aca="false">01_Supuestos!$I$127*AF83</f>
        <v>10.9610236228666</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5.12282804947994</v>
      </c>
      <c r="D87" s="116" t="n">
        <f aca="false">D83-D85-D86</f>
        <v>13.3372615723114</v>
      </c>
      <c r="E87" s="116" t="n">
        <f aca="false">E83-E85-E86</f>
        <v>23.1158478565312</v>
      </c>
      <c r="F87" s="116" t="n">
        <f aca="false">F83-F85-F86</f>
        <v>29.1194337841878</v>
      </c>
      <c r="G87" s="116" t="n">
        <f aca="false">G83-G85-G86</f>
        <v>35.4271907272695</v>
      </c>
      <c r="H87" s="116" t="n">
        <f aca="false">H83-H85-H86</f>
        <v>43.2980403546143</v>
      </c>
      <c r="I87" s="116" t="n">
        <f aca="false">I83-I85-I86</f>
        <v>52.2340937364765</v>
      </c>
      <c r="J87" s="116" t="n">
        <f aca="false">J83-J85-J86</f>
        <v>62.1414906054605</v>
      </c>
      <c r="K87" s="116" t="n">
        <f aca="false">K83-K85-K86</f>
        <v>75.4451967930845</v>
      </c>
      <c r="L87" s="116" t="n">
        <f aca="false">L83-L85-L86</f>
        <v>89.0884038148588</v>
      </c>
      <c r="M87" s="116" t="n">
        <f aca="false">M83-M85-M86</f>
        <v>112.614862715678</v>
      </c>
      <c r="N87" s="116" t="n">
        <f aca="false">N83-N85-N86</f>
        <v>127.08840723162</v>
      </c>
      <c r="O87" s="116" t="n">
        <f aca="false">O83-O85-O86</f>
        <v>129.788664403691</v>
      </c>
      <c r="P87" s="116" t="n">
        <f aca="false">P83-P85-P86</f>
        <v>132.662819778597</v>
      </c>
      <c r="Q87" s="116" t="n">
        <f aca="false">Q83-Q85-Q86</f>
        <v>135.712781220327</v>
      </c>
      <c r="R87" s="116" t="n">
        <f aca="false">R83-R85-R86</f>
        <v>138.919087866152</v>
      </c>
      <c r="S87" s="116" t="n">
        <f aca="false">S83-S85-S86</f>
        <v>142.266154459471</v>
      </c>
      <c r="T87" s="116" t="n">
        <f aca="false">T83-T85-T86</f>
        <v>145.741107071414</v>
      </c>
      <c r="U87" s="116" t="n">
        <f aca="false">U83-U85-U86</f>
        <v>149.304706478791</v>
      </c>
      <c r="V87" s="116" t="n">
        <f aca="false">V83-V85-V86</f>
        <v>151.75894583716</v>
      </c>
      <c r="W87" s="116" t="n">
        <f aca="false">W83-W85-W86</f>
        <v>153.998410050987</v>
      </c>
      <c r="X87" s="116" t="n">
        <f aca="false">X83-X85-X86</f>
        <v>156.19106661147</v>
      </c>
      <c r="Y87" s="116" t="n">
        <f aca="false">Y83-Y85-Y86</f>
        <v>158.337049250108</v>
      </c>
      <c r="Z87" s="116" t="n">
        <f aca="false">Z83-Z85-Z86</f>
        <v>160.436495674081</v>
      </c>
      <c r="AA87" s="116" t="n">
        <f aca="false">AA83-AA85-AA86</f>
        <v>162.489547293318</v>
      </c>
      <c r="AB87" s="116" t="n">
        <f aca="false">AB83-AB85-AB86</f>
        <v>164.496093703382</v>
      </c>
      <c r="AC87" s="116" t="n">
        <f aca="false">AC83-AC85-AC86</f>
        <v>166.456027689164</v>
      </c>
      <c r="AD87" s="116" t="n">
        <f aca="false">AD83-AD85-AD86</f>
        <v>168.369244983139</v>
      </c>
      <c r="AE87" s="116" t="n">
        <f aca="false">AE83-AE85-AE86</f>
        <v>170.235644032801</v>
      </c>
      <c r="AF87" s="116" t="n">
        <f aca="false">AF83-AF85-AF86</f>
        <v>172.055125776717</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0.019367859026149</v>
      </c>
      <c r="D88" s="116" t="n">
        <f aca="false">D86/01_Supuestos!$I$131*01_Supuestos!$I$129*01_Supuestos!$I$130*01_Supuestos!$I$128</f>
        <v>0.0505945960168651</v>
      </c>
      <c r="E88" s="116" t="n">
        <f aca="false">E86/01_Supuestos!$I$131*01_Supuestos!$I$129*01_Supuestos!$I$130*01_Supuestos!$I$128</f>
        <v>0.0888583125793651</v>
      </c>
      <c r="F88" s="116" t="n">
        <f aca="false">F86/01_Supuestos!$I$131*01_Supuestos!$I$129*01_Supuestos!$I$130*01_Supuestos!$I$128</f>
        <v>0.128002094622803</v>
      </c>
      <c r="G88" s="116" t="n">
        <f aca="false">G86/01_Supuestos!$I$131*01_Supuestos!$I$129*01_Supuestos!$I$130*01_Supuestos!$I$128</f>
        <v>0.168046183653239</v>
      </c>
      <c r="H88" s="116" t="n">
        <f aca="false">H86/01_Supuestos!$I$131*01_Supuestos!$I$129*01_Supuestos!$I$130*01_Supuestos!$I$128</f>
        <v>0.209011286731376</v>
      </c>
      <c r="I88" s="116" t="n">
        <f aca="false">I86/01_Supuestos!$I$131*01_Supuestos!$I$129*01_Supuestos!$I$130*01_Supuestos!$I$128</f>
        <v>0.250918587180309</v>
      </c>
      <c r="J88" s="116" t="n">
        <f aca="false">J86/01_Supuestos!$I$131*01_Supuestos!$I$129*01_Supuestos!$I$130*01_Supuestos!$I$128</f>
        <v>0.293789755539569</v>
      </c>
      <c r="K88" s="116" t="n">
        <f aca="false">K86/01_Supuestos!$I$131*01_Supuestos!$I$129*01_Supuestos!$I$130*01_Supuestos!$I$128</f>
        <v>0.337646960771091</v>
      </c>
      <c r="L88" s="116" t="n">
        <f aca="false">L86/01_Supuestos!$I$131*01_Supuestos!$I$129*01_Supuestos!$I$130*01_Supuestos!$I$128</f>
        <v>0.382512881722938</v>
      </c>
      <c r="M88" s="116" t="n">
        <f aca="false">M86/01_Supuestos!$I$131*01_Supuestos!$I$129*01_Supuestos!$I$130*01_Supuestos!$I$128</f>
        <v>0.428410718856678</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0.543258249528853</v>
      </c>
      <c r="W88" s="116" t="n">
        <f aca="false">W86/01_Supuestos!$I$131*01_Supuestos!$I$129*01_Supuestos!$I$130*01_Supuestos!$I$128</f>
        <v>0.551336677918448</v>
      </c>
      <c r="X88" s="116" t="n">
        <f aca="false">X86/01_Supuestos!$I$131*01_Supuestos!$I$129*01_Supuestos!$I$130*01_Supuestos!$I$128</f>
        <v>0.559249868929107</v>
      </c>
      <c r="Y88" s="116" t="n">
        <f aca="false">Y86/01_Supuestos!$I$131*01_Supuestos!$I$129*01_Supuestos!$I$130*01_Supuestos!$I$128</f>
        <v>0.566997388801414</v>
      </c>
      <c r="Z88" s="116" t="n">
        <f aca="false">Z86/01_Supuestos!$I$131*01_Supuestos!$I$129*01_Supuestos!$I$130*01_Supuestos!$I$128</f>
        <v>0.574578818140796</v>
      </c>
      <c r="AA88" s="116" t="n">
        <f aca="false">AA86/01_Supuestos!$I$131*01_Supuestos!$I$129*01_Supuestos!$I$130*01_Supuestos!$I$128</f>
        <v>0.581993750940773</v>
      </c>
      <c r="AB88" s="116" t="n">
        <f aca="false">AB86/01_Supuestos!$I$131*01_Supuestos!$I$129*01_Supuestos!$I$130*01_Supuestos!$I$128</f>
        <v>0.589241793645921</v>
      </c>
      <c r="AC88" s="116" t="n">
        <f aca="false">AC86/01_Supuestos!$I$131*01_Supuestos!$I$129*01_Supuestos!$I$130*01_Supuestos!$I$128</f>
        <v>0.596322564252242</v>
      </c>
      <c r="AD88" s="116" t="n">
        <f aca="false">AD86/01_Supuestos!$I$131*01_Supuestos!$I$129*01_Supuestos!$I$130*01_Supuestos!$I$128</f>
        <v>0.603235691442734</v>
      </c>
      <c r="AE88" s="116" t="n">
        <f aca="false">AE86/01_Supuestos!$I$131*01_Supuestos!$I$129*01_Supuestos!$I$130*01_Supuestos!$I$128</f>
        <v>0.609980813756049</v>
      </c>
      <c r="AF88" s="116" t="n">
        <f aca="false">AF86/01_Supuestos!$I$131*01_Supuestos!$I$129*01_Supuestos!$I$130*01_Supuestos!$I$128</f>
        <v>0.616557578786247</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0.89137208060951</v>
      </c>
      <c r="D90" s="116" t="n">
        <f aca="false">D83-C83-D73+D185-D228</f>
        <v>1.02641125253718</v>
      </c>
      <c r="E90" s="116" t="n">
        <f aca="false">E83-D83-E73+E185-E228</f>
        <v>0.815396571884065</v>
      </c>
      <c r="F90" s="116" t="n">
        <f aca="false">F83-E83-F73+F185-F228</f>
        <v>-0.109327285339944</v>
      </c>
      <c r="G90" s="116" t="n">
        <f aca="false">G83-F83-G73+G185-G228</f>
        <v>0.167206759714908</v>
      </c>
      <c r="H90" s="116" t="n">
        <f aca="false">H83-G83-H73+H185-H228</f>
        <v>0.592139029462224</v>
      </c>
      <c r="I90" s="116" t="n">
        <f aca="false">I83-H83-I73+I185-I228</f>
        <v>0.64029852155646</v>
      </c>
      <c r="J90" s="116" t="n">
        <f aca="false">J83-I83-J73+J185-J228</f>
        <v>0.652297873375161</v>
      </c>
      <c r="K90" s="116" t="n">
        <f aca="false">K83-J83-K73+K185-K228</f>
        <v>1.11695164858253</v>
      </c>
      <c r="L90" s="116" t="n">
        <f aca="false">L83-K83-L73+L185-L228</f>
        <v>0.863399831319356</v>
      </c>
      <c r="M90" s="116" t="n">
        <f aca="false">M83-L83-M73+M185-M228</f>
        <v>2.39725147451057</v>
      </c>
      <c r="N90" s="116" t="n">
        <f aca="false">N83-M83-N73+N185-N228</f>
        <v>0.0288391612351688</v>
      </c>
      <c r="O90" s="116" t="n">
        <f aca="false">O83-N83-O73+O185-O228</f>
        <v>-1.77079622553885</v>
      </c>
      <c r="P90" s="116" t="n">
        <f aca="false">P83-O83-P73+P185-P228</f>
        <v>-0.390420666537551</v>
      </c>
      <c r="Q90" s="116" t="n">
        <f aca="false">Q83-P83-Q73+Q185-Q228</f>
        <v>0.178126925210165</v>
      </c>
      <c r="R90" s="116" t="n">
        <f aca="false">R83-Q83-R73+R185-R228</f>
        <v>0.183356243576526</v>
      </c>
      <c r="S90" s="116" t="n">
        <f aca="false">S83-R83-S73+S185-S228</f>
        <v>0.187314892793722</v>
      </c>
      <c r="T90" s="116" t="n">
        <f aca="false">T83-S83-T73+T185-T228</f>
        <v>0.191171060922414</v>
      </c>
      <c r="U90" s="116" t="n">
        <f aca="false">U83-T83-U73+U185-U228</f>
        <v>0.189942355808114</v>
      </c>
      <c r="V90" s="116" t="n">
        <f aca="false">V83-U83-V73+V185-V228</f>
        <v>-0.0160502494809691</v>
      </c>
      <c r="W90" s="116" t="n">
        <f aca="false">W83-V83-W73+W185-W228</f>
        <v>0.0296743037240219</v>
      </c>
      <c r="X90" s="116" t="n">
        <f aca="false">X83-W83-X73+X185-X228</f>
        <v>0.0904001620857002</v>
      </c>
      <c r="Y90" s="116" t="n">
        <f aca="false">Y83-X83-Y73+Y185-Y228</f>
        <v>0.0960234572653178</v>
      </c>
      <c r="Z90" s="116" t="n">
        <f aca="false">Z83-Y83-Z73+Z185-Z228</f>
        <v>0.0937901260100489</v>
      </c>
      <c r="AA90" s="116" t="n">
        <f aca="false">AA83-Z83-AA73+AA185-AA228</f>
        <v>0.0915643037363623</v>
      </c>
      <c r="AB90" s="116" t="n">
        <f aca="false">AB83-AA83-AB73+AB185-AB228</f>
        <v>0.0893016972510452</v>
      </c>
      <c r="AC90" s="116" t="n">
        <f aca="false">AC83-AB83-AC73+AC185-AC228</f>
        <v>0.0870224927025163</v>
      </c>
      <c r="AD90" s="116" t="n">
        <f aca="false">AD83-AC83-AD73+AD185-AD228</f>
        <v>0.0847387508273982</v>
      </c>
      <c r="AE90" s="116" t="n">
        <f aca="false">AE83-AD83-AE73+AE185-AE228</f>
        <v>0.0824505627822134</v>
      </c>
      <c r="AF90" s="116" t="n">
        <f aca="false">AF83-AE83-AF73+AF185-AF228</f>
        <v>0.080158010375186</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0.89137208060951</v>
      </c>
      <c r="D92" s="116" t="n">
        <f aca="false">IF(D90&gt;0,IF($C$20="BC",MIN(D90-D91,MAX(0,C276+D53-D75)),MIN(D90,MAX(0,C276+D53-D75))),0)</f>
        <v>1.02641125253718</v>
      </c>
      <c r="E92" s="116" t="n">
        <f aca="false">IF(E90&gt;0,IF($C$20="BC",MIN(E90-E91,MAX(0,D276+E53-E75)),MIN(E90,MAX(0,D276+E53-E75))),0)</f>
        <v>0.815396571884065</v>
      </c>
      <c r="F92" s="116" t="n">
        <f aca="false">IF(F90&gt;0,IF($C$20="BC",MIN(F90-F91,MAX(0,E276+F53-F75)),MIN(F90,MAX(0,E276+F53-F75))),0)</f>
        <v>0</v>
      </c>
      <c r="G92" s="116" t="n">
        <f aca="false">IF(G90&gt;0,IF($C$20="BC",MIN(G90-G91,MAX(0,F276+G53-G75)),MIN(G90,MAX(0,F276+G53-G75))),0)</f>
        <v>0.167206759714908</v>
      </c>
      <c r="H92" s="116" t="n">
        <f aca="false">IF(H90&gt;0,IF($C$20="BC",MIN(H90-H91,MAX(0,G276+H53-H75)),MIN(H90,MAX(0,G276+H53-H75))),0)</f>
        <v>0.592139029462224</v>
      </c>
      <c r="I92" s="116" t="n">
        <f aca="false">IF(I90&gt;0,IF($C$20="BC",MIN(I90-I91,MAX(0,H276+I53-I75)),MIN(I90,MAX(0,H276+I53-I75))),0)</f>
        <v>0.64029852155646</v>
      </c>
      <c r="J92" s="116" t="n">
        <f aca="false">IF(J90&gt;0,IF($C$20="BC",MIN(J90-J91,MAX(0,I276+J53-J75)),MIN(J90,MAX(0,I276+J53-J75))),0)</f>
        <v>0.652297873375161</v>
      </c>
      <c r="K92" s="116" t="n">
        <f aca="false">IF(K90&gt;0,IF($C$20="BC",MIN(K90-K91,MAX(0,J276+K53-K75)),MIN(K90,MAX(0,J276+K53-K75))),0)</f>
        <v>1.11695164858253</v>
      </c>
      <c r="L92" s="116" t="n">
        <f aca="false">IF(L90&gt;0,IF($C$20="BC",MIN(L90-L91,MAX(0,K276+L53-L75)),MIN(L90,MAX(0,K276+L53-L75))),0)</f>
        <v>0.863399831319356</v>
      </c>
      <c r="M92" s="116" t="n">
        <f aca="false">IF(M90&gt;0,IF($C$20="BC",MIN(M90-M91,MAX(0,L276+M53-M75)),MIN(M90,MAX(0,L276+M53-M75))),0)</f>
        <v>2.39725147451057</v>
      </c>
      <c r="N92" s="116" t="n">
        <f aca="false">IF(N90&gt;0,IF($C$20="BC",MIN(N90-N91,MAX(0,M276+N53-N75)),MIN(N90,MAX(0,M276+N53-N75))),0)</f>
        <v>0.0288391612351688</v>
      </c>
      <c r="O92" s="116" t="n">
        <f aca="false">IF(O90&gt;0,IF($C$20="BC",MIN(O90-O91,MAX(0,N276+O53-O75)),MIN(O90,MAX(0,N276+O53-O75))),0)</f>
        <v>0</v>
      </c>
      <c r="P92" s="116" t="n">
        <f aca="false">IF(P90&gt;0,IF($C$20="BC",MIN(P90-P91,MAX(0,O276+P53-P75)),MIN(P90,MAX(0,O276+P53-P75))),0)</f>
        <v>0</v>
      </c>
      <c r="Q92" s="116" t="n">
        <f aca="false">IF(Q90&gt;0,IF($C$20="BC",MIN(Q90-Q91,MAX(0,P276+Q53-Q75)),MIN(Q90,MAX(0,P276+Q53-Q75))),0)</f>
        <v>0.178126925210165</v>
      </c>
      <c r="R92" s="116" t="n">
        <f aca="false">IF(R90&gt;0,IF($C$20="BC",MIN(R90-R91,MAX(0,Q276+R53-R75)),MIN(R90,MAX(0,Q276+R53-R75))),0)</f>
        <v>0.183356243576526</v>
      </c>
      <c r="S92" s="116" t="n">
        <f aca="false">IF(S90&gt;0,IF($C$20="BC",MIN(S90-S91,MAX(0,R276+S53-S75)),MIN(S90,MAX(0,R276+S53-S75))),0)</f>
        <v>0.187314892793722</v>
      </c>
      <c r="T92" s="116" t="n">
        <f aca="false">IF(T90&gt;0,IF($C$20="BC",MIN(T90-T91,MAX(0,S276+T53-T75)),MIN(T90,MAX(0,S276+T53-T75))),0)</f>
        <v>0.191171060922414</v>
      </c>
      <c r="U92" s="116" t="n">
        <f aca="false">IF(U90&gt;0,IF($C$20="BC",MIN(U90-U91,MAX(0,T276+U53-U75)),MIN(U90,MAX(0,T276+U53-U75))),0)</f>
        <v>0.189942355808114</v>
      </c>
      <c r="V92" s="116" t="n">
        <f aca="false">IF(V90&gt;0,IF($C$20="BC",MIN(V90-V91,MAX(0,U276+V53-V75)),MIN(V90,MAX(0,U276+V53-V75))),0)</f>
        <v>0</v>
      </c>
      <c r="W92" s="116" t="n">
        <f aca="false">IF(W90&gt;0,IF($C$20="BC",MIN(W90-W91,MAX(0,V276+W53-W75)),MIN(W90,MAX(0,V276+W53-W75))),0)</f>
        <v>0.0296743037240219</v>
      </c>
      <c r="X92" s="116" t="n">
        <f aca="false">IF(X90&gt;0,IF($C$20="BC",MIN(X90-X91,MAX(0,W276+X53-X75)),MIN(X90,MAX(0,W276+X53-X75))),0)</f>
        <v>0.0904001620857002</v>
      </c>
      <c r="Y92" s="116" t="n">
        <f aca="false">IF(Y90&gt;0,IF($C$20="BC",MIN(Y90-Y91,MAX(0,X276+Y53-Y75)),MIN(Y90,MAX(0,X276+Y53-Y75))),0)</f>
        <v>0.0960234572653178</v>
      </c>
      <c r="Z92" s="116" t="n">
        <f aca="false">IF(Z90&gt;0,IF($C$20="BC",MIN(Z90-Z91,MAX(0,Y276+Z53-Z75)),MIN(Z90,MAX(0,Y276+Z53-Z75))),0)</f>
        <v>0.0937901260100489</v>
      </c>
      <c r="AA92" s="116" t="n">
        <f aca="false">IF(AA90&gt;0,IF($C$20="BC",MIN(AA90-AA91,MAX(0,Z276+AA53-AA75)),MIN(AA90,MAX(0,Z276+AA53-AA75))),0)</f>
        <v>0.0915643037363623</v>
      </c>
      <c r="AB92" s="116" t="n">
        <f aca="false">IF(AB90&gt;0,IF($C$20="BC",MIN(AB90-AB91,MAX(0,AA276+AB53-AB75)),MIN(AB90,MAX(0,AA276+AB53-AB75))),0)</f>
        <v>0.0893016972510452</v>
      </c>
      <c r="AC92" s="116" t="n">
        <f aca="false">IF(AC90&gt;0,IF($C$20="BC",MIN(AC90-AC91,MAX(0,AB276+AC53-AC75)),MIN(AC90,MAX(0,AB276+AC53-AC75))),0)</f>
        <v>0.0870224927025163</v>
      </c>
      <c r="AD92" s="116" t="n">
        <f aca="false">IF(AD90&gt;0,IF($C$20="BC",MIN(AD90-AD91,MAX(0,AC276+AD53-AD75)),MIN(AD90,MAX(0,AC276+AD53-AD75))),0)</f>
        <v>0.0847387508273982</v>
      </c>
      <c r="AE92" s="116" t="n">
        <f aca="false">IF(AE90&gt;0,IF($C$20="BC",MIN(AE90-AE91,MAX(0,AD276+AE53-AE75)),MIN(AE90,MAX(0,AD276+AE53-AE75))),0)</f>
        <v>0.0824505627822134</v>
      </c>
      <c r="AF92" s="116" t="n">
        <f aca="false">IF(AF90&gt;0,IF($C$20="BC",MIN(AF90-AF91,MAX(0,AE276+AF53-AF75)),MIN(AF90,MAX(0,AE276+AF53-AF75))),0)</f>
        <v>0.080158010375186</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0.109327285339944</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1.77079622553885</v>
      </c>
      <c r="P94" s="116" t="n">
        <f aca="false">IF(P90&lt;0,-P90-P93,0)</f>
        <v>0.390420666537551</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0.0160502494809691</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0.295667569309572</v>
      </c>
      <c r="D100" s="116" t="n">
        <f aca="false">$C$21*$C$22*D81</f>
        <v>0.781764299547855</v>
      </c>
      <c r="E100" s="116" t="n">
        <f aca="false">$C$21*$C$22*E81</f>
        <v>1.43719072991873</v>
      </c>
      <c r="F100" s="116" t="n">
        <f aca="false">$C$21*$C$22*F81</f>
        <v>2.94100610175068</v>
      </c>
      <c r="G100" s="116" t="n">
        <f aca="false">$C$21*$C$22*G81</f>
        <v>4.44480744815791</v>
      </c>
      <c r="H100" s="116" t="n">
        <f aca="false">$C$21*$C$22*H81</f>
        <v>5.68777658499661</v>
      </c>
      <c r="I100" s="116" t="n">
        <f aca="false">$C$21*$C$22*I81</f>
        <v>6.7751310509225</v>
      </c>
      <c r="J100" s="116" t="n">
        <f aca="false">$C$21*$C$22*J81</f>
        <v>7.72795003220242</v>
      </c>
      <c r="K100" s="116" t="n">
        <f aca="false">$C$21*$C$22*K81</f>
        <v>8.04259235199898</v>
      </c>
      <c r="L100" s="116" t="n">
        <f aca="false">$C$21*$C$22*L81</f>
        <v>8.35748903018525</v>
      </c>
      <c r="M100" s="116" t="n">
        <f aca="false">$C$21*$C$22*M81</f>
        <v>8.66655656398049</v>
      </c>
      <c r="N100" s="116" t="n">
        <f aca="false">$C$21*$C$22*N81</f>
        <v>8.96383762433609</v>
      </c>
      <c r="O100" s="116" t="n">
        <f aca="false">$C$21*$C$22*O81</f>
        <v>9.2442646211145</v>
      </c>
      <c r="P100" s="116" t="n">
        <f aca="false">$C$21*$C$22*P81</f>
        <v>9.49387734285995</v>
      </c>
      <c r="Q100" s="116" t="n">
        <f aca="false">$C$21*$C$22*Q81</f>
        <v>9.71266432613811</v>
      </c>
      <c r="R100" s="116" t="n">
        <f aca="false">$C$21*$C$22*R81</f>
        <v>9.90775137972035</v>
      </c>
      <c r="S100" s="116" t="n">
        <f aca="false">$C$21*$C$22*S81</f>
        <v>10.0849871373213</v>
      </c>
      <c r="T100" s="116" t="n">
        <f aca="false">$C$21*$C$22*T81</f>
        <v>10.2493314883547</v>
      </c>
      <c r="U100" s="116" t="n">
        <f aca="false">$C$21*$C$22*U81</f>
        <v>10.4145481310088</v>
      </c>
      <c r="V100" s="116" t="n">
        <f aca="false">$C$21*$C$22*V81</f>
        <v>10.5805394827139</v>
      </c>
      <c r="W100" s="116" t="n">
        <f aca="false">$C$21*$C$22*W81</f>
        <v>10.7436226078964</v>
      </c>
      <c r="X100" s="116" t="n">
        <f aca="false">$C$21*$C$22*X81</f>
        <v>10.9037037793058</v>
      </c>
      <c r="Y100" s="116" t="n">
        <f aca="false">$C$21*$C$22*Y81</f>
        <v>11.0606895816787</v>
      </c>
      <c r="Z100" s="116" t="n">
        <f aca="false">$C$21*$C$22*Z81</f>
        <v>11.2144868918996</v>
      </c>
      <c r="AA100" s="116" t="n">
        <f aca="false">$C$21*$C$22*AA81</f>
        <v>11.3650028600031</v>
      </c>
      <c r="AB100" s="116" t="n">
        <f aca="false">$C$21*$C$22*AB81</f>
        <v>11.512229976043</v>
      </c>
      <c r="AC100" s="116" t="n">
        <f aca="false">$C$21*$C$22*AC81</f>
        <v>11.6561609675681</v>
      </c>
      <c r="AD100" s="116" t="n">
        <f aca="false">$C$21*$C$22*AD81</f>
        <v>11.7967887828761</v>
      </c>
      <c r="AE100" s="116" t="n">
        <f aca="false">$C$21*$C$22*AE81</f>
        <v>11.9341065749326</v>
      </c>
      <c r="AF100" s="116" t="n">
        <f aca="false">$C$21*$C$22*AF81</f>
        <v>12.0681076859162</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0.000781764299547855</v>
      </c>
      <c r="F102" s="116" t="n">
        <f aca="false">E104*$C$24</f>
        <v>0.00143719072991873</v>
      </c>
      <c r="G102" s="116" t="n">
        <f aca="false">F104*$C$24</f>
        <v>0.00294100610175068</v>
      </c>
      <c r="H102" s="116" t="n">
        <f aca="false">G104*$C$24</f>
        <v>0.00444480744815791</v>
      </c>
      <c r="I102" s="116" t="n">
        <f aca="false">H104*$C$24</f>
        <v>0.00568777658499661</v>
      </c>
      <c r="J102" s="116" t="n">
        <f aca="false">I104*$C$24</f>
        <v>0.0067751310509225</v>
      </c>
      <c r="K102" s="116" t="n">
        <f aca="false">J104*$C$24</f>
        <v>0.00772795003220242</v>
      </c>
      <c r="L102" s="116" t="n">
        <f aca="false">K104*$C$24</f>
        <v>0.00804259235199898</v>
      </c>
      <c r="M102" s="116" t="n">
        <f aca="false">L104*$C$24</f>
        <v>0.00835748903018525</v>
      </c>
      <c r="N102" s="116" t="n">
        <f aca="false">M104*$C$24</f>
        <v>0.0086665565639805</v>
      </c>
      <c r="O102" s="116" t="n">
        <f aca="false">N104*$C$24</f>
        <v>0.00896383762433609</v>
      </c>
      <c r="P102" s="116" t="n">
        <f aca="false">O104*$C$24</f>
        <v>0.0092442646211145</v>
      </c>
      <c r="Q102" s="116" t="n">
        <f aca="false">P104*$C$24</f>
        <v>0.00949387734285995</v>
      </c>
      <c r="R102" s="116" t="n">
        <f aca="false">Q104*$C$24</f>
        <v>0.00971266432613811</v>
      </c>
      <c r="S102" s="116" t="n">
        <f aca="false">R104*$C$24</f>
        <v>0.00990775137972035</v>
      </c>
      <c r="T102" s="116" t="n">
        <f aca="false">S104*$C$24</f>
        <v>0.0100849871373213</v>
      </c>
      <c r="U102" s="116" t="n">
        <f aca="false">T104*$C$24</f>
        <v>0.0102493314883547</v>
      </c>
      <c r="V102" s="116" t="n">
        <f aca="false">U104*$C$24</f>
        <v>0.0104145481310088</v>
      </c>
      <c r="W102" s="116" t="n">
        <f aca="false">V104*$C$24</f>
        <v>0.0105805394827139</v>
      </c>
      <c r="X102" s="116" t="n">
        <f aca="false">W104*$C$24</f>
        <v>0.0107436226078964</v>
      </c>
      <c r="Y102" s="116" t="n">
        <f aca="false">X104*$C$24</f>
        <v>0.0109037037793058</v>
      </c>
      <c r="Z102" s="116" t="n">
        <f aca="false">Y104*$C$24</f>
        <v>0.0110606895816787</v>
      </c>
      <c r="AA102" s="116" t="n">
        <f aca="false">Z104*$C$24</f>
        <v>0.0112144868918996</v>
      </c>
      <c r="AB102" s="116" t="n">
        <f aca="false">AA104*$C$24</f>
        <v>0.0113650028600031</v>
      </c>
      <c r="AC102" s="116" t="n">
        <f aca="false">AB104*$C$24</f>
        <v>0.011512229976043</v>
      </c>
      <c r="AD102" s="116" t="n">
        <f aca="false">AC104*$C$24</f>
        <v>0.0116561609675681</v>
      </c>
      <c r="AE102" s="116" t="n">
        <f aca="false">AD104*$C$24</f>
        <v>0.0117967887828761</v>
      </c>
      <c r="AF102" s="116" t="n">
        <f aca="false">AE104*$C$24</f>
        <v>0.0119341065749326</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0.781764299547855</v>
      </c>
      <c r="E103" s="116" t="n">
        <f aca="false">MIN(MAX(0,E100-D104-E101),MAX(0,D276))</f>
        <v>0.655426430370875</v>
      </c>
      <c r="F103" s="116" t="n">
        <f aca="false">MIN(MAX(0,F100-E104-F101),MAX(0,E276))</f>
        <v>1.50381537183195</v>
      </c>
      <c r="G103" s="116" t="n">
        <f aca="false">MIN(MAX(0,G100-F104-G101),MAX(0,F276))</f>
        <v>1.50380134640723</v>
      </c>
      <c r="H103" s="116" t="n">
        <f aca="false">MIN(MAX(0,H100-G104-H101),MAX(0,G276))</f>
        <v>1.2429691368387</v>
      </c>
      <c r="I103" s="116" t="n">
        <f aca="false">MIN(MAX(0,I100-H104-I101),MAX(0,H276))</f>
        <v>1.0873544659259</v>
      </c>
      <c r="J103" s="116" t="n">
        <f aca="false">MIN(MAX(0,J100-I104-J101),MAX(0,I276))</f>
        <v>0.95281898127992</v>
      </c>
      <c r="K103" s="116" t="n">
        <f aca="false">MIN(MAX(0,K100-J104-K101),MAX(0,J276))</f>
        <v>0.314642319796551</v>
      </c>
      <c r="L103" s="116" t="n">
        <f aca="false">MIN(MAX(0,L100-K104-L101),MAX(0,K276))</f>
        <v>0.314896678186273</v>
      </c>
      <c r="M103" s="116" t="n">
        <f aca="false">MIN(MAX(0,M100-L104-M101),MAX(0,L276))</f>
        <v>0.309067533795247</v>
      </c>
      <c r="N103" s="116" t="n">
        <f aca="false">MIN(MAX(0,N100-M104-N101),MAX(0,M276))</f>
        <v>0.297281060355598</v>
      </c>
      <c r="O103" s="116" t="n">
        <f aca="false">MIN(MAX(0,O100-N104-O101),MAX(0,N276))</f>
        <v>0.280426996778409</v>
      </c>
      <c r="P103" s="116" t="n">
        <f aca="false">MIN(MAX(0,P100-O104-P101),MAX(0,O276))</f>
        <v>0.24961272174545</v>
      </c>
      <c r="Q103" s="116" t="n">
        <f aca="false">MIN(MAX(0,Q100-P104-Q101),MAX(0,P276))</f>
        <v>0.218786983278159</v>
      </c>
      <c r="R103" s="116" t="n">
        <f aca="false">MIN(MAX(0,R100-Q104-R101),MAX(0,Q276))</f>
        <v>0.195087053582242</v>
      </c>
      <c r="S103" s="116" t="n">
        <f aca="false">MIN(MAX(0,S100-R104-S101),MAX(0,R276))</f>
        <v>0.17723575760091</v>
      </c>
      <c r="T103" s="116" t="n">
        <f aca="false">MIN(MAX(0,T100-S104-T101),MAX(0,S276))</f>
        <v>0.1643443510334</v>
      </c>
      <c r="U103" s="116" t="n">
        <f aca="false">MIN(MAX(0,U100-T104-U101),MAX(0,T276))</f>
        <v>0.165216642654141</v>
      </c>
      <c r="V103" s="116" t="n">
        <f aca="false">MIN(MAX(0,V100-U104-V101),MAX(0,U276))</f>
        <v>0.165991351705104</v>
      </c>
      <c r="W103" s="116" t="n">
        <f aca="false">MIN(MAX(0,W100-V104-W101),MAX(0,V276))</f>
        <v>0.163083125182524</v>
      </c>
      <c r="X103" s="116" t="n">
        <f aca="false">MIN(MAX(0,X100-W104-X101),MAX(0,W276))</f>
        <v>0.160081171409349</v>
      </c>
      <c r="Y103" s="116" t="n">
        <f aca="false">MIN(MAX(0,Y100-X104-Y101),MAX(0,X276))</f>
        <v>0.156985802372912</v>
      </c>
      <c r="Z103" s="116" t="n">
        <f aca="false">MIN(MAX(0,Z100-Y104-Z101),MAX(0,Y276))</f>
        <v>0.15379731022087</v>
      </c>
      <c r="AA103" s="116" t="n">
        <f aca="false">MIN(MAX(0,AA100-Z104-AA101),MAX(0,Z276))</f>
        <v>0.150515968103528</v>
      </c>
      <c r="AB103" s="116" t="n">
        <f aca="false">MIN(MAX(0,AB100-AA104-AB101),MAX(0,AA276))</f>
        <v>0.147227116039923</v>
      </c>
      <c r="AC103" s="116" t="n">
        <f aca="false">MIN(MAX(0,AC100-AB104-AC101),MAX(0,AB276))</f>
        <v>0.143930991525131</v>
      </c>
      <c r="AD103" s="116" t="n">
        <f aca="false">MIN(MAX(0,AD100-AC104-AD101),MAX(0,AC276))</f>
        <v>0.140627815307996</v>
      </c>
      <c r="AE103" s="116" t="n">
        <f aca="false">MIN(MAX(0,AE100-AD104-AE101),MAX(0,AD276))</f>
        <v>0.137317792056468</v>
      </c>
      <c r="AF103" s="116" t="n">
        <f aca="false">MIN(MAX(0,AF100-AE104-AF101),MAX(0,AE276))</f>
        <v>0.13400111098364</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0.781764299547855</v>
      </c>
      <c r="E104" s="136" t="n">
        <f aca="false">D104+E101+E103</f>
        <v>1.43719072991873</v>
      </c>
      <c r="F104" s="136" t="n">
        <f aca="false">E104+F101+F103</f>
        <v>2.94100610175068</v>
      </c>
      <c r="G104" s="136" t="n">
        <f aca="false">F104+G101+G103</f>
        <v>4.44480744815791</v>
      </c>
      <c r="H104" s="136" t="n">
        <f aca="false">G104+H101+H103</f>
        <v>5.68777658499661</v>
      </c>
      <c r="I104" s="136" t="n">
        <f aca="false">H104+I101+I103</f>
        <v>6.7751310509225</v>
      </c>
      <c r="J104" s="136" t="n">
        <f aca="false">I104+J101+J103</f>
        <v>7.72795003220242</v>
      </c>
      <c r="K104" s="136" t="n">
        <f aca="false">J104+K101+K103</f>
        <v>8.04259235199898</v>
      </c>
      <c r="L104" s="136" t="n">
        <f aca="false">K104+L101+L103</f>
        <v>8.35748903018525</v>
      </c>
      <c r="M104" s="136" t="n">
        <f aca="false">L104+M101+M103</f>
        <v>8.66655656398049</v>
      </c>
      <c r="N104" s="136" t="n">
        <f aca="false">M104+N101+N103</f>
        <v>8.96383762433609</v>
      </c>
      <c r="O104" s="136" t="n">
        <f aca="false">N104+O101+O103</f>
        <v>9.2442646211145</v>
      </c>
      <c r="P104" s="136" t="n">
        <f aca="false">O104+P101+P103</f>
        <v>9.49387734285995</v>
      </c>
      <c r="Q104" s="136" t="n">
        <f aca="false">P104+Q101+Q103</f>
        <v>9.71266432613811</v>
      </c>
      <c r="R104" s="136" t="n">
        <f aca="false">Q104+R101+R103</f>
        <v>9.90775137972035</v>
      </c>
      <c r="S104" s="136" t="n">
        <f aca="false">R104+S101+S103</f>
        <v>10.0849871373213</v>
      </c>
      <c r="T104" s="136" t="n">
        <f aca="false">S104+T101+T103</f>
        <v>10.2493314883547</v>
      </c>
      <c r="U104" s="136" t="n">
        <f aca="false">T104+U101+U103</f>
        <v>10.4145481310088</v>
      </c>
      <c r="V104" s="136" t="n">
        <f aca="false">U104+V101+V103</f>
        <v>10.5805394827139</v>
      </c>
      <c r="W104" s="136" t="n">
        <f aca="false">V104+W101+W103</f>
        <v>10.7436226078964</v>
      </c>
      <c r="X104" s="136" t="n">
        <f aca="false">W104+X101+X103</f>
        <v>10.9037037793058</v>
      </c>
      <c r="Y104" s="136" t="n">
        <f aca="false">X104+Y101+Y103</f>
        <v>11.0606895816787</v>
      </c>
      <c r="Z104" s="136" t="n">
        <f aca="false">Y104+Z101+Z103</f>
        <v>11.2144868918996</v>
      </c>
      <c r="AA104" s="136" t="n">
        <f aca="false">Z104+AA101+AA103</f>
        <v>11.3650028600031</v>
      </c>
      <c r="AB104" s="136" t="n">
        <f aca="false">AA104+AB101+AB103</f>
        <v>11.512229976043</v>
      </c>
      <c r="AC104" s="136" t="n">
        <f aca="false">AB104+AC101+AC103</f>
        <v>11.6561609675681</v>
      </c>
      <c r="AD104" s="136" t="n">
        <f aca="false">AC104+AD101+AD103</f>
        <v>11.7967887828761</v>
      </c>
      <c r="AE104" s="136" t="n">
        <f aca="false">AD104+AE101+AE103</f>
        <v>11.9341065749326</v>
      </c>
      <c r="AF104" s="136" t="n">
        <f aca="false">AE104+AF101+AF103</f>
        <v>12.0681076859162</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6.08767078810544</v>
      </c>
      <c r="E105" s="139" t="n">
        <f aca="false">E104/($C$36*(1+$C$23)^(E$39-1))</f>
        <v>11.1915369229861</v>
      </c>
      <c r="F105" s="139" t="n">
        <f aca="false">F104/($C$36*(1+$C$23)^(F$39-1))</f>
        <v>22.9018860846197</v>
      </c>
      <c r="G105" s="139" t="n">
        <f aca="false">G104/($C$36*(1+$C$23)^(G$39-1))</f>
        <v>34.6121260289759</v>
      </c>
      <c r="H105" s="139" t="n">
        <f aca="false">H104/($C$36*(1+$C$23)^(H$39-1))</f>
        <v>44.2912414723722</v>
      </c>
      <c r="I105" s="139" t="n">
        <f aca="false">I104/($C$36*(1+$C$23)^(I$39-1))</f>
        <v>52.7585711040291</v>
      </c>
      <c r="J105" s="139" t="n">
        <f aca="false">J104/($C$36*(1+$C$23)^(J$39-1))</f>
        <v>60.1782604938425</v>
      </c>
      <c r="K105" s="139" t="n">
        <f aca="false">K104/($C$36*(1+$C$23)^(K$39-1))</f>
        <v>62.628409291933</v>
      </c>
      <c r="L105" s="139" t="n">
        <f aca="false">L104/($C$36*(1+$C$23)^(L$39-1))</f>
        <v>65.0805388022915</v>
      </c>
      <c r="M105" s="139" t="n">
        <f aca="false">M104/($C$36*(1+$C$23)^(M$39-1))</f>
        <v>67.4872762270182</v>
      </c>
      <c r="N105" s="139" t="n">
        <f aca="false">N104/($C$36*(1+$C$23)^(N$39-1))</f>
        <v>69.8022312947163</v>
      </c>
      <c r="O105" s="139" t="n">
        <f aca="false">O104/($C$36*(1+$C$23)^(O$39-1))</f>
        <v>71.9859422130474</v>
      </c>
      <c r="P105" s="139" t="n">
        <f aca="false">P104/($C$36*(1+$C$23)^(P$39-1))</f>
        <v>73.9296995263298</v>
      </c>
      <c r="Q105" s="139" t="n">
        <f aca="false">Q104/($C$36*(1+$C$23)^(Q$39-1))</f>
        <v>75.633413967742</v>
      </c>
      <c r="R105" s="139" t="n">
        <f aca="false">R104/($C$36*(1+$C$23)^(R$39-1))</f>
        <v>77.1525748681784</v>
      </c>
      <c r="S105" s="139" t="n">
        <f aca="false">S104/($C$36*(1+$C$23)^(S$39-1))</f>
        <v>78.532726078433</v>
      </c>
      <c r="T105" s="139" t="n">
        <f aca="false">T104/($C$36*(1+$C$23)^(T$39-1))</f>
        <v>79.8124907153636</v>
      </c>
      <c r="U105" s="139" t="n">
        <f aca="false">U104/($C$36*(1+$C$23)^(U$39-1))</f>
        <v>81.0990479676917</v>
      </c>
      <c r="V105" s="139" t="n">
        <f aca="false">V104/($C$36*(1+$C$23)^(V$39-1))</f>
        <v>82.3916379509357</v>
      </c>
      <c r="W105" s="139" t="n">
        <f aca="false">W104/($C$36*(1+$C$23)^(W$39-1))</f>
        <v>83.6615813057048</v>
      </c>
      <c r="X105" s="139" t="n">
        <f aca="false">X104/($C$36*(1+$C$23)^(X$39-1))</f>
        <v>84.9081481692442</v>
      </c>
      <c r="Y105" s="139" t="n">
        <f aca="false">Y104/($C$36*(1+$C$23)^(Y$39-1))</f>
        <v>86.1306111082727</v>
      </c>
      <c r="Z105" s="139" t="n">
        <f aca="false">Z104/($C$36*(1+$C$23)^(Z$39-1))</f>
        <v>87.3282449644904</v>
      </c>
      <c r="AA105" s="139" t="n">
        <f aca="false">AA104/($C$36*(1+$C$23)^(AA$39-1))</f>
        <v>88.5003267066436</v>
      </c>
      <c r="AB105" s="139" t="n">
        <f aca="false">AB104/($C$36*(1+$C$23)^(AB$39-1))</f>
        <v>89.6467978540874</v>
      </c>
      <c r="AC105" s="139" t="n">
        <f aca="false">AC104/($C$36*(1+$C$23)^(AC$39-1))</f>
        <v>90.7676017755729</v>
      </c>
      <c r="AD105" s="139" t="n">
        <f aca="false">AD104/($C$36*(1+$C$23)^(AD$39-1))</f>
        <v>91.8626835588428</v>
      </c>
      <c r="AE105" s="139" t="n">
        <f aca="false">AE104/($C$36*(1+$C$23)^(AE$39-1))</f>
        <v>92.9319898854079</v>
      </c>
      <c r="AF105" s="139" t="n">
        <f aca="false">AF104/($C$36*(1+$C$23)^(AF$39-1))</f>
        <v>93.9754689101991</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0.276783749276414</v>
      </c>
      <c r="D107" s="116" t="n">
        <f aca="false">D87*(1-$C$340)*$C$175+D85*01_Supuestos!$I$126+D55*D88</f>
        <v>0.722925430248171</v>
      </c>
      <c r="E107" s="116" t="n">
        <f aca="false">E87*(1-$C$340)*$C$175+E85*01_Supuestos!$I$126+E55*E88</f>
        <v>1.26886809465487</v>
      </c>
      <c r="F107" s="116" t="n">
        <f aca="false">F87*(1-$C$340)*$C$175+F85*01_Supuestos!$I$126+F55*F88</f>
        <v>1.81708767719129</v>
      </c>
      <c r="G107" s="116" t="n">
        <f aca="false">G87*(1-$C$340)*$C$175+G85*01_Supuestos!$I$126+G55*G88</f>
        <v>2.3783431576715</v>
      </c>
      <c r="H107" s="116" t="n">
        <f aca="false">H87*(1-$C$340)*$C$175+H85*01_Supuestos!$I$126+H55*H88</f>
        <v>2.95615181088842</v>
      </c>
      <c r="I107" s="116" t="n">
        <f aca="false">I87*(1-$C$340)*$C$175+I85*01_Supuestos!$I$126+I55*I88</f>
        <v>3.54952239085696</v>
      </c>
      <c r="J107" s="116" t="n">
        <f aca="false">J87*(1-$C$340)*$C$175+J85*01_Supuestos!$I$126+J55*J88</f>
        <v>4.15850863681127</v>
      </c>
      <c r="K107" s="116" t="n">
        <f aca="false">K87*(1-$C$340)*$C$175+K85*01_Supuestos!$I$126+K55*K88</f>
        <v>4.78964445514252</v>
      </c>
      <c r="L107" s="116" t="n">
        <f aca="false">L87*(1-$C$340)*$C$175+L85*01_Supuestos!$I$126+L55*L88</f>
        <v>5.4353825323664</v>
      </c>
      <c r="M107" s="116" t="n">
        <f aca="false">M87*(1-$C$340)*$C$175+M85*01_Supuestos!$I$126+M55*M88</f>
        <v>6.12056609272851</v>
      </c>
      <c r="N107" s="116" t="n">
        <f aca="false">N87*(1-$C$340)*$C$175+N85*01_Supuestos!$I$126+N55*N88</f>
        <v>6.5314001713277</v>
      </c>
      <c r="O107" s="116" t="n">
        <f aca="false">O87*(1-$C$340)*$C$175+O85*01_Supuestos!$I$126+O55*O88</f>
        <v>6.681049840449</v>
      </c>
      <c r="P107" s="116" t="n">
        <f aca="false">P87*(1-$C$340)*$C$175+P85*01_Supuestos!$I$126+P55*P88</f>
        <v>6.83442875813993</v>
      </c>
      <c r="Q107" s="116" t="n">
        <f aca="false">Q87*(1-$C$340)*$C$175+Q85*01_Supuestos!$I$126+Q55*Q88</f>
        <v>6.99161732120528</v>
      </c>
      <c r="R107" s="116" t="n">
        <f aca="false">R87*(1-$C$340)*$C$175+R85*01_Supuestos!$I$126+R55*R88</f>
        <v>7.15264274517484</v>
      </c>
      <c r="S107" s="116" t="n">
        <f aca="false">S87*(1-$C$340)*$C$175+S85*01_Supuestos!$I$126+S55*S88</f>
        <v>7.31754398217492</v>
      </c>
      <c r="T107" s="116" t="n">
        <f aca="false">T87*(1-$C$340)*$C$175+T85*01_Supuestos!$I$126+T55*T88</f>
        <v>7.48636876958753</v>
      </c>
      <c r="U107" s="116" t="n">
        <f aca="false">U87*(1-$C$340)*$C$175+U85*01_Supuestos!$I$126+U55*U88</f>
        <v>7.65909894492601</v>
      </c>
      <c r="V107" s="116" t="n">
        <f aca="false">V87*(1-$C$340)*$C$175+V85*01_Supuestos!$I$126+V55*V88</f>
        <v>7.78436888716644</v>
      </c>
      <c r="W107" s="116" t="n">
        <f aca="false">W87*(1-$C$340)*$C$175+W85*01_Supuestos!$I$126+W55*W88</f>
        <v>7.90008069660991</v>
      </c>
      <c r="X107" s="116" t="n">
        <f aca="false">X87*(1-$C$340)*$C$175+X85*01_Supuestos!$I$126+X55*X88</f>
        <v>8.01342314605988</v>
      </c>
      <c r="Y107" s="116" t="n">
        <f aca="false">Y87*(1-$C$340)*$C$175+Y85*01_Supuestos!$I$126+Y55*Y88</f>
        <v>8.12439067525869</v>
      </c>
      <c r="Z107" s="116" t="n">
        <f aca="false">Z87*(1-$C$340)*$C$175+Z85*01_Supuestos!$I$126+Z55*Z88</f>
        <v>8.23297792968766</v>
      </c>
      <c r="AA107" s="116" t="n">
        <f aca="false">AA87*(1-$C$340)*$C$175+AA85*01_Supuestos!$I$126+AA55*AA88</f>
        <v>8.33917974657101</v>
      </c>
      <c r="AB107" s="116" t="n">
        <f aca="false">AB87*(1-$C$340)*$C$175+AB85*01_Supuestos!$I$126+AB55*AB88</f>
        <v>8.44299048544272</v>
      </c>
      <c r="AC107" s="116" t="n">
        <f aca="false">AC87*(1-$C$340)*$C$175+AC85*01_Supuestos!$I$126+AC55*AC88</f>
        <v>8.54440467126112</v>
      </c>
      <c r="AD107" s="116" t="n">
        <f aca="false">AD87*(1-$C$340)*$C$175+AD85*01_Supuestos!$I$126+AD55*AD88</f>
        <v>8.64341698202166</v>
      </c>
      <c r="AE107" s="116" t="n">
        <f aca="false">AE87*(1-$C$340)*$C$175+AE85*01_Supuestos!$I$126+AE55*AE88</f>
        <v>8.74002223684385</v>
      </c>
      <c r="AF107" s="116" t="n">
        <f aca="false">AF87*(1-$C$340)*$C$175+AF85*01_Supuestos!$I$126+AF55*AF88</f>
        <v>8.8342153845034</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0.0512282804947994</v>
      </c>
      <c r="E108" s="116" t="n">
        <f aca="false">E330-E332</f>
        <v>0.133372615723114</v>
      </c>
      <c r="F108" s="116" t="n">
        <f aca="false">F330-F332</f>
        <v>0.231158478565312</v>
      </c>
      <c r="G108" s="116" t="n">
        <f aca="false">G330-G332</f>
        <v>0.291194337841878</v>
      </c>
      <c r="H108" s="116" t="n">
        <f aca="false">H330-H332</f>
        <v>0.354271907272695</v>
      </c>
      <c r="I108" s="116" t="n">
        <f aca="false">I330-I332</f>
        <v>0.432980403546143</v>
      </c>
      <c r="J108" s="116" t="n">
        <f aca="false">J330-J332</f>
        <v>0.522340937364765</v>
      </c>
      <c r="K108" s="116" t="n">
        <f aca="false">K330-K332</f>
        <v>0.621414906054605</v>
      </c>
      <c r="L108" s="116" t="n">
        <f aca="false">L330-L332</f>
        <v>0.754451967930845</v>
      </c>
      <c r="M108" s="116" t="n">
        <f aca="false">M330-M332</f>
        <v>0.890884038148588</v>
      </c>
      <c r="N108" s="116" t="n">
        <f aca="false">N330-N332</f>
        <v>1.12614862715678</v>
      </c>
      <c r="O108" s="116" t="n">
        <f aca="false">O330-O332</f>
        <v>1.2708840723162</v>
      </c>
      <c r="P108" s="116" t="n">
        <f aca="false">P330-P332</f>
        <v>1.29788664403691</v>
      </c>
      <c r="Q108" s="116" t="n">
        <f aca="false">Q330-Q332</f>
        <v>1.32662819778597</v>
      </c>
      <c r="R108" s="116" t="n">
        <f aca="false">R330-R332</f>
        <v>1.35712781220328</v>
      </c>
      <c r="S108" s="116" t="n">
        <f aca="false">S330-S332</f>
        <v>1.38919087866152</v>
      </c>
      <c r="T108" s="116" t="n">
        <f aca="false">T330-T332</f>
        <v>1.42266154459471</v>
      </c>
      <c r="U108" s="116" t="n">
        <f aca="false">U330-U332</f>
        <v>1.45741107071414</v>
      </c>
      <c r="V108" s="116" t="n">
        <f aca="false">V330-V332</f>
        <v>1.49304706478791</v>
      </c>
      <c r="W108" s="116" t="n">
        <f aca="false">W330-W332</f>
        <v>1.5175894583716</v>
      </c>
      <c r="X108" s="116" t="n">
        <f aca="false">X330-X332</f>
        <v>1.53998410050987</v>
      </c>
      <c r="Y108" s="116" t="n">
        <f aca="false">Y330-Y332</f>
        <v>1.5619106661147</v>
      </c>
      <c r="Z108" s="116" t="n">
        <f aca="false">Z330-Z332</f>
        <v>1.58337049250108</v>
      </c>
      <c r="AA108" s="116" t="n">
        <f aca="false">AA330-AA332</f>
        <v>1.60436495674081</v>
      </c>
      <c r="AB108" s="116" t="n">
        <f aca="false">AB330-AB332</f>
        <v>1.62489547293318</v>
      </c>
      <c r="AC108" s="116" t="n">
        <f aca="false">AC330-AC332</f>
        <v>1.64496093703382</v>
      </c>
      <c r="AD108" s="116" t="n">
        <f aca="false">AD330-AD332</f>
        <v>1.66456027689164</v>
      </c>
      <c r="AE108" s="116" t="n">
        <f aca="false">AE330-AE332</f>
        <v>1.6836924498314</v>
      </c>
      <c r="AF108" s="116" t="n">
        <f aca="false">AF330-AF332</f>
        <v>1.70235644032801</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0.389511895137611</v>
      </c>
      <c r="G109" s="116" t="n">
        <f aca="false">(G70+F121)*(0.3*$C$5+0.25*01_Supuestos!$I$134)/0.55-F227*$C$5</f>
        <v>0.77322252976871</v>
      </c>
      <c r="H109" s="116" t="n">
        <f aca="false">(H70+G121)*(0.3*$C$5+0.25*01_Supuestos!$I$134)/0.55-G227*$C$5</f>
        <v>1.15700984936261</v>
      </c>
      <c r="I109" s="116" t="n">
        <f aca="false">(I70+H121)*(0.3*$C$5+0.25*01_Supuestos!$I$134)/0.55-H227*$C$5</f>
        <v>1.5408765608985</v>
      </c>
      <c r="J109" s="116" t="n">
        <f aca="false">(J70+I121)*(0.3*$C$5+0.25*01_Supuestos!$I$134)/0.55-I227*$C$5</f>
        <v>1.92482546691192</v>
      </c>
      <c r="K109" s="116" t="n">
        <f aca="false">(K70+J121)*(0.3*$C$5+0.25*01_Supuestos!$I$134)/0.55-J227*$C$5</f>
        <v>2.09060906699343</v>
      </c>
      <c r="L109" s="116" t="n">
        <f aca="false">(L70+K121)*(0.3*$C$5+0.25*01_Supuestos!$I$134)/0.55-K227*$C$5</f>
        <v>2.25639266707494</v>
      </c>
      <c r="M109" s="116" t="n">
        <f aca="false">(M70+L121)*(0.3*$C$5+0.25*01_Supuestos!$I$134)/0.55-L227*$C$5</f>
        <v>2.32246986653217</v>
      </c>
      <c r="N109" s="116" t="n">
        <f aca="false">(N70+M121)*(0.3*$C$5+0.25*01_Supuestos!$I$134)/0.55-M227*$C$5</f>
        <v>2.38864149544704</v>
      </c>
      <c r="O109" s="116" t="n">
        <f aca="false">(O70+N121)*(0.3*$C$5+0.25*01_Supuestos!$I$134)/0.55-N227*$C$5</f>
        <v>2.45491088717941</v>
      </c>
      <c r="P109" s="116" t="n">
        <f aca="false">(P70+O121)*(0.3*$C$5+0.25*01_Supuestos!$I$134)/0.55-O227*$C$5</f>
        <v>2.52128149275673</v>
      </c>
      <c r="Q109" s="116" t="n">
        <f aca="false">(Q70+P121)*(0.3*$C$5+0.25*01_Supuestos!$I$134)/0.55-P227*$C$5</f>
        <v>2.58775688502772</v>
      </c>
      <c r="R109" s="116" t="n">
        <f aca="false">(R70+Q121)*(0.3*$C$5+0.25*01_Supuestos!$I$134)/0.55-Q227*$C$5</f>
        <v>2.65434076296269</v>
      </c>
      <c r="S109" s="116" t="n">
        <f aca="false">(S70+R121)*(0.3*$C$5+0.25*01_Supuestos!$I$134)/0.55-R227*$C$5</f>
        <v>2.72103695610556</v>
      </c>
      <c r="T109" s="116" t="n">
        <f aca="false">(T70+S121)*(0.3*$C$5+0.25*01_Supuestos!$I$134)/0.55-S227*$C$5</f>
        <v>2.78784942918317</v>
      </c>
      <c r="U109" s="116" t="n">
        <f aca="false">(U70+T121)*(0.3*$C$5+0.25*01_Supuestos!$I$134)/0.55-T227*$C$5</f>
        <v>2.85478228687722</v>
      </c>
      <c r="V109" s="116" t="n">
        <f aca="false">(V70+U121)*(0.3*$C$5+0.25*01_Supuestos!$I$134)/0.55-U227*$C$5</f>
        <v>2.92183977876467</v>
      </c>
      <c r="W109" s="116" t="n">
        <f aca="false">(W70+V121)*(0.3*$C$5+0.25*01_Supuestos!$I$134)/0.55-V227*$C$5</f>
        <v>2.98902630443255</v>
      </c>
      <c r="X109" s="116" t="n">
        <f aca="false">(X70+W121)*(0.3*$C$5+0.25*01_Supuestos!$I$134)/0.55-W227*$C$5</f>
        <v>3.0563464187733</v>
      </c>
      <c r="Y109" s="116" t="n">
        <f aca="false">(Y70+X121)*(0.3*$C$5+0.25*01_Supuestos!$I$134)/0.55-X227*$C$5</f>
        <v>3.12380483746709</v>
      </c>
      <c r="Z109" s="116" t="n">
        <f aca="false">(Z70+Y121)*(0.3*$C$5+0.25*01_Supuestos!$I$134)/0.55-Y227*$C$5</f>
        <v>3.19140644265756</v>
      </c>
      <c r="AA109" s="116" t="n">
        <f aca="false">(AA70+Z121)*(0.3*$C$5+0.25*01_Supuestos!$I$134)/0.55-Z227*$C$5</f>
        <v>3.25915628882806</v>
      </c>
      <c r="AB109" s="116" t="n">
        <f aca="false">(AB70+AA121)*(0.3*$C$5+0.25*01_Supuestos!$I$134)/0.55-AA227*$C$5</f>
        <v>3.32705960888518</v>
      </c>
      <c r="AC109" s="116" t="n">
        <f aca="false">(AC70+AB121)*(0.3*$C$5+0.25*01_Supuestos!$I$134)/0.55-AB227*$C$5</f>
        <v>3.39512182045711</v>
      </c>
      <c r="AD109" s="116" t="n">
        <f aca="false">(AD70+AC121)*(0.3*$C$5+0.25*01_Supuestos!$I$134)/0.55-AC227*$C$5</f>
        <v>3.46334853241433</v>
      </c>
      <c r="AE109" s="116" t="n">
        <f aca="false">(AE70+AD121)*(0.3*$C$5+0.25*01_Supuestos!$I$134)/0.55-AD227*$C$5</f>
        <v>3.53174555162044</v>
      </c>
      <c r="AF109" s="116" t="n">
        <f aca="false">(AF70+AE121)*(0.3*$C$5+0.25*01_Supuestos!$I$134)/0.55-AE227*$C$5</f>
        <v>3.60031888992133</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0.716559348771894</v>
      </c>
      <c r="E110" s="116" t="n">
        <f aca="false">D120*$C$10</f>
        <v>1.40828464849981</v>
      </c>
      <c r="F110" s="116" t="n">
        <f aca="false">E120*$C$10</f>
        <v>2.1109269380208</v>
      </c>
      <c r="G110" s="116" t="n">
        <f aca="false">F120*$C$10</f>
        <v>2.62200204019646</v>
      </c>
      <c r="H110" s="116" t="n">
        <f aca="false">G120*$C$10</f>
        <v>3.07955100269165</v>
      </c>
      <c r="I110" s="116" t="n">
        <f aca="false">H120*$C$10</f>
        <v>3.50852212836713</v>
      </c>
      <c r="J110" s="116" t="n">
        <f aca="false">I120*$C$10</f>
        <v>3.93125693185325</v>
      </c>
      <c r="K110" s="116" t="n">
        <f aca="false">J120*$C$10</f>
        <v>4.35977606594336</v>
      </c>
      <c r="L110" s="116" t="n">
        <f aca="false">K120*$C$10</f>
        <v>4.83830947968869</v>
      </c>
      <c r="M110" s="116" t="n">
        <f aca="false">L120*$C$10</f>
        <v>5.36648072544712</v>
      </c>
      <c r="N110" s="116" t="n">
        <f aca="false">M120*$C$10</f>
        <v>5.30685025973161</v>
      </c>
      <c r="O110" s="116" t="n">
        <f aca="false">N120*$C$10</f>
        <v>5.3343084118749</v>
      </c>
      <c r="P110" s="116" t="n">
        <f aca="false">O120*$C$10</f>
        <v>5.42449970304519</v>
      </c>
      <c r="Q110" s="116" t="n">
        <f aca="false">P120*$C$10</f>
        <v>5.47002542901206</v>
      </c>
      <c r="R110" s="116" t="n">
        <f aca="false">Q120*$C$10</f>
        <v>5.49496727673738</v>
      </c>
      <c r="S110" s="116" t="n">
        <f aca="false">R120*$C$10</f>
        <v>5.51628580653</v>
      </c>
      <c r="T110" s="116" t="n">
        <f aca="false">S120*$C$10</f>
        <v>5.53243285052975</v>
      </c>
      <c r="U110" s="116" t="n">
        <f aca="false">T120*$C$10</f>
        <v>5.54222907576568</v>
      </c>
      <c r="V110" s="116" t="n">
        <f aca="false">U120*$C$10</f>
        <v>5.54580221961296</v>
      </c>
      <c r="W110" s="116" t="n">
        <f aca="false">V120*$C$10</f>
        <v>5.54897081168865</v>
      </c>
      <c r="X110" s="116" t="n">
        <f aca="false">W120*$C$10</f>
        <v>5.5436297001772</v>
      </c>
      <c r="Y110" s="116" t="n">
        <f aca="false">X120*$C$10</f>
        <v>5.52946666362333</v>
      </c>
      <c r="Z110" s="116" t="n">
        <f aca="false">Y120*$C$10</f>
        <v>5.50853493131336</v>
      </c>
      <c r="AA110" s="116" t="n">
        <f aca="false">Z120*$C$10</f>
        <v>5.48128954651375</v>
      </c>
      <c r="AB110" s="116" t="n">
        <f aca="false">AA120*$C$10</f>
        <v>5.44791109815094</v>
      </c>
      <c r="AC110" s="116" t="n">
        <f aca="false">AB120*$C$10</f>
        <v>5.40857076458612</v>
      </c>
      <c r="AD110" s="116" t="n">
        <f aca="false">AC120*$C$10</f>
        <v>5.36343181867637</v>
      </c>
      <c r="AE110" s="116" t="n">
        <f aca="false">AD120*$C$10</f>
        <v>5.31265059856505</v>
      </c>
      <c r="AF110" s="116" t="n">
        <f aca="false">AE120*$C$10</f>
        <v>5.25637758734294</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0.55357665388876</v>
      </c>
      <c r="D111" s="136" t="n">
        <f aca="false">D69*01_Supuestos!$I$107-D218</f>
        <v>1.42828368911724</v>
      </c>
      <c r="E111" s="136" t="n">
        <f aca="false">E69*01_Supuestos!$I$107-E218</f>
        <v>2.56406832333937</v>
      </c>
      <c r="F111" s="136" t="n">
        <f aca="false">F69*01_Supuestos!$I$107-F218</f>
        <v>5.25232231519187</v>
      </c>
      <c r="G111" s="136" t="n">
        <f aca="false">G69*01_Supuestos!$I$107-G218</f>
        <v>7.80108948551008</v>
      </c>
      <c r="H111" s="136" t="n">
        <f aca="false">H69*01_Supuestos!$I$107-H218</f>
        <v>9.73116546168079</v>
      </c>
      <c r="I111" s="136" t="n">
        <f aca="false">I69*01_Supuestos!$I$107-I218</f>
        <v>11.2792050011858</v>
      </c>
      <c r="J111" s="136" t="n">
        <f aca="false">J69*01_Supuestos!$I$107-J218</f>
        <v>12.5091975008267</v>
      </c>
      <c r="K111" s="136" t="n">
        <f aca="false">K69*01_Supuestos!$I$107-K218</f>
        <v>12.4841295794165</v>
      </c>
      <c r="L111" s="136" t="n">
        <f aca="false">L69*01_Supuestos!$I$107-L218</f>
        <v>12.4794900332596</v>
      </c>
      <c r="M111" s="136" t="n">
        <f aca="false">M69*01_Supuestos!$I$107-M218</f>
        <v>12.512414471571</v>
      </c>
      <c r="N111" s="136" t="n">
        <f aca="false">N69*01_Supuestos!$I$107-N218</f>
        <v>12.5917626576767</v>
      </c>
      <c r="O111" s="136" t="n">
        <f aca="false">O69*01_Supuestos!$I$107-O218</f>
        <v>12.7241359868209</v>
      </c>
      <c r="P111" s="136" t="n">
        <f aca="false">P69*01_Supuestos!$I$107-P218</f>
        <v>12.9472962336558</v>
      </c>
      <c r="Q111" s="136" t="n">
        <f aca="false">Q69*01_Supuestos!$I$107-Q218</f>
        <v>13.2553942813638</v>
      </c>
      <c r="R111" s="136" t="n">
        <f aca="false">R69*01_Supuestos!$I$107-R218</f>
        <v>13.6195072119713</v>
      </c>
      <c r="S111" s="136" t="n">
        <f aca="false">S69*01_Supuestos!$I$107-S218</f>
        <v>14.024429714961</v>
      </c>
      <c r="T111" s="136" t="n">
        <f aca="false">T69*01_Supuestos!$I$107-T218</f>
        <v>14.4576234701719</v>
      </c>
      <c r="U111" s="136" t="n">
        <f aca="false">U69*01_Supuestos!$I$107-U218</f>
        <v>14.8757720780868</v>
      </c>
      <c r="V111" s="136" t="n">
        <f aca="false">V69*01_Supuestos!$I$107-V218</f>
        <v>15.2795277045336</v>
      </c>
      <c r="W111" s="136" t="n">
        <f aca="false">W69*01_Supuestos!$I$107-W218</f>
        <v>15.669500222863</v>
      </c>
      <c r="X111" s="136" t="n">
        <f aca="false">X69*01_Supuestos!$I$107-X218</f>
        <v>16.0462599531352</v>
      </c>
      <c r="Y111" s="136" t="n">
        <f aca="false">Y69*01_Supuestos!$I$107-Y218</f>
        <v>16.4103402240666</v>
      </c>
      <c r="Z111" s="136" t="n">
        <f aca="false">Z69*01_Supuestos!$I$107-Z218</f>
        <v>16.7622397691973</v>
      </c>
      <c r="AA111" s="136" t="n">
        <f aca="false">AA69*01_Supuestos!$I$107-AA218</f>
        <v>17.1024249679981</v>
      </c>
      <c r="AB111" s="136" t="n">
        <f aca="false">AB69*01_Supuestos!$I$107-AB218</f>
        <v>17.4313319419445</v>
      </c>
      <c r="AC111" s="136" t="n">
        <f aca="false">AC69*01_Supuestos!$I$107-AC218</f>
        <v>17.7493685149341</v>
      </c>
      <c r="AD111" s="136" t="n">
        <f aca="false">AD69*01_Supuestos!$I$107-AD218</f>
        <v>18.056916046823</v>
      </c>
      <c r="AE111" s="136" t="n">
        <f aca="false">AE69*01_Supuestos!$I$107-AE218</f>
        <v>18.3543311482834</v>
      </c>
      <c r="AF111" s="136" t="n">
        <f aca="false">AF69*01_Supuestos!$I$107-AF218</f>
        <v>18.6419472846603</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0.0236534055447657</v>
      </c>
      <c r="D112" s="116" t="n">
        <f aca="false">D81*$C$7</f>
        <v>0.0625411439638284</v>
      </c>
      <c r="E112" s="116" t="n">
        <f aca="false">E81*$C$7</f>
        <v>0.114975258393498</v>
      </c>
      <c r="F112" s="116" t="n">
        <f aca="false">F81*$C$7</f>
        <v>0.235280488140055</v>
      </c>
      <c r="G112" s="116" t="n">
        <f aca="false">G81*$C$7</f>
        <v>0.355584595852633</v>
      </c>
      <c r="H112" s="116" t="n">
        <f aca="false">H81*$C$7</f>
        <v>0.455022126799729</v>
      </c>
      <c r="I112" s="116" t="n">
        <f aca="false">I81*$C$7</f>
        <v>0.5420104840738</v>
      </c>
      <c r="J112" s="116" t="n">
        <f aca="false">J81*$C$7</f>
        <v>0.618236002576194</v>
      </c>
      <c r="K112" s="116" t="n">
        <f aca="false">K81*$C$7</f>
        <v>0.643407388159918</v>
      </c>
      <c r="L112" s="116" t="n">
        <f aca="false">L81*$C$7</f>
        <v>0.66859912241482</v>
      </c>
      <c r="M112" s="116" t="n">
        <f aca="false">M81*$C$7</f>
        <v>0.69332452511844</v>
      </c>
      <c r="N112" s="116" t="n">
        <f aca="false">N81*$C$7</f>
        <v>0.717107009946887</v>
      </c>
      <c r="O112" s="116" t="n">
        <f aca="false">O81*$C$7</f>
        <v>0.73954116968916</v>
      </c>
      <c r="P112" s="116" t="n">
        <f aca="false">P81*$C$7</f>
        <v>0.759510187428796</v>
      </c>
      <c r="Q112" s="116" t="n">
        <f aca="false">Q81*$C$7</f>
        <v>0.777013146091049</v>
      </c>
      <c r="R112" s="116" t="n">
        <f aca="false">R81*$C$7</f>
        <v>0.792620110377628</v>
      </c>
      <c r="S112" s="116" t="n">
        <f aca="false">S81*$C$7</f>
        <v>0.806798970985701</v>
      </c>
      <c r="T112" s="116" t="n">
        <f aca="false">T81*$C$7</f>
        <v>0.819946519068373</v>
      </c>
      <c r="U112" s="116" t="n">
        <f aca="false">U81*$C$7</f>
        <v>0.833163850480704</v>
      </c>
      <c r="V112" s="116" t="n">
        <f aca="false">V81*$C$7</f>
        <v>0.846443158617113</v>
      </c>
      <c r="W112" s="116" t="n">
        <f aca="false">W81*$C$7</f>
        <v>0.859489808631714</v>
      </c>
      <c r="X112" s="116" t="n">
        <f aca="false">X81*$C$7</f>
        <v>0.872296302344462</v>
      </c>
      <c r="Y112" s="116" t="n">
        <f aca="false">Y81*$C$7</f>
        <v>0.884855166534295</v>
      </c>
      <c r="Z112" s="116" t="n">
        <f aca="false">Z81*$C$7</f>
        <v>0.897158951351965</v>
      </c>
      <c r="AA112" s="116" t="n">
        <f aca="false">AA81*$C$7</f>
        <v>0.909200228800247</v>
      </c>
      <c r="AB112" s="116" t="n">
        <f aca="false">AB81*$C$7</f>
        <v>0.920978398083441</v>
      </c>
      <c r="AC112" s="116" t="n">
        <f aca="false">AC81*$C$7</f>
        <v>0.932492877405452</v>
      </c>
      <c r="AD112" s="116" t="n">
        <f aca="false">AD81*$C$7</f>
        <v>0.943743102630091</v>
      </c>
      <c r="AE112" s="116" t="n">
        <f aca="false">AE81*$C$7</f>
        <v>0.954728525994609</v>
      </c>
      <c r="AF112" s="116" t="n">
        <f aca="false">AF81*$C$7</f>
        <v>0.9654486148733</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-0.305503668764942</v>
      </c>
      <c r="D113" s="136" t="n">
        <f aca="false">D107+D109+D110-D111-D112-D108-D97-D98-D102+D184-D190-D229-D265-D268-D274</f>
        <v>-0.124994455688845</v>
      </c>
      <c r="E113" s="136" t="n">
        <f aca="false">E107+E109+E110-E111-E112-E108-E97-E98-E102+E184-E190-E229-E265-E268-E274</f>
        <v>-0.177851761431098</v>
      </c>
      <c r="F113" s="136" t="n">
        <f aca="false">F107+F109+F110-F111-F112-F108-F97-F98-F102+F184-F190-F229-F265-F268-F274</f>
        <v>-1.42411596390056</v>
      </c>
      <c r="G113" s="136" t="n">
        <f aca="false">G107+G109+G110-G111-G112-G108-G97-G98-G102+G184-G190-G229-G265-G268-G274</f>
        <v>-2.70572104507387</v>
      </c>
      <c r="H113" s="136" t="n">
        <f aca="false">H107+H109+H110-H111-H112-H108-H97-H98-H102+H184-H190-H229-H265-H268-H274</f>
        <v>-3.38765760313983</v>
      </c>
      <c r="I113" s="136" t="n">
        <f aca="false">I107+I109+I110-I111-I112-I108-I97-I98-I102+I184-I190-I229-I265-I268-I274</f>
        <v>-3.70355858563503</v>
      </c>
      <c r="J113" s="136" t="n">
        <f aca="false">J107+J109+J110-J111-J112-J108-J97-J98-J102+J184-J190-J229-J265-J268-J274</f>
        <v>-3.69184992871389</v>
      </c>
      <c r="K113" s="136" t="n">
        <f aca="false">K107+K109+K110-K111-K112-K108-K97-K98-K102+K184-K190-K229-K265-K268-K274</f>
        <v>-2.57377998871705</v>
      </c>
      <c r="L113" s="136" t="n">
        <f aca="false">L107+L109+L110-L111-L112-L108-L97-L98-L102+L184-L190-L229-L265-L268-L274</f>
        <v>-1.4451732537695</v>
      </c>
      <c r="M113" s="136" t="n">
        <f aca="false">M107+M109+M110-M111-M112-M108-M97-M98-M102+M184-M190-M229-M265-M268-M274</f>
        <v>-0.367099045855779</v>
      </c>
      <c r="N113" s="136" t="n">
        <f aca="false">N107+N109+N110-N111-N112-N108-N97-N98-N102+N184-N190-N229-N265-N268-N274</f>
        <v>-0.293293869591252</v>
      </c>
      <c r="O113" s="136" t="n">
        <f aca="false">O107+O109+O110-O111-O112-O108-O97-O98-O102+O184-O190-O229-O265-O268-O274</f>
        <v>-0.352506237267233</v>
      </c>
      <c r="P113" s="136" t="n">
        <f aca="false">P107+P109+P110-P111-P112-P108-P97-P98-P102+P184-P190-P229-P265-P268-P274</f>
        <v>-0.315079735159252</v>
      </c>
      <c r="Q113" s="136" t="n">
        <f aca="false">Q107+Q109+Q110-Q111-Q112-Q108-Q97-Q98-Q102+Q184-Q190-Q229-Q265-Q268-Q274</f>
        <v>-0.402343859230098</v>
      </c>
      <c r="R113" s="136" t="n">
        <f aca="false">R107+R109+R110-R111-R112-R108-R97-R98-R102+R184-R190-R229-R265-R268-R274</f>
        <v>-0.562134889776614</v>
      </c>
      <c r="S113" s="136" t="n">
        <f aca="false">S107+S109+S110-S111-S112-S108-S97-S98-S102+S184-S190-S229-S265-S268-S274</f>
        <v>-0.762526249433707</v>
      </c>
      <c r="T113" s="136" t="n">
        <f aca="false">T107+T109+T110-T111-T112-T108-T97-T98-T102+T184-T190-T229-T265-T268-T274</f>
        <v>-0.992723977905578</v>
      </c>
      <c r="U113" s="136" t="n">
        <f aca="false">U107+U109+U110-U111-U112-U108-U97-U98-U102+U184-U190-U229-U265-U268-U274</f>
        <v>-1.21158600527555</v>
      </c>
      <c r="V113" s="136" t="n">
        <f aca="false">V107+V109+V110-V111-V112-V108-V97-V98-V102+V184-V190-V229-V265-V268-V274</f>
        <v>-1.4700833942581</v>
      </c>
      <c r="W113" s="136" t="n">
        <f aca="false">W107+W109+W110-W111-W112-W108-W97-W98-W102+W184-W190-W229-W265-W268-W274</f>
        <v>-1.71316534824566</v>
      </c>
      <c r="X113" s="136" t="n">
        <f aca="false">X107+X109+X110-X111-X112-X108-X97-X98-X102+X184-X190-X229-X265-X268-X274</f>
        <v>-1.95132943464677</v>
      </c>
      <c r="Y113" s="136" t="n">
        <f aca="false">Y107+Y109+Y110-Y111-Y112-Y108-Y97-Y98-Y102+Y184-Y190-Y229-Y265-Y268-Y274</f>
        <v>-2.18712163034308</v>
      </c>
      <c r="Z113" s="136" t="n">
        <f aca="false">Z107+Z109+Z110-Z111-Z112-Z108-Z97-Z98-Z102+Z184-Z190-Z229-Z265-Z268-Z274</f>
        <v>-2.41898555976802</v>
      </c>
      <c r="AA113" s="136" t="n">
        <f aca="false">AA107+AA109+AA110-AA111-AA112-AA108-AA97-AA98-AA102+AA184-AA190-AA229-AA265-AA268-AA274</f>
        <v>-2.64692644743656</v>
      </c>
      <c r="AB113" s="136" t="n">
        <f aca="false">AB107+AB109+AB110-AB111-AB112-AB108-AB97-AB98-AB102+AB184-AB190-AB229-AB265-AB268-AB274</f>
        <v>-2.87120090233728</v>
      </c>
      <c r="AC113" s="136" t="n">
        <f aca="false">AC107+AC109+AC110-AC111-AC112-AC108-AC97-AC98-AC102+AC184-AC190-AC229-AC265-AC268-AC274</f>
        <v>-3.09204387445709</v>
      </c>
      <c r="AD113" s="136" t="n">
        <f aca="false">AD107+AD109+AD110-AD111-AD112-AD108-AD97-AD98-AD102+AD184-AD190-AD229-AD265-AD268-AD274</f>
        <v>-3.30967145662594</v>
      </c>
      <c r="AE113" s="136" t="n">
        <f aca="false">AE107+AE109+AE110-AE111-AE112-AE108-AE97-AE98-AE102+AE184-AE190-AE229-AE265-AE268-AE274</f>
        <v>-3.52428163586324</v>
      </c>
      <c r="AF113" s="136" t="n">
        <f aca="false">AF107+AF109+AF110-AF111-AF112-AF108-AF97-AF98-AF102+AF184-AF190-AF229-AF265-AF268-AF274</f>
        <v>-3.73605481833603</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20.4731242506256</v>
      </c>
      <c r="D114" s="116" t="n">
        <f aca="false">C120+D53+D56-D57+(D58-D65)+D113-D92+D94-D95-D103+D60-D245</f>
        <v>40.2367042428517</v>
      </c>
      <c r="E114" s="116" t="n">
        <f aca="false">D120+E53+E56-E57+(E58-E65)+E113-E92+E94-E95-E103+E60-E245</f>
        <v>60.3121982291656</v>
      </c>
      <c r="F114" s="116" t="n">
        <f aca="false">E120+F53+F56-F57+(F58-F65)+F113-F92+F94-F95-F103+F60-F245</f>
        <v>74.9143440056131</v>
      </c>
      <c r="G114" s="116" t="n">
        <f aca="false">F120+G53+G56-G57+(G58-G65)+G113-G92+G94-G95-G103+G60-G245</f>
        <v>87.9871715054758</v>
      </c>
      <c r="H114" s="116" t="n">
        <f aca="false">G120+H53+H56-H57+(H58-H65)+H113-H92+H94-H95-H103+H60-H245</f>
        <v>100.243489381918</v>
      </c>
      <c r="I114" s="116" t="n">
        <f aca="false">H120+I53+I56-I57+(I58-I65)+I113-I92+I94-I95-I103+I60-I245</f>
        <v>112.321626624378</v>
      </c>
      <c r="J114" s="116" t="n">
        <f aca="false">I120+J53+J56-J57+(J58-J65)+J113-J92+J94-J95-J103+J60-J245</f>
        <v>124.565030455524</v>
      </c>
      <c r="K114" s="116" t="n">
        <f aca="false">J120+K53+K56-K57+(K58-K65)+K113-K92+K94-K95-K103+K60-K245</f>
        <v>138.237413705391</v>
      </c>
      <c r="L114" s="116" t="n">
        <f aca="false">K120+L53+L56-L57+(L58-L65)+L113-L92+L94-L95-L103+L60-L245</f>
        <v>153.32802072706</v>
      </c>
      <c r="M114" s="116" t="n">
        <f aca="false">L120+M53+M56-M57+(M58-M65)+M113-M92+M94-M95-M103+M60-M245</f>
        <v>151.624293135189</v>
      </c>
      <c r="N114" s="116" t="n">
        <f aca="false">M120+N53+N56-N57+(N58-N65)+N113-N92+N94-N95-N103+N60-N245</f>
        <v>152.408811767854</v>
      </c>
      <c r="O114" s="116" t="n">
        <f aca="false">N120+O53+O56-O57+(O58-O65)+O113-O92+O94-O95-O103+O60-O245</f>
        <v>154.985705801291</v>
      </c>
      <c r="P114" s="116" t="n">
        <f aca="false">O120+P53+P56-P57+(P58-P65)+P113-P92+P94-P95-P103+P60-P245</f>
        <v>156.286440828916</v>
      </c>
      <c r="Q114" s="116" t="n">
        <f aca="false">P120+Q53+Q56-Q57+(Q58-Q65)+Q113-Q92+Q94-Q95-Q103+Q60-Q245</f>
        <v>156.99906504964</v>
      </c>
      <c r="R114" s="116" t="n">
        <f aca="false">Q120+R53+R56-R57+(R58-R65)+R113-R92+R94-R95-R103+R60-R245</f>
        <v>157.608165900857</v>
      </c>
      <c r="S114" s="116" t="n">
        <f aca="false">R120+S53+S56-S57+(S58-S65)+S113-S92+S94-S95-S103+S60-S245</f>
        <v>158.069510015136</v>
      </c>
      <c r="T114" s="116" t="n">
        <f aca="false">S120+T53+T56-T57+(T58-T65)+T113-T92+T94-T95-T103+T60-T245</f>
        <v>158.349402164734</v>
      </c>
      <c r="U114" s="116" t="n">
        <f aca="false">T120+U53+U56-U57+(U58-U65)+U113-U92+U94-U95-U103+U60-U245</f>
        <v>158.451491988942</v>
      </c>
      <c r="V114" s="116" t="n">
        <f aca="false">U120+V53+V56-V57+(V58-V65)+V113-V92+V94-V95-V103+V60-V245</f>
        <v>158.542023191104</v>
      </c>
      <c r="W114" s="116" t="n">
        <f aca="false">V120+W53+W56-W57+(W58-W65)+W113-W92+W94-W95-W103+W60-W245</f>
        <v>158.389420005063</v>
      </c>
      <c r="X114" s="116" t="n">
        <f aca="false">W120+X53+X56-X57+(X58-X65)+X113-X92+X94-X95-X103+X60-X245</f>
        <v>157.984761817809</v>
      </c>
      <c r="Y114" s="116" t="n">
        <f aca="false">X120+Y53+Y56-Y57+(Y58-Y65)+Y113-Y92+Y94-Y95-Y103+Y60-Y245</f>
        <v>157.386712323239</v>
      </c>
      <c r="Z114" s="116" t="n">
        <f aca="false">Y120+Z53+Z56-Z57+(Z58-Z65)+Z113-Z92+Z94-Z95-Z103+Z60-Z245</f>
        <v>156.608272757536</v>
      </c>
      <c r="AA114" s="116" t="n">
        <f aca="false">Z120+AA53+AA56-AA57+(AA58-AA65)+AA113-AA92+AA94-AA95-AA103+AA60-AA245</f>
        <v>155.654602804313</v>
      </c>
      <c r="AB114" s="116" t="n">
        <f aca="false">AA120+AB53+AB56-AB57+(AB58-AB65)+AB113-AB92+AB94-AB95-AB103+AB60-AB245</f>
        <v>154.530593273889</v>
      </c>
      <c r="AC114" s="116" t="n">
        <f aca="false">AB120+AC53+AC56-AC57+(AC58-AC65)+AC113-AC92+AC94-AC95-AC103+AC60-AC245</f>
        <v>153.240909105039</v>
      </c>
      <c r="AD114" s="116" t="n">
        <f aca="false">AC120+AD53+AD56-AD57+(AD58-AD65)+AD113-AD92+AD94-AD95-AD103+AD60-AD245</f>
        <v>151.790017101859</v>
      </c>
      <c r="AE114" s="116" t="n">
        <f aca="false">AD120+AE53+AE56-AE57+(AE58-AE65)+AE113-AE92+AE94-AE95-AE103+AE60-AE245</f>
        <v>150.182216781227</v>
      </c>
      <c r="AF114" s="116" t="n">
        <f aca="false">AE120+AF53+AF56-AF57+(AF58-AF65)+AF113-AF92+AF94-AF95-AF103+AF60-AF245</f>
        <v>148.421658753354</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v>
      </c>
      <c r="N115" s="116" t="n">
        <f aca="false">IF(N113&gt;0,MIN(N113,01_Supuestos!$I$106*N81),0)</f>
        <v>0</v>
      </c>
      <c r="O115" s="116" t="n">
        <f aca="false">IF(O113&gt;0,MIN(O113,01_Supuestos!$I$106*O81),0)</f>
        <v>0</v>
      </c>
      <c r="P115" s="116" t="n">
        <f aca="false">IF(P113&gt;0,MIN(P113,01_Supuestos!$I$106*P81),0)</f>
        <v>0</v>
      </c>
      <c r="Q115" s="116" t="n">
        <f aca="false">IF(Q113&gt;0,MIN(Q113,01_Supuestos!$I$106*Q81),0)</f>
        <v>0</v>
      </c>
      <c r="R115" s="116" t="n">
        <f aca="false">IF(R113&gt;0,MIN(R113,01_Supuestos!$I$106*R81),0)</f>
        <v>0</v>
      </c>
      <c r="S115" s="116" t="n">
        <f aca="false">IF(S113&gt;0,MIN(S113,01_Supuestos!$I$106*S81),0)</f>
        <v>0</v>
      </c>
      <c r="T115" s="116" t="n">
        <f aca="false">IF(T113&gt;0,MIN(T113,01_Supuestos!$I$106*T81),0)</f>
        <v>0</v>
      </c>
      <c r="U115" s="116" t="n">
        <f aca="false">IF(U113&gt;0,MIN(U113,01_Supuestos!$I$106*U81),0)</f>
        <v>0</v>
      </c>
      <c r="V115" s="116" t="n">
        <f aca="false">IF(V113&gt;0,MIN(V113,01_Supuestos!$I$106*V81),0)</f>
        <v>0</v>
      </c>
      <c r="W115" s="116" t="n">
        <f aca="false">IF(W113&gt;0,MIN(W113,01_Supuestos!$I$106*W81),0)</f>
        <v>0</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20.4731242506256</v>
      </c>
      <c r="D120" s="136" t="n">
        <f aca="false">D114-D115+D118+D119</f>
        <v>40.2367042428517</v>
      </c>
      <c r="E120" s="136" t="n">
        <f aca="false">E114-E115+E118+E119</f>
        <v>60.3121982291656</v>
      </c>
      <c r="F120" s="136" t="n">
        <f aca="false">F114-F115+F118+F119</f>
        <v>74.9143440056131</v>
      </c>
      <c r="G120" s="136" t="n">
        <f aca="false">G114-G115+G118+G119</f>
        <v>87.9871715054758</v>
      </c>
      <c r="H120" s="136" t="n">
        <f aca="false">H114-H115+H118+H119</f>
        <v>100.243489381918</v>
      </c>
      <c r="I120" s="136" t="n">
        <f aca="false">I114-I115+I118+I119</f>
        <v>112.321626624378</v>
      </c>
      <c r="J120" s="136" t="n">
        <f aca="false">J114-J115+J118+J119</f>
        <v>124.565030455524</v>
      </c>
      <c r="K120" s="136" t="n">
        <f aca="false">K114-K115+K118+K119</f>
        <v>138.237413705391</v>
      </c>
      <c r="L120" s="136" t="n">
        <f aca="false">L114-L115+L118+L119</f>
        <v>153.32802072706</v>
      </c>
      <c r="M120" s="136" t="n">
        <f aca="false">M114-M115+M118+M119</f>
        <v>151.624293135189</v>
      </c>
      <c r="N120" s="136" t="n">
        <f aca="false">N114-N115+N118+N119</f>
        <v>152.408811767854</v>
      </c>
      <c r="O120" s="136" t="n">
        <f aca="false">O114-O115+O118+O119</f>
        <v>154.985705801291</v>
      </c>
      <c r="P120" s="136" t="n">
        <f aca="false">P114-P115+P118+P119</f>
        <v>156.286440828916</v>
      </c>
      <c r="Q120" s="136" t="n">
        <f aca="false">Q114-Q115+Q118+Q119</f>
        <v>156.99906504964</v>
      </c>
      <c r="R120" s="136" t="n">
        <f aca="false">R114-R115+R118+R119</f>
        <v>157.608165900857</v>
      </c>
      <c r="S120" s="136" t="n">
        <f aca="false">S114-S115+S118+S119</f>
        <v>158.069510015136</v>
      </c>
      <c r="T120" s="136" t="n">
        <f aca="false">T114-T115+T118+T119</f>
        <v>158.349402164734</v>
      </c>
      <c r="U120" s="136" t="n">
        <f aca="false">U114-U115+U118+U119</f>
        <v>158.451491988942</v>
      </c>
      <c r="V120" s="136" t="n">
        <f aca="false">V114-V115+V118+V119</f>
        <v>158.542023191104</v>
      </c>
      <c r="W120" s="136" t="n">
        <f aca="false">W114-W115+W118+W119</f>
        <v>158.389420005063</v>
      </c>
      <c r="X120" s="136" t="n">
        <f aca="false">X114-X115+X118+X119</f>
        <v>157.984761817809</v>
      </c>
      <c r="Y120" s="136" t="n">
        <f aca="false">Y114-Y115+Y118+Y119</f>
        <v>157.386712323239</v>
      </c>
      <c r="Z120" s="136" t="n">
        <f aca="false">Z114-Z115+Z118+Z119</f>
        <v>156.608272757536</v>
      </c>
      <c r="AA120" s="136" t="n">
        <f aca="false">AA114-AA115+AA118+AA119</f>
        <v>155.654602804313</v>
      </c>
      <c r="AB120" s="136" t="n">
        <f aca="false">AB114-AB115+AB118+AB119</f>
        <v>154.530593273889</v>
      </c>
      <c r="AC120" s="136" t="n">
        <f aca="false">AC114-AC115+AC118+AC119</f>
        <v>153.240909105039</v>
      </c>
      <c r="AD120" s="136" t="n">
        <f aca="false">AD114-AD115+AD118+AD119</f>
        <v>151.790017101859</v>
      </c>
      <c r="AE120" s="136" t="n">
        <f aca="false">AE114-AE115+AE118+AE119</f>
        <v>150.182216781227</v>
      </c>
      <c r="AF120" s="136" t="n">
        <f aca="false">AF114-AF115+AF118+AF119</f>
        <v>148.421658753354</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v>
      </c>
      <c r="M121" s="116" t="n">
        <f aca="false">L121+M115</f>
        <v>0</v>
      </c>
      <c r="N121" s="116" t="n">
        <f aca="false">M121+N115</f>
        <v>0</v>
      </c>
      <c r="O121" s="116" t="n">
        <f aca="false">N121+O115</f>
        <v>0</v>
      </c>
      <c r="P121" s="116" t="n">
        <f aca="false">O121+P115</f>
        <v>0</v>
      </c>
      <c r="Q121" s="116" t="n">
        <f aca="false">P121+Q115</f>
        <v>0</v>
      </c>
      <c r="R121" s="116" t="n">
        <f aca="false">Q121+R115</f>
        <v>0</v>
      </c>
      <c r="S121" s="116" t="n">
        <f aca="false">R121+S115</f>
        <v>0</v>
      </c>
      <c r="T121" s="116" t="n">
        <f aca="false">S121+T115</f>
        <v>0</v>
      </c>
      <c r="U121" s="116" t="n">
        <f aca="false">T121+U115</f>
        <v>0</v>
      </c>
      <c r="V121" s="116" t="n">
        <f aca="false">U121+V115</f>
        <v>0</v>
      </c>
      <c r="W121" s="116" t="n">
        <f aca="false">V121+W115</f>
        <v>0</v>
      </c>
      <c r="X121" s="116" t="n">
        <f aca="false">W121+X115</f>
        <v>0</v>
      </c>
      <c r="Y121" s="116" t="n">
        <f aca="false">X121+Y115</f>
        <v>0</v>
      </c>
      <c r="Z121" s="116" t="n">
        <f aca="false">Y121+Z115</f>
        <v>0</v>
      </c>
      <c r="AA121" s="116" t="n">
        <f aca="false">Z121+AA115</f>
        <v>0</v>
      </c>
      <c r="AB121" s="116" t="n">
        <f aca="false">AA121+AB115</f>
        <v>0</v>
      </c>
      <c r="AC121" s="116" t="n">
        <f aca="false">AB121+AC115</f>
        <v>0</v>
      </c>
      <c r="AD121" s="116" t="n">
        <f aca="false">AC121+AD115</f>
        <v>0</v>
      </c>
      <c r="AE121" s="116" t="n">
        <f aca="false">AD121+AE115</f>
        <v>0</v>
      </c>
      <c r="AF121" s="116" t="n">
        <f aca="false">AE121+AF115</f>
        <v>0</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1.70882277048631</v>
      </c>
      <c r="D122" s="87" t="n">
        <f aca="false">D276/(D81+D115)</f>
        <v>1.26339693615791</v>
      </c>
      <c r="E122" s="87" t="n">
        <f aca="false">E276/(E81+E115)</f>
        <v>1.02599710310464</v>
      </c>
      <c r="F122" s="87" t="n">
        <f aca="false">F276/(F81+F115)</f>
        <v>0.636808811455875</v>
      </c>
      <c r="G122" s="87" t="n">
        <f aca="false">G276/(G81+G115)</f>
        <v>0.494887419374831</v>
      </c>
      <c r="H122" s="87" t="n">
        <f aca="false">H276/(H81+H115)</f>
        <v>0.440609295582844</v>
      </c>
      <c r="I122" s="87" t="n">
        <f aca="false">I276/(I81+I115)</f>
        <v>0.414462929868658</v>
      </c>
      <c r="J122" s="87" t="n">
        <f aca="false">J276/(J81+J115)</f>
        <v>0.402969189553702</v>
      </c>
      <c r="K122" s="87" t="n">
        <f aca="false">K276/(K81+K115)</f>
        <v>0.429704154006489</v>
      </c>
      <c r="L122" s="87" t="n">
        <f aca="false">L276/(L81+L115)</f>
        <v>0.458654567697536</v>
      </c>
      <c r="M122" s="87" t="n">
        <f aca="false">M276/(M81+M115)</f>
        <v>0.437383325245237</v>
      </c>
      <c r="N122" s="87" t="n">
        <f aca="false">N276/(N81+N115)</f>
        <v>0.425065742361499</v>
      </c>
      <c r="O122" s="87" t="n">
        <f aca="false">O276/(O81+O115)</f>
        <v>0.41914017002308</v>
      </c>
      <c r="P122" s="87" t="n">
        <f aca="false">P276/(P81+P115)</f>
        <v>0.411545344396234</v>
      </c>
      <c r="Q122" s="87" t="n">
        <f aca="false">Q276/(Q81+Q115)</f>
        <v>0.404109160416297</v>
      </c>
      <c r="R122" s="87" t="n">
        <f aca="false">R276/(R81+R115)</f>
        <v>0.397689041288059</v>
      </c>
      <c r="S122" s="87" t="n">
        <f aca="false">S276/(S81+S115)</f>
        <v>0.391843608382433</v>
      </c>
      <c r="T122" s="87" t="n">
        <f aca="false">T276/(T81+T115)</f>
        <v>0.386243245095183</v>
      </c>
      <c r="U122" s="87" t="n">
        <f aca="false">U276/(U81+U115)</f>
        <v>0.380360938361695</v>
      </c>
      <c r="V122" s="87" t="n">
        <f aca="false">V276/(V81+V115)</f>
        <v>0.374607607320317</v>
      </c>
      <c r="W122" s="87" t="n">
        <f aca="false">W276/(W81+W115)</f>
        <v>0.368566138689217</v>
      </c>
      <c r="X122" s="87" t="n">
        <f aca="false">X276/(X81+X115)</f>
        <v>0.362227287661762</v>
      </c>
      <c r="Y122" s="87" t="n">
        <f aca="false">Y276/(Y81+Y115)</f>
        <v>0.355734403268896</v>
      </c>
      <c r="Z122" s="87" t="n">
        <f aca="false">Z276/(Z81+Z115)</f>
        <v>0.349120459694542</v>
      </c>
      <c r="AA122" s="87" t="n">
        <f aca="false">AA276/(AA81+AA115)</f>
        <v>0.342398952120172</v>
      </c>
      <c r="AB122" s="87" t="n">
        <f aca="false">AB276/(AB81+AB115)</f>
        <v>0.335579191858284</v>
      </c>
      <c r="AC122" s="87" t="n">
        <f aca="false">AC276/(AC81+AC115)</f>
        <v>0.328669339612359</v>
      </c>
      <c r="AD122" s="87" t="n">
        <f aca="false">AD276/(AD81+AD115)</f>
        <v>0.321676559391723</v>
      </c>
      <c r="AE122" s="87" t="n">
        <f aca="false">AE276/(AE81+AE115)</f>
        <v>0.314607163590868</v>
      </c>
      <c r="AF122" s="87" t="n">
        <f aca="false">AF276/(AF81+AF115)</f>
        <v>0.307466718511647</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0.305503668764942</v>
      </c>
      <c r="D127" s="116" t="n">
        <f aca="false">MAX(0,-D113)</f>
        <v>0.124994455688845</v>
      </c>
      <c r="E127" s="116" t="n">
        <f aca="false">MAX(0,-E113)</f>
        <v>0.177851761431098</v>
      </c>
      <c r="F127" s="116" t="n">
        <f aca="false">MAX(0,-F113)</f>
        <v>1.42411596390056</v>
      </c>
      <c r="G127" s="116" t="n">
        <f aca="false">MAX(0,-G113)</f>
        <v>2.70572104507387</v>
      </c>
      <c r="H127" s="116" t="n">
        <f aca="false">MAX(0,-H113)</f>
        <v>3.38765760313983</v>
      </c>
      <c r="I127" s="116" t="n">
        <f aca="false">MAX(0,-I113)</f>
        <v>3.70355858563503</v>
      </c>
      <c r="J127" s="116" t="n">
        <f aca="false">MAX(0,-J113)</f>
        <v>3.69184992871389</v>
      </c>
      <c r="K127" s="116" t="n">
        <f aca="false">MAX(0,-K113)</f>
        <v>2.57377998871705</v>
      </c>
      <c r="L127" s="116" t="n">
        <f aca="false">MAX(0,-L113)</f>
        <v>1.4451732537695</v>
      </c>
      <c r="M127" s="116" t="n">
        <f aca="false">MAX(0,-M113)</f>
        <v>0.367099045855779</v>
      </c>
      <c r="N127" s="116" t="n">
        <f aca="false">MAX(0,-N113)</f>
        <v>0.293293869591252</v>
      </c>
      <c r="O127" s="116" t="n">
        <f aca="false">MAX(0,-O113)</f>
        <v>0.352506237267233</v>
      </c>
      <c r="P127" s="116" t="n">
        <f aca="false">MAX(0,-P113)</f>
        <v>0.315079735159252</v>
      </c>
      <c r="Q127" s="116" t="n">
        <f aca="false">MAX(0,-Q113)</f>
        <v>0.402343859230098</v>
      </c>
      <c r="R127" s="116" t="n">
        <f aca="false">MAX(0,-R113)</f>
        <v>0.562134889776614</v>
      </c>
      <c r="S127" s="116" t="n">
        <f aca="false">MAX(0,-S113)</f>
        <v>0.762526249433707</v>
      </c>
      <c r="T127" s="116" t="n">
        <f aca="false">MAX(0,-T113)</f>
        <v>0.992723977905578</v>
      </c>
      <c r="U127" s="116" t="n">
        <f aca="false">MAX(0,-U113)</f>
        <v>1.21158600527555</v>
      </c>
      <c r="V127" s="116" t="n">
        <f aca="false">MAX(0,-V113)</f>
        <v>1.4700833942581</v>
      </c>
      <c r="W127" s="116" t="n">
        <f aca="false">MAX(0,-W113)</f>
        <v>1.71316534824566</v>
      </c>
      <c r="X127" s="116" t="n">
        <f aca="false">MAX(0,-X113)</f>
        <v>1.95132943464677</v>
      </c>
      <c r="Y127" s="116" t="n">
        <f aca="false">MAX(0,-Y113)</f>
        <v>2.18712163034308</v>
      </c>
      <c r="Z127" s="116" t="n">
        <f aca="false">MAX(0,-Z113)</f>
        <v>2.41898555976802</v>
      </c>
      <c r="AA127" s="116" t="n">
        <f aca="false">MAX(0,-AA113)</f>
        <v>2.64692644743656</v>
      </c>
      <c r="AB127" s="116" t="n">
        <f aca="false">MAX(0,-AB113)</f>
        <v>2.87120090233728</v>
      </c>
      <c r="AC127" s="116" t="n">
        <f aca="false">MAX(0,-AC113)</f>
        <v>3.09204387445709</v>
      </c>
      <c r="AD127" s="116" t="n">
        <f aca="false">MAX(0,-AD113)</f>
        <v>3.30967145662594</v>
      </c>
      <c r="AE127" s="116" t="n">
        <f aca="false">MAX(0,-AE113)</f>
        <v>3.52428163586324</v>
      </c>
      <c r="AF127" s="116" t="n">
        <f aca="false">MAX(0,-AF113)</f>
        <v>3.73605481833603</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13.089662393033</v>
      </c>
      <c r="D128" s="116" t="n">
        <f aca="false">IF(AVERAGE(E127:I127)&gt;0,D120/AVERAGE(E127:I127),99)</f>
        <v>17.6493726313798</v>
      </c>
      <c r="E128" s="116" t="n">
        <f aca="false">IF(AVERAGE(F127:J127)&gt;0,E120/AVERAGE(F127:J127),99)</f>
        <v>20.2214812628068</v>
      </c>
      <c r="F128" s="116" t="n">
        <f aca="false">IF(AVERAGE(G127:K127)&gt;0,F120/AVERAGE(G127:K127),99)</f>
        <v>23.3195426671399</v>
      </c>
      <c r="G128" s="116" t="n">
        <f aca="false">IF(AVERAGE(H127:L127)&gt;0,G120/AVERAGE(H127:L127),99)</f>
        <v>29.7213405028348</v>
      </c>
      <c r="H128" s="116" t="n">
        <f aca="false">IF(AVERAGE(I127:M127)&gt;0,H120/AVERAGE(I127:M127),99)</f>
        <v>42.5428947482554</v>
      </c>
      <c r="I128" s="116" t="n">
        <f aca="false">IF(AVERAGE(J127:N127)&gt;0,I120/AVERAGE(J127:N127),99)</f>
        <v>67.0881588854057</v>
      </c>
      <c r="J128" s="116" t="n">
        <f aca="false">IF(AVERAGE(K127:O127)&gt;0,J120/AVERAGE(K127:O127),99)</f>
        <v>123.776514762565</v>
      </c>
      <c r="K128" s="116" t="n">
        <f aca="false">IF(AVERAGE(L127:P127)&gt;0,K120/AVERAGE(L127:P127),99)</f>
        <v>249.24239032823</v>
      </c>
      <c r="L128" s="116" t="n">
        <f aca="false">IF(AVERAGE(M127:Q127)&gt;0,L120/AVERAGE(M127:Q127),99)</f>
        <v>443.061911379585</v>
      </c>
      <c r="M128" s="116" t="n">
        <f aca="false">IF(AVERAGE(N127:R127)&gt;0,M120/AVERAGE(N127:R127),99)</f>
        <v>393.75598353996</v>
      </c>
      <c r="N128" s="116" t="n">
        <f aca="false">IF(AVERAGE(O127:S127)&gt;0,N120/AVERAGE(O127:S127),99)</f>
        <v>318.235585162752</v>
      </c>
      <c r="O128" s="116" t="n">
        <f aca="false">IF(AVERAGE(P127:T127)&gt;0,O120/AVERAGE(P127:T127),99)</f>
        <v>255.346745931178</v>
      </c>
      <c r="P128" s="116" t="n">
        <f aca="false">IF(AVERAGE(Q127:U127)&gt;0,P120/AVERAGE(Q127:U127),99)</f>
        <v>198.771201950921</v>
      </c>
      <c r="Q128" s="116" t="n">
        <f aca="false">IF(AVERAGE(R127:V127)&gt;0,Q120/AVERAGE(R127:V127),99)</f>
        <v>157.028758665011</v>
      </c>
      <c r="R128" s="116" t="n">
        <f aca="false">IF(AVERAGE(S127:W127)&gt;0,R120/AVERAGE(S127:W127),99)</f>
        <v>128.134949792151</v>
      </c>
      <c r="S128" s="116" t="n">
        <f aca="false">IF(AVERAGE(T127:X127)&gt;0,S120/AVERAGE(T127:X127),99)</f>
        <v>107.693090943623</v>
      </c>
      <c r="T128" s="116" t="n">
        <f aca="false">IF(AVERAGE(U127:Y127)&gt;0,T120/AVERAGE(U127:Y127),99)</f>
        <v>92.783369524422</v>
      </c>
      <c r="U128" s="116" t="n">
        <f aca="false">IF(AVERAGE(V127:Z127)&gt;0,U120/AVERAGE(V127:Z127),99)</f>
        <v>81.3348784067578</v>
      </c>
      <c r="V128" s="116" t="n">
        <f aca="false">IF(AVERAGE(W127:AA127)&gt;0,V120/AVERAGE(W127:AA127),99)</f>
        <v>72.6089354135675</v>
      </c>
      <c r="W128" s="116" t="n">
        <f aca="false">IF(AVERAGE(X127:AB127)&gt;0,W120/AVERAGE(X127:AB127),99)</f>
        <v>65.5826180620293</v>
      </c>
      <c r="X128" s="116" t="n">
        <f aca="false">IF(AVERAGE(Y127:AC127)&gt;0,X120/AVERAGE(Y127:AC127),99)</f>
        <v>59.7690048835411</v>
      </c>
      <c r="Y128" s="116" t="n">
        <f aca="false">IF(AVERAGE(Z127:AD127)&gt;0,Y120/AVERAGE(Z127:AD127),99)</f>
        <v>54.8813019035019</v>
      </c>
      <c r="Z128" s="116" t="n">
        <f aca="false">IF(AVERAGE(AA127:AE127)&gt;0,Z120/AVERAGE(AA127:AE127),99)</f>
        <v>50.7015708841415</v>
      </c>
      <c r="AA128" s="116" t="n">
        <f aca="false">IF(AVERAGE(AB127:AF127)&gt;0,AA120/AVERAGE(AB127:AF127),99)</f>
        <v>47.0731941697322</v>
      </c>
      <c r="AB128" s="116" t="n">
        <f aca="false">IF(AVERAGE(AC127:AF127)&gt;0,AB120/AVERAGE(AC127:AF127),99)</f>
        <v>45.2437439712709</v>
      </c>
      <c r="AC128" s="116" t="n">
        <f aca="false">IF(AVERAGE(AD127:AF127)&gt;0,AC120/AVERAGE(AD127:AF127),99)</f>
        <v>43.4931299194483</v>
      </c>
      <c r="AD128" s="116" t="n">
        <f aca="false">IF(AVERAGE(AE127:AF127)&gt;0,AD120/AVERAGE(AE127:AF127),99)</f>
        <v>41.8134939226034</v>
      </c>
      <c r="AE128" s="116" t="n">
        <f aca="false">IF(AVERAGE(AF127:AF127)&gt;0,AE120/AVERAGE(AF127:AF127),99)</f>
        <v>40.1980763355381</v>
      </c>
      <c r="AF128" s="116" t="n">
        <f aca="false">IF(AF127&gt;0,AF120/AF127,99)</f>
        <v>39.7268418078132</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0.0211887688491203</v>
      </c>
      <c r="D129" s="87" t="n">
        <f aca="false">D83/D41</f>
        <v>0.0541068943375754</v>
      </c>
      <c r="E129" s="87" t="n">
        <f aca="false">E83/E41</f>
        <v>0.0928904147972389</v>
      </c>
      <c r="F129" s="87" t="n">
        <f aca="false">F83/F41</f>
        <v>0.130801969498767</v>
      </c>
      <c r="G129" s="87" t="n">
        <f aca="false">G83/G41</f>
        <v>0.167861162755393</v>
      </c>
      <c r="H129" s="87" t="n">
        <f aca="false">H83/H41</f>
        <v>0.204087158118664</v>
      </c>
      <c r="I129" s="87" t="n">
        <f aca="false">I83/I41</f>
        <v>0.239498688288039</v>
      </c>
      <c r="J129" s="87" t="n">
        <f aca="false">J83/J41</f>
        <v>0.274114064797692</v>
      </c>
      <c r="K129" s="87" t="n">
        <f aca="false">K83/K41</f>
        <v>0.307951187485525</v>
      </c>
      <c r="L129" s="87" t="n">
        <f aca="false">L83/L41</f>
        <v>0.341027553749291</v>
      </c>
      <c r="M129" s="87" t="n">
        <f aca="false">M83/M41</f>
        <v>0.373360267594615</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0.385827694011985</v>
      </c>
      <c r="W129" s="87" t="n">
        <f aca="false">W83/W41</f>
        <v>0.38276156245847</v>
      </c>
      <c r="X129" s="87" t="n">
        <f aca="false">X83/X41</f>
        <v>0.379526137796768</v>
      </c>
      <c r="Y129" s="87" t="n">
        <f aca="false">Y83/Y41</f>
        <v>0.376132815684703</v>
      </c>
      <c r="Z129" s="87" t="n">
        <f aca="false">Z83/Z41</f>
        <v>0.372592530511079</v>
      </c>
      <c r="AA129" s="87" t="n">
        <f aca="false">AA83/AA41</f>
        <v>0.368915769967323</v>
      </c>
      <c r="AB129" s="87" t="n">
        <f aca="false">AB83/AB41</f>
        <v>0.365112589290042</v>
      </c>
      <c r="AC129" s="87" t="n">
        <f aca="false">AC83/AC41</f>
        <v>0.361192625173827</v>
      </c>
      <c r="AD129" s="87" t="n">
        <f aca="false">AD83/AD41</f>
        <v>0.357165109354488</v>
      </c>
      <c r="AE129" s="87" t="n">
        <f aca="false">AE83/AE41</f>
        <v>0.353038881863593</v>
      </c>
      <c r="AF129" s="87" t="n">
        <f aca="false">AF83/AF41</f>
        <v>0.348822403955849</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v>
      </c>
      <c r="F136" s="116" t="n">
        <f aca="false">01_Supuestos!$C$152*MAX(0,F111-01_Supuestos!$C$153-01_Supuestos!$C$154-F59-0.05*SUM($C$51:F51))</f>
        <v>0</v>
      </c>
      <c r="G136" s="116" t="n">
        <f aca="false">01_Supuestos!$C$152*MAX(0,G111-01_Supuestos!$C$153-01_Supuestos!$C$154-G59-0.05*SUM($C$51:G51))</f>
        <v>0.237284964551008</v>
      </c>
      <c r="H136" s="116" t="n">
        <f aca="false">01_Supuestos!$C$152*MAX(0,H111-01_Supuestos!$C$153-01_Supuestos!$C$154-H59-0.05*SUM($C$51:H51))</f>
        <v>0.416880570168078</v>
      </c>
      <c r="I136" s="116" t="n">
        <f aca="false">01_Supuestos!$C$152*MAX(0,I111-01_Supuestos!$C$153-01_Supuestos!$C$154-I59-0.05*SUM($C$51:I51))</f>
        <v>0.558272532118583</v>
      </c>
      <c r="J136" s="116" t="n">
        <f aca="false">01_Supuestos!$C$152*MAX(0,J111-01_Supuestos!$C$153-01_Supuestos!$C$154-J59-0.05*SUM($C$51:J51))</f>
        <v>0.667859790082665</v>
      </c>
      <c r="K136" s="116" t="n">
        <f aca="false">01_Supuestos!$C$152*MAX(0,K111-01_Supuestos!$C$153-01_Supuestos!$C$154-K59-0.05*SUM($C$51:K51))</f>
        <v>0.651941005941652</v>
      </c>
      <c r="L136" s="116" t="n">
        <f aca="false">01_Supuestos!$C$152*MAX(0,L111-01_Supuestos!$C$153-01_Supuestos!$C$154-L59-0.05*SUM($C$51:L51))</f>
        <v>0.638065059325964</v>
      </c>
      <c r="M136" s="116" t="n">
        <f aca="false">01_Supuestos!$C$152*MAX(0,M111-01_Supuestos!$C$153-01_Supuestos!$C$154-M59-0.05*SUM($C$51:M51))</f>
        <v>0.627945511157095</v>
      </c>
      <c r="N136" s="116" t="n">
        <f aca="false">01_Supuestos!$C$152*MAX(0,N111-01_Supuestos!$C$153-01_Supuestos!$C$154-N59-0.05*SUM($C$51:N51))</f>
        <v>0.622468337767672</v>
      </c>
      <c r="O136" s="116" t="n">
        <f aca="false">01_Supuestos!$C$152*MAX(0,O111-01_Supuestos!$C$153-01_Supuestos!$C$154-O59-0.05*SUM($C$51:O51))</f>
        <v>0.622293678682093</v>
      </c>
      <c r="P136" s="116" t="n">
        <f aca="false">01_Supuestos!$C$152*MAX(0,P111-01_Supuestos!$C$153-01_Supuestos!$C$154-P59-0.05*SUM($C$51:P51))</f>
        <v>0.631197711365576</v>
      </c>
      <c r="Q136" s="116" t="n">
        <f aca="false">01_Supuestos!$C$152*MAX(0,Q111-01_Supuestos!$C$153-01_Supuestos!$C$154-Q59-0.05*SUM($C$51:Q51))</f>
        <v>0.648595524136382</v>
      </c>
      <c r="R136" s="116" t="n">
        <f aca="false">01_Supuestos!$C$152*MAX(0,R111-01_Supuestos!$C$153-01_Supuestos!$C$154-R59-0.05*SUM($C$51:R51))</f>
        <v>0.671594825197134</v>
      </c>
      <c r="S136" s="116" t="n">
        <f aca="false">01_Supuestos!$C$152*MAX(0,S111-01_Supuestos!$C$153-01_Supuestos!$C$154-S59-0.05*SUM($C$51:S51))</f>
        <v>0.698675083496096</v>
      </c>
      <c r="T136" s="116" t="n">
        <f aca="false">01_Supuestos!$C$152*MAX(0,T111-01_Supuestos!$C$153-01_Supuestos!$C$154-T59-0.05*SUM($C$51:T51))</f>
        <v>0.728582467017188</v>
      </c>
      <c r="U136" s="116" t="n">
        <f aca="false">01_Supuestos!$C$152*MAX(0,U111-01_Supuestos!$C$153-01_Supuestos!$C$154-U59-0.05*SUM($C$51:U51))</f>
        <v>0.756985335808683</v>
      </c>
      <c r="V136" s="116" t="n">
        <f aca="false">01_Supuestos!$C$152*MAX(0,V111-01_Supuestos!$C$153-01_Supuestos!$C$154-V59-0.05*SUM($C$51:V51))</f>
        <v>0.783948906453357</v>
      </c>
      <c r="W136" s="116" t="n">
        <f aca="false">01_Supuestos!$C$152*MAX(0,W111-01_Supuestos!$C$153-01_Supuestos!$C$154-W59-0.05*SUM($C$51:W51))</f>
        <v>0.809534166286298</v>
      </c>
      <c r="X136" s="116" t="n">
        <f aca="false">01_Supuestos!$C$152*MAX(0,X111-01_Supuestos!$C$153-01_Supuestos!$C$154-X59-0.05*SUM($C$51:X51))</f>
        <v>0.83379814731352</v>
      </c>
      <c r="Y136" s="116" t="n">
        <f aca="false">01_Supuestos!$C$152*MAX(0,Y111-01_Supuestos!$C$153-01_Supuestos!$C$154-Y59-0.05*SUM($C$51:Y51))</f>
        <v>0.856794182406661</v>
      </c>
      <c r="Z136" s="116" t="n">
        <f aca="false">01_Supuestos!$C$152*MAX(0,Z111-01_Supuestos!$C$153-01_Supuestos!$C$154-Z59-0.05*SUM($C$51:Z51))</f>
        <v>0.878572144919727</v>
      </c>
      <c r="AA136" s="116" t="n">
        <f aca="false">01_Supuestos!$C$152*MAX(0,AA111-01_Supuestos!$C$153-01_Supuestos!$C$154-AA59-0.05*SUM($C$51:AA51))</f>
        <v>0.899178672799813</v>
      </c>
      <c r="AB136" s="116" t="n">
        <f aca="false">01_Supuestos!$C$152*MAX(0,AB111-01_Supuestos!$C$153-01_Supuestos!$C$154-AB59-0.05*SUM($C$51:AB51))</f>
        <v>0.918657378194447</v>
      </c>
      <c r="AC136" s="116" t="n">
        <f aca="false">01_Supuestos!$C$152*MAX(0,AC111-01_Supuestos!$C$153-01_Supuestos!$C$154-AC59-0.05*SUM($C$51:AC51))</f>
        <v>0.93704904349341</v>
      </c>
      <c r="AD136" s="116" t="n">
        <f aca="false">01_Supuestos!$C$152*MAX(0,AD111-01_Supuestos!$C$153-01_Supuestos!$C$154-AD59-0.05*SUM($C$51:AD51))</f>
        <v>0.954391804682297</v>
      </c>
      <c r="AE136" s="116" t="n">
        <f aca="false">01_Supuestos!$C$152*MAX(0,AE111-01_Supuestos!$C$153-01_Supuestos!$C$154-AE59-0.05*SUM($C$51:AE51))</f>
        <v>0.970721322828337</v>
      </c>
      <c r="AF136" s="116" t="n">
        <f aca="false">01_Supuestos!$C$152*MAX(0,AF111-01_Supuestos!$C$153-01_Supuestos!$C$154-AF59-0.05*SUM($C$51:AF51))</f>
        <v>0.986070944466028</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0.0174310731235341</v>
      </c>
      <c r="D139" s="116" t="n">
        <f aca="false">(1-D55)*D88</f>
        <v>0.0455351364151786</v>
      </c>
      <c r="E139" s="116" t="n">
        <f aca="false">(1-E55)*E88</f>
        <v>0.0799724813214286</v>
      </c>
      <c r="F139" s="116" t="n">
        <f aca="false">(1-F55)*F88</f>
        <v>0.115201885160522</v>
      </c>
      <c r="G139" s="116" t="n">
        <f aca="false">(1-G55)*G88</f>
        <v>0.151241565287915</v>
      </c>
      <c r="H139" s="116" t="n">
        <f aca="false">(1-H55)*H88</f>
        <v>0.188110158058238</v>
      </c>
      <c r="I139" s="116" t="n">
        <f aca="false">(1-I55)*I88</f>
        <v>0.225826728462279</v>
      </c>
      <c r="J139" s="116" t="n">
        <f aca="false">(1-J55)*J88</f>
        <v>0.264410779985612</v>
      </c>
      <c r="K139" s="116" t="n">
        <f aca="false">(1-K55)*K88</f>
        <v>0.303882264693982</v>
      </c>
      <c r="L139" s="116" t="n">
        <f aca="false">(1-L55)*L88</f>
        <v>0.344261593550644</v>
      </c>
      <c r="M139" s="116" t="n">
        <f aca="false">(1-M55)*M88</f>
        <v>0.38556964697101</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0.488932424575968</v>
      </c>
      <c r="W139" s="116" t="n">
        <f aca="false">(1-W55)*W88</f>
        <v>0.496203010126603</v>
      </c>
      <c r="X139" s="116" t="n">
        <f aca="false">(1-X55)*X88</f>
        <v>0.503324882036196</v>
      </c>
      <c r="Y139" s="116" t="n">
        <f aca="false">(1-Y55)*Y88</f>
        <v>0.510297649921273</v>
      </c>
      <c r="Z139" s="116" t="n">
        <f aca="false">(1-Z55)*Z88</f>
        <v>0.517120936326716</v>
      </c>
      <c r="AA139" s="116" t="n">
        <f aca="false">(1-AA55)*AA88</f>
        <v>0.523794375846695</v>
      </c>
      <c r="AB139" s="116" t="n">
        <f aca="false">(1-AB55)*AB88</f>
        <v>0.530317614281329</v>
      </c>
      <c r="AC139" s="116" t="n">
        <f aca="false">(1-AC55)*AC88</f>
        <v>0.536690307827018</v>
      </c>
      <c r="AD139" s="116" t="n">
        <f aca="false">(1-AD55)*AD88</f>
        <v>0.542912122298461</v>
      </c>
      <c r="AE139" s="116" t="n">
        <f aca="false">(1-AE55)*AE88</f>
        <v>0.548982732380444</v>
      </c>
      <c r="AF139" s="116" t="n">
        <f aca="false">(1-AF55)*AF88</f>
        <v>0.554901820907622</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-18.8138689268765</v>
      </c>
      <c r="D140" s="116" t="n">
        <f aca="false">SUM(D133:D139)</f>
        <v>-18.7444779704848</v>
      </c>
      <c r="E140" s="116" t="n">
        <f aca="false">SUM(E133:E139)</f>
        <v>-18.7395004823716</v>
      </c>
      <c r="F140" s="116" t="n">
        <f aca="false">SUM(F133:F139)</f>
        <v>-18.5929490478641</v>
      </c>
      <c r="G140" s="116" t="n">
        <f aca="false">SUM(G133:G139)</f>
        <v>-18.3457163934762</v>
      </c>
      <c r="H140" s="116" t="n">
        <f aca="false">SUM(H133:H139)</f>
        <v>-18.1561458010026</v>
      </c>
      <c r="I140" s="116" t="n">
        <f aca="false">SUM(I133:I139)</f>
        <v>-18.0047480510998</v>
      </c>
      <c r="J140" s="116" t="n">
        <f aca="false">SUM(J133:J139)</f>
        <v>-17.8851207849238</v>
      </c>
      <c r="K140" s="116" t="n">
        <f aca="false">SUM(K133:K139)</f>
        <v>-17.8909620053101</v>
      </c>
      <c r="L140" s="116" t="n">
        <f aca="false">SUM(L133:L139)</f>
        <v>-17.8947195803092</v>
      </c>
      <c r="M140" s="116" t="n">
        <f aca="false">SUM(M133:M139)</f>
        <v>2.70532322115646</v>
      </c>
      <c r="N140" s="116" t="n">
        <f aca="false">SUM(N133:N139)</f>
        <v>2.69250312349484</v>
      </c>
      <c r="O140" s="116" t="n">
        <f aca="false">SUM(O133:O139)</f>
        <v>2.66879421461167</v>
      </c>
      <c r="P140" s="116" t="n">
        <f aca="false">SUM(P133:P139)</f>
        <v>2.65343974326367</v>
      </c>
      <c r="Q140" s="116" t="n">
        <f aca="false">SUM(Q133:Q139)</f>
        <v>2.6458397681014</v>
      </c>
      <c r="R140" s="116" t="n">
        <f aca="false">SUM(R133:R139)</f>
        <v>2.64308647661163</v>
      </c>
      <c r="S140" s="116" t="n">
        <f aca="false">SUM(S133:S139)</f>
        <v>2.64364331663254</v>
      </c>
      <c r="T140" s="116" t="n">
        <f aca="false">SUM(T133:T139)</f>
        <v>2.64623992496379</v>
      </c>
      <c r="U140" s="116" t="n">
        <f aca="false">SUM(U133:U139)</f>
        <v>2.6465276103761</v>
      </c>
      <c r="V140" s="116" t="n">
        <f aca="false">SUM(V133:V139)</f>
        <v>2.64135557708589</v>
      </c>
      <c r="W140" s="116" t="n">
        <f aca="false">SUM(W133:W139)</f>
        <v>2.63311512666232</v>
      </c>
      <c r="X140" s="116" t="n">
        <f aca="false">SUM(X133:X139)</f>
        <v>2.62228555858056</v>
      </c>
      <c r="Y140" s="116" t="n">
        <f aca="false">SUM(Y133:Y139)</f>
        <v>2.60889458873298</v>
      </c>
      <c r="Z140" s="116" t="n">
        <f aca="false">SUM(Z133:Z139)</f>
        <v>2.59296577321175</v>
      </c>
      <c r="AA140" s="116" t="n">
        <f aca="false">SUM(AA133:AA139)</f>
        <v>2.57451871618658</v>
      </c>
      <c r="AB140" s="116" t="n">
        <f aca="false">SUM(AB133:AB139)</f>
        <v>2.55356926285671</v>
      </c>
      <c r="AC140" s="116" t="n">
        <f aca="false">SUM(AC133:AC139)</f>
        <v>2.53012967840368</v>
      </c>
      <c r="AD140" s="116" t="n">
        <f aca="false">SUM(AD133:AD139)</f>
        <v>2.5042088138106</v>
      </c>
      <c r="AE140" s="116" t="n">
        <f aca="false">SUM(AE133:AE139)</f>
        <v>2.47581225935679</v>
      </c>
      <c r="AF140" s="116" t="n">
        <f aca="false">SUM(AF133:AF139)</f>
        <v>2.44494248654335</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-0.0567681733074377</v>
      </c>
      <c r="D141" s="116" t="n">
        <f aca="false">-D85*01_Supuestos!$I$126</f>
        <v>-0.150098745513188</v>
      </c>
      <c r="E141" s="116" t="n">
        <f aca="false">-E85*01_Supuestos!$I$126</f>
        <v>-0.275940620144396</v>
      </c>
      <c r="F141" s="116" t="n">
        <f aca="false">-F85*01_Supuestos!$I$126</f>
        <v>-0.564673171536131</v>
      </c>
      <c r="G141" s="116" t="n">
        <f aca="false">-G85*01_Supuestos!$I$126</f>
        <v>-0.853403030046319</v>
      </c>
      <c r="H141" s="116" t="n">
        <f aca="false">-H85*01_Supuestos!$I$126</f>
        <v>-1.09205310431935</v>
      </c>
      <c r="I141" s="116" t="n">
        <f aca="false">-I85*01_Supuestos!$I$126</f>
        <v>-1.30082516177712</v>
      </c>
      <c r="J141" s="116" t="n">
        <f aca="false">-J85*01_Supuestos!$I$126</f>
        <v>-1.48376640618287</v>
      </c>
      <c r="K141" s="116" t="n">
        <f aca="false">-K85*01_Supuestos!$I$126</f>
        <v>-1.5441777315838</v>
      </c>
      <c r="L141" s="116" t="n">
        <f aca="false">-L85*01_Supuestos!$I$126</f>
        <v>-1.60463789379557</v>
      </c>
      <c r="M141" s="116" t="n">
        <f aca="false">-M85*01_Supuestos!$I$126</f>
        <v>-1.28371031503645</v>
      </c>
      <c r="N141" s="116" t="n">
        <f aca="false">-N85*01_Supuestos!$I$126</f>
        <v>-1.07566051492033</v>
      </c>
      <c r="O141" s="116" t="n">
        <f aca="false">-O85*01_Supuestos!$I$126</f>
        <v>-1.10931175453374</v>
      </c>
      <c r="P141" s="116" t="n">
        <f aca="false">-P85*01_Supuestos!$I$126</f>
        <v>-1.13926528114319</v>
      </c>
      <c r="Q141" s="116" t="n">
        <f aca="false">-Q85*01_Supuestos!$I$126</f>
        <v>-1.16551971913657</v>
      </c>
      <c r="R141" s="116" t="n">
        <f aca="false">-R85*01_Supuestos!$I$126</f>
        <v>-1.18893016556644</v>
      </c>
      <c r="S141" s="116" t="n">
        <f aca="false">-S85*01_Supuestos!$I$126</f>
        <v>-1.21019845647855</v>
      </c>
      <c r="T141" s="116" t="n">
        <f aca="false">-T85*01_Supuestos!$I$126</f>
        <v>-1.22991977860256</v>
      </c>
      <c r="U141" s="116" t="n">
        <f aca="false">-U85*01_Supuestos!$I$126</f>
        <v>-1.24974577572106</v>
      </c>
      <c r="V141" s="116" t="n">
        <f aca="false">-V85*01_Supuestos!$I$126</f>
        <v>-1.26966473792567</v>
      </c>
      <c r="W141" s="116" t="n">
        <f aca="false">-W85*01_Supuestos!$I$126</f>
        <v>-1.28923471294757</v>
      </c>
      <c r="X141" s="116" t="n">
        <f aca="false">-X85*01_Supuestos!$I$126</f>
        <v>-1.30844445351669</v>
      </c>
      <c r="Y141" s="116" t="n">
        <f aca="false">-Y85*01_Supuestos!$I$126</f>
        <v>-1.32728274980144</v>
      </c>
      <c r="Z141" s="116" t="n">
        <f aca="false">-Z85*01_Supuestos!$I$126</f>
        <v>-1.34573842702795</v>
      </c>
      <c r="AA141" s="116" t="n">
        <f aca="false">-AA85*01_Supuestos!$I$126</f>
        <v>-1.36380034320037</v>
      </c>
      <c r="AB141" s="116" t="n">
        <f aca="false">-AB85*01_Supuestos!$I$126</f>
        <v>-1.38146759712516</v>
      </c>
      <c r="AC141" s="116" t="n">
        <f aca="false">-AC85*01_Supuestos!$I$126</f>
        <v>-1.39873931610818</v>
      </c>
      <c r="AD141" s="116" t="n">
        <f aca="false">-AD85*01_Supuestos!$I$126</f>
        <v>-1.41561465394514</v>
      </c>
      <c r="AE141" s="116" t="n">
        <f aca="false">-AE85*01_Supuestos!$I$126</f>
        <v>-1.43209278899191</v>
      </c>
      <c r="AF141" s="116" t="n">
        <f aca="false">-AF85*01_Supuestos!$I$126</f>
        <v>-1.44817292230995</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0.0383185169825205</v>
      </c>
      <c r="D142" s="116" t="n">
        <f aca="false">D85*01_Supuestos!$I$101</f>
        <v>0.101316653221402</v>
      </c>
      <c r="E142" s="116" t="n">
        <f aca="false">E85*01_Supuestos!$I$101</f>
        <v>0.186259918597467</v>
      </c>
      <c r="F142" s="116" t="n">
        <f aca="false">F85*01_Supuestos!$I$101</f>
        <v>0.381154390786888</v>
      </c>
      <c r="G142" s="116" t="n">
        <f aca="false">G85*01_Supuestos!$I$101</f>
        <v>0.576047045281265</v>
      </c>
      <c r="H142" s="116" t="n">
        <f aca="false">H85*01_Supuestos!$I$101</f>
        <v>0.73713584541556</v>
      </c>
      <c r="I142" s="116" t="n">
        <f aca="false">I85*01_Supuestos!$I$101</f>
        <v>0.878056984199556</v>
      </c>
      <c r="J142" s="116" t="n">
        <f aca="false">J85*01_Supuestos!$I$101</f>
        <v>1.00154232417343</v>
      </c>
      <c r="K142" s="116" t="n">
        <f aca="false">K85*01_Supuestos!$I$101</f>
        <v>1.04231996881907</v>
      </c>
      <c r="L142" s="116" t="n">
        <f aca="false">L85*01_Supuestos!$I$101</f>
        <v>1.08313057831201</v>
      </c>
      <c r="M142" s="116" t="n">
        <f aca="false">M85*01_Supuestos!$I$101</f>
        <v>0.866504462649606</v>
      </c>
      <c r="N142" s="116" t="n">
        <f aca="false">N85*01_Supuestos!$I$101</f>
        <v>0.726070847571223</v>
      </c>
      <c r="O142" s="116" t="n">
        <f aca="false">O85*01_Supuestos!$I$101</f>
        <v>0.748785434310275</v>
      </c>
      <c r="P142" s="116" t="n">
        <f aca="false">P85*01_Supuestos!$I$101</f>
        <v>0.769004064771656</v>
      </c>
      <c r="Q142" s="116" t="n">
        <f aca="false">Q85*01_Supuestos!$I$101</f>
        <v>0.786725810417187</v>
      </c>
      <c r="R142" s="116" t="n">
        <f aca="false">R85*01_Supuestos!$I$101</f>
        <v>0.802527861757349</v>
      </c>
      <c r="S142" s="116" t="n">
        <f aca="false">S85*01_Supuestos!$I$101</f>
        <v>0.816883958123022</v>
      </c>
      <c r="T142" s="116" t="n">
        <f aca="false">T85*01_Supuestos!$I$101</f>
        <v>0.830195850556727</v>
      </c>
      <c r="U142" s="116" t="n">
        <f aca="false">U85*01_Supuestos!$I$101</f>
        <v>0.843578398611713</v>
      </c>
      <c r="V142" s="116" t="n">
        <f aca="false">V85*01_Supuestos!$I$101</f>
        <v>0.857023698099826</v>
      </c>
      <c r="W142" s="116" t="n">
        <f aca="false">W85*01_Supuestos!$I$101</f>
        <v>0.870233431239611</v>
      </c>
      <c r="X142" s="116" t="n">
        <f aca="false">X85*01_Supuestos!$I$101</f>
        <v>0.883200006123768</v>
      </c>
      <c r="Y142" s="116" t="n">
        <f aca="false">Y85*01_Supuestos!$I$101</f>
        <v>0.895915856115974</v>
      </c>
      <c r="Z142" s="116" t="n">
        <f aca="false">Z85*01_Supuestos!$I$101</f>
        <v>0.908373438243864</v>
      </c>
      <c r="AA142" s="116" t="n">
        <f aca="false">AA85*01_Supuestos!$I$101</f>
        <v>0.92056523166025</v>
      </c>
      <c r="AB142" s="116" t="n">
        <f aca="false">AB85*01_Supuestos!$I$101</f>
        <v>0.932490628059484</v>
      </c>
      <c r="AC142" s="116" t="n">
        <f aca="false">AC85*01_Supuestos!$I$101</f>
        <v>0.94414903837302</v>
      </c>
      <c r="AD142" s="116" t="n">
        <f aca="false">AD85*01_Supuestos!$I$101</f>
        <v>0.955539891412967</v>
      </c>
      <c r="AE142" s="116" t="n">
        <f aca="false">AE85*01_Supuestos!$I$101</f>
        <v>0.966662632569541</v>
      </c>
      <c r="AF142" s="116" t="n">
        <f aca="false">AF85*01_Supuestos!$I$101</f>
        <v>0.977516722559216</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-18.8323185832014</v>
      </c>
      <c r="D148" s="136" t="n">
        <f aca="false">D140+D141+D142+D144+D145+D146+D147</f>
        <v>-18.7932600627766</v>
      </c>
      <c r="E148" s="136" t="n">
        <f aca="false">E140+E141+E142+E144+E145+E146+E147</f>
        <v>-18.8291811839185</v>
      </c>
      <c r="F148" s="136" t="n">
        <f aca="false">F140+F141+F142+F144+F145+F146+F147</f>
        <v>-18.7764678286133</v>
      </c>
      <c r="G148" s="136" t="n">
        <f aca="false">G140+G141+G142+G144+G145+G146+G147</f>
        <v>-18.6230723782413</v>
      </c>
      <c r="H148" s="136" t="n">
        <f aca="false">H140+H141+H142+H144+H145+H146+H147</f>
        <v>-18.5110630599064</v>
      </c>
      <c r="I148" s="136" t="n">
        <f aca="false">I140+I141+I142+I144+I145+I146+I147</f>
        <v>-18.4275162286774</v>
      </c>
      <c r="J148" s="136" t="n">
        <f aca="false">J140+J141+J142+J144+J145+J146+J147</f>
        <v>-18.3673448669333</v>
      </c>
      <c r="K148" s="136" t="n">
        <f aca="false">K140+K141+K142+K144+K145+K146+K147</f>
        <v>-18.3928197680748</v>
      </c>
      <c r="L148" s="136" t="n">
        <f aca="false">L140+L141+L142+L144+L145+L146+L147</f>
        <v>-18.4162268957928</v>
      </c>
      <c r="M148" s="136" t="n">
        <f aca="false">M140+M141+M142+M144+M145+M146+M147</f>
        <v>2.28811736876961</v>
      </c>
      <c r="N148" s="136" t="n">
        <f aca="false">N140+N141+N142+N144+N145+N146+N147</f>
        <v>2.34291345614573</v>
      </c>
      <c r="O148" s="136" t="n">
        <f aca="false">O140+O141+O142+O144+O145+O146+O147</f>
        <v>2.30826789438821</v>
      </c>
      <c r="P148" s="136" t="n">
        <f aca="false">P140+P141+P142+P144+P145+P146+P147</f>
        <v>2.28317852689214</v>
      </c>
      <c r="Q148" s="136" t="n">
        <f aca="false">Q140+Q141+Q142+Q144+Q145+Q146+Q147</f>
        <v>2.26704585938201</v>
      </c>
      <c r="R148" s="136" t="n">
        <f aca="false">R140+R141+R142+R144+R145+R146+R147</f>
        <v>2.25668417280254</v>
      </c>
      <c r="S148" s="136" t="n">
        <f aca="false">S140+S141+S142+S144+S145+S146+S147</f>
        <v>2.25032881827701</v>
      </c>
      <c r="T148" s="136" t="n">
        <f aca="false">T140+T141+T142+T144+T145+T146+T147</f>
        <v>2.24651599691796</v>
      </c>
      <c r="U148" s="136" t="n">
        <f aca="false">U140+U141+U142+U144+U145+U146+U147</f>
        <v>2.24036023326675</v>
      </c>
      <c r="V148" s="136" t="n">
        <f aca="false">V140+V141+V142+V144+V145+V146+V147</f>
        <v>2.22871453726005</v>
      </c>
      <c r="W148" s="136" t="n">
        <f aca="false">W140+W141+W142+W144+W145+W146+W147</f>
        <v>2.21411384495436</v>
      </c>
      <c r="X148" s="136" t="n">
        <f aca="false">X140+X141+X142+X144+X145+X146+X147</f>
        <v>2.19704111118763</v>
      </c>
      <c r="Y148" s="136" t="n">
        <f aca="false">Y140+Y141+Y142+Y144+Y145+Y146+Y147</f>
        <v>2.17752769504752</v>
      </c>
      <c r="Z148" s="136" t="n">
        <f aca="false">Z140+Z141+Z142+Z144+Z145+Z146+Z147</f>
        <v>2.15560078442767</v>
      </c>
      <c r="AA148" s="136" t="n">
        <f aca="false">AA140+AA141+AA142+AA144+AA145+AA146+AA147</f>
        <v>2.13128360464646</v>
      </c>
      <c r="AB148" s="136" t="n">
        <f aca="false">AB140+AB141+AB142+AB144+AB145+AB146+AB147</f>
        <v>2.10459229379103</v>
      </c>
      <c r="AC148" s="136" t="n">
        <f aca="false">AC140+AC141+AC142+AC144+AC145+AC146+AC147</f>
        <v>2.07553940066852</v>
      </c>
      <c r="AD148" s="136" t="n">
        <f aca="false">AD140+AD141+AD142+AD144+AD145+AD146+AD147</f>
        <v>2.04413405127843</v>
      </c>
      <c r="AE148" s="136" t="n">
        <f aca="false">AE140+AE141+AE142+AE144+AE145+AE146+AE147</f>
        <v>2.01038210293441</v>
      </c>
      <c r="AF148" s="136" t="n">
        <f aca="false">AF140+AF141+AF142+AF144+AF145+AF146+AF147</f>
        <v>1.97428628679262</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-18.8323185832014</v>
      </c>
      <c r="D149" s="138" t="n">
        <f aca="false">C149+D148</f>
        <v>-37.625578645978</v>
      </c>
      <c r="E149" s="138" t="n">
        <f aca="false">D149+E148</f>
        <v>-56.4547598298965</v>
      </c>
      <c r="F149" s="138" t="n">
        <f aca="false">E149+F148</f>
        <v>-75.2312276585098</v>
      </c>
      <c r="G149" s="138" t="n">
        <f aca="false">F149+G148</f>
        <v>-93.8543000367511</v>
      </c>
      <c r="H149" s="138" t="n">
        <f aca="false">G149+H148</f>
        <v>-112.365363096658</v>
      </c>
      <c r="I149" s="138" t="n">
        <f aca="false">H149+I148</f>
        <v>-130.792879325335</v>
      </c>
      <c r="J149" s="138" t="n">
        <f aca="false">I149+J148</f>
        <v>-149.160224192268</v>
      </c>
      <c r="K149" s="138" t="n">
        <f aca="false">J149+K148</f>
        <v>-167.553043960343</v>
      </c>
      <c r="L149" s="138" t="n">
        <f aca="false">K149+L148</f>
        <v>-185.969270856136</v>
      </c>
      <c r="M149" s="138" t="n">
        <f aca="false">L149+M148</f>
        <v>-183.681153487366</v>
      </c>
      <c r="N149" s="138" t="n">
        <f aca="false">M149+N148</f>
        <v>-181.33824003122</v>
      </c>
      <c r="O149" s="138" t="n">
        <f aca="false">N149+O148</f>
        <v>-179.029972136832</v>
      </c>
      <c r="P149" s="138" t="n">
        <f aca="false">O149+P148</f>
        <v>-176.74679360994</v>
      </c>
      <c r="Q149" s="138" t="n">
        <f aca="false">P149+Q148</f>
        <v>-174.479747750558</v>
      </c>
      <c r="R149" s="138" t="n">
        <f aca="false">Q149+R148</f>
        <v>-172.223063577755</v>
      </c>
      <c r="S149" s="138" t="n">
        <f aca="false">R149+S148</f>
        <v>-169.972734759478</v>
      </c>
      <c r="T149" s="138" t="n">
        <f aca="false">S149+T148</f>
        <v>-167.726218762561</v>
      </c>
      <c r="U149" s="138" t="n">
        <f aca="false">T149+U148</f>
        <v>-165.485858529294</v>
      </c>
      <c r="V149" s="138" t="n">
        <f aca="false">U149+V148</f>
        <v>-163.257143992034</v>
      </c>
      <c r="W149" s="138" t="n">
        <f aca="false">V149+W148</f>
        <v>-161.043030147079</v>
      </c>
      <c r="X149" s="138" t="n">
        <f aca="false">W149+X148</f>
        <v>-158.845989035892</v>
      </c>
      <c r="Y149" s="138" t="n">
        <f aca="false">X149+Y148</f>
        <v>-156.668461340844</v>
      </c>
      <c r="Z149" s="138" t="n">
        <f aca="false">Y149+Z148</f>
        <v>-154.512860556417</v>
      </c>
      <c r="AA149" s="138" t="n">
        <f aca="false">Z149+AA148</f>
        <v>-152.38157695177</v>
      </c>
      <c r="AB149" s="138" t="n">
        <f aca="false">AA149+AB148</f>
        <v>-150.276984657979</v>
      </c>
      <c r="AC149" s="138" t="n">
        <f aca="false">AB149+AC148</f>
        <v>-148.201445257311</v>
      </c>
      <c r="AD149" s="138" t="n">
        <f aca="false">AC149+AD148</f>
        <v>-146.157311206032</v>
      </c>
      <c r="AE149" s="138" t="n">
        <f aca="false">AD149+AE148</f>
        <v>-144.146929103098</v>
      </c>
      <c r="AF149" s="138" t="n">
        <f aca="false">AE149+AF148</f>
        <v>-142.172642816305</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6.88634987596409</v>
      </c>
      <c r="D152" s="116" t="n">
        <f aca="false">D83</f>
        <v>17.9891896948854</v>
      </c>
      <c r="E152" s="116" t="n">
        <f aca="false">E83</f>
        <v>31.5940666948854</v>
      </c>
      <c r="F152" s="116" t="n">
        <f aca="false">F83</f>
        <v>45.5118558658854</v>
      </c>
      <c r="G152" s="116" t="n">
        <f aca="false">G83</f>
        <v>59.7497541878184</v>
      </c>
      <c r="H152" s="116" t="n">
        <f aca="false">H83</f>
        <v>74.3151241711558</v>
      </c>
      <c r="I152" s="116" t="n">
        <f aca="false">I83</f>
        <v>89.21549766411</v>
      </c>
      <c r="J152" s="116" t="n">
        <f aca="false">J83</f>
        <v>104.458579747402</v>
      </c>
      <c r="K152" s="116" t="n">
        <f aca="false">K83</f>
        <v>120.05225271861</v>
      </c>
      <c r="L152" s="116" t="n">
        <f aca="false">L83</f>
        <v>136.004580168156</v>
      </c>
      <c r="M152" s="116" t="n">
        <f aca="false">M83</f>
        <v>152.323811149041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193.15848872137</v>
      </c>
      <c r="W152" s="116" t="n">
        <f aca="false">W83</f>
        <v>196.030818815448</v>
      </c>
      <c r="X152" s="116" t="n">
        <f aca="false">X83</f>
        <v>198.84439784146</v>
      </c>
      <c r="Y152" s="116" t="n">
        <f aca="false">Y83</f>
        <v>201.599071573836</v>
      </c>
      <c r="Z152" s="116" t="n">
        <f aca="false">Z83</f>
        <v>204.294690894505</v>
      </c>
      <c r="AA152" s="116" t="n">
        <f aca="false">AA83</f>
        <v>206.931111445608</v>
      </c>
      <c r="AB152" s="116" t="n">
        <f aca="false">AB83</f>
        <v>209.508193296327</v>
      </c>
      <c r="AC152" s="116" t="n">
        <f aca="false">AC83</f>
        <v>212.025800623019</v>
      </c>
      <c r="AD152" s="116" t="n">
        <f aca="false">AD83</f>
        <v>214.483801401861</v>
      </c>
      <c r="AE152" s="116" t="n">
        <f aca="false">AE83</f>
        <v>216.882067113262</v>
      </c>
      <c r="AF152" s="116" t="n">
        <f aca="false">AF83</f>
        <v>219.220472457332</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20.4731242506256</v>
      </c>
      <c r="D153" s="116" t="n">
        <f aca="false">D120</f>
        <v>40.2367042428517</v>
      </c>
      <c r="E153" s="116" t="n">
        <f aca="false">E120</f>
        <v>60.3121982291656</v>
      </c>
      <c r="F153" s="116" t="n">
        <f aca="false">F120</f>
        <v>74.9143440056131</v>
      </c>
      <c r="G153" s="116" t="n">
        <f aca="false">G120</f>
        <v>87.9871715054758</v>
      </c>
      <c r="H153" s="116" t="n">
        <f aca="false">H120</f>
        <v>100.243489381918</v>
      </c>
      <c r="I153" s="116" t="n">
        <f aca="false">I120</f>
        <v>112.321626624378</v>
      </c>
      <c r="J153" s="116" t="n">
        <f aca="false">J120</f>
        <v>124.565030455524</v>
      </c>
      <c r="K153" s="116" t="n">
        <f aca="false">K120</f>
        <v>138.237413705391</v>
      </c>
      <c r="L153" s="116" t="n">
        <f aca="false">L120</f>
        <v>153.32802072706</v>
      </c>
      <c r="M153" s="116" t="n">
        <f aca="false">M120</f>
        <v>151.624293135189</v>
      </c>
      <c r="N153" s="116" t="n">
        <f aca="false">N120</f>
        <v>152.408811767854</v>
      </c>
      <c r="O153" s="116" t="n">
        <f aca="false">O120</f>
        <v>154.985705801291</v>
      </c>
      <c r="P153" s="116" t="n">
        <f aca="false">P120</f>
        <v>156.286440828916</v>
      </c>
      <c r="Q153" s="116" t="n">
        <f aca="false">Q120</f>
        <v>156.99906504964</v>
      </c>
      <c r="R153" s="116" t="n">
        <f aca="false">R120</f>
        <v>157.608165900857</v>
      </c>
      <c r="S153" s="116" t="n">
        <f aca="false">S120</f>
        <v>158.069510015136</v>
      </c>
      <c r="T153" s="116" t="n">
        <f aca="false">T120</f>
        <v>158.349402164734</v>
      </c>
      <c r="U153" s="116" t="n">
        <f aca="false">U120</f>
        <v>158.451491988942</v>
      </c>
      <c r="V153" s="116" t="n">
        <f aca="false">V120</f>
        <v>158.542023191104</v>
      </c>
      <c r="W153" s="116" t="n">
        <f aca="false">W120</f>
        <v>158.389420005063</v>
      </c>
      <c r="X153" s="116" t="n">
        <f aca="false">X120</f>
        <v>157.984761817809</v>
      </c>
      <c r="Y153" s="116" t="n">
        <f aca="false">Y120</f>
        <v>157.386712323239</v>
      </c>
      <c r="Z153" s="116" t="n">
        <f aca="false">Z120</f>
        <v>156.608272757536</v>
      </c>
      <c r="AA153" s="116" t="n">
        <f aca="false">AA120</f>
        <v>155.654602804313</v>
      </c>
      <c r="AB153" s="116" t="n">
        <f aca="false">AB120</f>
        <v>154.530593273889</v>
      </c>
      <c r="AC153" s="116" t="n">
        <f aca="false">AC120</f>
        <v>153.240909105039</v>
      </c>
      <c r="AD153" s="116" t="n">
        <f aca="false">AD120</f>
        <v>151.790017101859</v>
      </c>
      <c r="AE153" s="116" t="n">
        <f aca="false">AE120</f>
        <v>150.182216781227</v>
      </c>
      <c r="AF153" s="116" t="n">
        <f aca="false">AF120</f>
        <v>148.421658753354</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0.781764299547855</v>
      </c>
      <c r="E154" s="116" t="n">
        <f aca="false">E104</f>
        <v>1.43719072991873</v>
      </c>
      <c r="F154" s="116" t="n">
        <f aca="false">F104</f>
        <v>2.94100610175068</v>
      </c>
      <c r="G154" s="116" t="n">
        <f aca="false">G104</f>
        <v>4.44480744815791</v>
      </c>
      <c r="H154" s="116" t="n">
        <f aca="false">H104</f>
        <v>5.68777658499661</v>
      </c>
      <c r="I154" s="116" t="n">
        <f aca="false">I104</f>
        <v>6.7751310509225</v>
      </c>
      <c r="J154" s="116" t="n">
        <f aca="false">J104</f>
        <v>7.72795003220242</v>
      </c>
      <c r="K154" s="116" t="n">
        <f aca="false">K104</f>
        <v>8.04259235199898</v>
      </c>
      <c r="L154" s="116" t="n">
        <f aca="false">L104</f>
        <v>8.35748903018525</v>
      </c>
      <c r="M154" s="116" t="n">
        <f aca="false">M104</f>
        <v>8.66655656398049</v>
      </c>
      <c r="N154" s="116" t="n">
        <f aca="false">N104</f>
        <v>8.96383762433609</v>
      </c>
      <c r="O154" s="116" t="n">
        <f aca="false">O104</f>
        <v>9.2442646211145</v>
      </c>
      <c r="P154" s="116" t="n">
        <f aca="false">P104</f>
        <v>9.49387734285995</v>
      </c>
      <c r="Q154" s="116" t="n">
        <f aca="false">Q104</f>
        <v>9.71266432613811</v>
      </c>
      <c r="R154" s="116" t="n">
        <f aca="false">R104</f>
        <v>9.90775137972035</v>
      </c>
      <c r="S154" s="116" t="n">
        <f aca="false">S104</f>
        <v>10.0849871373213</v>
      </c>
      <c r="T154" s="116" t="n">
        <f aca="false">T104</f>
        <v>10.2493314883547</v>
      </c>
      <c r="U154" s="116" t="n">
        <f aca="false">U104</f>
        <v>10.4145481310088</v>
      </c>
      <c r="V154" s="116" t="n">
        <f aca="false">V104</f>
        <v>10.5805394827139</v>
      </c>
      <c r="W154" s="116" t="n">
        <f aca="false">W104</f>
        <v>10.7436226078964</v>
      </c>
      <c r="X154" s="116" t="n">
        <f aca="false">X104</f>
        <v>10.9037037793058</v>
      </c>
      <c r="Y154" s="116" t="n">
        <f aca="false">Y104</f>
        <v>11.0606895816787</v>
      </c>
      <c r="Z154" s="116" t="n">
        <f aca="false">Z104</f>
        <v>11.2144868918996</v>
      </c>
      <c r="AA154" s="116" t="n">
        <f aca="false">AA104</f>
        <v>11.3650028600031</v>
      </c>
      <c r="AB154" s="116" t="n">
        <f aca="false">AB104</f>
        <v>11.512229976043</v>
      </c>
      <c r="AC154" s="116" t="n">
        <f aca="false">AC104</f>
        <v>11.6561609675681</v>
      </c>
      <c r="AD154" s="116" t="n">
        <f aca="false">AD104</f>
        <v>11.7967887828761</v>
      </c>
      <c r="AE154" s="116" t="n">
        <f aca="false">AE104</f>
        <v>11.9341065749326</v>
      </c>
      <c r="AF154" s="116" t="n">
        <f aca="false">AF104</f>
        <v>12.0681076859162</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16.4793494096682</v>
      </c>
      <c r="G155" s="116" t="n">
        <f aca="false">G70+G121-G227</f>
        <v>32.71326087483</v>
      </c>
      <c r="H155" s="116" t="n">
        <f aca="false">H70+H121-H227</f>
        <v>48.9504167038027</v>
      </c>
      <c r="I155" s="116" t="n">
        <f aca="false">I70+I121-I227</f>
        <v>65.1909314226286</v>
      </c>
      <c r="J155" s="116" t="n">
        <f aca="false">J70+J121-J227</f>
        <v>81.4349236001197</v>
      </c>
      <c r="K155" s="116" t="n">
        <f aca="false">K70+K121-K227</f>
        <v>88.4488451420297</v>
      </c>
      <c r="L155" s="116" t="n">
        <f aca="false">L70+L121-L227</f>
        <v>95.4627666839397</v>
      </c>
      <c r="M155" s="116" t="n">
        <f aca="false">M70+M121-M227</f>
        <v>98.2583405071303</v>
      </c>
      <c r="N155" s="116" t="n">
        <f aca="false">N70+N121-N227</f>
        <v>101.057909422759</v>
      </c>
      <c r="O155" s="116" t="n">
        <f aca="false">O70+O121-O227</f>
        <v>103.86161445759</v>
      </c>
      <c r="P155" s="116" t="n">
        <f aca="false">P70+P121-P227</f>
        <v>106.669601616631</v>
      </c>
      <c r="Q155" s="116" t="n">
        <f aca="false">Q70+Q121-Q227</f>
        <v>109.482022058865</v>
      </c>
      <c r="R155" s="116" t="n">
        <f aca="false">R70+R121-R227</f>
        <v>112.299032279191</v>
      </c>
      <c r="S155" s="116" t="n">
        <f aca="false">S70+S121-S227</f>
        <v>115.120794296774</v>
      </c>
      <c r="T155" s="116" t="n">
        <f aca="false">T70+T121-T227</f>
        <v>117.947475850057</v>
      </c>
      <c r="U155" s="116" t="n">
        <f aca="false">U70+U121-U227</f>
        <v>120.779250598652</v>
      </c>
      <c r="V155" s="116" t="n">
        <f aca="false">V70+V121-V227</f>
        <v>123.616298332351</v>
      </c>
      <c r="W155" s="116" t="n">
        <f aca="false">W70+W121-W227</f>
        <v>126.458805187531</v>
      </c>
      <c r="X155" s="116" t="n">
        <f aca="false">X70+X121-X227</f>
        <v>129.306963871178</v>
      </c>
      <c r="Y155" s="116" t="n">
        <f aca="false">Y70+Y121-Y227</f>
        <v>132.160973892838</v>
      </c>
      <c r="Z155" s="116" t="n">
        <f aca="false">Z70+Z121-Z227</f>
        <v>135.021041804743</v>
      </c>
      <c r="AA155" s="116" t="n">
        <f aca="false">AA70+AA121-AA227</f>
        <v>137.887381450418</v>
      </c>
      <c r="AB155" s="116" t="n">
        <f aca="false">AB70+AB121-AB227</f>
        <v>140.760214222065</v>
      </c>
      <c r="AC155" s="116" t="n">
        <f aca="false">AC70+AC121-AC227</f>
        <v>143.639769327032</v>
      </c>
      <c r="AD155" s="116" t="n">
        <f aca="false">AD70+AD121-AD227</f>
        <v>146.526284063683</v>
      </c>
      <c r="AE155" s="116" t="n">
        <f aca="false">AE70+AE121-AE227</f>
        <v>149.420004107019</v>
      </c>
      <c r="AF155" s="116" t="n">
        <f aca="false">AF70+AF121-AF227</f>
        <v>152.321183804364</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27.4394741265896</v>
      </c>
      <c r="D156" s="136" t="n">
        <f aca="false">SUM(D152:D155)+D187</f>
        <v>59.1704822372849</v>
      </c>
      <c r="E156" s="136" t="n">
        <f aca="false">SUM(E152:E155)+E187</f>
        <v>93.5920273411697</v>
      </c>
      <c r="F156" s="136" t="n">
        <f aca="false">SUM(F152:F155)+F187</f>
        <v>139.846555382917</v>
      </c>
      <c r="G156" s="136" t="n">
        <f aca="false">SUM(G152:G155)+G187</f>
        <v>184.894994016282</v>
      </c>
      <c r="H156" s="136" t="n">
        <f aca="false">SUM(H152:H155)+H187</f>
        <v>229.196806841873</v>
      </c>
      <c r="I156" s="136" t="n">
        <f aca="false">SUM(I152:I155)+I187</f>
        <v>273.50318676204</v>
      </c>
      <c r="J156" s="136" t="n">
        <f aca="false">SUM(J152:J155)+J187</f>
        <v>318.186483835249</v>
      </c>
      <c r="K156" s="136" t="n">
        <f aca="false">SUM(K152:K155)+K187</f>
        <v>354.78110391803</v>
      </c>
      <c r="L156" s="136" t="n">
        <f aca="false">SUM(L152:L155)+L187</f>
        <v>393.152856609341</v>
      </c>
      <c r="M156" s="136" t="n">
        <f aca="false">SUM(M152:M155)+M187</f>
        <v>410.873001355341</v>
      </c>
      <c r="N156" s="136" t="n">
        <f aca="false">SUM(N152:N155)+N187</f>
        <v>424.514685240875</v>
      </c>
      <c r="O156" s="136" t="n">
        <f aca="false">SUM(O152:O155)+O187</f>
        <v>433.903646213717</v>
      </c>
      <c r="P156" s="136" t="n">
        <f aca="false">SUM(P152:P155)+P187</f>
        <v>442.075658532803</v>
      </c>
      <c r="Q156" s="136" t="n">
        <f aca="false">SUM(Q152:Q155)+Q187</f>
        <v>449.720882170161</v>
      </c>
      <c r="R156" s="136" t="n">
        <f aca="false">SUM(R152:R155)+R187</f>
        <v>457.333204302203</v>
      </c>
      <c r="S156" s="136" t="n">
        <f aca="false">SUM(S152:S155)+S187</f>
        <v>464.876466050741</v>
      </c>
      <c r="T156" s="136" t="n">
        <f aca="false">SUM(T152:T155)+T187</f>
        <v>472.324211120491</v>
      </c>
      <c r="U156" s="136" t="n">
        <f aca="false">SUM(U152:U155)+U187</f>
        <v>479.696186373147</v>
      </c>
      <c r="V156" s="136" t="n">
        <f aca="false">SUM(V152:V155)+V187</f>
        <v>485.89734972754</v>
      </c>
      <c r="W156" s="136" t="n">
        <f aca="false">SUM(W152:W155)+W187</f>
        <v>491.622666615938</v>
      </c>
      <c r="X156" s="136" t="n">
        <f aca="false">SUM(X152:X155)+X187</f>
        <v>497.039827309754</v>
      </c>
      <c r="Y156" s="136" t="n">
        <f aca="false">SUM(Y152:Y155)+Y187</f>
        <v>502.207447371592</v>
      </c>
      <c r="Z156" s="136" t="n">
        <f aca="false">SUM(Z152:Z155)+Z187</f>
        <v>507.138492348684</v>
      </c>
      <c r="AA156" s="136" t="n">
        <f aca="false">SUM(AA152:AA155)+AA187</f>
        <v>511.838098560342</v>
      </c>
      <c r="AB156" s="136" t="n">
        <f aca="false">SUM(AB152:AB155)+AB187</f>
        <v>516.311230768325</v>
      </c>
      <c r="AC156" s="136" t="n">
        <f aca="false">SUM(AC152:AC155)+AC187</f>
        <v>520.562640022658</v>
      </c>
      <c r="AD156" s="136" t="n">
        <f aca="false">SUM(AD152:AD155)+AD187</f>
        <v>524.596891350279</v>
      </c>
      <c r="AE156" s="136" t="n">
        <f aca="false">SUM(AE152:AE155)+AE187</f>
        <v>528.41839457644</v>
      </c>
      <c r="AF156" s="136" t="n">
        <f aca="false">SUM(AF152:AF155)+AF187</f>
        <v>532.031422700966</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11.8267027723829</v>
      </c>
      <c r="D157" s="116" t="n">
        <f aca="false">D69+D80+D121</f>
        <v>31.2705719819142</v>
      </c>
      <c r="E157" s="116" t="n">
        <f aca="false">E69+E80+E121</f>
        <v>57.4876291967492</v>
      </c>
      <c r="F157" s="116" t="n">
        <f aca="false">F69+F80+F121</f>
        <v>117.640244070027</v>
      </c>
      <c r="G157" s="116" t="n">
        <f aca="false">G69+G80+G121</f>
        <v>177.792297926316</v>
      </c>
      <c r="H157" s="116" t="n">
        <f aca="false">H69+H80+H121</f>
        <v>227.511063399864</v>
      </c>
      <c r="I157" s="116" t="n">
        <f aca="false">I69+I80+I121</f>
        <v>271.0052420369</v>
      </c>
      <c r="J157" s="116" t="n">
        <f aca="false">J69+J80+J121</f>
        <v>309.118001288097</v>
      </c>
      <c r="K157" s="116" t="n">
        <f aca="false">K69+K80+K121</f>
        <v>321.703694079959</v>
      </c>
      <c r="L157" s="116" t="n">
        <f aca="false">L69+L80+L121</f>
        <v>334.29956120741</v>
      </c>
      <c r="M157" s="116" t="n">
        <f aca="false">M69+M80+M121</f>
        <v>346.66226255922</v>
      </c>
      <c r="N157" s="116" t="n">
        <f aca="false">N69+N80+N121</f>
        <v>358.553504973444</v>
      </c>
      <c r="O157" s="116" t="n">
        <f aca="false">O69+O80+O121</f>
        <v>369.77058484458</v>
      </c>
      <c r="P157" s="116" t="n">
        <f aca="false">P69+P80+P121</f>
        <v>379.755093714398</v>
      </c>
      <c r="Q157" s="116" t="n">
        <f aca="false">Q69+Q80+Q121</f>
        <v>388.506573045524</v>
      </c>
      <c r="R157" s="116" t="n">
        <f aca="false">R69+R80+R121</f>
        <v>396.310055188814</v>
      </c>
      <c r="S157" s="116" t="n">
        <f aca="false">S69+S80+S121</f>
        <v>403.39948549285</v>
      </c>
      <c r="T157" s="116" t="n">
        <f aca="false">T69+T80+T121</f>
        <v>409.973259534186</v>
      </c>
      <c r="U157" s="116" t="n">
        <f aca="false">U69+U80+U121</f>
        <v>416.581925240352</v>
      </c>
      <c r="V157" s="116" t="n">
        <f aca="false">V69+V80+V121</f>
        <v>423.221579308556</v>
      </c>
      <c r="W157" s="116" t="n">
        <f aca="false">W69+W80+W121</f>
        <v>429.744904315857</v>
      </c>
      <c r="X157" s="116" t="n">
        <f aca="false">X69+X80+X121</f>
        <v>436.148151172231</v>
      </c>
      <c r="Y157" s="116" t="n">
        <f aca="false">Y69+Y80+Y121</f>
        <v>442.427583267148</v>
      </c>
      <c r="Z157" s="116" t="n">
        <f aca="false">Z69+Z80+Z121</f>
        <v>448.579475675982</v>
      </c>
      <c r="AA157" s="116" t="n">
        <f aca="false">AA69+AA80+AA121</f>
        <v>454.600114400124</v>
      </c>
      <c r="AB157" s="116" t="n">
        <f aca="false">AB69+AB80+AB121</f>
        <v>460.489199041721</v>
      </c>
      <c r="AC157" s="116" t="n">
        <f aca="false">AC69+AC80+AC121</f>
        <v>466.246438702726</v>
      </c>
      <c r="AD157" s="116" t="n">
        <f aca="false">AD69+AD80+AD121</f>
        <v>471.871551315046</v>
      </c>
      <c r="AE157" s="116" t="n">
        <f aca="false">AE69+AE80+AE121</f>
        <v>477.364262997304</v>
      </c>
      <c r="AF157" s="116" t="n">
        <f aca="false">AF69+AF80+AF121</f>
        <v>482.72430743665</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5.99497779535458</v>
      </c>
      <c r="D159" s="116" t="n">
        <f aca="false">D72</f>
        <v>16.0714063617387</v>
      </c>
      <c r="E159" s="116" t="n">
        <f aca="false">E72</f>
        <v>28.8608867898546</v>
      </c>
      <c r="F159" s="116" t="n">
        <f aca="false">F72</f>
        <v>42.8880032461946</v>
      </c>
      <c r="G159" s="116" t="n">
        <f aca="false">G72</f>
        <v>56.9586948084126</v>
      </c>
      <c r="H159" s="116" t="n">
        <f aca="false">H72</f>
        <v>70.9319257622879</v>
      </c>
      <c r="I159" s="116" t="n">
        <f aca="false">I72</f>
        <v>85.1920007336856</v>
      </c>
      <c r="J159" s="116" t="n">
        <f aca="false">J72</f>
        <v>99.7827849436026</v>
      </c>
      <c r="K159" s="116" t="n">
        <f aca="false">K72</f>
        <v>114.259506266228</v>
      </c>
      <c r="L159" s="116" t="n">
        <f aca="false">L72</f>
        <v>129.348433884454</v>
      </c>
      <c r="M159" s="116" t="n">
        <f aca="false">M72</f>
        <v>143.270413390829</v>
      </c>
      <c r="N159" s="116" t="n">
        <f aca="false">N72</f>
        <v>153.001889506478</v>
      </c>
      <c r="O159" s="116" t="n">
        <f aca="false">O72</f>
        <v>158.500620639813</v>
      </c>
      <c r="P159" s="116" t="n">
        <f aca="false">P72</f>
        <v>162.704718717026</v>
      </c>
      <c r="Q159" s="116" t="n">
        <f aca="false">Q72</f>
        <v>166.427983782937</v>
      </c>
      <c r="R159" s="116" t="n">
        <f aca="false">R72</f>
        <v>170.235751546277</v>
      </c>
      <c r="S159" s="116" t="n">
        <f aca="false">S72</f>
        <v>174.131356512559</v>
      </c>
      <c r="T159" s="116" t="n">
        <f aca="false">T72</f>
        <v>178.117012467472</v>
      </c>
      <c r="U159" s="116" t="n">
        <f aca="false">U72</f>
        <v>182.199964148863</v>
      </c>
      <c r="V159" s="116" t="n">
        <f aca="false">V72</f>
        <v>185.323607465169</v>
      </c>
      <c r="W159" s="116" t="n">
        <f aca="false">W72</f>
        <v>188.166263255523</v>
      </c>
      <c r="X159" s="116" t="n">
        <f aca="false">X72</f>
        <v>190.88944211945</v>
      </c>
      <c r="Y159" s="116" t="n">
        <f aca="false">Y72</f>
        <v>193.54809239456</v>
      </c>
      <c r="Z159" s="116" t="n">
        <f aca="false">Z72</f>
        <v>196.149921589219</v>
      </c>
      <c r="AA159" s="116" t="n">
        <f aca="false">AA72</f>
        <v>198.694777836586</v>
      </c>
      <c r="AB159" s="116" t="n">
        <f aca="false">AB72</f>
        <v>201.182557990054</v>
      </c>
      <c r="AC159" s="116" t="n">
        <f aca="false">AC72</f>
        <v>203.613142824044</v>
      </c>
      <c r="AD159" s="116" t="n">
        <f aca="false">AD72</f>
        <v>205.986404852058</v>
      </c>
      <c r="AE159" s="116" t="n">
        <f aca="false">AE72</f>
        <v>208.302220000676</v>
      </c>
      <c r="AF159" s="116" t="n">
        <f aca="false">AF72</f>
        <v>210.560467334371</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17.8216805677374</v>
      </c>
      <c r="D160" s="136" t="n">
        <f aca="false">SUM(D157:D159)</f>
        <v>47.3419783436529</v>
      </c>
      <c r="E160" s="136" t="n">
        <f aca="false">SUM(E157:E159)</f>
        <v>86.3485159866038</v>
      </c>
      <c r="F160" s="136" t="n">
        <f aca="false">SUM(F157:F159)</f>
        <v>160.528247316222</v>
      </c>
      <c r="G160" s="136" t="n">
        <f aca="false">SUM(G157:G159)</f>
        <v>234.750992734729</v>
      </c>
      <c r="H160" s="136" t="n">
        <f aca="false">SUM(H157:H159)</f>
        <v>298.442989162152</v>
      </c>
      <c r="I160" s="136" t="n">
        <f aca="false">SUM(I157:I159)</f>
        <v>356.197242770586</v>
      </c>
      <c r="J160" s="136" t="n">
        <f aca="false">SUM(J157:J159)</f>
        <v>408.9007862317</v>
      </c>
      <c r="K160" s="136" t="n">
        <f aca="false">SUM(K157:K159)</f>
        <v>435.963200346187</v>
      </c>
      <c r="L160" s="136" t="n">
        <f aca="false">SUM(L157:L159)</f>
        <v>463.647995091864</v>
      </c>
      <c r="M160" s="136" t="n">
        <f aca="false">SUM(M157:M159)</f>
        <v>489.932675950049</v>
      </c>
      <c r="N160" s="136" t="n">
        <f aca="false">SUM(N157:N159)</f>
        <v>511.555394479921</v>
      </c>
      <c r="O160" s="136" t="n">
        <f aca="false">SUM(O157:O159)</f>
        <v>528.271205484393</v>
      </c>
      <c r="P160" s="136" t="n">
        <f aca="false">SUM(P157:P159)</f>
        <v>542.459812431424</v>
      </c>
      <c r="Q160" s="136" t="n">
        <f aca="false">SUM(Q157:Q159)</f>
        <v>554.934556828461</v>
      </c>
      <c r="R160" s="136" t="n">
        <f aca="false">SUM(R157:R159)</f>
        <v>566.545806735091</v>
      </c>
      <c r="S160" s="136" t="n">
        <f aca="false">SUM(S157:S159)</f>
        <v>577.53084200541</v>
      </c>
      <c r="T160" s="136" t="n">
        <f aca="false">SUM(T157:T159)</f>
        <v>588.090272001658</v>
      </c>
      <c r="U160" s="136" t="n">
        <f aca="false">SUM(U157:U159)</f>
        <v>598.781889389215</v>
      </c>
      <c r="V160" s="136" t="n">
        <f aca="false">SUM(V157:V159)</f>
        <v>608.545186773725</v>
      </c>
      <c r="W160" s="136" t="n">
        <f aca="false">SUM(W157:W159)</f>
        <v>617.911167571381</v>
      </c>
      <c r="X160" s="136" t="n">
        <f aca="false">SUM(X157:X159)</f>
        <v>627.037593291681</v>
      </c>
      <c r="Y160" s="136" t="n">
        <f aca="false">SUM(Y157:Y159)</f>
        <v>635.975675661708</v>
      </c>
      <c r="Z160" s="136" t="n">
        <f aca="false">SUM(Z157:Z159)</f>
        <v>644.729397265202</v>
      </c>
      <c r="AA160" s="136" t="n">
        <f aca="false">SUM(AA157:AA159)</f>
        <v>653.294892236709</v>
      </c>
      <c r="AB160" s="136" t="n">
        <f aca="false">SUM(AB157:AB159)</f>
        <v>661.671757031775</v>
      </c>
      <c r="AC160" s="136" t="n">
        <f aca="false">SUM(AC157:AC159)</f>
        <v>669.85958152677</v>
      </c>
      <c r="AD160" s="136" t="n">
        <f aca="false">SUM(AD157:AD159)</f>
        <v>677.857956167103</v>
      </c>
      <c r="AE160" s="136" t="n">
        <f aca="false">SUM(AE157:AE159)</f>
        <v>685.666482997981</v>
      </c>
      <c r="AF160" s="136" t="n">
        <f aca="false">SUM(AF157:AF159)</f>
        <v>693.284774771021</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9.6177935588522</v>
      </c>
      <c r="D161" s="138" t="n">
        <f aca="false">D156-D160</f>
        <v>11.828503893632</v>
      </c>
      <c r="E161" s="138" t="n">
        <f aca="false">E156-E160</f>
        <v>7.24351135456594</v>
      </c>
      <c r="F161" s="138" t="n">
        <f aca="false">F156-F160</f>
        <v>-20.6816919333045</v>
      </c>
      <c r="G161" s="138" t="n">
        <f aca="false">G156-G160</f>
        <v>-49.855998718447</v>
      </c>
      <c r="H161" s="138" t="n">
        <f aca="false">H156-H160</f>
        <v>-69.246182320279</v>
      </c>
      <c r="I161" s="138" t="n">
        <f aca="false">I156-I160</f>
        <v>-82.6940560085462</v>
      </c>
      <c r="J161" s="138" t="n">
        <f aca="false">J156-J160</f>
        <v>-90.7143023964507</v>
      </c>
      <c r="K161" s="138" t="n">
        <f aca="false">K156-K160</f>
        <v>-81.1820964281571</v>
      </c>
      <c r="L161" s="138" t="n">
        <f aca="false">L156-L160</f>
        <v>-70.495138482523</v>
      </c>
      <c r="M161" s="138" t="n">
        <f aca="false">M156-M160</f>
        <v>-79.059674594708</v>
      </c>
      <c r="N161" s="138" t="n">
        <f aca="false">N156-N160</f>
        <v>-87.0407092390467</v>
      </c>
      <c r="O161" s="138" t="n">
        <f aca="false">O156-O160</f>
        <v>-94.3675592706759</v>
      </c>
      <c r="P161" s="138" t="n">
        <f aca="false">P156-P160</f>
        <v>-100.384153898621</v>
      </c>
      <c r="Q161" s="138" t="n">
        <f aca="false">Q156-Q160</f>
        <v>-105.213674658301</v>
      </c>
      <c r="R161" s="138" t="n">
        <f aca="false">R156-R160</f>
        <v>-109.212602432889</v>
      </c>
      <c r="S161" s="138" t="n">
        <f aca="false">S156-S160</f>
        <v>-112.654375954669</v>
      </c>
      <c r="T161" s="138" t="n">
        <f aca="false">T156-T160</f>
        <v>-115.766060881167</v>
      </c>
      <c r="U161" s="138" t="n">
        <f aca="false">U156-U160</f>
        <v>-119.085703016068</v>
      </c>
      <c r="V161" s="138" t="n">
        <f aca="false">V156-V160</f>
        <v>-122.647837046186</v>
      </c>
      <c r="W161" s="138" t="n">
        <f aca="false">W156-W160</f>
        <v>-126.288500955442</v>
      </c>
      <c r="X161" s="138" t="n">
        <f aca="false">X156-X160</f>
        <v>-129.997765981927</v>
      </c>
      <c r="Y161" s="138" t="n">
        <f aca="false">Y156-Y160</f>
        <v>-133.768228290116</v>
      </c>
      <c r="Z161" s="138" t="n">
        <f aca="false">Z156-Z160</f>
        <v>-137.590904916518</v>
      </c>
      <c r="AA161" s="138" t="n">
        <f aca="false">AA156-AA160</f>
        <v>-141.456793676368</v>
      </c>
      <c r="AB161" s="138" t="n">
        <f aca="false">AB156-AB160</f>
        <v>-145.36052626345</v>
      </c>
      <c r="AC161" s="138" t="n">
        <f aca="false">AC156-AC160</f>
        <v>-149.296941504111</v>
      </c>
      <c r="AD161" s="138" t="n">
        <f aca="false">AD156-AD160</f>
        <v>-153.261064816825</v>
      </c>
      <c r="AE161" s="138" t="n">
        <f aca="false">AE156-AE160</f>
        <v>-157.248088421541</v>
      </c>
      <c r="AF161" s="138" t="n">
        <f aca="false">AF156-AF160</f>
        <v>-161.253352070055</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11.8267027723829</v>
      </c>
      <c r="D162" s="116" t="n">
        <f aca="false">D48+D50+(D80-C80)-D63</f>
        <v>19.4438692095313</v>
      </c>
      <c r="E162" s="116" t="n">
        <f aca="false">E48+E50+(E80-D80)-E63</f>
        <v>26.217057214835</v>
      </c>
      <c r="F162" s="116" t="n">
        <f aca="false">F48+F50+(F80-E80)-F63</f>
        <v>48.3421348732781</v>
      </c>
      <c r="G162" s="116" t="n">
        <f aca="false">G48+G50+(G80-F80)-G63</f>
        <v>48.3415738562892</v>
      </c>
      <c r="H162" s="116" t="n">
        <f aca="false">H48+H50+(H80-G80)-H63</f>
        <v>37.9082854735478</v>
      </c>
      <c r="I162" s="116" t="n">
        <f aca="false">I48+I50+(I80-H80)-I63</f>
        <v>31.6836986370359</v>
      </c>
      <c r="J162" s="116" t="n">
        <f aca="false">J48+J50+(J80-I80)-J63</f>
        <v>26.3022792511968</v>
      </c>
      <c r="K162" s="116" t="n">
        <f aca="false">K48+K50+(K80-J80)-K63</f>
        <v>9.90329439186205</v>
      </c>
      <c r="L162" s="116" t="n">
        <f aca="false">L48+L50+(L80-K80)-L63</f>
        <v>9.91346872745088</v>
      </c>
      <c r="M162" s="116" t="n">
        <f aca="false">M48+M50+(M80-L80)-M63</f>
        <v>9.68030295180989</v>
      </c>
      <c r="N162" s="116" t="n">
        <f aca="false">N48+N50+(N80-M80)-N63</f>
        <v>9.20884401422391</v>
      </c>
      <c r="O162" s="116" t="n">
        <f aca="false">O48+O50+(O80-N80)-O63</f>
        <v>8.53468147113642</v>
      </c>
      <c r="P162" s="116" t="n">
        <f aca="false">P48+P50+(P80-O80)-P63</f>
        <v>7.30211046981801</v>
      </c>
      <c r="Q162" s="116" t="n">
        <f aca="false">Q48+Q50+(Q80-P80)-Q63</f>
        <v>6.06908093112626</v>
      </c>
      <c r="R162" s="116" t="n">
        <f aca="false">R48+R50+(R80-Q80)-R63</f>
        <v>5.12108374328976</v>
      </c>
      <c r="S162" s="116" t="n">
        <f aca="false">S48+S50+(S80-R80)-S63</f>
        <v>4.40703190403636</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3.46949400883475</v>
      </c>
      <c r="AA162" s="116" t="n">
        <f aca="false">AA48+AA50+(AA80-Z80)-AA63</f>
        <v>3.33824032414112</v>
      </c>
      <c r="AB162" s="116" t="n">
        <f aca="false">AB48+AB50+(AB80-AA80)-AB63</f>
        <v>3.20668624159695</v>
      </c>
      <c r="AC162" s="116" t="n">
        <f aca="false">AC48+AC50+(AC80-AB80)-AC63</f>
        <v>3.07484126100528</v>
      </c>
      <c r="AD162" s="116" t="n">
        <f aca="false">AD48+AD50+(AD80-AC80)-AD63</f>
        <v>2.94271421231978</v>
      </c>
      <c r="AE162" s="116" t="n">
        <f aca="false">AE48+AE50+(AE80-AD80)-AE63</f>
        <v>2.81031328225874</v>
      </c>
      <c r="AF162" s="116" t="n">
        <f aca="false">AF48+AF50+(AF80-AE80)-AF63</f>
        <v>2.67764603934558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9.6177935588522</v>
      </c>
      <c r="D163" s="116" t="n">
        <f aca="false">C163+D53+D56+D58+D118+D119+D60+D113+D101-D115-D162</f>
        <v>11.828503893632</v>
      </c>
      <c r="E163" s="116" t="n">
        <f aca="false">D163+E53+E56+E58+E118+E119+E60+E113+E101-E115-E162</f>
        <v>7.24351135456593</v>
      </c>
      <c r="F163" s="116" t="n">
        <f aca="false">E163+F53+F56+F58+F118+F119+F60+F113+F101-F115-F162</f>
        <v>-20.6816919333045</v>
      </c>
      <c r="G163" s="116" t="n">
        <f aca="false">F163+G53+G56+G58+G118+G119+G60+G113+G101-G115-G162</f>
        <v>-49.855998718447</v>
      </c>
      <c r="H163" s="116" t="n">
        <f aca="false">G163+H53+H56+H58+H118+H119+H60+H113+H101-H115-H162</f>
        <v>-69.246182320279</v>
      </c>
      <c r="I163" s="116" t="n">
        <f aca="false">H163+I53+I56+I58+I118+I119+I60+I113+I101-I115-I162</f>
        <v>-82.6940560085461</v>
      </c>
      <c r="J163" s="116" t="n">
        <f aca="false">I163+J53+J56+J58+J118+J119+J60+J113+J101-J115-J162</f>
        <v>-90.7143023964508</v>
      </c>
      <c r="K163" s="116" t="n">
        <f aca="false">J163+K53+K56+K58+K118+K119+K60+K113+K101-K115-K162</f>
        <v>-81.1820964281571</v>
      </c>
      <c r="L163" s="116" t="n">
        <f aca="false">K163+L53+L56+L58+L118+L119+L60+L113+L101-L115-L162</f>
        <v>-70.495138482523</v>
      </c>
      <c r="M163" s="116" t="n">
        <f aca="false">L163+M53+M56+M58+M118+M119+M60+M113+M101-M115-M162</f>
        <v>-79.0596745947081</v>
      </c>
      <c r="N163" s="116" t="n">
        <f aca="false">M163+N53+N56+N58+N118+N119+N60+N113+N101-N115-N162</f>
        <v>-87.0407092390467</v>
      </c>
      <c r="O163" s="116" t="n">
        <f aca="false">N163+O53+O56+O58+O118+O119+O60+O113+O101-O115-O162</f>
        <v>-94.3675592706759</v>
      </c>
      <c r="P163" s="116" t="n">
        <f aca="false">O163+P53+P56+P58+P118+P119+P60+P113+P101-P115-P162</f>
        <v>-100.384153898621</v>
      </c>
      <c r="Q163" s="116" t="n">
        <f aca="false">P163+Q53+Q56+Q58+Q118+Q119+Q60+Q113+Q101-Q115-Q162</f>
        <v>-105.213674658301</v>
      </c>
      <c r="R163" s="116" t="n">
        <f aca="false">Q163+R53+R56+R58+R118+R119+R60+R113+R101-R115-R162</f>
        <v>-109.212602432889</v>
      </c>
      <c r="S163" s="116" t="n">
        <f aca="false">R163+S53+S56+S58+S118+S119+S60+S113+S101-S115-S162</f>
        <v>-112.654375954669</v>
      </c>
      <c r="T163" s="116" t="n">
        <f aca="false">S163+T53+T56+T58+T118+T119+T60+T113+T101-T115-T162</f>
        <v>-115.766060881167</v>
      </c>
      <c r="U163" s="116" t="n">
        <f aca="false">T163+U53+U56+U58+U118+U119+U60+U113+U101-U115-U162</f>
        <v>-119.085703016068</v>
      </c>
      <c r="V163" s="116" t="n">
        <f aca="false">U163+V53+V56+V58+V118+V119+V60+V113+V101-V115-V162</f>
        <v>-122.647837046186</v>
      </c>
      <c r="W163" s="116" t="n">
        <f aca="false">V163+W53+W56+W58+W118+W119+W60+W113+W101-W115-W162</f>
        <v>-126.288500955442</v>
      </c>
      <c r="X163" s="116" t="n">
        <f aca="false">W163+X53+X56+X58+X118+X119+X60+X113+X101-X115-X162</f>
        <v>-129.997765981927</v>
      </c>
      <c r="Y163" s="116" t="n">
        <f aca="false">X163+Y53+Y56+Y58+Y118+Y119+Y60+Y113+Y101-Y115-Y162</f>
        <v>-133.768228290116</v>
      </c>
      <c r="Z163" s="116" t="n">
        <f aca="false">Y163+Z53+Z56+Z58+Z118+Z119+Z60+Z113+Z101-Z115-Z162</f>
        <v>-137.590904916518</v>
      </c>
      <c r="AA163" s="116" t="n">
        <f aca="false">Z163+AA53+AA56+AA58+AA118+AA119+AA60+AA113+AA101-AA115-AA162</f>
        <v>-141.456793676367</v>
      </c>
      <c r="AB163" s="116" t="n">
        <f aca="false">AA163+AB53+AB56+AB58+AB118+AB119+AB60+AB113+AB101-AB115-AB162</f>
        <v>-145.36052626345</v>
      </c>
      <c r="AC163" s="116" t="n">
        <f aca="false">AB163+AC53+AC56+AC58+AC118+AC119+AC60+AC113+AC101-AC115-AC162</f>
        <v>-149.296941504111</v>
      </c>
      <c r="AD163" s="116" t="n">
        <f aca="false">AC163+AD53+AD56+AD58+AD118+AD119+AD60+AD113+AD101-AD115-AD162</f>
        <v>-153.261064816824</v>
      </c>
      <c r="AE163" s="116" t="n">
        <f aca="false">AD163+AE53+AE56+AE58+AE118+AE119+AE60+AE113+AE101-AE115-AE162</f>
        <v>-157.248088421541</v>
      </c>
      <c r="AF163" s="116" t="n">
        <f aca="false">AE163+AF53+AF56+AF58+AF118+AF119+AF60+AF113+AF101-AF115-AF162</f>
        <v>-161.253352070055</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352</v>
      </c>
      <c r="D167" s="83" t="s">
        <v>1359</v>
      </c>
    </row>
    <row r="168" customFormat="false" ht="15" hidden="false" customHeight="true" outlineLevel="0" collapsed="false">
      <c r="B168" s="103" t="s">
        <v>1360</v>
      </c>
      <c r="C168" s="141" t="n">
        <v>0</v>
      </c>
      <c r="D168" s="83" t="s">
        <v>1361</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0.19</v>
      </c>
      <c r="D170" s="83" t="s">
        <v>1362</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1363</v>
      </c>
      <c r="C172" s="141" t="n">
        <v>0.3</v>
      </c>
      <c r="D172" s="83" t="s">
        <v>1364</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1365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0</v>
      </c>
      <c r="D180" s="142" t="n">
        <f aca="false">IF($C$167="Sí",MAX(0,MIN(D84,($C$168+$C$170)*D41*MIN(1,D$39/MAX(1,01_Supuestos!$C$170)))),0)</f>
        <v>0</v>
      </c>
      <c r="E180" s="142" t="n">
        <f aca="false">IF($C$167="Sí",MAX(0,MIN(E84,($C$168+$C$170)*E41*MIN(1,E$39/MAX(1,01_Supuestos!$C$170)))),0)</f>
        <v>0</v>
      </c>
      <c r="F180" s="142" t="n">
        <f aca="false">IF($C$167="Sí",MAX(0,MIN(F84,($C$168+$C$170)*F41*MIN(1,F$39/MAX(1,01_Supuestos!$C$170)))),0)</f>
        <v>0</v>
      </c>
      <c r="G180" s="142" t="n">
        <f aca="false">IF($C$167="Sí",MAX(0,MIN(G84,($C$168+$C$170)*G41*MIN(1,G$39/MAX(1,01_Supuestos!$C$170)))),0)</f>
        <v>0</v>
      </c>
      <c r="H180" s="142" t="n">
        <f aca="false">IF($C$167="Sí",MAX(0,MIN(H84,($C$168+$C$170)*H41*MIN(1,H$39/MAX(1,01_Supuestos!$C$170)))),0)</f>
        <v>0</v>
      </c>
      <c r="I180" s="142" t="n">
        <f aca="false">IF($C$167="Sí",MAX(0,MIN(I84,($C$168+$C$170)*I41*MIN(1,I$39/MAX(1,01_Supuestos!$C$170)))),0)</f>
        <v>0</v>
      </c>
      <c r="J180" s="142" t="n">
        <f aca="false">IF($C$167="Sí",MAX(0,MIN(J84,($C$168+$C$170)*J41*MIN(1,J$39/MAX(1,01_Supuestos!$C$170)))),0)</f>
        <v>0</v>
      </c>
      <c r="K180" s="142" t="n">
        <f aca="false">IF($C$167="Sí",MAX(0,MIN(K84,($C$168+$C$170)*K41*MIN(1,K$39/MAX(1,01_Supuestos!$C$170)))),0)</f>
        <v>0</v>
      </c>
      <c r="L180" s="142" t="n">
        <f aca="false">IF($C$167="Sí",MAX(0,MIN(L84,($C$168+$C$170)*L41*MIN(1,L$39/MAX(1,01_Supuestos!$C$170)))),0)</f>
        <v>0</v>
      </c>
      <c r="M180" s="142" t="n">
        <f aca="false">IF($C$167="Sí",MAX(0,MIN(M84,($C$168+$C$170)*M41*MIN(1,M$39/MAX(1,01_Supuestos!$C$170)))),0)</f>
        <v>0</v>
      </c>
      <c r="N180" s="142" t="n">
        <f aca="false">IF($C$167="Sí",MAX(0,MIN(N84,($C$168+$C$170)*N41*MIN(1,N$39/MAX(1,01_Supuestos!$C$170)))),0)</f>
        <v>0</v>
      </c>
      <c r="O180" s="142" t="n">
        <f aca="false">IF($C$167="Sí",MAX(0,MIN(O84,($C$168+$C$170)*O41*MIN(1,O$39/MAX(1,01_Supuestos!$C$170)))),0)</f>
        <v>0</v>
      </c>
      <c r="P180" s="142" t="n">
        <f aca="false">IF($C$167="Sí",MAX(0,MIN(P84,($C$168+$C$170)*P41*MIN(1,P$39/MAX(1,01_Supuestos!$C$170)))),0)</f>
        <v>0</v>
      </c>
      <c r="Q180" s="142" t="n">
        <f aca="false">IF($C$167="Sí",MAX(0,MIN(Q84,($C$168+$C$170)*Q41*MIN(1,Q$39/MAX(1,01_Supuestos!$C$170)))),0)</f>
        <v>0</v>
      </c>
      <c r="R180" s="142" t="n">
        <f aca="false">IF($C$167="Sí",MAX(0,MIN(R84,($C$168+$C$170)*R41*MIN(1,R$39/MAX(1,01_Supuestos!$C$170)))),0)</f>
        <v>0</v>
      </c>
      <c r="S180" s="142" t="n">
        <f aca="false">IF($C$167="Sí",MAX(0,MIN(S84,($C$168+$C$170)*S41*MIN(1,S$39/MAX(1,01_Supuestos!$C$170)))),0)</f>
        <v>0</v>
      </c>
      <c r="T180" s="142" t="n">
        <f aca="false">IF($C$167="Sí",MAX(0,MIN(T84,($C$168+$C$170)*T41*MIN(1,T$39/MAX(1,01_Supuestos!$C$170)))),0)</f>
        <v>0</v>
      </c>
      <c r="U180" s="142" t="n">
        <f aca="false">IF($C$167="Sí",MAX(0,MIN(U84,($C$168+$C$170)*U41*MIN(1,U$39/MAX(1,01_Supuestos!$C$170)))),0)</f>
        <v>0</v>
      </c>
      <c r="V180" s="142" t="n">
        <f aca="false">IF($C$167="Sí",MAX(0,MIN(V84,($C$168+$C$170)*V41*MIN(1,V$39/MAX(1,01_Supuestos!$C$170)))),0)</f>
        <v>0</v>
      </c>
      <c r="W180" s="142" t="n">
        <f aca="false">IF($C$167="Sí",MAX(0,MIN(W84,($C$168+$C$170)*W41*MIN(1,W$39/MAX(1,01_Supuestos!$C$170)))),0)</f>
        <v>0</v>
      </c>
      <c r="X180" s="142" t="n">
        <f aca="false">IF($C$167="Sí",MAX(0,MIN(X84,($C$168+$C$170)*X41*MIN(1,X$39/MAX(1,01_Supuestos!$C$170)))),0)</f>
        <v>0</v>
      </c>
      <c r="Y180" s="142" t="n">
        <f aca="false">IF($C$167="Sí",MAX(0,MIN(Y84,($C$168+$C$170)*Y41*MIN(1,Y$39/MAX(1,01_Supuestos!$C$170)))),0)</f>
        <v>0</v>
      </c>
      <c r="Z180" s="142" t="n">
        <f aca="false">IF($C$167="Sí",MAX(0,MIN(Z84,($C$168+$C$170)*Z41*MIN(1,Z$39/MAX(1,01_Supuestos!$C$170)))),0)</f>
        <v>0</v>
      </c>
      <c r="AA180" s="142" t="n">
        <f aca="false">IF($C$167="Sí",MAX(0,MIN(AA84,($C$168+$C$170)*AA41*MIN(1,AA$39/MAX(1,01_Supuestos!$C$170)))),0)</f>
        <v>0</v>
      </c>
      <c r="AB180" s="142" t="n">
        <f aca="false">IF($C$167="Sí",MAX(0,MIN(AB84,($C$168+$C$170)*AB41*MIN(1,AB$39/MAX(1,01_Supuestos!$C$170)))),0)</f>
        <v>0</v>
      </c>
      <c r="AC180" s="142" t="n">
        <f aca="false">IF($C$167="Sí",MAX(0,MIN(AC84,($C$168+$C$170)*AC41*MIN(1,AC$39/MAX(1,01_Supuestos!$C$170)))),0)</f>
        <v>0</v>
      </c>
      <c r="AD180" s="142" t="n">
        <f aca="false">IF($C$167="Sí",MAX(0,MIN(AD84,($C$168+$C$170)*AD41*MIN(1,AD$39/MAX(1,01_Supuestos!$C$170)))),0)</f>
        <v>0</v>
      </c>
      <c r="AE180" s="142" t="n">
        <f aca="false">IF($C$167="Sí",MAX(0,MIN(AE84,($C$168+$C$170)*AE41*MIN(1,AE$39/MAX(1,01_Supuestos!$C$170)))),0)</f>
        <v>0</v>
      </c>
      <c r="AF180" s="142" t="n">
        <f aca="false">IF($C$167="Sí",MAX(0,MIN(AF84,($C$168+$C$170)*AF41*MIN(1,AF$39/MAX(1,01_Supuestos!$C$170)))),0)</f>
        <v>0</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1366</v>
      </c>
      <c r="C181" s="142" t="n">
        <f aca="false">MIN(C180,0+C179)</f>
        <v>0</v>
      </c>
      <c r="D181" s="142" t="n">
        <f aca="false">MIN(D180,C181+D179)</f>
        <v>0</v>
      </c>
      <c r="E181" s="142" t="n">
        <f aca="false">MIN(E180,D181+E179)</f>
        <v>0</v>
      </c>
      <c r="F181" s="142" t="n">
        <f aca="false">MIN(F180,E181+F179)</f>
        <v>0</v>
      </c>
      <c r="G181" s="142" t="n">
        <f aca="false">MIN(G180,F181+G179)</f>
        <v>0</v>
      </c>
      <c r="H181" s="142" t="n">
        <f aca="false">MIN(H180,G181+H179)</f>
        <v>0</v>
      </c>
      <c r="I181" s="142" t="n">
        <f aca="false">MIN(I180,H181+I179)</f>
        <v>0</v>
      </c>
      <c r="J181" s="142" t="n">
        <f aca="false">MIN(J180,I181+J179)</f>
        <v>0</v>
      </c>
      <c r="K181" s="142" t="n">
        <f aca="false">MIN(K180,J181+K179)</f>
        <v>0</v>
      </c>
      <c r="L181" s="142" t="n">
        <f aca="false">MIN(L180,K181+L179)</f>
        <v>0</v>
      </c>
      <c r="M181" s="142" t="n">
        <f aca="false">MIN(M180,L181+M179)</f>
        <v>0</v>
      </c>
      <c r="N181" s="142" t="n">
        <f aca="false">MIN(N180,M181+N179)</f>
        <v>0</v>
      </c>
      <c r="O181" s="142" t="n">
        <f aca="false">MIN(O180,N181+O179)</f>
        <v>0</v>
      </c>
      <c r="P181" s="142" t="n">
        <f aca="false">MIN(P180,O181+P179)</f>
        <v>0</v>
      </c>
      <c r="Q181" s="142" t="n">
        <f aca="false">MIN(Q180,P181+Q179)</f>
        <v>0</v>
      </c>
      <c r="R181" s="142" t="n">
        <f aca="false">MIN(R180,Q181+R179)</f>
        <v>0</v>
      </c>
      <c r="S181" s="142" t="n">
        <f aca="false">MIN(S180,R181+S179)</f>
        <v>0</v>
      </c>
      <c r="T181" s="142" t="n">
        <f aca="false">MIN(T180,S181+T179)</f>
        <v>0</v>
      </c>
      <c r="U181" s="142" t="n">
        <f aca="false">MIN(U180,T181+U179)</f>
        <v>0</v>
      </c>
      <c r="V181" s="142" t="n">
        <f aca="false">MIN(V180,U181+V179)</f>
        <v>0</v>
      </c>
      <c r="W181" s="142" t="n">
        <f aca="false">MIN(W180,V181+W179)</f>
        <v>0</v>
      </c>
      <c r="X181" s="142" t="n">
        <f aca="false">MIN(X180,W181+X179)</f>
        <v>0</v>
      </c>
      <c r="Y181" s="142" t="n">
        <f aca="false">MIN(Y180,X181+Y179)</f>
        <v>0</v>
      </c>
      <c r="Z181" s="142" t="n">
        <f aca="false">MIN(Z180,Y181+Z179)</f>
        <v>0</v>
      </c>
      <c r="AA181" s="142" t="n">
        <f aca="false">MIN(AA180,Z181+AA179)</f>
        <v>0</v>
      </c>
      <c r="AB181" s="142" t="n">
        <f aca="false">MIN(AB180,AA181+AB179)</f>
        <v>0</v>
      </c>
      <c r="AC181" s="142" t="n">
        <f aca="false">MIN(AC180,AB181+AC179)</f>
        <v>0</v>
      </c>
      <c r="AD181" s="142" t="n">
        <f aca="false">MIN(AD180,AC181+AD179)</f>
        <v>0</v>
      </c>
      <c r="AE181" s="142" t="n">
        <f aca="false">MIN(AE180,AD181+AE179)</f>
        <v>0</v>
      </c>
      <c r="AF181" s="142" t="n">
        <f aca="false">MIN(AF180,AE181+AF179)</f>
        <v>0</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0</v>
      </c>
      <c r="D182" s="142" t="n">
        <f aca="false">MIN(D181,$C$168*D41)</f>
        <v>0</v>
      </c>
      <c r="E182" s="142" t="n">
        <f aca="false">MIN(E181,$C$168*E41)</f>
        <v>0</v>
      </c>
      <c r="F182" s="142" t="n">
        <f aca="false">MIN(F181,$C$168*F41)</f>
        <v>0</v>
      </c>
      <c r="G182" s="142" t="n">
        <f aca="false">MIN(G181,$C$168*G41)</f>
        <v>0</v>
      </c>
      <c r="H182" s="142" t="n">
        <f aca="false">MIN(H181,$C$168*H41)</f>
        <v>0</v>
      </c>
      <c r="I182" s="142" t="n">
        <f aca="false">MIN(I181,$C$168*I41)</f>
        <v>0</v>
      </c>
      <c r="J182" s="142" t="n">
        <f aca="false">MIN(J181,$C$168*J41)</f>
        <v>0</v>
      </c>
      <c r="K182" s="142" t="n">
        <f aca="false">MIN(K181,$C$168*K41)</f>
        <v>0</v>
      </c>
      <c r="L182" s="142" t="n">
        <f aca="false">MIN(L181,$C$168*L41)</f>
        <v>0</v>
      </c>
      <c r="M182" s="142" t="n">
        <f aca="false">MIN(M181,$C$168*M41)</f>
        <v>0</v>
      </c>
      <c r="N182" s="142" t="n">
        <f aca="false">MIN(N181,$C$168*N41)</f>
        <v>0</v>
      </c>
      <c r="O182" s="142" t="n">
        <f aca="false">MIN(O181,$C$168*O41)</f>
        <v>0</v>
      </c>
      <c r="P182" s="142" t="n">
        <f aca="false">MIN(P181,$C$168*P41)</f>
        <v>0</v>
      </c>
      <c r="Q182" s="142" t="n">
        <f aca="false">MIN(Q181,$C$168*Q41)</f>
        <v>0</v>
      </c>
      <c r="R182" s="142" t="n">
        <f aca="false">MIN(R181,$C$168*R41)</f>
        <v>0</v>
      </c>
      <c r="S182" s="142" t="n">
        <f aca="false">MIN(S181,$C$168*S41)</f>
        <v>0</v>
      </c>
      <c r="T182" s="142" t="n">
        <f aca="false">MIN(T181,$C$168*T41)</f>
        <v>0</v>
      </c>
      <c r="U182" s="142" t="n">
        <f aca="false">MIN(U181,$C$168*U41)</f>
        <v>0</v>
      </c>
      <c r="V182" s="142" t="n">
        <f aca="false">MIN(V181,$C$168*V41)</f>
        <v>0</v>
      </c>
      <c r="W182" s="142" t="n">
        <f aca="false">MIN(W181,$C$168*W41)</f>
        <v>0</v>
      </c>
      <c r="X182" s="142" t="n">
        <f aca="false">MIN(X181,$C$168*X41)</f>
        <v>0</v>
      </c>
      <c r="Y182" s="142" t="n">
        <f aca="false">MIN(Y181,$C$168*Y41)</f>
        <v>0</v>
      </c>
      <c r="Z182" s="142" t="n">
        <f aca="false">MIN(Z181,$C$168*Z41)</f>
        <v>0</v>
      </c>
      <c r="AA182" s="142" t="n">
        <f aca="false">MIN(AA181,$C$168*AA41)</f>
        <v>0</v>
      </c>
      <c r="AB182" s="142" t="n">
        <f aca="false">MIN(AB181,$C$168*AB41)</f>
        <v>0</v>
      </c>
      <c r="AC182" s="142" t="n">
        <f aca="false">MIN(AC181,$C$168*AC41)</f>
        <v>0</v>
      </c>
      <c r="AD182" s="142" t="n">
        <f aca="false">MIN(AD181,$C$168*AD41)</f>
        <v>0</v>
      </c>
      <c r="AE182" s="142" t="n">
        <f aca="false">MIN(AE181,$C$168*AE41)</f>
        <v>0</v>
      </c>
      <c r="AF182" s="142" t="n">
        <f aca="false">MIN(AF181,$C$168*AF41)</f>
        <v>0</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v>
      </c>
      <c r="D184" s="142" t="n">
        <f aca="false">D182*$C$169+D183*$C$171</f>
        <v>0</v>
      </c>
      <c r="E184" s="142" t="n">
        <f aca="false">E182*$C$169+E183*$C$171</f>
        <v>0</v>
      </c>
      <c r="F184" s="142" t="n">
        <f aca="false">F182*$C$169+F183*$C$171</f>
        <v>0</v>
      </c>
      <c r="G184" s="142" t="n">
        <f aca="false">G182*$C$169+G183*$C$171</f>
        <v>0</v>
      </c>
      <c r="H184" s="142" t="n">
        <f aca="false">H182*$C$169+H183*$C$171</f>
        <v>0</v>
      </c>
      <c r="I184" s="142" t="n">
        <f aca="false">I182*$C$169+I183*$C$171</f>
        <v>0</v>
      </c>
      <c r="J184" s="142" t="n">
        <f aca="false">J182*$C$169+J183*$C$171</f>
        <v>0</v>
      </c>
      <c r="K184" s="142" t="n">
        <f aca="false">K182*$C$169+K183*$C$171</f>
        <v>0</v>
      </c>
      <c r="L184" s="142" t="n">
        <f aca="false">L182*$C$169+L183*$C$171</f>
        <v>0</v>
      </c>
      <c r="M184" s="142" t="n">
        <f aca="false">M182*$C$169+M183*$C$171</f>
        <v>0</v>
      </c>
      <c r="N184" s="142" t="n">
        <f aca="false">N182*$C$169+N183*$C$171</f>
        <v>0</v>
      </c>
      <c r="O184" s="142" t="n">
        <f aca="false">O182*$C$169+O183*$C$171</f>
        <v>0</v>
      </c>
      <c r="P184" s="142" t="n">
        <f aca="false">P182*$C$169+P183*$C$171</f>
        <v>0</v>
      </c>
      <c r="Q184" s="142" t="n">
        <f aca="false">Q182*$C$169+Q183*$C$171</f>
        <v>0</v>
      </c>
      <c r="R184" s="142" t="n">
        <f aca="false">R182*$C$169+R183*$C$171</f>
        <v>0</v>
      </c>
      <c r="S184" s="142" t="n">
        <f aca="false">S182*$C$169+S183*$C$171</f>
        <v>0</v>
      </c>
      <c r="T184" s="142" t="n">
        <f aca="false">T182*$C$169+T183*$C$171</f>
        <v>0</v>
      </c>
      <c r="U184" s="142" t="n">
        <f aca="false">U182*$C$169+U183*$C$171</f>
        <v>0</v>
      </c>
      <c r="V184" s="142" t="n">
        <f aca="false">V182*$C$169+V183*$C$171</f>
        <v>0</v>
      </c>
      <c r="W184" s="142" t="n">
        <f aca="false">W182*$C$169+W183*$C$171</f>
        <v>0</v>
      </c>
      <c r="X184" s="142" t="n">
        <f aca="false">X182*$C$169+X183*$C$171</f>
        <v>0</v>
      </c>
      <c r="Y184" s="142" t="n">
        <f aca="false">Y182*$C$169+Y183*$C$171</f>
        <v>0</v>
      </c>
      <c r="Z184" s="142" t="n">
        <f aca="false">Z182*$C$169+Z183*$C$171</f>
        <v>0</v>
      </c>
      <c r="AA184" s="142" t="n">
        <f aca="false">AA182*$C$169+AA183*$C$171</f>
        <v>0</v>
      </c>
      <c r="AB184" s="142" t="n">
        <f aca="false">AB182*$C$169+AB183*$C$171</f>
        <v>0</v>
      </c>
      <c r="AC184" s="142" t="n">
        <f aca="false">AC182*$C$169+AC183*$C$171</f>
        <v>0</v>
      </c>
      <c r="AD184" s="142" t="n">
        <f aca="false">AD182*$C$169+AD183*$C$171</f>
        <v>0</v>
      </c>
      <c r="AE184" s="142" t="n">
        <f aca="false">AE182*$C$169+AE183*$C$171</f>
        <v>0</v>
      </c>
      <c r="AF184" s="142" t="n">
        <f aca="false">AF182*$C$169+AF183*$C$171</f>
        <v>0</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0</v>
      </c>
      <c r="D185" s="142" t="n">
        <f aca="false">D181-C181</f>
        <v>0</v>
      </c>
      <c r="E185" s="142" t="n">
        <f aca="false">E181-D181</f>
        <v>0</v>
      </c>
      <c r="F185" s="142" t="n">
        <f aca="false">F181-E181</f>
        <v>0</v>
      </c>
      <c r="G185" s="142" t="n">
        <f aca="false">G181-F181</f>
        <v>0</v>
      </c>
      <c r="H185" s="142" t="n">
        <f aca="false">H181-G181</f>
        <v>0</v>
      </c>
      <c r="I185" s="142" t="n">
        <f aca="false">I181-H181</f>
        <v>0</v>
      </c>
      <c r="J185" s="142" t="n">
        <f aca="false">J181-I181</f>
        <v>0</v>
      </c>
      <c r="K185" s="142" t="n">
        <f aca="false">K181-J181</f>
        <v>0</v>
      </c>
      <c r="L185" s="142" t="n">
        <f aca="false">L181-K181</f>
        <v>0</v>
      </c>
      <c r="M185" s="142" t="n">
        <f aca="false">M181-L181</f>
        <v>0</v>
      </c>
      <c r="N185" s="142" t="n">
        <f aca="false">N181-M181</f>
        <v>0</v>
      </c>
      <c r="O185" s="142" t="n">
        <f aca="false">O181-N181</f>
        <v>0</v>
      </c>
      <c r="P185" s="142" t="n">
        <f aca="false">P181-O181</f>
        <v>0</v>
      </c>
      <c r="Q185" s="142" t="n">
        <f aca="false">Q181-P181</f>
        <v>0</v>
      </c>
      <c r="R185" s="142" t="n">
        <f aca="false">R181-Q181</f>
        <v>0</v>
      </c>
      <c r="S185" s="142" t="n">
        <f aca="false">S181-R181</f>
        <v>0</v>
      </c>
      <c r="T185" s="142" t="n">
        <f aca="false">T181-S181</f>
        <v>0</v>
      </c>
      <c r="U185" s="142" t="n">
        <f aca="false">U181-T181</f>
        <v>0</v>
      </c>
      <c r="V185" s="142" t="n">
        <f aca="false">V181-U181</f>
        <v>0</v>
      </c>
      <c r="W185" s="142" t="n">
        <f aca="false">W181-V181</f>
        <v>0</v>
      </c>
      <c r="X185" s="142" t="n">
        <f aca="false">X181-W181</f>
        <v>0</v>
      </c>
      <c r="Y185" s="142" t="n">
        <f aca="false">Y181-X181</f>
        <v>0</v>
      </c>
      <c r="Z185" s="142" t="n">
        <f aca="false">Z181-Y181</f>
        <v>0</v>
      </c>
      <c r="AA185" s="142" t="n">
        <f aca="false">AA181-Z181</f>
        <v>0</v>
      </c>
      <c r="AB185" s="142" t="n">
        <f aca="false">AB181-AA181</f>
        <v>0</v>
      </c>
      <c r="AC185" s="142" t="n">
        <f aca="false">AC181-AB181</f>
        <v>0</v>
      </c>
      <c r="AD185" s="142" t="n">
        <f aca="false">AD181-AC181</f>
        <v>0</v>
      </c>
      <c r="AE185" s="142" t="n">
        <f aca="false">AE181-AD181</f>
        <v>0</v>
      </c>
      <c r="AF185" s="142" t="n">
        <f aca="false">AF181-AE181</f>
        <v>0</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4.86035289641877</v>
      </c>
      <c r="D186" s="142" t="n">
        <f aca="false">D84-D181</f>
        <v>13.1185582870288</v>
      </c>
      <c r="E186" s="142" t="n">
        <f aca="false">E84-E181</f>
        <v>25.6449908146638</v>
      </c>
      <c r="F186" s="142" t="n">
        <f aca="false">F84-F181</f>
        <v>55.6490387944737</v>
      </c>
      <c r="G186" s="142" t="n">
        <f aca="false">G84-G181</f>
        <v>85.3292828636681</v>
      </c>
      <c r="H186" s="142" t="n">
        <f aca="false">H84-H181</f>
        <v>104.245522524906</v>
      </c>
      <c r="I186" s="142" t="n">
        <f aca="false">I84-I181</f>
        <v>116.598812950161</v>
      </c>
      <c r="J186" s="142" t="n">
        <f aca="false">J84-J181</f>
        <v>123.224497940575</v>
      </c>
      <c r="K186" s="142" t="n">
        <f aca="false">K84-K181</f>
        <v>113.202596219319</v>
      </c>
      <c r="L186" s="142" t="n">
        <f aca="false">L84-L181</f>
        <v>102.832214355314</v>
      </c>
      <c r="M186" s="142" t="n">
        <f aca="false">M84-M181</f>
        <v>96.0801109030485</v>
      </c>
      <c r="N186" s="142" t="n">
        <f aca="false">N84-N181</f>
        <v>95.4114691247594</v>
      </c>
      <c r="O186" s="142" t="n">
        <f aca="false">O84-O181</f>
        <v>100.096909053269</v>
      </c>
      <c r="P186" s="142" t="n">
        <f aca="false">P84-P181</f>
        <v>103.459753353371</v>
      </c>
      <c r="Q186" s="142" t="n">
        <f aca="false">Q84-Q181</f>
        <v>105.497420251141</v>
      </c>
      <c r="R186" s="142" t="n">
        <f aca="false">R84-R181</f>
        <v>106.492768167189</v>
      </c>
      <c r="S186" s="142" t="n">
        <f aca="false">S84-S181</f>
        <v>106.677516594566</v>
      </c>
      <c r="T186" s="142" t="n">
        <f aca="false">T84-T181</f>
        <v>106.247782066784</v>
      </c>
      <c r="U186" s="142" t="n">
        <f aca="false">U84-U181</f>
        <v>105.751778987156</v>
      </c>
      <c r="V186" s="142" t="n">
        <f aca="false">V84-V181</f>
        <v>106.446792254835</v>
      </c>
      <c r="W186" s="142" t="n">
        <f aca="false">W84-W181</f>
        <v>107.255280312878</v>
      </c>
      <c r="X186" s="142" t="n">
        <f aca="false">X84-X181</f>
        <v>107.996789459593</v>
      </c>
      <c r="Y186" s="142" t="n">
        <f aca="false">Y84-Y181</f>
        <v>108.667537800473</v>
      </c>
      <c r="Z186" s="142" t="n">
        <f aca="false">Z84-Z181</f>
        <v>109.263742976734</v>
      </c>
      <c r="AA186" s="142" t="n">
        <f aca="false">AA84-AA181</f>
        <v>109.781621504097</v>
      </c>
      <c r="AB186" s="142" t="n">
        <f aca="false">AB84-AB181</f>
        <v>110.220791523328</v>
      </c>
      <c r="AC186" s="142" t="n">
        <f aca="false">AC84-AC181</f>
        <v>110.580868752675</v>
      </c>
      <c r="AD186" s="142" t="n">
        <f aca="false">AD84-AD181</f>
        <v>110.861465849501</v>
      </c>
      <c r="AE186" s="142" t="n">
        <f aca="false">AE84-AE181</f>
        <v>111.062191777024</v>
      </c>
      <c r="AF186" s="142" t="n">
        <f aca="false">AF84-AF181</f>
        <v>111.182651174954</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0</v>
      </c>
      <c r="D187" s="142" t="n">
        <f aca="false">D181</f>
        <v>0</v>
      </c>
      <c r="E187" s="142" t="n">
        <f aca="false">E181</f>
        <v>0</v>
      </c>
      <c r="F187" s="142" t="n">
        <f aca="false">F181</f>
        <v>0</v>
      </c>
      <c r="G187" s="142" t="n">
        <f aca="false">G181</f>
        <v>0</v>
      </c>
      <c r="H187" s="142" t="n">
        <f aca="false">H181</f>
        <v>0</v>
      </c>
      <c r="I187" s="142" t="n">
        <f aca="false">I181</f>
        <v>0</v>
      </c>
      <c r="J187" s="142" t="n">
        <f aca="false">J181</f>
        <v>0</v>
      </c>
      <c r="K187" s="142" t="n">
        <f aca="false">K181</f>
        <v>0</v>
      </c>
      <c r="L187" s="142" t="n">
        <f aca="false">L181</f>
        <v>0</v>
      </c>
      <c r="M187" s="142" t="n">
        <f aca="false">M181</f>
        <v>0</v>
      </c>
      <c r="N187" s="142" t="n">
        <f aca="false">N181</f>
        <v>0</v>
      </c>
      <c r="O187" s="142" t="n">
        <f aca="false">O181</f>
        <v>0</v>
      </c>
      <c r="P187" s="142" t="n">
        <f aca="false">P181</f>
        <v>0</v>
      </c>
      <c r="Q187" s="142" t="n">
        <f aca="false">Q181</f>
        <v>0</v>
      </c>
      <c r="R187" s="142" t="n">
        <f aca="false">R181</f>
        <v>0</v>
      </c>
      <c r="S187" s="142" t="n">
        <f aca="false">S181</f>
        <v>0</v>
      </c>
      <c r="T187" s="142" t="n">
        <f aca="false">T181</f>
        <v>0</v>
      </c>
      <c r="U187" s="142" t="n">
        <f aca="false">U181</f>
        <v>0</v>
      </c>
      <c r="V187" s="142" t="n">
        <f aca="false">V181</f>
        <v>0</v>
      </c>
      <c r="W187" s="142" t="n">
        <f aca="false">W181</f>
        <v>0</v>
      </c>
      <c r="X187" s="142" t="n">
        <f aca="false">X181</f>
        <v>0</v>
      </c>
      <c r="Y187" s="142" t="n">
        <f aca="false">Y181</f>
        <v>0</v>
      </c>
      <c r="Z187" s="142" t="n">
        <f aca="false">Z181</f>
        <v>0</v>
      </c>
      <c r="AA187" s="142" t="n">
        <f aca="false">AA181</f>
        <v>0</v>
      </c>
      <c r="AB187" s="142" t="n">
        <f aca="false">AB181</f>
        <v>0</v>
      </c>
      <c r="AC187" s="142" t="n">
        <f aca="false">AC181</f>
        <v>0</v>
      </c>
      <c r="AD187" s="142" t="n">
        <f aca="false">AD181</f>
        <v>0</v>
      </c>
      <c r="AE187" s="142" t="n">
        <f aca="false">AE181</f>
        <v>0</v>
      </c>
      <c r="AF187" s="142" t="n">
        <f aca="false">AF181</f>
        <v>0</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3.86255216886864</v>
      </c>
      <c r="D189" s="142" t="n">
        <f aca="false">D68-C68</f>
        <v>6.23929264748464</v>
      </c>
      <c r="E189" s="142" t="n">
        <f aca="false">E68-D68</f>
        <v>8.26033125303664</v>
      </c>
      <c r="F189" s="142" t="n">
        <f aca="false">F68-E68</f>
        <v>13.8385983026268</v>
      </c>
      <c r="G189" s="142" t="n">
        <f aca="false">G68-F68</f>
        <v>13.8375328301109</v>
      </c>
      <c r="H189" s="142" t="n">
        <f aca="false">H68-G68</f>
        <v>9.94667757754663</v>
      </c>
      <c r="I189" s="142" t="n">
        <f aca="false">I68-H68</f>
        <v>7.56783491638051</v>
      </c>
      <c r="J189" s="142" t="n">
        <f aca="false">J68-I68</f>
        <v>5.54461992123436</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1.03359586865686</v>
      </c>
      <c r="AC189" s="142" t="n">
        <f aca="false">AC68-AB68</f>
        <v>0.997276246852678</v>
      </c>
      <c r="AD189" s="142" t="n">
        <f aca="false">AD68-AC68</f>
        <v>0.960875943603995</v>
      </c>
      <c r="AE189" s="142" t="n">
        <f aca="false">AE68-AD68</f>
        <v>0.92439211085582</v>
      </c>
      <c r="AF189" s="142" t="n">
        <f aca="false">AF68-AE68</f>
        <v>0.887821800016823</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-18.8323185832014</v>
      </c>
      <c r="D192" s="142" t="n">
        <f aca="false">D149-SUM($C$191:D191)</f>
        <v>-38.181778645978</v>
      </c>
      <c r="E192" s="142" t="n">
        <f aca="false">E149-SUM($C$191:E191)</f>
        <v>-58.1233598298965</v>
      </c>
      <c r="F192" s="142" t="n">
        <f aca="false">F149-SUM($C$191:F191)</f>
        <v>-78.5684276585098</v>
      </c>
      <c r="G192" s="142" t="n">
        <f aca="false">G149-SUM($C$191:G191)</f>
        <v>-99.4163000367511</v>
      </c>
      <c r="H192" s="142" t="n">
        <f aca="false">H149-SUM($C$191:H191)</f>
        <v>-120.708363096658</v>
      </c>
      <c r="I192" s="142" t="n">
        <f aca="false">I149-SUM($C$191:I191)</f>
        <v>-142.473079325335</v>
      </c>
      <c r="J192" s="142" t="n">
        <f aca="false">J149-SUM($C$191:J191)</f>
        <v>-164.733824192268</v>
      </c>
      <c r="K192" s="142" t="n">
        <f aca="false">K149-SUM($C$191:K191)</f>
        <v>-187.576243960343</v>
      </c>
      <c r="L192" s="142" t="n">
        <f aca="false">L149-SUM($C$191:L191)</f>
        <v>-210.998270856136</v>
      </c>
      <c r="M192" s="142" t="n">
        <f aca="false">M149-SUM($C$191:M191)</f>
        <v>-214.272153487366</v>
      </c>
      <c r="N192" s="142" t="n">
        <f aca="false">N149-SUM($C$191:N191)</f>
        <v>-217.49124003122</v>
      </c>
      <c r="O192" s="142" t="n">
        <f aca="false">O149-SUM($C$191:O191)</f>
        <v>-220.744972136832</v>
      </c>
      <c r="P192" s="142" t="n">
        <f aca="false">P149-SUM($C$191:P191)</f>
        <v>-224.02379360994</v>
      </c>
      <c r="Q192" s="142" t="n">
        <f aca="false">Q149-SUM($C$191:Q191)</f>
        <v>-227.318747750558</v>
      </c>
      <c r="R192" s="142" t="n">
        <f aca="false">R149-SUM($C$191:R191)</f>
        <v>-230.624063577755</v>
      </c>
      <c r="S192" s="142" t="n">
        <f aca="false">S149-SUM($C$191:S191)</f>
        <v>-233.935734759478</v>
      </c>
      <c r="T192" s="142" t="n">
        <f aca="false">T149-SUM($C$191:T191)</f>
        <v>-237.251218762561</v>
      </c>
      <c r="U192" s="142" t="n">
        <f aca="false">U149-SUM($C$191:U191)</f>
        <v>-240.572858529294</v>
      </c>
      <c r="V192" s="142" t="n">
        <f aca="false">V149-SUM($C$191:V191)</f>
        <v>-243.906143992034</v>
      </c>
      <c r="W192" s="142" t="n">
        <f aca="false">W149-SUM($C$191:W191)</f>
        <v>-247.254030147079</v>
      </c>
      <c r="X192" s="142" t="n">
        <f aca="false">X149-SUM($C$191:X191)</f>
        <v>-250.618989035892</v>
      </c>
      <c r="Y192" s="142" t="n">
        <f aca="false">Y149-SUM($C$191:Y191)</f>
        <v>-254.003461340844</v>
      </c>
      <c r="Z192" s="142" t="n">
        <f aca="false">Z149-SUM($C$191:Z191)</f>
        <v>-257.409860556417</v>
      </c>
      <c r="AA192" s="142" t="n">
        <f aca="false">AA149-SUM($C$191:AA191)</f>
        <v>-260.84057695177</v>
      </c>
      <c r="AB192" s="142" t="n">
        <f aca="false">AB149-SUM($C$191:AB191)</f>
        <v>-264.297984657979</v>
      </c>
      <c r="AC192" s="142" t="n">
        <f aca="false">AC149-SUM($C$191:AC191)</f>
        <v>-267.784445257311</v>
      </c>
      <c r="AD192" s="142" t="n">
        <f aca="false">AD149-SUM($C$191:AD191)</f>
        <v>-271.302311206032</v>
      </c>
      <c r="AE192" s="142" t="n">
        <f aca="false">AE149-SUM($C$191:AE191)</f>
        <v>-274.853929103098</v>
      </c>
      <c r="AF192" s="142" t="n">
        <f aca="false">AF149-SUM($C$191:AF191)</f>
        <v>-278.441642816305</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11.440447555496</v>
      </c>
      <c r="D216" s="88" t="n">
        <f aca="false">SUM($C$48:D48)+SUM($C$49:D49)</f>
        <v>29.874132283392</v>
      </c>
      <c r="E216" s="88" t="n">
        <f aca="false">SUM($C$48:E48)+SUM($C$49:E49)</f>
        <v>54.254971891288</v>
      </c>
      <c r="F216" s="88" t="n">
        <f aca="false">SUM($C$48:F48)+SUM($C$49:F49)</f>
        <v>104.173587785454</v>
      </c>
      <c r="G216" s="88" t="n">
        <f aca="false">SUM($C$48:G48)+SUM($C$49:G49)</f>
        <v>154.092203679621</v>
      </c>
      <c r="H216" s="88" t="n">
        <f aca="false">SUM($C$48:H48)+SUM($C$49:H49)</f>
        <v>192.570372018291</v>
      </c>
      <c r="I216" s="88" t="n">
        <f aca="false">SUM($C$48:I48)+SUM($C$49:I49)</f>
        <v>224.055303184562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0.0437990462328718</v>
      </c>
      <c r="E217" s="87" t="n">
        <f aca="false">IF(E216*01_Supuestos!$I$107&gt;0,E218/(E216*01_Supuestos!$I$107),0)</f>
        <v>0.0548079801876766</v>
      </c>
      <c r="F217" s="87" t="n">
        <f aca="false">IF(F216*01_Supuestos!$I$107&gt;0,F218/(F216*01_Supuestos!$I$107),0)</f>
        <v>0.0589502882071654</v>
      </c>
      <c r="G217" s="87" t="n">
        <f aca="false">IF(G216*01_Supuestos!$I$107&gt;0,G218/(G216*01_Supuestos!$I$107),0)</f>
        <v>0.0695294278191715</v>
      </c>
      <c r="H217" s="87" t="n">
        <f aca="false">IF(H216*01_Supuestos!$I$107&gt;0,H218/(H216*01_Supuestos!$I$107),0)</f>
        <v>0.0842948479315586</v>
      </c>
      <c r="I217" s="87" t="n">
        <f aca="false">IF(I216*01_Supuestos!$I$107&gt;0,I218/(I216*01_Supuestos!$I$107),0)</f>
        <v>0.1000235021631</v>
      </c>
      <c r="J217" s="87" t="n">
        <f aca="false">IF(J216*01_Supuestos!$I$107&gt;0,J218/(J216*01_Supuestos!$I$107),0)</f>
        <v>0.11624505559569</v>
      </c>
      <c r="K217" s="87" t="n">
        <f aca="false">IF(K216*01_Supuestos!$I$107&gt;0,K218/(K216*01_Supuestos!$I$107),0)</f>
        <v>0.140994568969348</v>
      </c>
      <c r="L217" s="87" t="n">
        <f aca="false">IF(L216*01_Supuestos!$I$107&gt;0,L218/(L216*01_Supuestos!$I$107),0)</f>
        <v>0.164147911606539</v>
      </c>
      <c r="M217" s="87" t="n">
        <f aca="false">IF(M216*01_Supuestos!$I$107&gt;0,M218/(M216*01_Supuestos!$I$107),0)</f>
        <v>0.184329961641679</v>
      </c>
      <c r="N217" s="87" t="n">
        <f aca="false">IF(N216*01_Supuestos!$I$107&gt;0,N218/(N216*01_Supuestos!$I$107),0)</f>
        <v>0.20082884618213</v>
      </c>
      <c r="O217" s="87" t="n">
        <f aca="false">IF(O216*01_Supuestos!$I$107&gt;0,O218/(O216*01_Supuestos!$I$107),0)</f>
        <v>0.213113753147469</v>
      </c>
      <c r="P217" s="87" t="n">
        <f aca="false">IF(P216*01_Supuestos!$I$107&gt;0,P218/(P216*01_Supuestos!$I$107),0)</f>
        <v>0.218157067927169</v>
      </c>
      <c r="Q217" s="87" t="n">
        <f aca="false">IF(Q216*01_Supuestos!$I$107&gt;0,Q218/(Q216*01_Supuestos!$I$107),0)</f>
        <v>0.216425822634453</v>
      </c>
      <c r="R217" s="87" t="n">
        <f aca="false">IF(R216*01_Supuestos!$I$107&gt;0,R218/(R216*01_Supuestos!$I$107),0)</f>
        <v>0.209834992802257</v>
      </c>
      <c r="S217" s="87" t="n">
        <f aca="false">IF(S216*01_Supuestos!$I$107&gt;0,S218/(S216*01_Supuestos!$I$107),0)</f>
        <v>0.199601488199926</v>
      </c>
      <c r="T217" s="87" t="n">
        <f aca="false">IF(T216*01_Supuestos!$I$107&gt;0,T218/(T216*01_Supuestos!$I$107),0)</f>
        <v>0.186728586433736</v>
      </c>
      <c r="U217" s="87" t="n">
        <f aca="false">IF(U216*01_Supuestos!$I$107&gt;0,U218/(U216*01_Supuestos!$I$107),0)</f>
        <v>0.174685896913841</v>
      </c>
      <c r="V217" s="87" t="n">
        <f aca="false">IF(V216*01_Supuestos!$I$107&gt;0,V218/(V216*01_Supuestos!$I$107),0)</f>
        <v>0.163419876749411</v>
      </c>
      <c r="W217" s="87" t="n">
        <f aca="false">IF(W216*01_Supuestos!$I$107&gt;0,W218/(W216*01_Supuestos!$I$107),0)</f>
        <v>0.15288043619208</v>
      </c>
      <c r="X217" s="87" t="n">
        <f aca="false">IF(X216*01_Supuestos!$I$107&gt;0,X218/(X216*01_Supuestos!$I$107),0)</f>
        <v>0.143020715932371</v>
      </c>
      <c r="Y217" s="87" t="n">
        <f aca="false">IF(Y216*01_Supuestos!$I$107&gt;0,Y218/(Y216*01_Supuestos!$I$107),0)</f>
        <v>0.133796878758956</v>
      </c>
      <c r="Z217" s="87" t="n">
        <f aca="false">IF(Z216*01_Supuestos!$I$107&gt;0,Z218/(Z216*01_Supuestos!$I$107),0)</f>
        <v>0.125167914654432</v>
      </c>
      <c r="AA217" s="87" t="n">
        <f aca="false">IF(AA216*01_Supuestos!$I$107&gt;0,AA218/(AA216*01_Supuestos!$I$107),0)</f>
        <v>0.117095458461063</v>
      </c>
      <c r="AB217" s="87" t="n">
        <f aca="false">IF(AB216*01_Supuestos!$I$107&gt;0,AB218/(AB216*01_Supuestos!$I$107),0)</f>
        <v>0.109543619305804</v>
      </c>
      <c r="AC217" s="87" t="n">
        <f aca="false">IF(AC216*01_Supuestos!$I$107&gt;0,AC218/(AC216*01_Supuestos!$I$107),0)</f>
        <v>0.102478821026224</v>
      </c>
      <c r="AD217" s="87" t="n">
        <f aca="false">IF(AD216*01_Supuestos!$I$107&gt;0,AD218/(AD216*01_Supuestos!$I$107),0)</f>
        <v>0.0958696528878373</v>
      </c>
      <c r="AE217" s="87" t="n">
        <f aca="false">IF(AE216*01_Supuestos!$I$107&gt;0,AE218/(AE216*01_Supuestos!$I$107),0)</f>
        <v>0.0896867299291284</v>
      </c>
      <c r="AF217" s="87" t="n">
        <f aca="false">IF(AF216*01_Supuestos!$I$107&gt;0,AF218/(AF216*01_Supuestos!$I$107),0)</f>
        <v>0.0839025623133439</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0.0184457238860399</v>
      </c>
      <c r="D218" s="88" t="n">
        <f aca="false">(1-01_Supuestos!$C$157)*SUMPRODUCT(($C$48:D48+$C$49:D49)*(EXP(-(((D$39-$C$39:D$39+1)-01_Supuestos!$C$156)+ABS((D$39-$C$39:D$39+1)-01_Supuestos!$C$156))/2/01_Supuestos!$C$155)-EXP(-(D$39-$C$39:D$39+1)/01_Supuestos!$C$155)))*01_Supuestos!$I$107</f>
        <v>0.0654229250523607</v>
      </c>
      <c r="E218" s="88" t="n">
        <f aca="false">(1-01_Supuestos!$C$157)*SUMPRODUCT(($C$48:E48+$C$49:E49)*(EXP(-(((E$39-$C$39:E$39+1)-01_Supuestos!$C$156)+ABS((E$39-$C$39:E$39+1)-01_Supuestos!$C$156))/2/01_Supuestos!$C$155)-EXP(-(E$39-$C$39:E$39+1)/01_Supuestos!$C$155)))*01_Supuestos!$I$107</f>
        <v>0.148680271225033</v>
      </c>
      <c r="F218" s="88" t="n">
        <f aca="false">(1-01_Supuestos!$C$157)*SUMPRODUCT(($C$48:F48+$C$49:F49)*(EXP(-(((F$39-$C$39:F$39+1)-01_Supuestos!$C$156)+ABS((F$39-$C$39:F$39+1)-01_Supuestos!$C$156))/2/01_Supuestos!$C$155)-EXP(-(F$39-$C$39:F$39+1)/01_Supuestos!$C$155)))*01_Supuestos!$I$107</f>
        <v>0.307053151176349</v>
      </c>
      <c r="G218" s="88" t="n">
        <f aca="false">(1-01_Supuestos!$C$157)*SUMPRODUCT(($C$48:G48+$C$49:G49)*(EXP(-(((G$39-$C$39:G$39+1)-01_Supuestos!$C$156)+ABS((G$39-$C$39:G$39+1)-01_Supuestos!$C$156))/2/01_Supuestos!$C$155)-EXP(-(G$39-$C$39:G$39+1)/01_Supuestos!$C$155)))*01_Supuestos!$I$107</f>
        <v>0.535697137661964</v>
      </c>
      <c r="H218" s="88" t="n">
        <f aca="false">(1-01_Supuestos!$C$157)*SUMPRODUCT(($C$48:H48+$C$49:H49)*(EXP(-(((H$39-$C$39:H$39+1)-01_Supuestos!$C$156)+ABS((H$39-$C$39:H$39+1)-01_Supuestos!$C$156))/2/01_Supuestos!$C$155)-EXP(-(H$39-$C$39:H$39+1)/01_Supuestos!$C$155)))*01_Supuestos!$I$107</f>
        <v>0.811634511270276</v>
      </c>
      <c r="I218" s="88" t="n">
        <f aca="false">(1-01_Supuestos!$C$157)*SUMPRODUCT(($C$48:I48+$C$49:I49)*(EXP(-(((I$39-$C$39:I$39+1)-01_Supuestos!$C$156)+ABS((I$39-$C$39:I$39+1)-01_Supuestos!$C$156))/2/01_Supuestos!$C$155)-EXP(-(I$39-$C$39:I$39+1)/01_Supuestos!$C$155)))*01_Supuestos!$I$107</f>
        <v>1.12053980513675</v>
      </c>
      <c r="J218" s="88" t="n">
        <f aca="false">(1-01_Supuestos!$C$157)*SUMPRODUCT(($C$48:J48+$C$49:J49)*(EXP(-(((J$39-$C$39:J$39+1)-01_Supuestos!$C$156)+ABS((J$39-$C$39:J$39+1)-01_Supuestos!$C$156))/2/01_Supuestos!$C$155)-EXP(-(J$39-$C$39:J$39+1)/01_Supuestos!$C$155)))*01_Supuestos!$I$107</f>
        <v>1.45069806996932</v>
      </c>
      <c r="K218" s="88" t="n">
        <f aca="false">(1-01_Supuestos!$C$157)*SUMPRODUCT(($C$48:K48+$C$49:K49)*(EXP(-(((K$39-$C$39:K$39+1)-01_Supuestos!$C$156)+ABS((K$39-$C$39:K$39+1)-01_Supuestos!$C$156))/2/01_Supuestos!$C$155)-EXP(-(K$39-$C$39:K$39+1)/01_Supuestos!$C$155)))*01_Supuestos!$I$107</f>
        <v>1.75956343288611</v>
      </c>
      <c r="L218" s="88" t="n">
        <f aca="false">(1-01_Supuestos!$C$157)*SUMPRODUCT(($C$48:L48+$C$49:L49)*(EXP(-(((L$39-$C$39:L$39+1)-01_Supuestos!$C$156)+ABS((L$39-$C$39:L$39+1)-01_Supuestos!$C$156))/2/01_Supuestos!$C$155)-EXP(-(L$39-$C$39:L$39+1)/01_Supuestos!$C$155)))*01_Supuestos!$I$107</f>
        <v>2.0485091373291</v>
      </c>
      <c r="M218" s="88" t="n">
        <f aca="false">(1-01_Supuestos!$C$157)*SUMPRODUCT(($C$48:M48+$C$49:M49)*(EXP(-(((M$39-$C$39:M$39+1)-01_Supuestos!$C$156)+ABS((M$39-$C$39:M$39+1)-01_Supuestos!$C$156))/2/01_Supuestos!$C$155)-EXP(-(M$39-$C$39:M$39+1)/01_Supuestos!$C$155)))*01_Supuestos!$I$107</f>
        <v>2.30037413824435</v>
      </c>
      <c r="N218" s="88" t="n">
        <f aca="false">(1-01_Supuestos!$C$157)*SUMPRODUCT(($C$48:N48+$C$49:N49)*(EXP(-(((N$39-$C$39:N$39+1)-01_Supuestos!$C$156)+ABS((N$39-$C$39:N$39+1)-01_Supuestos!$C$156))/2/01_Supuestos!$C$155)-EXP(-(N$39-$C$39:N$39+1)/01_Supuestos!$C$155)))*01_Supuestos!$I$107</f>
        <v>2.50627450825859</v>
      </c>
      <c r="O218" s="88" t="n">
        <f aca="false">(1-01_Supuestos!$C$157)*SUMPRODUCT(($C$48:O48+$C$49:O49)*(EXP(-(((O$39-$C$39:O$39+1)-01_Supuestos!$C$156)+ABS((O$39-$C$39:O$39+1)-01_Supuestos!$C$156))/2/01_Supuestos!$C$155)-EXP(-(O$39-$C$39:O$39+1)/01_Supuestos!$C$155)))*01_Supuestos!$I$107</f>
        <v>2.65958589628317</v>
      </c>
      <c r="P218" s="88" t="n">
        <f aca="false">(1-01_Supuestos!$C$157)*SUMPRODUCT(($C$48:P48+$C$49:P49)*(EXP(-(((P$39-$C$39:P$39+1)-01_Supuestos!$C$156)+ABS((P$39-$C$39:P$39+1)-01_Supuestos!$C$156))/2/01_Supuestos!$C$155)-EXP(-(P$39-$C$39:P$39+1)/01_Supuestos!$C$155)))*01_Supuestos!$I$107</f>
        <v>2.72252471961347</v>
      </c>
      <c r="Q218" s="88" t="n">
        <f aca="false">(1-01_Supuestos!$C$157)*SUMPRODUCT(($C$48:Q48+$C$49:Q49)*(EXP(-(((Q$39-$C$39:Q$39+1)-01_Supuestos!$C$156)+ABS((Q$39-$C$39:Q$39+1)-01_Supuestos!$C$156))/2/01_Supuestos!$C$155)-EXP(-(Q$39-$C$39:Q$39+1)/01_Supuestos!$C$155)))*01_Supuestos!$I$107</f>
        <v>2.70091937741706</v>
      </c>
      <c r="R218" s="88" t="n">
        <f aca="false">(1-01_Supuestos!$C$157)*SUMPRODUCT(($C$48:R48+$C$49:R49)*(EXP(-(((R$39-$C$39:R$39+1)-01_Supuestos!$C$156)+ABS((R$39-$C$39:R$39+1)-01_Supuestos!$C$156))/2/01_Supuestos!$C$155)-EXP(-(R$39-$C$39:R$39+1)/01_Supuestos!$C$155)))*01_Supuestos!$I$107</f>
        <v>2.61866810171276</v>
      </c>
      <c r="S218" s="88" t="n">
        <f aca="false">(1-01_Supuestos!$C$157)*SUMPRODUCT(($C$48:S48+$C$49:S49)*(EXP(-(((S$39-$C$39:S$39+1)-01_Supuestos!$C$156)+ABS((S$39-$C$39:S$39+1)-01_Supuestos!$C$156))/2/01_Supuestos!$C$155)-EXP(-(S$39-$C$39:S$39+1)/01_Supuestos!$C$155)))*01_Supuestos!$I$107</f>
        <v>2.49095750533902</v>
      </c>
      <c r="T218" s="88" t="n">
        <f aca="false">(1-01_Supuestos!$C$157)*SUMPRODUCT(($C$48:T48+$C$49:T49)*(EXP(-(((T$39-$C$39:T$39+1)-01_Supuestos!$C$156)+ABS((T$39-$C$39:T$39+1)-01_Supuestos!$C$156))/2/01_Supuestos!$C$155)-EXP(-(T$39-$C$39:T$39+1)/01_Supuestos!$C$155)))*01_Supuestos!$I$107</f>
        <v>2.33030814566159</v>
      </c>
      <c r="U218" s="88" t="n">
        <f aca="false">(1-01_Supuestos!$C$157)*SUMPRODUCT(($C$48:U48+$C$49:U49)*(EXP(-(((U$39-$C$39:U$39+1)-01_Supuestos!$C$156)+ABS((U$39-$C$39:U$39+1)-01_Supuestos!$C$156))/2/01_Supuestos!$C$155)-EXP(-(U$39-$C$39:U$39+1)/01_Supuestos!$C$155)))*01_Supuestos!$I$107</f>
        <v>2.18001954754249</v>
      </c>
      <c r="V218" s="88" t="n">
        <f aca="false">(1-01_Supuestos!$C$157)*SUMPRODUCT(($C$48:V48+$C$49:V49)*(EXP(-(((V$39-$C$39:V$39+1)-01_Supuestos!$C$156)+ABS((V$39-$C$39:V$39+1)-01_Supuestos!$C$156))/2/01_Supuestos!$C$155)-EXP(-(V$39-$C$39:V$39+1)/01_Supuestos!$C$155)))*01_Supuestos!$I$107</f>
        <v>2.03942351423147</v>
      </c>
      <c r="W218" s="88" t="n">
        <f aca="false">(1-01_Supuestos!$C$157)*SUMPRODUCT(($C$48:W48+$C$49:W49)*(EXP(-(((W$39-$C$39:W$39+1)-01_Supuestos!$C$156)+ABS((W$39-$C$39:W$39+1)-01_Supuestos!$C$156))/2/01_Supuestos!$C$155)-EXP(-(W$39-$C$39:W$39+1)/01_Supuestos!$C$155)))*01_Supuestos!$I$107</f>
        <v>1.90789494300127</v>
      </c>
      <c r="X218" s="88" t="n">
        <f aca="false">(1-01_Supuestos!$C$157)*SUMPRODUCT(($C$48:X48+$C$49:X49)*(EXP(-(((X$39-$C$39:X$39+1)-01_Supuestos!$C$156)+ABS((X$39-$C$39:X$39+1)-01_Supuestos!$C$156))/2/01_Supuestos!$C$155)-EXP(-(X$39-$C$39:X$39+1)/01_Supuestos!$C$155)))*01_Supuestos!$I$107</f>
        <v>1.78484904588418</v>
      </c>
      <c r="Y218" s="88" t="n">
        <f aca="false">(1-01_Supuestos!$C$157)*SUMPRODUCT(($C$48:Y48+$C$49:Y49)*(EXP(-(((Y$39-$C$39:Y$39+1)-01_Supuestos!$C$156)+ABS((Y$39-$C$39:Y$39+1)-01_Supuestos!$C$156))/2/01_Supuestos!$C$155)-EXP(-(Y$39-$C$39:Y$39+1)/01_Supuestos!$C$155)))*01_Supuestos!$I$107</f>
        <v>1.66973874965167</v>
      </c>
      <c r="Z218" s="88" t="n">
        <f aca="false">(1-01_Supuestos!$C$157)*SUMPRODUCT(($C$48:Z48+$C$49:Z49)*(EXP(-(((Z$39-$C$39:Z$39+1)-01_Supuestos!$C$156)+ABS((Z$39-$C$39:Z$39+1)-01_Supuestos!$C$156))/2/01_Supuestos!$C$155)-EXP(-(Z$39-$C$39:Z$39+1)/01_Supuestos!$C$155)))*01_Supuestos!$I$107</f>
        <v>1.5620522634771</v>
      </c>
      <c r="AA218" s="88" t="n">
        <f aca="false">(1-01_Supuestos!$C$157)*SUMPRODUCT(($C$48:AA48+$C$49:AA49)*(EXP(-(((AA$39-$C$39:AA$39+1)-01_Supuestos!$C$156)+ABS((AA$39-$C$39:AA$39+1)-01_Supuestos!$C$156))/2/01_Supuestos!$C$155)-EXP(-(AA$39-$C$39:AA$39+1)/01_Supuestos!$C$155)))*01_Supuestos!$I$107</f>
        <v>1.46131080346727</v>
      </c>
      <c r="AB218" s="88" t="n">
        <f aca="false">(1-01_Supuestos!$C$157)*SUMPRODUCT(($C$48:AB48+$C$49:AB49)*(EXP(-(((AB$39-$C$39:AB$39+1)-01_Supuestos!$C$156)+ABS((AB$39-$C$39:AB$39+1)-01_Supuestos!$C$156))/2/01_Supuestos!$C$155)-EXP(-(AB$39-$C$39:AB$39+1)/01_Supuestos!$C$155)))*01_Supuestos!$I$107</f>
        <v>1.3670664639458</v>
      </c>
      <c r="AC218" s="88" t="n">
        <f aca="false">(1-01_Supuestos!$C$157)*SUMPRODUCT(($C$48:AC48+$C$49:AC49)*(EXP(-(((AC$39-$C$39:AC$39+1)-01_Supuestos!$C$156)+ABS((AC$39-$C$39:AC$39+1)-01_Supuestos!$C$156))/2/01_Supuestos!$C$155)-EXP(-(AC$39-$C$39:AC$39+1)/01_Supuestos!$C$155)))*01_Supuestos!$I$107</f>
        <v>1.27890022602377</v>
      </c>
      <c r="AD218" s="88" t="n">
        <f aca="false">(1-01_Supuestos!$C$157)*SUMPRODUCT(($C$48:AD48+$C$49:AD49)*(EXP(-(((AD$39-$C$39:AD$39+1)-01_Supuestos!$C$156)+ABS((AD$39-$C$39:AD$39+1)-01_Supuestos!$C$156))/2/01_Supuestos!$C$155)-EXP(-(AD$39-$C$39:AD$39+1)/01_Supuestos!$C$155)))*01_Supuestos!$I$107</f>
        <v>1.19642009460375</v>
      </c>
      <c r="AE218" s="88" t="n">
        <f aca="false">(1-01_Supuestos!$C$157)*SUMPRODUCT(($C$48:AE48+$C$49:AE49)*(EXP(-(((AE$39-$C$39:AE$39+1)-01_Supuestos!$C$156)+ABS((AE$39-$C$39:AE$39+1)-01_Supuestos!$C$156))/2/01_Supuestos!$C$155)-EXP(-(AE$39-$C$39:AE$39+1)/01_Supuestos!$C$155)))*01_Supuestos!$I$107</f>
        <v>1.119259355534</v>
      </c>
      <c r="AF218" s="88" t="n">
        <f aca="false">(1-01_Supuestos!$C$157)*SUMPRODUCT(($C$48:AF48+$C$49:AF49)*(EXP(-(((AF$39-$C$39:AF$39+1)-01_Supuestos!$C$156)+ABS((AF$39-$C$39:AF$39+1)-01_Supuestos!$C$156))/2/01_Supuestos!$C$155)-EXP(-(AF$39-$C$39:AF$39+1)/01_Supuestos!$C$155)))*01_Supuestos!$I$107</f>
        <v>1.04707494516404</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0.0184457238860399</v>
      </c>
      <c r="D220" s="88" t="n">
        <f aca="false">D218</f>
        <v>0.0654229250523607</v>
      </c>
      <c r="E220" s="88" t="n">
        <f aca="false">E218</f>
        <v>0.148680271225033</v>
      </c>
      <c r="F220" s="88" t="n">
        <f aca="false">F218</f>
        <v>0.307053151176349</v>
      </c>
      <c r="G220" s="88" t="n">
        <f aca="false">G218</f>
        <v>0.535697137661964</v>
      </c>
      <c r="H220" s="88" t="n">
        <f aca="false">H218</f>
        <v>0.811634511270276</v>
      </c>
      <c r="I220" s="88" t="n">
        <f aca="false">I218</f>
        <v>1.12053980513675</v>
      </c>
      <c r="J220" s="88" t="n">
        <f aca="false">J218</f>
        <v>1.45069806996932</v>
      </c>
      <c r="K220" s="88" t="n">
        <f aca="false">K218</f>
        <v>1.75956343288611</v>
      </c>
      <c r="L220" s="88" t="n">
        <f aca="false">L218</f>
        <v>2.0485091373291</v>
      </c>
      <c r="M220" s="88" t="n">
        <f aca="false">M218</f>
        <v>2.30037413824435</v>
      </c>
      <c r="N220" s="88" t="n">
        <f aca="false">N218</f>
        <v>2.50627450825859</v>
      </c>
      <c r="O220" s="88" t="n">
        <f aca="false">O218</f>
        <v>2.65958589628317</v>
      </c>
      <c r="P220" s="88" t="n">
        <f aca="false">P218</f>
        <v>2.72252471961347</v>
      </c>
      <c r="Q220" s="88" t="n">
        <f aca="false">Q218</f>
        <v>2.70091937741706</v>
      </c>
      <c r="R220" s="88" t="n">
        <f aca="false">R218</f>
        <v>2.61866810171276</v>
      </c>
      <c r="S220" s="88" t="n">
        <f aca="false">S218</f>
        <v>2.49095750533902</v>
      </c>
      <c r="T220" s="88" t="n">
        <f aca="false">T218</f>
        <v>2.33030814566159</v>
      </c>
      <c r="U220" s="88" t="n">
        <f aca="false">U218</f>
        <v>2.18001954754249</v>
      </c>
      <c r="V220" s="88" t="n">
        <f aca="false">V218</f>
        <v>2.03942351423147</v>
      </c>
      <c r="W220" s="88" t="n">
        <f aca="false">W218</f>
        <v>1.90789494300127</v>
      </c>
      <c r="X220" s="88" t="n">
        <f aca="false">X218</f>
        <v>1.78484904588418</v>
      </c>
      <c r="Y220" s="88" t="n">
        <f aca="false">Y218</f>
        <v>1.66973874965167</v>
      </c>
      <c r="Z220" s="88" t="n">
        <f aca="false">Z218</f>
        <v>1.5620522634771</v>
      </c>
      <c r="AA220" s="88" t="n">
        <f aca="false">AA218</f>
        <v>1.46131080346727</v>
      </c>
      <c r="AB220" s="88" t="n">
        <f aca="false">AB218</f>
        <v>1.3670664639458</v>
      </c>
      <c r="AC220" s="88" t="n">
        <f aca="false">AC218</f>
        <v>1.27890022602377</v>
      </c>
      <c r="AD220" s="88" t="n">
        <f aca="false">AD218</f>
        <v>1.19642009460375</v>
      </c>
      <c r="AE220" s="88" t="n">
        <f aca="false">AE218</f>
        <v>1.119259355534</v>
      </c>
      <c r="AF220" s="88" t="n">
        <f aca="false">AF218</f>
        <v>1.04707494516404</v>
      </c>
    </row>
    <row r="221" customFormat="false" ht="14.25" hidden="false" customHeight="true" outlineLevel="0" collapsed="false">
      <c r="B221" s="1" t="s">
        <v>1346</v>
      </c>
      <c r="C221" s="116" t="n">
        <f aca="false">C112</f>
        <v>0.0236534055447657</v>
      </c>
      <c r="D221" s="116" t="n">
        <f aca="false">D112</f>
        <v>0.0625411439638284</v>
      </c>
      <c r="E221" s="116" t="n">
        <f aca="false">E112</f>
        <v>0.114975258393498</v>
      </c>
      <c r="F221" s="116" t="n">
        <f aca="false">F112</f>
        <v>0.235280488140055</v>
      </c>
      <c r="G221" s="116" t="n">
        <f aca="false">G112</f>
        <v>0.355584595852633</v>
      </c>
      <c r="H221" s="116" t="n">
        <f aca="false">H112</f>
        <v>0.455022126799729</v>
      </c>
      <c r="I221" s="116" t="n">
        <f aca="false">I112</f>
        <v>0.5420104840738</v>
      </c>
      <c r="J221" s="116" t="n">
        <f aca="false">J112</f>
        <v>0.618236002576194</v>
      </c>
      <c r="K221" s="116" t="n">
        <f aca="false">K112</f>
        <v>0.643407388159918</v>
      </c>
      <c r="L221" s="116" t="n">
        <f aca="false">L112</f>
        <v>0.66859912241482</v>
      </c>
      <c r="M221" s="116" t="n">
        <f aca="false">M112</f>
        <v>0.69332452511844</v>
      </c>
      <c r="N221" s="116" t="n">
        <f aca="false">N112</f>
        <v>0.717107009946887</v>
      </c>
      <c r="O221" s="116" t="n">
        <f aca="false">O112</f>
        <v>0.73954116968916</v>
      </c>
      <c r="P221" s="116" t="n">
        <f aca="false">P112</f>
        <v>0.759510187428796</v>
      </c>
      <c r="Q221" s="116" t="n">
        <f aca="false">Q112</f>
        <v>0.777013146091049</v>
      </c>
      <c r="R221" s="116" t="n">
        <f aca="false">R112</f>
        <v>0.792620110377628</v>
      </c>
      <c r="S221" s="116" t="n">
        <f aca="false">S112</f>
        <v>0.806798970985701</v>
      </c>
      <c r="T221" s="116" t="n">
        <f aca="false">T112</f>
        <v>0.819946519068373</v>
      </c>
      <c r="U221" s="116" t="n">
        <f aca="false">U112</f>
        <v>0.833163850480704</v>
      </c>
      <c r="V221" s="116" t="n">
        <f aca="false">V112</f>
        <v>0.846443158617113</v>
      </c>
      <c r="W221" s="116" t="n">
        <f aca="false">W112</f>
        <v>0.859489808631714</v>
      </c>
      <c r="X221" s="116" t="n">
        <f aca="false">X112</f>
        <v>0.872296302344462</v>
      </c>
      <c r="Y221" s="116" t="n">
        <f aca="false">Y112</f>
        <v>0.884855166534295</v>
      </c>
      <c r="Z221" s="116" t="n">
        <f aca="false">Z112</f>
        <v>0.897158951351965</v>
      </c>
      <c r="AA221" s="116" t="n">
        <f aca="false">AA112</f>
        <v>0.909200228800247</v>
      </c>
      <c r="AB221" s="116" t="n">
        <f aca="false">AB112</f>
        <v>0.920978398083441</v>
      </c>
      <c r="AC221" s="116" t="n">
        <f aca="false">AC112</f>
        <v>0.932492877405452</v>
      </c>
      <c r="AD221" s="116" t="n">
        <f aca="false">AD112</f>
        <v>0.943743102630091</v>
      </c>
      <c r="AE221" s="116" t="n">
        <f aca="false">AE112</f>
        <v>0.954728525994609</v>
      </c>
      <c r="AF221" s="116" t="n">
        <f aca="false">AF112</f>
        <v>0.9654486148733</v>
      </c>
    </row>
    <row r="222" customFormat="false" ht="14.25" hidden="false" customHeight="true" outlineLevel="0" collapsed="false">
      <c r="B222" s="1" t="s">
        <v>1218</v>
      </c>
      <c r="C222" s="87" t="n">
        <f aca="false">IF(C221&gt;0,C220/C221,0)</f>
        <v>0.779833747454677</v>
      </c>
      <c r="D222" s="87" t="n">
        <f aca="false">IF(D221&gt;0,D220/D221,0)</f>
        <v>1.04607816400351</v>
      </c>
      <c r="E222" s="87" t="n">
        <f aca="false">IF(E221&gt;0,E220/E221,0)</f>
        <v>1.29315013771207</v>
      </c>
      <c r="F222" s="87" t="n">
        <f aca="false">IF(F221&gt;0,F220/F221,0)</f>
        <v>1.30505148813518</v>
      </c>
      <c r="G222" s="87" t="n">
        <f aca="false">IF(G221&gt;0,G220/G221,0)</f>
        <v>1.50652515297366</v>
      </c>
      <c r="H222" s="87" t="n">
        <f aca="false">IF(H221&gt;0,H220/H221,0)</f>
        <v>1.78372536953023</v>
      </c>
      <c r="I222" s="87" t="n">
        <f aca="false">IF(I221&gt;0,I220/I221,0)</f>
        <v>2.06737662473735</v>
      </c>
      <c r="J222" s="87" t="n">
        <f aca="false">IF(J221&gt;0,J220/J221,0)</f>
        <v>2.34651179149104</v>
      </c>
      <c r="K222" s="87" t="n">
        <f aca="false">IF(K221&gt;0,K220/K221,0)</f>
        <v>2.73475789253569</v>
      </c>
      <c r="L222" s="87" t="n">
        <f aca="false">IF(L221&gt;0,L220/L221,0)</f>
        <v>3.06388248002835</v>
      </c>
      <c r="M222" s="87" t="n">
        <f aca="false">IF(M221&gt;0,M220/M221,0)</f>
        <v>3.31788946576119</v>
      </c>
      <c r="N222" s="87" t="n">
        <f aca="false">IF(N221&gt;0,N220/N221,0)</f>
        <v>3.49497979171089</v>
      </c>
      <c r="O222" s="87" t="n">
        <f aca="false">IF(O221&gt;0,O220/O221,0)</f>
        <v>3.59626482647482</v>
      </c>
      <c r="P222" s="87" t="n">
        <f aca="false">IF(P221&gt;0,P220/P221,0)</f>
        <v>3.58457959442277</v>
      </c>
      <c r="Q222" s="87" t="n">
        <f aca="false">IF(Q221&gt;0,Q220/Q221,0)</f>
        <v>3.47602790378088</v>
      </c>
      <c r="R222" s="87" t="n">
        <f aca="false">IF(R221&gt;0,R220/R221,0)</f>
        <v>3.30381234014508</v>
      </c>
      <c r="S222" s="87" t="n">
        <f aca="false">IF(S221&gt;0,S220/S221,0)</f>
        <v>3.08745746452268</v>
      </c>
      <c r="T222" s="87" t="n">
        <f aca="false">IF(T221&gt;0,T220/T221,0)</f>
        <v>2.84202456071073</v>
      </c>
      <c r="U222" s="87" t="n">
        <f aca="false">IF(U221&gt;0,U220/U221,0)</f>
        <v>2.61655561062173</v>
      </c>
      <c r="V222" s="87" t="n">
        <f aca="false">IF(V221&gt;0,V220/V221,0)</f>
        <v>2.40940397883704</v>
      </c>
      <c r="W222" s="87" t="n">
        <f aca="false">IF(W221&gt;0,W220/W221,0)</f>
        <v>2.21979937846917</v>
      </c>
      <c r="X222" s="87" t="n">
        <f aca="false">IF(X221&gt;0,X220/X221,0)</f>
        <v>2.04614996198776</v>
      </c>
      <c r="Y222" s="87" t="n">
        <f aca="false">IF(Y221&gt;0,Y220/Y221,0)</f>
        <v>1.88701926914381</v>
      </c>
      <c r="Z222" s="87" t="n">
        <f aca="false">IF(Z221&gt;0,Z220/Z221,0)</f>
        <v>1.7411098235415</v>
      </c>
      <c r="AA222" s="87" t="n">
        <f aca="false">IF(AA221&gt;0,AA220/AA221,0)</f>
        <v>1.6072486094681</v>
      </c>
      <c r="AB222" s="87" t="n">
        <f aca="false">IF(AB221&gt;0,AB220/AB221,0)</f>
        <v>1.48436322370934</v>
      </c>
      <c r="AC222" s="87" t="n">
        <f aca="false">IF(AC221&gt;0,AC220/AC221,0)</f>
        <v>1.37148524885483</v>
      </c>
      <c r="AD222" s="87" t="n">
        <f aca="false">IF(AD221&gt;0,AD220/AD221,0)</f>
        <v>1.26773916680237</v>
      </c>
      <c r="AE222" s="87" t="n">
        <f aca="false">IF(AE221&gt;0,AE220/AE221,0)</f>
        <v>1.17233257942931</v>
      </c>
      <c r="AF222" s="87" t="n">
        <f aca="false">IF(AF221&gt;0,AF220/AF221,0)</f>
        <v>1.08454756579816</v>
      </c>
    </row>
    <row r="223" customFormat="false" ht="14.25" hidden="false" customHeight="true" outlineLevel="0" collapsed="false">
      <c r="B223" s="1" t="s">
        <v>1219</v>
      </c>
      <c r="C223" s="88" t="n">
        <f aca="false">C220-C221</f>
        <v>-0.00520768165872584</v>
      </c>
      <c r="D223" s="88" t="n">
        <f aca="false">D220-D221</f>
        <v>0.00288178108853226</v>
      </c>
      <c r="E223" s="88" t="n">
        <f aca="false">E220-E221</f>
        <v>0.0337050128315349</v>
      </c>
      <c r="F223" s="88" t="n">
        <f aca="false">F220-F221</f>
        <v>0.0717726630362945</v>
      </c>
      <c r="G223" s="88" t="n">
        <f aca="false">G220-G221</f>
        <v>0.180112541809331</v>
      </c>
      <c r="H223" s="88" t="n">
        <f aca="false">H220-H221</f>
        <v>0.356612384470547</v>
      </c>
      <c r="I223" s="88" t="n">
        <f aca="false">I220-I221</f>
        <v>0.57852932106295</v>
      </c>
      <c r="J223" s="88" t="n">
        <f aca="false">J220-J221</f>
        <v>0.832462067393129</v>
      </c>
      <c r="K223" s="88" t="n">
        <f aca="false">K220-K221</f>
        <v>1.1161560447262</v>
      </c>
      <c r="L223" s="88" t="n">
        <f aca="false">L220-L221</f>
        <v>1.37991001491428</v>
      </c>
      <c r="M223" s="88" t="n">
        <f aca="false">M220-M221</f>
        <v>1.60704961312591</v>
      </c>
      <c r="N223" s="88" t="n">
        <f aca="false">N220-N221</f>
        <v>1.78916749831171</v>
      </c>
      <c r="O223" s="88" t="n">
        <f aca="false">O220-O221</f>
        <v>1.92004472659401</v>
      </c>
      <c r="P223" s="88" t="n">
        <f aca="false">P220-P221</f>
        <v>1.96301453218468</v>
      </c>
      <c r="Q223" s="88" t="n">
        <f aca="false">Q220-Q221</f>
        <v>1.92390623132601</v>
      </c>
      <c r="R223" s="88" t="n">
        <f aca="false">R220-R221</f>
        <v>1.82604799133514</v>
      </c>
      <c r="S223" s="88" t="n">
        <f aca="false">S220-S221</f>
        <v>1.68415853435332</v>
      </c>
      <c r="T223" s="88" t="n">
        <f aca="false">T220-T221</f>
        <v>1.51036162659321</v>
      </c>
      <c r="U223" s="88" t="n">
        <f aca="false">U220-U221</f>
        <v>1.34685569706179</v>
      </c>
      <c r="V223" s="88" t="n">
        <f aca="false">V220-V221</f>
        <v>1.19298035561435</v>
      </c>
      <c r="W223" s="88" t="n">
        <f aca="false">W220-W221</f>
        <v>1.04840513436955</v>
      </c>
      <c r="X223" s="88" t="n">
        <f aca="false">X220-X221</f>
        <v>0.912552743539721</v>
      </c>
      <c r="Y223" s="88" t="n">
        <f aca="false">Y220-Y221</f>
        <v>0.784883583117377</v>
      </c>
      <c r="Z223" s="88" t="n">
        <f aca="false">Z220-Z221</f>
        <v>0.664893312125134</v>
      </c>
      <c r="AA223" s="88" t="n">
        <f aca="false">AA220-AA221</f>
        <v>0.552110574667028</v>
      </c>
      <c r="AB223" s="88" t="n">
        <f aca="false">AB220-AB221</f>
        <v>0.44608806586236</v>
      </c>
      <c r="AC223" s="88" t="n">
        <f aca="false">AC220-AC221</f>
        <v>0.34640734861832</v>
      </c>
      <c r="AD223" s="88" t="n">
        <f aca="false">AD220-AD221</f>
        <v>0.252676991973662</v>
      </c>
      <c r="AE223" s="88" t="n">
        <f aca="false">AE220-AE221</f>
        <v>0.164530829539391</v>
      </c>
      <c r="AF223" s="88" t="n">
        <f aca="false">AF220-AF221</f>
        <v>0.0816263302907437</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0.368914477720798</v>
      </c>
      <c r="D232" s="1" t="n">
        <f aca="false">D216*D217</f>
        <v>1.30845850104721</v>
      </c>
      <c r="E232" s="1" t="n">
        <f aca="false">E216*E217</f>
        <v>2.97360542450067</v>
      </c>
      <c r="F232" s="1" t="n">
        <f aca="false">F216*F217</f>
        <v>6.14106302352698</v>
      </c>
      <c r="G232" s="1" t="n">
        <f aca="false">G216*G217</f>
        <v>10.7139427532393</v>
      </c>
      <c r="H232" s="1" t="n">
        <f aca="false">H216*H217</f>
        <v>16.2326902254055</v>
      </c>
      <c r="I232" s="1" t="n">
        <f aca="false">I216*I217</f>
        <v>22.410796102735</v>
      </c>
      <c r="J232" s="1" t="n">
        <f aca="false">J216*J217</f>
        <v>29.0139613993865</v>
      </c>
      <c r="K232" s="1" t="n">
        <f aca="false">K216*K217</f>
        <v>35.1912686577223</v>
      </c>
      <c r="L232" s="1" t="n">
        <f aca="false">L216*L217</f>
        <v>40.9701827465819</v>
      </c>
      <c r="M232" s="1" t="n">
        <f aca="false">M216*M217</f>
        <v>46.0074827648869</v>
      </c>
      <c r="N232" s="1" t="n">
        <f aca="false">N216*N217</f>
        <v>50.1254901651719</v>
      </c>
      <c r="O232" s="1" t="n">
        <f aca="false">O216*O217</f>
        <v>53.1917179256634</v>
      </c>
      <c r="P232" s="1" t="n">
        <f aca="false">P216*P217</f>
        <v>54.4504943922695</v>
      </c>
      <c r="Q232" s="1" t="n">
        <f aca="false">Q216*Q217</f>
        <v>54.0183875483411</v>
      </c>
      <c r="R232" s="1" t="n">
        <f aca="false">R216*R217</f>
        <v>52.3733620342553</v>
      </c>
      <c r="S232" s="1" t="n">
        <f aca="false">S216*S217</f>
        <v>49.8191501067804</v>
      </c>
      <c r="T232" s="1" t="n">
        <f aca="false">T216*T217</f>
        <v>46.6061629132317</v>
      </c>
      <c r="U232" s="1" t="n">
        <f aca="false">U216*U217</f>
        <v>43.6003909508498</v>
      </c>
      <c r="V232" s="1" t="n">
        <f aca="false">V216*V217</f>
        <v>40.7884702846293</v>
      </c>
      <c r="W232" s="1" t="n">
        <f aca="false">W216*W217</f>
        <v>38.1578988600253</v>
      </c>
      <c r="X232" s="1" t="n">
        <f aca="false">X216*X217</f>
        <v>35.6969809176837</v>
      </c>
      <c r="Y232" s="1" t="n">
        <f aca="false">Y216*Y217</f>
        <v>33.3947749930334</v>
      </c>
      <c r="Z232" s="1" t="n">
        <f aca="false">Z216*Z217</f>
        <v>31.241045269542</v>
      </c>
      <c r="AA232" s="1" t="n">
        <f aca="false">AA216*AA217</f>
        <v>29.2262160693455</v>
      </c>
      <c r="AB232" s="1" t="n">
        <f aca="false">AB216*AB217</f>
        <v>27.341329278916</v>
      </c>
      <c r="AC232" s="1" t="n">
        <f aca="false">AC216*AC217</f>
        <v>25.5780045204754</v>
      </c>
      <c r="AD232" s="1" t="n">
        <f aca="false">AD216*AD217</f>
        <v>23.9284018920751</v>
      </c>
      <c r="AE232" s="1" t="n">
        <f aca="false">AE216*AE217</f>
        <v>22.38518711068</v>
      </c>
      <c r="AF232" s="1" t="n">
        <f aca="false">AF216*AF217</f>
        <v>20.9414989032809</v>
      </c>
    </row>
    <row r="233" customFormat="false" ht="14.25" hidden="false" customHeight="true" outlineLevel="0" collapsed="false">
      <c r="B233" s="1" t="s">
        <v>1229</v>
      </c>
      <c r="C233" s="1" t="n">
        <f aca="false">IF(C81&gt;0,(C107+C109+C110+C184-C108-C229)/C81,0)</f>
        <v>0.0235631742617283</v>
      </c>
      <c r="D233" s="1" t="n">
        <f aca="false">IF(C81&gt;0,(D107+D109+D110+D184-D108-D229)/C81,0)</f>
        <v>0.117708637190813</v>
      </c>
      <c r="E233" s="1" t="n">
        <f aca="false">IF(D81&gt;0,(E107+E109+E110+E184-E108-E229)/D81,0)</f>
        <v>0.0815352996962945</v>
      </c>
      <c r="F233" s="1" t="n">
        <f aca="false">IF(E81&gt;0,(F107+F109+F110+F184-F108-F229)/E81,0)</f>
        <v>0.0710825631336952</v>
      </c>
      <c r="G233" s="1" t="n">
        <f aca="false">IF(F81&gt;0,(G107+G109+G110+G184-G108-G229)/F81,0)</f>
        <v>0.0466028733035552</v>
      </c>
      <c r="H233" s="1" t="n">
        <f aca="false">IF(G81&gt;0,(H107+H109+H110+H184-H108-H229)/G81,0)</f>
        <v>0.038463087745815</v>
      </c>
      <c r="I233" s="1" t="n">
        <f aca="false">IF(H81&gt;0,(I107+I109+I110+I184-I108-I229)/H81,0)</f>
        <v>0.0358924992681534</v>
      </c>
      <c r="J233" s="1" t="n">
        <f aca="false">IF(I81&gt;0,(J107+J109+J110+J184-J108-J229)/I81,0)</f>
        <v>0.035026075609708</v>
      </c>
      <c r="K233" s="1" t="n">
        <f aca="false">IF(J81&gt;0,(K107+K109+K110+K184-K108-K229)/J81,0)</f>
        <v>0.0343513306820595</v>
      </c>
      <c r="L233" s="1" t="n">
        <f aca="false">IF(K81&gt;0,(L107+L109+L110+L184-L108-L229)/K81,0)</f>
        <v>0.036603971069951</v>
      </c>
      <c r="M233" s="1" t="n">
        <f aca="false">IF(L81&gt;0,(M107+M109+M110+M184-M108-M229)/L81,0)</f>
        <v>0.0386438815531202</v>
      </c>
      <c r="N233" s="1" t="n">
        <f aca="false">IF(M81&gt;0,(N107+N109+N110+N184-N108-N229)/M81,0)</f>
        <v>0.0377910857750535</v>
      </c>
      <c r="O233" s="1" t="n">
        <f aca="false">IF(N81&gt;0,(O107+O109+O110+O184-O108-O229)/N81,0)</f>
        <v>0.036812874185025</v>
      </c>
      <c r="P233" s="1" t="n">
        <f aca="false">IF(O81&gt;0,(P107+P109+P110+P184-P108-P229)/O81,0)</f>
        <v>0.036461319159748</v>
      </c>
      <c r="Q233" s="1" t="n">
        <f aca="false">IF(P81&gt;0,(Q107+Q109+Q110+Q184-Q108-Q229)/P81,0)</f>
        <v>0.0361358456136458</v>
      </c>
      <c r="R233" s="1" t="n">
        <f aca="false">IF(Q81&gt;0,(R107+R109+R110+R184-R108-R229)/Q81,0)</f>
        <v>0.0358934029438869</v>
      </c>
      <c r="S233" s="1" t="n">
        <f aca="false">IF(R81&gt;0,(S107+S109+S110+S184-S108-S229)/R81,0)</f>
        <v>0.0357439224180169</v>
      </c>
      <c r="T233" s="1" t="n">
        <f aca="false">IF(S81&gt;0,(T107+T109+T110+T184-T108-T229)/S81,0)</f>
        <v>0.0356569356729154</v>
      </c>
      <c r="U233" s="1" t="n">
        <f aca="false">IF(T81&gt;0,(U107+U109+U110+U184-U108-U229)/T81,0)</f>
        <v>0.0356089059404554</v>
      </c>
      <c r="V233" s="1" t="n">
        <f aca="false">IF(U81&gt;0,(V107+V109+V110+V184-V108-V229)/U81,0)</f>
        <v>0.0354287186421754</v>
      </c>
      <c r="W233" s="1" t="n">
        <f aca="false">IF(V81&gt;0,(W107+W109+W110+W184-W108-W229)/V81,0)</f>
        <v>0.0352545547860203</v>
      </c>
      <c r="X233" s="1" t="n">
        <f aca="false">IF(W81&gt;0,(X107+X109+X110+X184-X108-X229)/W81,0)</f>
        <v>0.0350752621220652</v>
      </c>
      <c r="Y233" s="1" t="n">
        <f aca="false">IF(X81&gt;0,(Y107+Y109+Y110+Y184-Y108-Y229)/X81,0)</f>
        <v>0.0348866582819145</v>
      </c>
      <c r="Z233" s="1" t="n">
        <f aca="false">IF(Y81&gt;0,(Z107+Z109+Z110+Z184-Z108-Z229)/Y81,0)</f>
        <v>0.034693923687595</v>
      </c>
      <c r="AA233" s="1" t="n">
        <f aca="false">IF(Z81&gt;0,(AA107+AA109+AA110+AA184-AA108-AA229)/Z81,0)</f>
        <v>0.0344983697746129</v>
      </c>
      <c r="AB233" s="1" t="n">
        <f aca="false">IF(AA81&gt;0,(AB107+AB109+AB110+AB184-AB108-AB229)/AA81,0)</f>
        <v>0.034300619875826</v>
      </c>
      <c r="AC233" s="1" t="n">
        <f aca="false">IF(AB81&gt;0,(AC107+AC109+AC110+AC184-AC108-AC229)/AB81,0)</f>
        <v>0.0341009872803723</v>
      </c>
      <c r="AD233" s="1" t="n">
        <f aca="false">IF(AC81&gt;0,(AD107+AD109+AD110+AD184-AD108-AD229)/AC81,0)</f>
        <v>0.0338997485968965</v>
      </c>
      <c r="AE233" s="1" t="n">
        <f aca="false">IF(AD81&gt;0,(AE107+AE109+AE110+AE184-AE108-AE229)/AD81,0)</f>
        <v>0.0336971489230166</v>
      </c>
      <c r="AF233" s="1" t="n">
        <f aca="false">IF(AE81&gt;0,(AF107+AF109+AF110+AF184-AF108-AF229)/AE81,0)</f>
        <v>0.033493406735246</v>
      </c>
    </row>
    <row r="234" customFormat="false" ht="14.25" hidden="false" customHeight="true" outlineLevel="0" collapsed="false">
      <c r="B234" s="1" t="s">
        <v>1230</v>
      </c>
      <c r="C234" s="1" t="n">
        <f aca="false">(C232+0)/2*C233</f>
        <v>0.00434639806310482</v>
      </c>
      <c r="D234" s="1" t="n">
        <f aca="false">(D232+C232)/2*D233</f>
        <v>0.0987206436957383</v>
      </c>
      <c r="E234" s="1" t="n">
        <f aca="false">(E232+D232)/2*E233</f>
        <v>0.174569682744119</v>
      </c>
      <c r="F234" s="1" t="n">
        <f aca="false">(F232+E232)/2*F233</f>
        <v>0.323946997699812</v>
      </c>
      <c r="G234" s="1" t="n">
        <f aca="false">(G232+F232)/2*G233</f>
        <v>0.392745849372665</v>
      </c>
      <c r="H234" s="1" t="n">
        <f aca="false">(H232+G232)/2*H233</f>
        <v>0.518225354355943</v>
      </c>
      <c r="I234" s="1" t="n">
        <f aca="false">(I232+H232)/2*I233</f>
        <v>0.693505652375841</v>
      </c>
      <c r="J234" s="1" t="n">
        <f aca="false">(J232+I232)/2*J233</f>
        <v>0.900603722240102</v>
      </c>
      <c r="K234" s="1" t="n">
        <f aca="false">(K232+J232)/2*K233</f>
        <v>1.10276754460472</v>
      </c>
      <c r="L234" s="1" t="n">
        <f aca="false">(L232+K232)/2*L233</f>
        <v>1.39390578192431</v>
      </c>
      <c r="M234" s="1" t="n">
        <f aca="false">(M232+L232)/2*M233</f>
        <v>1.68057730189606</v>
      </c>
      <c r="N234" s="1" t="n">
        <f aca="false">(N232+M232)/2*N233</f>
        <v>1.81648471290537</v>
      </c>
      <c r="O234" s="1" t="n">
        <f aca="false">(O232+N232)/2*O233</f>
        <v>1.90170169129798</v>
      </c>
      <c r="P234" s="1" t="n">
        <f aca="false">(P232+O232)/2*P233</f>
        <v>1.96238852919276</v>
      </c>
      <c r="Q234" s="1" t="n">
        <f aca="false">(Q232+P232)/2*Q233</f>
        <v>1.95980738584534</v>
      </c>
      <c r="R234" s="1" t="n">
        <f aca="false">(R232+Q232)/2*R233</f>
        <v>1.90938096883662</v>
      </c>
      <c r="S234" s="1" t="n">
        <f aca="false">(S232+R232)/2*S233</f>
        <v>1.82638061283571</v>
      </c>
      <c r="T234" s="1" t="n">
        <f aca="false">(T232+S232)/2*T233</f>
        <v>1.71911559179765</v>
      </c>
      <c r="U234" s="1" t="n">
        <f aca="false">(U232+T232)/2*U233</f>
        <v>1.60607834587935</v>
      </c>
      <c r="V234" s="1" t="n">
        <f aca="false">(V232+U232)/2*V233</f>
        <v>1.49489461062269</v>
      </c>
      <c r="W234" s="1" t="n">
        <f aca="false">(W232+V232)/2*W233</f>
        <v>1.3916095480838</v>
      </c>
      <c r="X234" s="1" t="n">
        <f aca="false">(X232+W232)/2*X233</f>
        <v>1.29523963359838</v>
      </c>
      <c r="Y234" s="1" t="n">
        <f aca="false">(Y232+X232)/2*Y233</f>
        <v>1.20519023927732</v>
      </c>
      <c r="Z234" s="1" t="n">
        <f aca="false">(Z232+Y232)/2*Z233</f>
        <v>1.12123510783745</v>
      </c>
      <c r="AA234" s="1" t="n">
        <f aca="false">(AA232+Z232)/2*AA233</f>
        <v>1.04301097046355</v>
      </c>
      <c r="AB234" s="1" t="n">
        <f aca="false">(AB232+AA232)/2*AB233</f>
        <v>0.970150935149634</v>
      </c>
      <c r="AC234" s="1" t="n">
        <f aca="false">(AC232+AB232)/2*AC233</f>
        <v>0.902300764389411</v>
      </c>
      <c r="AD234" s="1" t="n">
        <f aca="false">(AD232+AC232)/2*AD233</f>
        <v>0.839127365660623</v>
      </c>
      <c r="AE234" s="1" t="n">
        <f aca="false">(AE232+AD232)/2*AE233</f>
        <v>0.78031795289261</v>
      </c>
      <c r="AF234" s="1" t="n">
        <f aca="false">(AF232+AE232)/2*AF233</f>
        <v>0.725579158577943</v>
      </c>
    </row>
    <row r="235" customFormat="false" ht="14.25" hidden="false" customHeight="true" outlineLevel="0" collapsed="false">
      <c r="B235" s="1" t="s">
        <v>1231</v>
      </c>
      <c r="C235" s="1" t="n">
        <f aca="false">MAX(0,MIN(C234,$C$231*C232))</f>
        <v>0.00184457238860399</v>
      </c>
      <c r="D235" s="1" t="n">
        <f aca="false">MAX(0,MIN(D234,$C$231*D232))</f>
        <v>0.00654229250523607</v>
      </c>
      <c r="E235" s="1" t="n">
        <f aca="false">MAX(0,MIN(E234,$C$231*E232))</f>
        <v>0.0148680271225033</v>
      </c>
      <c r="F235" s="1" t="n">
        <f aca="false">MAX(0,MIN(F234,$C$231*F232))</f>
        <v>0.0307053151176349</v>
      </c>
      <c r="G235" s="1" t="n">
        <f aca="false">MAX(0,MIN(G234,$C$231*G232))</f>
        <v>0.0535697137661963</v>
      </c>
      <c r="H235" s="1" t="n">
        <f aca="false">MAX(0,MIN(H234,$C$231*H232))</f>
        <v>0.0811634511270276</v>
      </c>
      <c r="I235" s="1" t="n">
        <f aca="false">MAX(0,MIN(I234,$C$231*I232))</f>
        <v>0.112053980513675</v>
      </c>
      <c r="J235" s="1" t="n">
        <f aca="false">MAX(0,MIN(J234,$C$231*J232))</f>
        <v>0.145069806996932</v>
      </c>
      <c r="K235" s="1" t="n">
        <f aca="false">MAX(0,MIN(K234,$C$231*K232))</f>
        <v>0.175956343288611</v>
      </c>
      <c r="L235" s="1" t="n">
        <f aca="false">MAX(0,MIN(L234,$C$231*L232))</f>
        <v>0.20485091373291</v>
      </c>
      <c r="M235" s="1" t="n">
        <f aca="false">MAX(0,MIN(M234,$C$231*M232))</f>
        <v>0.230037413824435</v>
      </c>
      <c r="N235" s="1" t="n">
        <f aca="false">MAX(0,MIN(N234,$C$231*N232))</f>
        <v>0.250627450825859</v>
      </c>
      <c r="O235" s="1" t="n">
        <f aca="false">MAX(0,MIN(O234,$C$231*O232))</f>
        <v>0.265958589628317</v>
      </c>
      <c r="P235" s="1" t="n">
        <f aca="false">MAX(0,MIN(P234,$C$231*P232))</f>
        <v>0.272252471961347</v>
      </c>
      <c r="Q235" s="1" t="n">
        <f aca="false">MAX(0,MIN(Q234,$C$231*Q232))</f>
        <v>0.270091937741706</v>
      </c>
      <c r="R235" s="1" t="n">
        <f aca="false">MAX(0,MIN(R234,$C$231*R232))</f>
        <v>0.261866810171276</v>
      </c>
      <c r="S235" s="1" t="n">
        <f aca="false">MAX(0,MIN(S234,$C$231*S232))</f>
        <v>0.249095750533902</v>
      </c>
      <c r="T235" s="1" t="n">
        <f aca="false">MAX(0,MIN(T234,$C$231*T232))</f>
        <v>0.233030814566158</v>
      </c>
      <c r="U235" s="1" t="n">
        <f aca="false">MAX(0,MIN(U234,$C$231*U232))</f>
        <v>0.218001954754249</v>
      </c>
      <c r="V235" s="1" t="n">
        <f aca="false">MAX(0,MIN(V234,$C$231*V232))</f>
        <v>0.203942351423147</v>
      </c>
      <c r="W235" s="1" t="n">
        <f aca="false">MAX(0,MIN(W234,$C$231*W232))</f>
        <v>0.190789494300126</v>
      </c>
      <c r="X235" s="1" t="n">
        <f aca="false">MAX(0,MIN(X234,$C$231*X232))</f>
        <v>0.178484904588418</v>
      </c>
      <c r="Y235" s="1" t="n">
        <f aca="false">MAX(0,MIN(Y234,$C$231*Y232))</f>
        <v>0.166973874965167</v>
      </c>
      <c r="Z235" s="1" t="n">
        <f aca="false">MAX(0,MIN(Z234,$C$231*Z232))</f>
        <v>0.15620522634771</v>
      </c>
      <c r="AA235" s="1" t="n">
        <f aca="false">MAX(0,MIN(AA234,$C$231*AA232))</f>
        <v>0.146131080346727</v>
      </c>
      <c r="AB235" s="1" t="n">
        <f aca="false">MAX(0,MIN(AB234,$C$231*AB232))</f>
        <v>0.13670664639458</v>
      </c>
      <c r="AC235" s="1" t="n">
        <f aca="false">MAX(0,MIN(AC234,$C$231*AC232))</f>
        <v>0.127890022602377</v>
      </c>
      <c r="AD235" s="1" t="n">
        <f aca="false">MAX(0,MIN(AD234,$C$231*AD232))</f>
        <v>0.119642009460375</v>
      </c>
      <c r="AE235" s="1" t="n">
        <f aca="false">MAX(0,MIN(AE234,$C$231*AE232))</f>
        <v>0.1119259355534</v>
      </c>
      <c r="AF235" s="1" t="n">
        <f aca="false">MAX(0,MIN(AF234,$C$231*AF232))</f>
        <v>0.104707494516404</v>
      </c>
    </row>
    <row r="236" customFormat="false" ht="14.25" hidden="false" customHeight="true" outlineLevel="0" collapsed="false">
      <c r="B236" s="1" t="s">
        <v>1232</v>
      </c>
      <c r="C236" s="1" t="n">
        <f aca="false">MAX(0,C234-C235)</f>
        <v>0.00250182567450083</v>
      </c>
      <c r="D236" s="1" t="n">
        <f aca="false">MAX(0,D234-D235)</f>
        <v>0.0921783511905022</v>
      </c>
      <c r="E236" s="1" t="n">
        <f aca="false">MAX(0,E234-E235)</f>
        <v>0.159701655621616</v>
      </c>
      <c r="F236" s="1" t="n">
        <f aca="false">MAX(0,F234-F235)</f>
        <v>0.293241682582177</v>
      </c>
      <c r="G236" s="1" t="n">
        <f aca="false">MAX(0,G234-G235)</f>
        <v>0.339176135606468</v>
      </c>
      <c r="H236" s="1" t="n">
        <f aca="false">MAX(0,H234-H235)</f>
        <v>0.437061903228915</v>
      </c>
      <c r="I236" s="1" t="n">
        <f aca="false">MAX(0,I234-I235)</f>
        <v>0.581451671862166</v>
      </c>
      <c r="J236" s="1" t="n">
        <f aca="false">MAX(0,J234-J235)</f>
        <v>0.75553391524317</v>
      </c>
      <c r="K236" s="1" t="n">
        <f aca="false">MAX(0,K234-K235)</f>
        <v>0.926811201316111</v>
      </c>
      <c r="L236" s="1" t="n">
        <f aca="false">MAX(0,L234-L235)</f>
        <v>1.1890548681914</v>
      </c>
      <c r="M236" s="1" t="n">
        <f aca="false">MAX(0,M234-M235)</f>
        <v>1.45053988807162</v>
      </c>
      <c r="N236" s="1" t="n">
        <f aca="false">MAX(0,N234-N235)</f>
        <v>1.56585726207951</v>
      </c>
      <c r="O236" s="1" t="n">
        <f aca="false">MAX(0,O234-O235)</f>
        <v>1.63574310166966</v>
      </c>
      <c r="P236" s="1" t="n">
        <f aca="false">MAX(0,P234-P235)</f>
        <v>1.69013605723141</v>
      </c>
      <c r="Q236" s="1" t="n">
        <f aca="false">MAX(0,Q234-Q235)</f>
        <v>1.68971544810363</v>
      </c>
      <c r="R236" s="1" t="n">
        <f aca="false">MAX(0,R234-R235)</f>
        <v>1.64751415866534</v>
      </c>
      <c r="S236" s="1" t="n">
        <f aca="false">MAX(0,S234-S235)</f>
        <v>1.57728486230181</v>
      </c>
      <c r="T236" s="1" t="n">
        <f aca="false">MAX(0,T234-T235)</f>
        <v>1.48608477723149</v>
      </c>
      <c r="U236" s="1" t="n">
        <f aca="false">MAX(0,U234-U235)</f>
        <v>1.3880763911251</v>
      </c>
      <c r="V236" s="1" t="n">
        <f aca="false">MAX(0,V234-V235)</f>
        <v>1.29095225919954</v>
      </c>
      <c r="W236" s="1" t="n">
        <f aca="false">MAX(0,W234-W235)</f>
        <v>1.20082005378368</v>
      </c>
      <c r="X236" s="1" t="n">
        <f aca="false">MAX(0,X234-X235)</f>
        <v>1.11675472900996</v>
      </c>
      <c r="Y236" s="1" t="n">
        <f aca="false">MAX(0,Y234-Y235)</f>
        <v>1.03821636431215</v>
      </c>
      <c r="Z236" s="1" t="n">
        <f aca="false">MAX(0,Z234-Z235)</f>
        <v>0.965029881489739</v>
      </c>
      <c r="AA236" s="1" t="n">
        <f aca="false">MAX(0,AA234-AA235)</f>
        <v>0.896879890116819</v>
      </c>
      <c r="AB236" s="1" t="n">
        <f aca="false">MAX(0,AB234-AB235)</f>
        <v>0.833444288755054</v>
      </c>
      <c r="AC236" s="1" t="n">
        <f aca="false">MAX(0,AC234-AC235)</f>
        <v>0.774410741787034</v>
      </c>
      <c r="AD236" s="1" t="n">
        <f aca="false">MAX(0,AD234-AD235)</f>
        <v>0.719485356200248</v>
      </c>
      <c r="AE236" s="1" t="n">
        <f aca="false">MAX(0,AE234-AE235)</f>
        <v>0.66839201733921</v>
      </c>
      <c r="AF236" s="1" t="n">
        <f aca="false">MAX(0,AF234-AF235)</f>
        <v>0.620871664061539</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0.0779833747454677</v>
      </c>
      <c r="D238" s="1" t="n">
        <f aca="false">IF(D112&gt;0,D235/D112,0)</f>
        <v>0.104607816400351</v>
      </c>
      <c r="E238" s="1" t="n">
        <f aca="false">IF(E112&gt;0,E235/E112,0)</f>
        <v>0.129315013771207</v>
      </c>
      <c r="F238" s="1" t="n">
        <f aca="false">IF(F112&gt;0,F235/F112,0)</f>
        <v>0.130505148813518</v>
      </c>
      <c r="G238" s="1" t="n">
        <f aca="false">IF(G112&gt;0,G235/G112,0)</f>
        <v>0.150652515297366</v>
      </c>
      <c r="H238" s="1" t="n">
        <f aca="false">IF(H112&gt;0,H235/H112,0)</f>
        <v>0.178372536953023</v>
      </c>
      <c r="I238" s="1" t="n">
        <f aca="false">IF(I112&gt;0,I235/I112,0)</f>
        <v>0.206737662473735</v>
      </c>
      <c r="J238" s="1" t="n">
        <f aca="false">IF(J112&gt;0,J235/J112,0)</f>
        <v>0.234651179149104</v>
      </c>
      <c r="K238" s="1" t="n">
        <f aca="false">IF(K112&gt;0,K235/K112,0)</f>
        <v>0.273475789253569</v>
      </c>
      <c r="L238" s="1" t="n">
        <f aca="false">IF(L112&gt;0,L235/L112,0)</f>
        <v>0.306388248002835</v>
      </c>
      <c r="M238" s="1" t="n">
        <f aca="false">IF(M112&gt;0,M235/M112,0)</f>
        <v>0.331788946576118</v>
      </c>
      <c r="N238" s="1" t="n">
        <f aca="false">IF(N112&gt;0,N235/N112,0)</f>
        <v>0.349497979171089</v>
      </c>
      <c r="O238" s="1" t="n">
        <f aca="false">IF(O112&gt;0,O235/O112,0)</f>
        <v>0.359626482647482</v>
      </c>
      <c r="P238" s="1" t="n">
        <f aca="false">IF(P112&gt;0,P235/P112,0)</f>
        <v>0.358457959442277</v>
      </c>
      <c r="Q238" s="1" t="n">
        <f aca="false">IF(Q112&gt;0,Q235/Q112,0)</f>
        <v>0.347602790378088</v>
      </c>
      <c r="R238" s="1" t="n">
        <f aca="false">IF(R112&gt;0,R235/R112,0)</f>
        <v>0.330381234014508</v>
      </c>
      <c r="S238" s="1" t="n">
        <f aca="false">IF(S112&gt;0,S235/S112,0)</f>
        <v>0.308745746452268</v>
      </c>
      <c r="T238" s="1" t="n">
        <f aca="false">IF(T112&gt;0,T235/T112,0)</f>
        <v>0.284202456071073</v>
      </c>
      <c r="U238" s="1" t="n">
        <f aca="false">IF(U112&gt;0,U235/U112,0)</f>
        <v>0.261655561062173</v>
      </c>
      <c r="V238" s="1" t="n">
        <f aca="false">IF(V112&gt;0,V235/V112,0)</f>
        <v>0.240940397883704</v>
      </c>
      <c r="W238" s="1" t="n">
        <f aca="false">IF(W112&gt;0,W235/W112,0)</f>
        <v>0.221979937846917</v>
      </c>
      <c r="X238" s="1" t="n">
        <f aca="false">IF(X112&gt;0,X235/X112,0)</f>
        <v>0.204614996198776</v>
      </c>
      <c r="Y238" s="1" t="n">
        <f aca="false">IF(Y112&gt;0,Y235/Y112,0)</f>
        <v>0.188701926914381</v>
      </c>
      <c r="Z238" s="1" t="n">
        <f aca="false">IF(Z112&gt;0,Z235/Z112,0)</f>
        <v>0.17411098235415</v>
      </c>
      <c r="AA238" s="1" t="n">
        <f aca="false">IF(AA112&gt;0,AA235/AA112,0)</f>
        <v>0.16072486094681</v>
      </c>
      <c r="AB238" s="1" t="n">
        <f aca="false">IF(AB112&gt;0,AB235/AB112,0)</f>
        <v>0.148436322370934</v>
      </c>
      <c r="AC238" s="1" t="n">
        <f aca="false">IF(AC112&gt;0,AC235/AC112,0)</f>
        <v>0.137148524885483</v>
      </c>
      <c r="AD238" s="1" t="n">
        <f aca="false">IF(AD112&gt;0,AD235/AD112,0)</f>
        <v>0.126773916680237</v>
      </c>
      <c r="AE238" s="1" t="n">
        <f aca="false">IF(AE112&gt;0,AE235/AE112,0)</f>
        <v>0.117233257942931</v>
      </c>
      <c r="AF238" s="1" t="n">
        <f aca="false">IF(AF112&gt;0,AF235/AF112,0)</f>
        <v>0.108454756579816</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0.00250182567450083</v>
      </c>
      <c r="D243" s="1" t="n">
        <f aca="false">D236</f>
        <v>0.0921783511905022</v>
      </c>
      <c r="E243" s="1" t="n">
        <f aca="false">E236</f>
        <v>0.159701655621616</v>
      </c>
      <c r="F243" s="1" t="n">
        <f aca="false">F236</f>
        <v>0.293241682582177</v>
      </c>
      <c r="G243" s="1" t="n">
        <f aca="false">G236</f>
        <v>0.339176135606468</v>
      </c>
      <c r="H243" s="1" t="n">
        <f aca="false">H236</f>
        <v>0.437061903228915</v>
      </c>
      <c r="I243" s="1" t="n">
        <f aca="false">I236</f>
        <v>0.581451671862166</v>
      </c>
      <c r="J243" s="1" t="n">
        <f aca="false">J236</f>
        <v>0.75553391524317</v>
      </c>
      <c r="K243" s="1" t="n">
        <f aca="false">K236</f>
        <v>0.926811201316111</v>
      </c>
      <c r="L243" s="1" t="n">
        <f aca="false">L236</f>
        <v>1.1890548681914</v>
      </c>
      <c r="M243" s="1" t="n">
        <f aca="false">M236</f>
        <v>1.45053988807162</v>
      </c>
      <c r="N243" s="1" t="n">
        <f aca="false">N236</f>
        <v>1.56585726207951</v>
      </c>
      <c r="O243" s="1" t="n">
        <f aca="false">O236</f>
        <v>1.63574310166966</v>
      </c>
      <c r="P243" s="1" t="n">
        <f aca="false">P236</f>
        <v>1.69013605723141</v>
      </c>
      <c r="Q243" s="1" t="n">
        <f aca="false">Q236</f>
        <v>1.68971544810363</v>
      </c>
      <c r="R243" s="1" t="n">
        <f aca="false">R236</f>
        <v>1.64751415866534</v>
      </c>
      <c r="S243" s="1" t="n">
        <f aca="false">S236</f>
        <v>1.57728486230181</v>
      </c>
      <c r="T243" s="1" t="n">
        <f aca="false">T236</f>
        <v>1.48608477723149</v>
      </c>
      <c r="U243" s="1" t="n">
        <f aca="false">U236</f>
        <v>1.3880763911251</v>
      </c>
      <c r="V243" s="1" t="n">
        <f aca="false">V236</f>
        <v>1.29095225919954</v>
      </c>
      <c r="W243" s="1" t="n">
        <f aca="false">W236</f>
        <v>1.20082005378368</v>
      </c>
      <c r="X243" s="1" t="n">
        <f aca="false">X236</f>
        <v>1.11675472900996</v>
      </c>
      <c r="Y243" s="1" t="n">
        <f aca="false">Y236</f>
        <v>1.03821636431215</v>
      </c>
      <c r="Z243" s="1" t="n">
        <f aca="false">Z236</f>
        <v>0.965029881489739</v>
      </c>
      <c r="AA243" s="1" t="n">
        <f aca="false">AA236</f>
        <v>0.896879890116819</v>
      </c>
      <c r="AB243" s="1" t="n">
        <f aca="false">AB236</f>
        <v>0.833444288755054</v>
      </c>
      <c r="AC243" s="1" t="n">
        <f aca="false">AC236</f>
        <v>0.774410741787034</v>
      </c>
      <c r="AD243" s="1" t="n">
        <f aca="false">AD236</f>
        <v>0.719485356200248</v>
      </c>
      <c r="AE243" s="1" t="n">
        <f aca="false">AE236</f>
        <v>0.66839201733921</v>
      </c>
      <c r="AF243" s="1" t="n">
        <f aca="false">AF236</f>
        <v>0.620871664061539</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0.00250182567450083</v>
      </c>
      <c r="D247" s="1" t="n">
        <f aca="false">MAX(0,C248+D243-D244-D245-D246)</f>
        <v>0.094680176865003</v>
      </c>
      <c r="E247" s="1" t="n">
        <f aca="false">MAX(0,D248+E243-E244-E245-E246)</f>
        <v>0.254381832486619</v>
      </c>
      <c r="F247" s="1" t="n">
        <f aca="false">MAX(0,E248+F243-F244-F245-F246)</f>
        <v>0.547623515068796</v>
      </c>
      <c r="G247" s="1" t="n">
        <f aca="false">MAX(0,F248+G243-G244-G245-G246)</f>
        <v>0.886799650675264</v>
      </c>
      <c r="H247" s="1" t="n">
        <f aca="false">MAX(0,G248+H243-H244-H245-H246)</f>
        <v>1.32386155390418</v>
      </c>
      <c r="I247" s="1" t="n">
        <f aca="false">MAX(0,H248+I243-I244-I245-I246)</f>
        <v>1.90531322576635</v>
      </c>
      <c r="J247" s="1" t="n">
        <f aca="false">MAX(0,I248+J243-J244-J245-J246)</f>
        <v>2.66084714100951</v>
      </c>
      <c r="K247" s="1" t="n">
        <f aca="false">MAX(0,J248+K243-K244-K245-K246)</f>
        <v>3.58765834232563</v>
      </c>
      <c r="L247" s="1" t="n">
        <f aca="false">MAX(0,K248+L243-L244-L245-L246)</f>
        <v>4.77671321051703</v>
      </c>
      <c r="M247" s="1" t="n">
        <f aca="false">MAX(0,L248+M243-M244-M245-M246)</f>
        <v>6.22725309858865</v>
      </c>
      <c r="N247" s="1" t="n">
        <f aca="false">MAX(0,M248+N243-N244-N245-N246)</f>
        <v>7.79311036066816</v>
      </c>
      <c r="O247" s="1" t="n">
        <f aca="false">MAX(0,N248+O243-O244-O245-O246)</f>
        <v>9.42885346233783</v>
      </c>
      <c r="P247" s="1" t="n">
        <f aca="false">MAX(0,O248+P243-P244-P245-P246)</f>
        <v>11.1189895195692</v>
      </c>
      <c r="Q247" s="1" t="n">
        <f aca="false">MAX(0,P248+Q243-Q244-Q245-Q246)</f>
        <v>12.8087049676729</v>
      </c>
      <c r="R247" s="1" t="n">
        <f aca="false">MAX(0,Q248+R243-R244-R245-R246)</f>
        <v>14.4562191263382</v>
      </c>
      <c r="S247" s="1" t="n">
        <f aca="false">MAX(0,R248+S243-S244-S245-S246)</f>
        <v>16.03350398864</v>
      </c>
      <c r="T247" s="1" t="n">
        <f aca="false">MAX(0,S248+T243-T244-T245-T246)</f>
        <v>17.5195887658715</v>
      </c>
      <c r="U247" s="1" t="n">
        <f aca="false">MAX(0,T248+U243-U244-U245-U246)</f>
        <v>18.9076651569966</v>
      </c>
      <c r="V247" s="1" t="n">
        <f aca="false">MAX(0,U248+V243-V244-V245-V246)</f>
        <v>20.1986174161962</v>
      </c>
      <c r="W247" s="1" t="n">
        <f aca="false">MAX(0,V248+W243-W244-W245-W246)</f>
        <v>21.3994374699798</v>
      </c>
      <c r="X247" s="1" t="n">
        <f aca="false">MAX(0,W248+X243-X244-X245-X246)</f>
        <v>22.5161921989898</v>
      </c>
      <c r="Y247" s="1" t="n">
        <f aca="false">MAX(0,X248+Y243-Y244-Y245-Y246)</f>
        <v>23.5544085633019</v>
      </c>
      <c r="Z247" s="1" t="n">
        <f aca="false">MAX(0,Y248+Z243-Z244-Z245-Z246)</f>
        <v>24.5194384447917</v>
      </c>
      <c r="AA247" s="1" t="n">
        <f aca="false">MAX(0,Z248+AA243-AA244-AA245-AA246)</f>
        <v>25.4163183349085</v>
      </c>
      <c r="AB247" s="1" t="n">
        <f aca="false">MAX(0,AA248+AB243-AB244-AB245-AB246)</f>
        <v>26.2497626236636</v>
      </c>
      <c r="AC247" s="1" t="n">
        <f aca="false">MAX(0,AB248+AC243-AC244-AC245-AC246)</f>
        <v>27.0241733654506</v>
      </c>
      <c r="AD247" s="1" t="n">
        <f aca="false">MAX(0,AC248+AD243-AD244-AD245-AD246)</f>
        <v>27.7436587216508</v>
      </c>
      <c r="AE247" s="1" t="n">
        <f aca="false">MAX(0,AD248+AE243-AE244-AE245-AE246)</f>
        <v>28.41205073899</v>
      </c>
      <c r="AF247" s="1" t="n">
        <f aca="false">MAX(0,AE248+AF243-AF244-AF245-AF246)</f>
        <v>29.0329224030516</v>
      </c>
    </row>
    <row r="248" customFormat="false" ht="14.25" hidden="false" customHeight="true" outlineLevel="0" collapsed="false">
      <c r="B248" s="1" t="s">
        <v>1244</v>
      </c>
      <c r="C248" s="1" t="n">
        <f aca="false">MIN(C247,MAX(0,C276))</f>
        <v>0.00250182567450083</v>
      </c>
      <c r="D248" s="1" t="n">
        <f aca="false">MIN(D247,MAX(0,D276))</f>
        <v>0.094680176865003</v>
      </c>
      <c r="E248" s="1" t="n">
        <f aca="false">MIN(E247,MAX(0,E276))</f>
        <v>0.254381832486619</v>
      </c>
      <c r="F248" s="1" t="n">
        <f aca="false">MIN(F247,MAX(0,F276))</f>
        <v>0.547623515068796</v>
      </c>
      <c r="G248" s="1" t="n">
        <f aca="false">MIN(G247,MAX(0,G276))</f>
        <v>0.886799650675264</v>
      </c>
      <c r="H248" s="1" t="n">
        <f aca="false">MIN(H247,MAX(0,H276))</f>
        <v>1.32386155390418</v>
      </c>
      <c r="I248" s="1" t="n">
        <f aca="false">MIN(I247,MAX(0,I276))</f>
        <v>1.90531322576635</v>
      </c>
      <c r="J248" s="1" t="n">
        <f aca="false">MIN(J247,MAX(0,J276))</f>
        <v>2.66084714100951</v>
      </c>
      <c r="K248" s="1" t="n">
        <f aca="false">MIN(K247,MAX(0,K276))</f>
        <v>3.58765834232563</v>
      </c>
      <c r="L248" s="1" t="n">
        <f aca="false">MIN(L247,MAX(0,L276))</f>
        <v>4.77671321051703</v>
      </c>
      <c r="M248" s="1" t="n">
        <f aca="false">MIN(M247,MAX(0,M276))</f>
        <v>6.22725309858865</v>
      </c>
      <c r="N248" s="1" t="n">
        <f aca="false">MIN(N247,MAX(0,N276))</f>
        <v>7.79311036066816</v>
      </c>
      <c r="O248" s="1" t="n">
        <f aca="false">MIN(O247,MAX(0,O276))</f>
        <v>9.42885346233783</v>
      </c>
      <c r="P248" s="1" t="n">
        <f aca="false">MIN(P247,MAX(0,P276))</f>
        <v>11.1189895195692</v>
      </c>
      <c r="Q248" s="1" t="n">
        <f aca="false">MIN(Q247,MAX(0,Q276))</f>
        <v>12.8087049676729</v>
      </c>
      <c r="R248" s="1" t="n">
        <f aca="false">MIN(R247,MAX(0,R276))</f>
        <v>14.4562191263382</v>
      </c>
      <c r="S248" s="1" t="n">
        <f aca="false">MIN(S247,MAX(0,S276))</f>
        <v>16.03350398864</v>
      </c>
      <c r="T248" s="1" t="n">
        <f aca="false">MIN(T247,MAX(0,T276))</f>
        <v>17.5195887658715</v>
      </c>
      <c r="U248" s="1" t="n">
        <f aca="false">MIN(U247,MAX(0,U276))</f>
        <v>18.9076651569966</v>
      </c>
      <c r="V248" s="1" t="n">
        <f aca="false">MIN(V247,MAX(0,V276))</f>
        <v>20.1986174161962</v>
      </c>
      <c r="W248" s="1" t="n">
        <f aca="false">MIN(W247,MAX(0,W276))</f>
        <v>21.3994374699798</v>
      </c>
      <c r="X248" s="1" t="n">
        <f aca="false">MIN(X247,MAX(0,X276))</f>
        <v>22.5161921989898</v>
      </c>
      <c r="Y248" s="1" t="n">
        <f aca="false">MIN(Y247,MAX(0,Y276))</f>
        <v>23.5544085633019</v>
      </c>
      <c r="Z248" s="1" t="n">
        <f aca="false">MIN(Z247,MAX(0,Z276))</f>
        <v>24.5194384447917</v>
      </c>
      <c r="AA248" s="1" t="n">
        <f aca="false">MIN(AA247,MAX(0,AA276))</f>
        <v>25.4163183349085</v>
      </c>
      <c r="AB248" s="1" t="n">
        <f aca="false">MIN(AB247,MAX(0,AB276))</f>
        <v>26.2497626236636</v>
      </c>
      <c r="AC248" s="1" t="n">
        <f aca="false">MIN(AC247,MAX(0,AC276))</f>
        <v>27.0241733654506</v>
      </c>
      <c r="AD248" s="1" t="n">
        <f aca="false">MIN(AD247,MAX(0,AD276))</f>
        <v>27.7436587216508</v>
      </c>
      <c r="AE248" s="1" t="n">
        <f aca="false">MIN(AE247,MAX(0,AE276))</f>
        <v>28.41205073899</v>
      </c>
      <c r="AF248" s="1" t="n">
        <f aca="false">MIN(AF247,MAX(0,AF276))</f>
        <v>29.0329224030516</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20.4706224249511</v>
      </c>
      <c r="D250" s="1" t="n">
        <f aca="false">D120-D248</f>
        <v>40.1420240659867</v>
      </c>
      <c r="E250" s="1" t="n">
        <f aca="false">E120-E248</f>
        <v>60.057816396679</v>
      </c>
      <c r="F250" s="1" t="n">
        <f aca="false">F120-F248</f>
        <v>74.3667204905443</v>
      </c>
      <c r="G250" s="1" t="n">
        <f aca="false">G120-G248</f>
        <v>87.1003718548006</v>
      </c>
      <c r="H250" s="1" t="n">
        <f aca="false">H120-H248</f>
        <v>98.9196278280139</v>
      </c>
      <c r="I250" s="1" t="n">
        <f aca="false">I120-I248</f>
        <v>110.416313398612</v>
      </c>
      <c r="J250" s="1" t="n">
        <f aca="false">J120-J248</f>
        <v>121.904183314515</v>
      </c>
      <c r="K250" s="1" t="n">
        <f aca="false">K120-K248</f>
        <v>134.649755363065</v>
      </c>
      <c r="L250" s="1" t="n">
        <f aca="false">L120-L248</f>
        <v>148.551307516543</v>
      </c>
      <c r="M250" s="1" t="n">
        <f aca="false">M120-M248</f>
        <v>145.3970400366</v>
      </c>
      <c r="N250" s="1" t="n">
        <f aca="false">N120-N248</f>
        <v>144.615701407186</v>
      </c>
      <c r="O250" s="1" t="n">
        <f aca="false">O120-O248</f>
        <v>145.556852338953</v>
      </c>
      <c r="P250" s="1" t="n">
        <f aca="false">P120-P248</f>
        <v>145.167451309347</v>
      </c>
      <c r="Q250" s="1" t="n">
        <f aca="false">Q120-Q248</f>
        <v>144.190360081967</v>
      </c>
      <c r="R250" s="1" t="n">
        <f aca="false">R120-R248</f>
        <v>143.151946774519</v>
      </c>
      <c r="S250" s="1" t="n">
        <f aca="false">S120-S248</f>
        <v>142.036006026496</v>
      </c>
      <c r="T250" s="1" t="n">
        <f aca="false">T120-T248</f>
        <v>140.829813398862</v>
      </c>
      <c r="U250" s="1" t="n">
        <f aca="false">U120-U248</f>
        <v>139.543826831945</v>
      </c>
      <c r="V250" s="1" t="n">
        <f aca="false">V120-V248</f>
        <v>138.343405774908</v>
      </c>
      <c r="W250" s="1" t="n">
        <f aca="false">W120-W248</f>
        <v>136.989982535083</v>
      </c>
      <c r="X250" s="1" t="n">
        <f aca="false">X120-X248</f>
        <v>135.46856961882</v>
      </c>
      <c r="Y250" s="1" t="n">
        <f aca="false">Y120-Y248</f>
        <v>133.832303759937</v>
      </c>
      <c r="Z250" s="1" t="n">
        <f aca="false">Z120-Z248</f>
        <v>132.088834312744</v>
      </c>
      <c r="AA250" s="1" t="n">
        <f aca="false">AA120-AA248</f>
        <v>130.238284469404</v>
      </c>
      <c r="AB250" s="1" t="n">
        <f aca="false">AB120-AB248</f>
        <v>128.280830650226</v>
      </c>
      <c r="AC250" s="1" t="n">
        <f aca="false">AC120-AC248</f>
        <v>126.216735739589</v>
      </c>
      <c r="AD250" s="1" t="n">
        <f aca="false">AD120-AD248</f>
        <v>124.046358380208</v>
      </c>
      <c r="AE250" s="1" t="n">
        <f aca="false">AE120-AE248</f>
        <v>121.770166042237</v>
      </c>
      <c r="AF250" s="1" t="n">
        <f aca="false">AF120-AF248</f>
        <v>119.388736350302</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0.000122200483124816</v>
      </c>
      <c r="D252" s="1" t="n">
        <f aca="false">IF(D120&gt;0,D248/D120,0)</f>
        <v>0.00235307982218309</v>
      </c>
      <c r="E252" s="1" t="n">
        <f aca="false">IF(E120&gt;0,E248/E120,0)</f>
        <v>0.00421775096838711</v>
      </c>
      <c r="F252" s="1" t="n">
        <f aca="false">IF(F120&gt;0,F248/F120,0)</f>
        <v>0.00730999546665942</v>
      </c>
      <c r="G252" s="1" t="n">
        <f aca="false">IF(G120&gt;0,G248/G120,0)</f>
        <v>0.0100787380194404</v>
      </c>
      <c r="H252" s="1" t="n">
        <f aca="false">IF(H120&gt;0,H248/H120,0)</f>
        <v>0.0132064592131305</v>
      </c>
      <c r="I252" s="1" t="n">
        <f aca="false">IF(I120&gt;0,I248/I120,0)</f>
        <v>0.0169630131171268</v>
      </c>
      <c r="J252" s="1" t="n">
        <f aca="false">IF(J120&gt;0,J248/J120,0)</f>
        <v>0.0213611085814294</v>
      </c>
      <c r="K252" s="1" t="n">
        <f aca="false">IF(K120&gt;0,K248/K120,0)</f>
        <v>0.0259528751743835</v>
      </c>
      <c r="L252" s="1" t="n">
        <f aca="false">IF(L120&gt;0,L248/L120,0)</f>
        <v>0.0311535568506429</v>
      </c>
      <c r="M252" s="1" t="n">
        <f aca="false">IF(M120&gt;0,M248/M120,0)</f>
        <v>0.0410702860987876</v>
      </c>
      <c r="N252" s="1" t="n">
        <f aca="false">IF(N120&gt;0,N248/N120,0)</f>
        <v>0.0511329382485998</v>
      </c>
      <c r="O252" s="1" t="n">
        <f aca="false">IF(O120&gt;0,O248/O120,0)</f>
        <v>0.0608369230800334</v>
      </c>
      <c r="P252" s="1" t="n">
        <f aca="false">IF(P120&gt;0,P248/P120,0)</f>
        <v>0.0711449404093923</v>
      </c>
      <c r="Q252" s="1" t="n">
        <f aca="false">IF(Q120&gt;0,Q248/Q120,0)</f>
        <v>0.0815845939185883</v>
      </c>
      <c r="R252" s="1" t="n">
        <f aca="false">IF(R120&gt;0,R248/R120,0)</f>
        <v>0.0917225262010336</v>
      </c>
      <c r="S252" s="1" t="n">
        <f aca="false">IF(S120&gt;0,S248/S120,0)</f>
        <v>0.101433249126316</v>
      </c>
      <c r="T252" s="1" t="n">
        <f aca="false">IF(T120&gt;0,T248/T120,0)</f>
        <v>0.110638805870865</v>
      </c>
      <c r="U252" s="1" t="n">
        <f aca="false">IF(U120&gt;0,U248/U120,0)</f>
        <v>0.119327782399904</v>
      </c>
      <c r="V252" s="1" t="n">
        <f aca="false">IF(V120&gt;0,V248/V120,0)</f>
        <v>0.127402293787112</v>
      </c>
      <c r="W252" s="1" t="n">
        <f aca="false">IF(W120&gt;0,W248/W120,0)</f>
        <v>0.135106482928568</v>
      </c>
      <c r="X252" s="1" t="n">
        <f aca="false">IF(X120&gt;0,X248/X120,0)</f>
        <v>0.14252129091384</v>
      </c>
      <c r="Y252" s="1" t="n">
        <f aca="false">IF(Y120&gt;0,Y248/Y120,0)</f>
        <v>0.149659448473174</v>
      </c>
      <c r="Z252" s="1" t="n">
        <f aca="false">IF(Z120&gt;0,Z248/Z120,0)</f>
        <v>0.156565410070981</v>
      </c>
      <c r="AA252" s="1" t="n">
        <f aca="false">IF(AA120&gt;0,AA248/AA120,0)</f>
        <v>0.163286647982146</v>
      </c>
      <c r="AB252" s="1" t="n">
        <f aca="false">IF(AB120&gt;0,AB248/AB120,0)</f>
        <v>0.169867739892376</v>
      </c>
      <c r="AC252" s="1" t="n">
        <f aca="false">IF(AC120&gt;0,AC248/AC120,0)</f>
        <v>0.176350907360689</v>
      </c>
      <c r="AD252" s="1" t="n">
        <f aca="false">IF(AD120&gt;0,AD248/AD120,0)</f>
        <v>0.182776570234085</v>
      </c>
      <c r="AE252" s="1" t="n">
        <f aca="false">IF(AE120&gt;0,AE248/AE120,0)</f>
        <v>0.189183855105684</v>
      </c>
      <c r="AF252" s="1" t="n">
        <f aca="false">IF(AF120&gt;0,AF248/AF120,0)</f>
        <v>0.195611089694788</v>
      </c>
    </row>
    <row r="253" customFormat="false" ht="14.25" hidden="false" customHeight="true" outlineLevel="0" collapsed="false">
      <c r="B253" s="1" t="s">
        <v>1249</v>
      </c>
    </row>
    <row r="254" customFormat="false" ht="14.25" hidden="false" customHeight="true" outlineLevel="0" collapsed="false">
      <c r="B254" s="1" t="s">
        <v>1250</v>
      </c>
      <c r="C254" s="116" t="n">
        <f aca="false">C112</f>
        <v>0.0236534055447657</v>
      </c>
      <c r="D254" s="116" t="n">
        <f aca="false">D112</f>
        <v>0.0625411439638284</v>
      </c>
      <c r="E254" s="116" t="n">
        <f aca="false">E112</f>
        <v>0.114975258393498</v>
      </c>
      <c r="F254" s="116" t="n">
        <f aca="false">F112</f>
        <v>0.235280488140055</v>
      </c>
      <c r="G254" s="116" t="n">
        <f aca="false">G112</f>
        <v>0.355584595852633</v>
      </c>
      <c r="H254" s="116" t="n">
        <f aca="false">H112</f>
        <v>0.455022126799729</v>
      </c>
      <c r="I254" s="116" t="n">
        <f aca="false">I112</f>
        <v>0.5420104840738</v>
      </c>
      <c r="J254" s="116" t="n">
        <f aca="false">J112</f>
        <v>0.618236002576194</v>
      </c>
      <c r="K254" s="116" t="n">
        <f aca="false">K112</f>
        <v>0.643407388159918</v>
      </c>
      <c r="L254" s="116" t="n">
        <f aca="false">L112</f>
        <v>0.66859912241482</v>
      </c>
      <c r="M254" s="116" t="n">
        <f aca="false">M112</f>
        <v>0.69332452511844</v>
      </c>
      <c r="N254" s="116" t="n">
        <f aca="false">N112</f>
        <v>0.717107009946887</v>
      </c>
      <c r="O254" s="116" t="n">
        <f aca="false">O112</f>
        <v>0.73954116968916</v>
      </c>
      <c r="P254" s="116" t="n">
        <f aca="false">P112</f>
        <v>0.759510187428796</v>
      </c>
      <c r="Q254" s="116" t="n">
        <f aca="false">Q112</f>
        <v>0.777013146091049</v>
      </c>
      <c r="R254" s="116" t="n">
        <f aca="false">R112</f>
        <v>0.792620110377628</v>
      </c>
      <c r="S254" s="116" t="n">
        <f aca="false">S112</f>
        <v>0.806798970985701</v>
      </c>
      <c r="T254" s="116" t="n">
        <f aca="false">T112</f>
        <v>0.819946519068373</v>
      </c>
      <c r="U254" s="116" t="n">
        <f aca="false">U112</f>
        <v>0.833163850480704</v>
      </c>
      <c r="V254" s="116" t="n">
        <f aca="false">V112</f>
        <v>0.846443158617113</v>
      </c>
      <c r="W254" s="116" t="n">
        <f aca="false">W112</f>
        <v>0.859489808631714</v>
      </c>
      <c r="X254" s="116" t="n">
        <f aca="false">X112</f>
        <v>0.872296302344462</v>
      </c>
      <c r="Y254" s="116" t="n">
        <f aca="false">Y112</f>
        <v>0.884855166534295</v>
      </c>
      <c r="Z254" s="116" t="n">
        <f aca="false">Z112</f>
        <v>0.897158951351965</v>
      </c>
      <c r="AA254" s="116" t="n">
        <f aca="false">AA112</f>
        <v>0.909200228800247</v>
      </c>
      <c r="AB254" s="116" t="n">
        <f aca="false">AB112</f>
        <v>0.920978398083441</v>
      </c>
      <c r="AC254" s="116" t="n">
        <f aca="false">AC112</f>
        <v>0.932492877405452</v>
      </c>
      <c r="AD254" s="116" t="n">
        <f aca="false">AD112</f>
        <v>0.943743102630091</v>
      </c>
      <c r="AE254" s="116" t="n">
        <f aca="false">AE112</f>
        <v>0.954728525994609</v>
      </c>
      <c r="AF254" s="116" t="n">
        <f aca="false">AF112</f>
        <v>0.9654486148733</v>
      </c>
    </row>
    <row r="255" customFormat="false" ht="14.25" hidden="false" customHeight="true" outlineLevel="0" collapsed="false">
      <c r="B255" s="1" t="s">
        <v>1251</v>
      </c>
      <c r="C255" s="1" t="n">
        <f aca="false">MIN(C235,C254)</f>
        <v>0.00184457238860399</v>
      </c>
      <c r="D255" s="1" t="n">
        <f aca="false">MIN(D235,D254)</f>
        <v>0.00654229250523607</v>
      </c>
      <c r="E255" s="1" t="n">
        <f aca="false">MIN(E235,E254)</f>
        <v>0.0148680271225033</v>
      </c>
      <c r="F255" s="1" t="n">
        <f aca="false">MIN(F235,F254)</f>
        <v>0.0307053151176349</v>
      </c>
      <c r="G255" s="1" t="n">
        <f aca="false">MIN(G235,G254)</f>
        <v>0.0535697137661963</v>
      </c>
      <c r="H255" s="1" t="n">
        <f aca="false">MIN(H235,H254)</f>
        <v>0.0811634511270276</v>
      </c>
      <c r="I255" s="1" t="n">
        <f aca="false">MIN(I235,I254)</f>
        <v>0.112053980513675</v>
      </c>
      <c r="J255" s="1" t="n">
        <f aca="false">MIN(J235,J254)</f>
        <v>0.145069806996932</v>
      </c>
      <c r="K255" s="1" t="n">
        <f aca="false">MIN(K235,K254)</f>
        <v>0.175956343288611</v>
      </c>
      <c r="L255" s="1" t="n">
        <f aca="false">MIN(L235,L254)</f>
        <v>0.20485091373291</v>
      </c>
      <c r="M255" s="1" t="n">
        <f aca="false">MIN(M235,M254)</f>
        <v>0.230037413824435</v>
      </c>
      <c r="N255" s="1" t="n">
        <f aca="false">MIN(N235,N254)</f>
        <v>0.250627450825859</v>
      </c>
      <c r="O255" s="1" t="n">
        <f aca="false">MIN(O235,O254)</f>
        <v>0.265958589628317</v>
      </c>
      <c r="P255" s="1" t="n">
        <f aca="false">MIN(P235,P254)</f>
        <v>0.272252471961347</v>
      </c>
      <c r="Q255" s="1" t="n">
        <f aca="false">MIN(Q235,Q254)</f>
        <v>0.270091937741706</v>
      </c>
      <c r="R255" s="1" t="n">
        <f aca="false">MIN(R235,R254)</f>
        <v>0.261866810171276</v>
      </c>
      <c r="S255" s="1" t="n">
        <f aca="false">MIN(S235,S254)</f>
        <v>0.249095750533902</v>
      </c>
      <c r="T255" s="1" t="n">
        <f aca="false">MIN(T235,T254)</f>
        <v>0.233030814566158</v>
      </c>
      <c r="U255" s="1" t="n">
        <f aca="false">MIN(U235,U254)</f>
        <v>0.218001954754249</v>
      </c>
      <c r="V255" s="1" t="n">
        <f aca="false">MIN(V235,V254)</f>
        <v>0.203942351423147</v>
      </c>
      <c r="W255" s="1" t="n">
        <f aca="false">MIN(W235,W254)</f>
        <v>0.190789494300126</v>
      </c>
      <c r="X255" s="1" t="n">
        <f aca="false">MIN(X235,X254)</f>
        <v>0.178484904588418</v>
      </c>
      <c r="Y255" s="1" t="n">
        <f aca="false">MIN(Y235,Y254)</f>
        <v>0.166973874965167</v>
      </c>
      <c r="Z255" s="1" t="n">
        <f aca="false">MIN(Z235,Z254)</f>
        <v>0.15620522634771</v>
      </c>
      <c r="AA255" s="1" t="n">
        <f aca="false">MIN(AA235,AA254)</f>
        <v>0.146131080346727</v>
      </c>
      <c r="AB255" s="1" t="n">
        <f aca="false">MIN(AB235,AB254)</f>
        <v>0.13670664639458</v>
      </c>
      <c r="AC255" s="1" t="n">
        <f aca="false">MIN(AC235,AC254)</f>
        <v>0.127890022602377</v>
      </c>
      <c r="AD255" s="1" t="n">
        <f aca="false">MIN(AD235,AD254)</f>
        <v>0.119642009460375</v>
      </c>
      <c r="AE255" s="1" t="n">
        <f aca="false">MIN(AE235,AE254)</f>
        <v>0.1119259355534</v>
      </c>
      <c r="AF255" s="1" t="n">
        <f aca="false">MIN(AF235,AF254)</f>
        <v>0.104707494516404</v>
      </c>
    </row>
    <row r="256" customFormat="false" ht="14.25" hidden="false" customHeight="true" outlineLevel="0" collapsed="false">
      <c r="B256" s="1" t="s">
        <v>1252</v>
      </c>
      <c r="C256" s="1" t="n">
        <f aca="false">MIN(C254-C255,MAX(0,C107-C108+C109+C110+C184-C229-C235))</f>
        <v>0.0218088331561617</v>
      </c>
      <c r="D256" s="1" t="n">
        <f aca="false">MIN(D254-D255,MAX(0,D107-D108+D109+D110+D184-D229-D235))</f>
        <v>0.0559988514585923</v>
      </c>
      <c r="E256" s="1" t="n">
        <f aca="false">MIN(E254-E255,MAX(0,E107-E108+E109+E110+E184-E229-E235))</f>
        <v>0.100107231270995</v>
      </c>
      <c r="F256" s="1" t="n">
        <f aca="false">MIN(F254-F255,MAX(0,F107-F108+F109+F110+F184-F229-F235))</f>
        <v>0.20457517302242</v>
      </c>
      <c r="G256" s="1" t="n">
        <f aca="false">MIN(G254-G255,MAX(0,G107-G108+G109+G110+G184-G229-G235))</f>
        <v>0.302014882086437</v>
      </c>
      <c r="H256" s="1" t="n">
        <f aca="false">MIN(H254-H255,MAX(0,H107-H108+H109+H110+H184-H229-H235))</f>
        <v>0.373858675672701</v>
      </c>
      <c r="I256" s="1" t="n">
        <f aca="false">MIN(I254-I255,MAX(0,I107-I108+I109+I110+I184-I229-I235))</f>
        <v>0.429956503560125</v>
      </c>
      <c r="J256" s="1" t="n">
        <f aca="false">MIN(J254-J255,MAX(0,J107-J108+J109+J110+J184-J229-J235))</f>
        <v>0.473166195579262</v>
      </c>
      <c r="K256" s="1" t="n">
        <f aca="false">MIN(K254-K255,MAX(0,K107-K108+K109+K110+K184-K229-K235))</f>
        <v>0.467451044871307</v>
      </c>
      <c r="L256" s="1" t="n">
        <f aca="false">MIN(L254-L255,MAX(0,L107-L108+L109+L110+L184-L229-L235))</f>
        <v>0.46374820868191</v>
      </c>
      <c r="M256" s="1" t="n">
        <f aca="false">MIN(M254-M255,MAX(0,M107-M108+M109+M110+M184-M229-M235))</f>
        <v>0.463287111294005</v>
      </c>
      <c r="N256" s="1" t="n">
        <f aca="false">MIN(N254-N255,MAX(0,N107-N108+N109+N110+N184-N229-N235))</f>
        <v>0.466479559121028</v>
      </c>
      <c r="O256" s="1" t="n">
        <f aca="false">MIN(O254-O255,MAX(0,O107-O108+O109+O110+O184-O229-O235))</f>
        <v>0.473582580060843</v>
      </c>
      <c r="P256" s="1" t="n">
        <f aca="false">MIN(P254-P255,MAX(0,P107-P108+P109+P110+P184-P229-P235))</f>
        <v>0.487257715467449</v>
      </c>
      <c r="Q256" s="1" t="n">
        <f aca="false">MIN(Q254-Q255,MAX(0,Q107-Q108+Q109+Q110+Q184-Q229-Q235))</f>
        <v>0.506921208349343</v>
      </c>
      <c r="R256" s="1" t="n">
        <f aca="false">MIN(R254-R255,MAX(0,R107-R108+R109+R110+R184-R229-R235))</f>
        <v>0.530753300206352</v>
      </c>
      <c r="S256" s="1" t="n">
        <f aca="false">MIN(S254-S255,MAX(0,S107-S108+S109+S110+S184-S229-S235))</f>
        <v>0.557703220451799</v>
      </c>
      <c r="T256" s="1" t="n">
        <f aca="false">MIN(T254-T255,MAX(0,T107-T108+T109+T110+T184-T229-T235))</f>
        <v>0.586915704502214</v>
      </c>
      <c r="U256" s="1" t="n">
        <f aca="false">MIN(U254-U255,MAX(0,U107-U108+U109+U110+U184-U229-U235))</f>
        <v>0.615161895726455</v>
      </c>
      <c r="V256" s="1" t="n">
        <f aca="false">MIN(V254-V255,MAX(0,V107-V108+V109+V110+V184-V229-V235))</f>
        <v>0.642500807193966</v>
      </c>
      <c r="W256" s="1" t="n">
        <f aca="false">MIN(W254-W255,MAX(0,W107-W108+W109+W110+W184-W229-W235))</f>
        <v>0.668700314331588</v>
      </c>
      <c r="X256" s="1" t="n">
        <f aca="false">MIN(X254-X255,MAX(0,X107-X108+X109+X110+X184-X229-X235))</f>
        <v>0.693811397756044</v>
      </c>
      <c r="Y256" s="1" t="n">
        <f aca="false">MIN(Y254-Y255,MAX(0,Y107-Y108+Y109+Y110+Y184-Y229-Y235))</f>
        <v>0.717881291569128</v>
      </c>
      <c r="Z256" s="1" t="n">
        <f aca="false">MIN(Z254-Z255,MAX(0,Z107-Z108+Z109+Z110+Z184-Z229-Z235))</f>
        <v>0.740953725004255</v>
      </c>
      <c r="AA256" s="1" t="n">
        <f aca="false">MIN(AA254-AA255,MAX(0,AA107-AA108+AA109+AA110+AA184-AA229-AA235))</f>
        <v>0.76306914845352</v>
      </c>
      <c r="AB256" s="1" t="n">
        <f aca="false">MIN(AB254-AB255,MAX(0,AB107-AB108+AB109+AB110+AB184-AB229-AB235))</f>
        <v>0.784271751688861</v>
      </c>
      <c r="AC256" s="1" t="n">
        <f aca="false">MIN(AC254-AC255,MAX(0,AC107-AC108+AC109+AC110+AC184-AC229-AC235))</f>
        <v>0.804602854803074</v>
      </c>
      <c r="AD256" s="1" t="n">
        <f aca="false">MIN(AD254-AD255,MAX(0,AD107-AD108+AD109+AD110+AD184-AD229-AD235))</f>
        <v>0.824101093169716</v>
      </c>
      <c r="AE256" s="1" t="n">
        <f aca="false">MIN(AE254-AE255,MAX(0,AE107-AE108+AE109+AE110+AE184-AE229-AE235))</f>
        <v>0.842802590441209</v>
      </c>
      <c r="AF256" s="1" t="n">
        <f aca="false">MIN(AF254-AF255,MAX(0,AF107-AF108+AF109+AF110+AF184-AF229-AF235))</f>
        <v>0.860741120356895</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5.99497779535458</v>
      </c>
      <c r="D261" s="1" t="n">
        <f aca="false">(D83-D326)+D181</f>
        <v>16.0714063617387</v>
      </c>
      <c r="E261" s="1" t="n">
        <f aca="false">(E83-E326)+E181</f>
        <v>28.8608867898546</v>
      </c>
      <c r="F261" s="1" t="n">
        <f aca="false">(F83-F326)+F181</f>
        <v>42.8880032461946</v>
      </c>
      <c r="G261" s="1" t="n">
        <f aca="false">(G83-G326)+G181</f>
        <v>56.9586948084126</v>
      </c>
      <c r="H261" s="1" t="n">
        <f aca="false">(H83-H326)+H181</f>
        <v>70.9319257622879</v>
      </c>
      <c r="I261" s="1" t="n">
        <f aca="false">(I83-I326)+I181</f>
        <v>85.1920007336856</v>
      </c>
      <c r="J261" s="1" t="n">
        <f aca="false">(J83-J326)+J181</f>
        <v>99.7827849436026</v>
      </c>
      <c r="K261" s="1" t="n">
        <f aca="false">(K83-K326)+K181</f>
        <v>114.259506266228</v>
      </c>
      <c r="L261" s="1" t="n">
        <f aca="false">(L83-L326)+L181</f>
        <v>129.348433884454</v>
      </c>
      <c r="M261" s="1" t="n">
        <f aca="false">(M83-M326)+M181</f>
        <v>143.270413390829</v>
      </c>
      <c r="N261" s="1" t="n">
        <f aca="false">(N83-N326)+N181</f>
        <v>153.001889506478</v>
      </c>
      <c r="O261" s="1" t="n">
        <f aca="false">(O83-O326)+O181</f>
        <v>158.500620639813</v>
      </c>
      <c r="P261" s="1" t="n">
        <f aca="false">(P83-P326)+P181</f>
        <v>162.704718717026</v>
      </c>
      <c r="Q261" s="1" t="n">
        <f aca="false">(Q83-Q326)+Q181</f>
        <v>166.427983782937</v>
      </c>
      <c r="R261" s="1" t="n">
        <f aca="false">(R83-R326)+R181</f>
        <v>170.235751546277</v>
      </c>
      <c r="S261" s="1" t="n">
        <f aca="false">(S83-S326)+S181</f>
        <v>174.131356512559</v>
      </c>
      <c r="T261" s="1" t="n">
        <f aca="false">(T83-T326)+T181</f>
        <v>178.117012467472</v>
      </c>
      <c r="U261" s="1" t="n">
        <f aca="false">(U83-U326)+U181</f>
        <v>182.199964148863</v>
      </c>
      <c r="V261" s="1" t="n">
        <f aca="false">(V83-V326)+V181</f>
        <v>185.323607465169</v>
      </c>
      <c r="W261" s="1" t="n">
        <f aca="false">(W83-W326)+W181</f>
        <v>188.166263255523</v>
      </c>
      <c r="X261" s="1" t="n">
        <f aca="false">(X83-X326)+X181</f>
        <v>190.88944211945</v>
      </c>
      <c r="Y261" s="1" t="n">
        <f aca="false">(Y83-Y326)+Y181</f>
        <v>193.54809239456</v>
      </c>
      <c r="Z261" s="1" t="n">
        <f aca="false">(Z83-Z326)+Z181</f>
        <v>196.149921589219</v>
      </c>
      <c r="AA261" s="1" t="n">
        <f aca="false">(AA83-AA326)+AA181</f>
        <v>198.694777836586</v>
      </c>
      <c r="AB261" s="1" t="n">
        <f aca="false">(AB83-AB326)+AB181</f>
        <v>201.182557990054</v>
      </c>
      <c r="AC261" s="1" t="n">
        <f aca="false">(AC83-AC326)+AC181</f>
        <v>203.613142824044</v>
      </c>
      <c r="AD261" s="1" t="n">
        <f aca="false">(AD83-AD326)+AD181</f>
        <v>205.986404852058</v>
      </c>
      <c r="AE261" s="1" t="n">
        <f aca="false">(AE83-AE326)+AE181</f>
        <v>208.302220000676</v>
      </c>
      <c r="AF261" s="1" t="n">
        <f aca="false">(AF83-AF326)+AF181</f>
        <v>210.560467334371</v>
      </c>
    </row>
    <row r="262" customFormat="false" ht="14.25" hidden="false" customHeight="true" outlineLevel="0" collapsed="false">
      <c r="B262" s="1" t="s">
        <v>1257</v>
      </c>
      <c r="C262" s="1" t="n">
        <f aca="false">$C$260*C261</f>
        <v>0.299748889767729</v>
      </c>
      <c r="D262" s="1" t="n">
        <f aca="false">$C$260*D261</f>
        <v>0.803570318086935</v>
      </c>
      <c r="E262" s="1" t="n">
        <f aca="false">$C$260*E261</f>
        <v>1.44304433949273</v>
      </c>
      <c r="F262" s="1" t="n">
        <f aca="false">$C$260*F261</f>
        <v>2.14440016230973</v>
      </c>
      <c r="G262" s="1" t="n">
        <f aca="false">$C$260*G261</f>
        <v>2.84793474042063</v>
      </c>
      <c r="H262" s="1" t="n">
        <f aca="false">$C$260*H261</f>
        <v>3.54659628811439</v>
      </c>
      <c r="I262" s="1" t="n">
        <f aca="false">$C$260*I261</f>
        <v>4.25960003668428</v>
      </c>
      <c r="J262" s="1" t="n">
        <f aca="false">$C$260*J261</f>
        <v>4.98913924718013</v>
      </c>
      <c r="K262" s="1" t="n">
        <f aca="false">$C$260*K261</f>
        <v>5.7129753133114</v>
      </c>
      <c r="L262" s="1" t="n">
        <f aca="false">$C$260*L261</f>
        <v>6.46742169422271</v>
      </c>
      <c r="M262" s="1" t="n">
        <f aca="false">$C$260*M261</f>
        <v>7.16352066954145</v>
      </c>
      <c r="N262" s="1" t="n">
        <f aca="false">$C$260*N261</f>
        <v>7.65009447532388</v>
      </c>
      <c r="O262" s="1" t="n">
        <f aca="false">$C$260*O261</f>
        <v>7.92503103199064</v>
      </c>
      <c r="P262" s="1" t="n">
        <f aca="false">$C$260*P261</f>
        <v>8.13523593585129</v>
      </c>
      <c r="Q262" s="1" t="n">
        <f aca="false">$C$260*Q261</f>
        <v>8.32139918914684</v>
      </c>
      <c r="R262" s="1" t="n">
        <f aca="false">$C$260*R261</f>
        <v>8.51178757731386</v>
      </c>
      <c r="S262" s="1" t="n">
        <f aca="false">$C$260*S261</f>
        <v>8.70656782562797</v>
      </c>
      <c r="T262" s="1" t="n">
        <f aca="false">$C$260*T261</f>
        <v>8.90585062337359</v>
      </c>
      <c r="U262" s="1" t="n">
        <f aca="false">$C$260*U261</f>
        <v>9.10999820744313</v>
      </c>
      <c r="V262" s="1" t="n">
        <f aca="false">$C$260*V261</f>
        <v>9.26618037325846</v>
      </c>
      <c r="W262" s="1" t="n">
        <f aca="false">$C$260*W261</f>
        <v>9.40831316277617</v>
      </c>
      <c r="X262" s="1" t="n">
        <f aca="false">$C$260*X261</f>
        <v>9.54447210597249</v>
      </c>
      <c r="Y262" s="1" t="n">
        <f aca="false">$C$260*Y261</f>
        <v>9.67740461972802</v>
      </c>
      <c r="Z262" s="1" t="n">
        <f aca="false">$C$260*Z261</f>
        <v>9.80749607946097</v>
      </c>
      <c r="AA262" s="1" t="n">
        <f aca="false">$C$260*AA261</f>
        <v>9.93473889182929</v>
      </c>
      <c r="AB262" s="1" t="n">
        <f aca="false">$C$260*AB261</f>
        <v>10.0591278995027</v>
      </c>
      <c r="AC262" s="1" t="n">
        <f aca="false">$C$260*AC261</f>
        <v>10.1806571412022</v>
      </c>
      <c r="AD262" s="1" t="n">
        <f aca="false">$C$260*AD261</f>
        <v>10.2993202426029</v>
      </c>
      <c r="AE262" s="1" t="n">
        <f aca="false">$C$260*AE261</f>
        <v>10.4151110000338</v>
      </c>
      <c r="AF262" s="1" t="n">
        <f aca="false">$C$260*AF261</f>
        <v>10.5280233667186</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7.49061336803098</v>
      </c>
      <c r="G263" s="1" t="n">
        <f aca="false">MAX(0,(G70+F121-F227)*0.25/0.55)</f>
        <v>14.8696640340136</v>
      </c>
      <c r="H263" s="1" t="n">
        <f aca="false">MAX(0,(H70+G121-G227)*0.25/0.55)</f>
        <v>22.2501894108194</v>
      </c>
      <c r="I263" s="1" t="n">
        <f aca="false">MAX(0,(I70+H121-H227)*0.25/0.55)</f>
        <v>29.6322415557403</v>
      </c>
      <c r="J263" s="1" t="n">
        <f aca="false">MAX(0,(J70+I121-I227)*0.25/0.55)</f>
        <v>37.0158743636908</v>
      </c>
      <c r="K263" s="1" t="n">
        <f aca="false">MAX(0,(K70+J121-J227)*0.25/0.55)</f>
        <v>40.2040205191044</v>
      </c>
      <c r="L263" s="1" t="n">
        <f aca="false">MAX(0,(L70+K121-K227)*0.25/0.55)</f>
        <v>43.3921666745181</v>
      </c>
      <c r="M263" s="1" t="n">
        <f aca="false">MAX(0,(M70+L121-L227)*0.25/0.55)</f>
        <v>44.6628820486956</v>
      </c>
      <c r="N263" s="1" t="n">
        <f aca="false">MAX(0,(N70+M121-M227)*0.25/0.55)</f>
        <v>45.9354133739816</v>
      </c>
      <c r="O263" s="1" t="n">
        <f aca="false">MAX(0,(O70+N121-N227)*0.25/0.55)</f>
        <v>47.2098247534501</v>
      </c>
      <c r="P263" s="1" t="n">
        <f aca="false">MAX(0,(P70+O121-O227)*0.25/0.55)</f>
        <v>48.486182553014</v>
      </c>
      <c r="Q263" s="1" t="n">
        <f aca="false">MAX(0,(Q70+P121-P227)*0.25/0.55)</f>
        <v>49.7645554813024</v>
      </c>
      <c r="R263" s="1" t="n">
        <f aca="false">MAX(0,(R70+Q121-Q227)*0.25/0.55)</f>
        <v>51.0450146723594</v>
      </c>
      <c r="S263" s="1" t="n">
        <f aca="false">MAX(0,(S70+R121-R227)*0.25/0.55)</f>
        <v>52.3276337712607</v>
      </c>
      <c r="T263" s="1" t="n">
        <f aca="false">MAX(0,(T70+S121-S227)*0.25/0.55)</f>
        <v>53.6124890227532</v>
      </c>
      <c r="U263" s="1" t="n">
        <f aca="false">MAX(0,(U70+T121-T227)*0.25/0.55)</f>
        <v>54.8996593630235</v>
      </c>
      <c r="V263" s="1" t="n">
        <f aca="false">MAX(0,(V70+U121-U227)*0.25/0.55)</f>
        <v>56.1892265147052</v>
      </c>
      <c r="W263" s="1" t="n">
        <f aca="false">MAX(0,(W70+V121-V227)*0.25/0.55)</f>
        <v>57.4812750852413</v>
      </c>
      <c r="X263" s="1" t="n">
        <f aca="false">MAX(0,(X70+W121-W227)*0.25/0.55)</f>
        <v>58.7758926687174</v>
      </c>
      <c r="Y263" s="1" t="n">
        <f aca="false">MAX(0,(Y70+X121-X227)*0.25/0.55)</f>
        <v>60.0731699512902</v>
      </c>
      <c r="Z263" s="1" t="n">
        <f aca="false">MAX(0,(Z70+Y121-Y227)*0.25/0.55)</f>
        <v>61.3732008203377</v>
      </c>
      <c r="AA263" s="1" t="n">
        <f aca="false">MAX(0,(AA70+Z121-Z227)*0.25/0.55)</f>
        <v>62.6760824774627</v>
      </c>
      <c r="AB263" s="1" t="n">
        <f aca="false">MAX(0,(AB70+AA121-AA227)*0.25/0.55)</f>
        <v>63.9819155554842</v>
      </c>
      <c r="AC263" s="1" t="n">
        <f aca="false">MAX(0,(AC70+AB121-AB227)*0.25/0.55)</f>
        <v>65.2908042395598</v>
      </c>
      <c r="AD263" s="1" t="n">
        <f aca="false">MAX(0,(AD70+AC121-AC227)*0.25/0.55)</f>
        <v>66.6028563925833</v>
      </c>
      <c r="AE263" s="1" t="n">
        <f aca="false">MAX(0,(AE70+AD121-AD227)*0.25/0.55)</f>
        <v>67.9181836850085</v>
      </c>
      <c r="AF263" s="1" t="n">
        <f aca="false">MAX(0,(AF70+AE121-AE227)*0.25/0.55)</f>
        <v>69.2369017292564</v>
      </c>
    </row>
    <row r="264" customFormat="false" ht="14.25" hidden="false" customHeight="true" outlineLevel="0" collapsed="false">
      <c r="B264" s="1" t="s">
        <v>1259</v>
      </c>
      <c r="C264" s="1" t="n">
        <f aca="false">MAX(0,C262-C263)</f>
        <v>0.263385253404093</v>
      </c>
      <c r="D264" s="1" t="n">
        <f aca="false">MAX(0,D262-D263)</f>
        <v>0.729559408996025</v>
      </c>
      <c r="E264" s="1" t="n">
        <f aca="false">MAX(0,E262-E263)</f>
        <v>1.33005720894728</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0.00658463133510231</v>
      </c>
      <c r="D265" s="1" t="n">
        <f aca="false">D264*MAX(0,$C$10-01_Supuestos!$I$134)</f>
        <v>0.0182389852249006</v>
      </c>
      <c r="E265" s="1" t="n">
        <f aca="false">E264*MAX(0,$C$10-01_Supuestos!$I$134)</f>
        <v>0.0332514302236819</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8.24309446861255</v>
      </c>
      <c r="D266" s="1" t="n">
        <f aca="false">IF(D263&gt;0,D262/D263,0)</f>
        <v>10.8574577445048</v>
      </c>
      <c r="E266" s="1" t="n">
        <f aca="false">IF(E263&gt;0,E262/E263,0)</f>
        <v>12.7717584518371</v>
      </c>
      <c r="F266" s="1" t="n">
        <f aca="false">IF(F263&gt;0,F262/F263,0)</f>
        <v>0.286278313530607</v>
      </c>
      <c r="G266" s="1" t="n">
        <f aca="false">IF(G263&gt;0,G262/G263,0)</f>
        <v>0.191526502139263</v>
      </c>
      <c r="H266" s="1" t="n">
        <f aca="false">IF(H263&gt;0,H262/H263,0)</f>
        <v>0.159396229067148</v>
      </c>
      <c r="I266" s="1" t="n">
        <f aca="false">IF(I263&gt;0,I262/I263,0)</f>
        <v>0.143748829418513</v>
      </c>
      <c r="J266" s="1" t="n">
        <f aca="false">IF(J263&gt;0,J262/J263,0)</f>
        <v>0.134783774068404</v>
      </c>
      <c r="K266" s="1" t="n">
        <f aca="false">IF(K263&gt;0,K262/K263,0)</f>
        <v>0.14209960196883</v>
      </c>
      <c r="L266" s="1" t="n">
        <f aca="false">IF(L263&gt;0,L262/L263,0)</f>
        <v>0.149045834533556</v>
      </c>
      <c r="M266" s="1" t="n">
        <f aca="false">IF(M263&gt;0,M262/M263,0)</f>
        <v>0.160390918385677</v>
      </c>
      <c r="N266" s="1" t="n">
        <f aca="false">IF(N263&gt;0,N262/N263,0)</f>
        <v>0.166540233632838</v>
      </c>
      <c r="O266" s="1" t="n">
        <f aca="false">IF(O263&gt;0,O262/O263,0)</f>
        <v>0.167868257791223</v>
      </c>
      <c r="P266" s="1" t="n">
        <f aca="false">IF(P263&gt;0,P262/P263,0)</f>
        <v>0.167784624556828</v>
      </c>
      <c r="Q266" s="1" t="n">
        <f aca="false">IF(Q263&gt;0,Q262/Q263,0)</f>
        <v>0.167215382688857</v>
      </c>
      <c r="R266" s="1" t="n">
        <f aca="false">IF(R263&gt;0,R262/R263,0)</f>
        <v>0.166750614765186</v>
      </c>
      <c r="S266" s="1" t="n">
        <f aca="false">IF(S263&gt;0,S262/S263,0)</f>
        <v>0.16638565893667</v>
      </c>
      <c r="T266" s="1" t="n">
        <f aca="false">IF(T263&gt;0,T262/T263,0)</f>
        <v>0.16611522400301</v>
      </c>
      <c r="U266" s="1" t="n">
        <f aca="false">IF(U263&gt;0,U262/U263,0)</f>
        <v>0.165939066164388</v>
      </c>
      <c r="V266" s="1" t="n">
        <f aca="false">IF(V263&gt;0,V262/V263,0)</f>
        <v>0.164910267466192</v>
      </c>
      <c r="W266" s="1" t="n">
        <f aca="false">IF(W263&gt;0,W262/W263,0)</f>
        <v>0.163676138861294</v>
      </c>
      <c r="X266" s="1" t="n">
        <f aca="false">IF(X263&gt;0,X262/X263,0)</f>
        <v>0.162387531224216</v>
      </c>
      <c r="Y266" s="1" t="n">
        <f aca="false">IF(Y263&gt;0,Y262/Y263,0)</f>
        <v>0.161093623452447</v>
      </c>
      <c r="Z266" s="1" t="n">
        <f aca="false">IF(Z263&gt;0,Z262/Z263,0)</f>
        <v>0.159800954624661</v>
      </c>
      <c r="AA266" s="1" t="n">
        <f aca="false">IF(AA263&gt;0,AA262/AA263,0)</f>
        <v>0.158509251043277</v>
      </c>
      <c r="AB266" s="1" t="n">
        <f aca="false">IF(AB263&gt;0,AB262/AB263,0)</f>
        <v>0.157218298517174</v>
      </c>
      <c r="AC266" s="1" t="n">
        <f aca="false">IF(AC263&gt;0,AC262/AC263,0)</f>
        <v>0.155927886932563</v>
      </c>
      <c r="AD266" s="1" t="n">
        <f aca="false">IF(AD263&gt;0,AD262/AD263,0)</f>
        <v>0.154637815860249</v>
      </c>
      <c r="AE266" s="1" t="n">
        <f aca="false">IF(AE263&gt;0,AE262/AE263,0)</f>
        <v>0.153347902357594</v>
      </c>
      <c r="AF266" s="1" t="n">
        <f aca="false">IF(AF263&gt;0,AF262/AF263,0)</f>
        <v>0.152057979253423</v>
      </c>
    </row>
    <row r="267" customFormat="false" ht="14.25" hidden="false" customHeight="true" outlineLevel="0" collapsed="false">
      <c r="B267" s="1" t="s">
        <v>1262</v>
      </c>
      <c r="C267" s="1" t="n">
        <f aca="false">C120-C264</f>
        <v>20.2097389972215</v>
      </c>
      <c r="D267" s="1" t="n">
        <f aca="false">D120-D264</f>
        <v>39.5071448338557</v>
      </c>
      <c r="E267" s="1" t="n">
        <f aca="false">E120-E264</f>
        <v>58.9821410202184</v>
      </c>
      <c r="F267" s="1" t="n">
        <f aca="false">F120-F264</f>
        <v>74.9143440056131</v>
      </c>
      <c r="G267" s="1" t="n">
        <f aca="false">G120-G264</f>
        <v>87.9871715054758</v>
      </c>
      <c r="H267" s="1" t="n">
        <f aca="false">H120-H264</f>
        <v>100.243489381918</v>
      </c>
      <c r="I267" s="1" t="n">
        <f aca="false">I120-I264</f>
        <v>112.321626624378</v>
      </c>
      <c r="J267" s="1" t="n">
        <f aca="false">J120-J264</f>
        <v>124.565030455524</v>
      </c>
      <c r="K267" s="1" t="n">
        <f aca="false">K120-K264</f>
        <v>138.237413705391</v>
      </c>
      <c r="L267" s="1" t="n">
        <f aca="false">L120-L264</f>
        <v>153.32802072706</v>
      </c>
      <c r="M267" s="1" t="n">
        <f aca="false">M120-M264</f>
        <v>151.624293135189</v>
      </c>
      <c r="N267" s="1" t="n">
        <f aca="false">N120-N264</f>
        <v>152.408811767854</v>
      </c>
      <c r="O267" s="1" t="n">
        <f aca="false">O120-O264</f>
        <v>154.985705801291</v>
      </c>
      <c r="P267" s="1" t="n">
        <f aca="false">P120-P264</f>
        <v>156.286440828916</v>
      </c>
      <c r="Q267" s="1" t="n">
        <f aca="false">Q120-Q264</f>
        <v>156.99906504964</v>
      </c>
      <c r="R267" s="1" t="n">
        <f aca="false">R120-R264</f>
        <v>157.608165900857</v>
      </c>
      <c r="S267" s="1" t="n">
        <f aca="false">S120-S264</f>
        <v>158.069510015136</v>
      </c>
      <c r="T267" s="1" t="n">
        <f aca="false">T120-T264</f>
        <v>158.349402164734</v>
      </c>
      <c r="U267" s="1" t="n">
        <f aca="false">U120-U264</f>
        <v>158.451491988942</v>
      </c>
      <c r="V267" s="1" t="n">
        <f aca="false">V120-V264</f>
        <v>158.542023191104</v>
      </c>
      <c r="W267" s="1" t="n">
        <f aca="false">W120-W264</f>
        <v>158.389420005063</v>
      </c>
      <c r="X267" s="1" t="n">
        <f aca="false">X120-X264</f>
        <v>157.984761817809</v>
      </c>
      <c r="Y267" s="1" t="n">
        <f aca="false">Y120-Y264</f>
        <v>157.386712323239</v>
      </c>
      <c r="Z267" s="1" t="n">
        <f aca="false">Z120-Z264</f>
        <v>156.608272757536</v>
      </c>
      <c r="AA267" s="1" t="n">
        <f aca="false">AA120-AA264</f>
        <v>155.654602804313</v>
      </c>
      <c r="AB267" s="1" t="n">
        <f aca="false">AB120-AB264</f>
        <v>154.530593273889</v>
      </c>
      <c r="AC267" s="1" t="n">
        <f aca="false">AC120-AC264</f>
        <v>153.240909105039</v>
      </c>
      <c r="AD267" s="1" t="n">
        <f aca="false">AD120-AD264</f>
        <v>151.790017101859</v>
      </c>
      <c r="AE267" s="1" t="n">
        <f aca="false">AE120-AE264</f>
        <v>150.182216781227</v>
      </c>
      <c r="AF267" s="1" t="n">
        <f aca="false">AF120-AF264</f>
        <v>148.421658753354</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0.299748889767729</v>
      </c>
      <c r="D270" s="1" t="n">
        <f aca="false">01_Supuestos!$C$173*D261</f>
        <v>0.803570318086935</v>
      </c>
      <c r="E270" s="1" t="n">
        <f aca="false">01_Supuestos!$C$173*E261</f>
        <v>1.44304433949273</v>
      </c>
      <c r="F270" s="1" t="n">
        <f aca="false">01_Supuestos!$C$173*F261</f>
        <v>2.14440016230973</v>
      </c>
      <c r="G270" s="1" t="n">
        <f aca="false">01_Supuestos!$C$173*G261</f>
        <v>2.84793474042063</v>
      </c>
      <c r="H270" s="1" t="n">
        <f aca="false">01_Supuestos!$C$173*H261</f>
        <v>3.54659628811439</v>
      </c>
      <c r="I270" s="1" t="n">
        <f aca="false">01_Supuestos!$C$173*I261</f>
        <v>4.25960003668428</v>
      </c>
      <c r="J270" s="1" t="n">
        <f aca="false">01_Supuestos!$C$173*J261</f>
        <v>4.98913924718013</v>
      </c>
      <c r="K270" s="1" t="n">
        <f aca="false">01_Supuestos!$C$173*K261</f>
        <v>5.7129753133114</v>
      </c>
      <c r="L270" s="1" t="n">
        <f aca="false">01_Supuestos!$C$173*L261</f>
        <v>6.46742169422271</v>
      </c>
      <c r="M270" s="1" t="n">
        <f aca="false">01_Supuestos!$C$173*M261</f>
        <v>7.16352066954145</v>
      </c>
      <c r="N270" s="1" t="n">
        <f aca="false">01_Supuestos!$C$173*N261</f>
        <v>7.65009447532388</v>
      </c>
      <c r="O270" s="1" t="n">
        <f aca="false">01_Supuestos!$C$173*O261</f>
        <v>7.92503103199064</v>
      </c>
      <c r="P270" s="1" t="n">
        <f aca="false">01_Supuestos!$C$173*P261</f>
        <v>8.13523593585129</v>
      </c>
      <c r="Q270" s="1" t="n">
        <f aca="false">01_Supuestos!$C$173*Q261</f>
        <v>8.32139918914684</v>
      </c>
      <c r="R270" s="1" t="n">
        <f aca="false">01_Supuestos!$C$173*R261</f>
        <v>8.51178757731386</v>
      </c>
      <c r="S270" s="1" t="n">
        <f aca="false">01_Supuestos!$C$173*S261</f>
        <v>8.70656782562797</v>
      </c>
      <c r="T270" s="1" t="n">
        <f aca="false">01_Supuestos!$C$173*T261</f>
        <v>8.90585062337359</v>
      </c>
      <c r="U270" s="1" t="n">
        <f aca="false">01_Supuestos!$C$173*U261</f>
        <v>9.10999820744313</v>
      </c>
      <c r="V270" s="1" t="n">
        <f aca="false">01_Supuestos!$C$173*V261</f>
        <v>9.26618037325846</v>
      </c>
      <c r="W270" s="1" t="n">
        <f aca="false">01_Supuestos!$C$173*W261</f>
        <v>9.40831316277617</v>
      </c>
      <c r="X270" s="1" t="n">
        <f aca="false">01_Supuestos!$C$173*X261</f>
        <v>9.54447210597249</v>
      </c>
      <c r="Y270" s="1" t="n">
        <f aca="false">01_Supuestos!$C$173*Y261</f>
        <v>9.67740461972802</v>
      </c>
      <c r="Z270" s="1" t="n">
        <f aca="false">01_Supuestos!$C$173*Z261</f>
        <v>9.80749607946097</v>
      </c>
      <c r="AA270" s="1" t="n">
        <f aca="false">01_Supuestos!$C$173*AA261</f>
        <v>9.93473889182929</v>
      </c>
      <c r="AB270" s="1" t="n">
        <f aca="false">01_Supuestos!$C$173*AB261</f>
        <v>10.0591278995027</v>
      </c>
      <c r="AC270" s="1" t="n">
        <f aca="false">01_Supuestos!$C$173*AC261</f>
        <v>10.1806571412022</v>
      </c>
      <c r="AD270" s="1" t="n">
        <f aca="false">01_Supuestos!$C$173*AD261</f>
        <v>10.2993202426029</v>
      </c>
      <c r="AE270" s="1" t="n">
        <f aca="false">01_Supuestos!$C$173*AE261</f>
        <v>10.4151110000338</v>
      </c>
      <c r="AF270" s="1" t="n">
        <f aca="false">01_Supuestos!$C$173*AF261</f>
        <v>10.5280233667186</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2.14440016230973</v>
      </c>
      <c r="G271" s="1" t="n">
        <f aca="false">MIN(G270,G263)</f>
        <v>2.84793474042063</v>
      </c>
      <c r="H271" s="1" t="n">
        <f aca="false">MIN(H270,H263)</f>
        <v>3.54659628811439</v>
      </c>
      <c r="I271" s="1" t="n">
        <f aca="false">MIN(I270,I263)</f>
        <v>4.25960003668428</v>
      </c>
      <c r="J271" s="1" t="n">
        <f aca="false">MIN(J270,J263)</f>
        <v>4.98913924718013</v>
      </c>
      <c r="K271" s="1" t="n">
        <f aca="false">MIN(K270,K263)</f>
        <v>5.7129753133114</v>
      </c>
      <c r="L271" s="1" t="n">
        <f aca="false">MIN(L270,L263)</f>
        <v>6.46742169422271</v>
      </c>
      <c r="M271" s="1" t="n">
        <f aca="false">MIN(M270,M263)</f>
        <v>7.16352066954145</v>
      </c>
      <c r="N271" s="1" t="n">
        <f aca="false">MIN(N270,N263)</f>
        <v>7.65009447532388</v>
      </c>
      <c r="O271" s="1" t="n">
        <f aca="false">MIN(O270,O263)</f>
        <v>7.92503103199064</v>
      </c>
      <c r="P271" s="1" t="n">
        <f aca="false">MIN(P270,P263)</f>
        <v>8.13523593585129</v>
      </c>
      <c r="Q271" s="1" t="n">
        <f aca="false">MIN(Q270,Q263)</f>
        <v>8.32139918914684</v>
      </c>
      <c r="R271" s="1" t="n">
        <f aca="false">MIN(R270,R263)</f>
        <v>8.51178757731386</v>
      </c>
      <c r="S271" s="1" t="n">
        <f aca="false">MIN(S270,S263)</f>
        <v>8.70656782562797</v>
      </c>
      <c r="T271" s="1" t="n">
        <f aca="false">MIN(T270,T263)</f>
        <v>8.90585062337359</v>
      </c>
      <c r="U271" s="1" t="n">
        <f aca="false">MIN(U270,U263)</f>
        <v>9.10999820744313</v>
      </c>
      <c r="V271" s="1" t="n">
        <f aca="false">MIN(V270,V263)</f>
        <v>9.26618037325846</v>
      </c>
      <c r="W271" s="1" t="n">
        <f aca="false">MIN(W270,W263)</f>
        <v>9.40831316277617</v>
      </c>
      <c r="X271" s="1" t="n">
        <f aca="false">MIN(X270,X263)</f>
        <v>9.54447210597249</v>
      </c>
      <c r="Y271" s="1" t="n">
        <f aca="false">MIN(Y270,Y263)</f>
        <v>9.67740461972802</v>
      </c>
      <c r="Z271" s="1" t="n">
        <f aca="false">MIN(Z270,Z263)</f>
        <v>9.80749607946097</v>
      </c>
      <c r="AA271" s="1" t="n">
        <f aca="false">MIN(AA270,AA263)</f>
        <v>9.93473889182929</v>
      </c>
      <c r="AB271" s="1" t="n">
        <f aca="false">MIN(AB270,AB263)</f>
        <v>10.0591278995027</v>
      </c>
      <c r="AC271" s="1" t="n">
        <f aca="false">MIN(AC270,AC263)</f>
        <v>10.1806571412022</v>
      </c>
      <c r="AD271" s="1" t="n">
        <f aca="false">MIN(AD270,AD263)</f>
        <v>10.2993202426029</v>
      </c>
      <c r="AE271" s="1" t="n">
        <f aca="false">MIN(AE270,AE263)</f>
        <v>10.4151110000338</v>
      </c>
      <c r="AF271" s="1" t="n">
        <f aca="false">MIN(AF270,AF263)</f>
        <v>10.5280233667186</v>
      </c>
    </row>
    <row r="272" customFormat="false" ht="14.25" hidden="false" customHeight="true" outlineLevel="0" collapsed="false">
      <c r="B272" s="1" t="s">
        <v>1267</v>
      </c>
      <c r="C272" s="1" t="n">
        <f aca="false">MIN(C270-C271,MAX(0,C120))</f>
        <v>0.263385253404093</v>
      </c>
      <c r="D272" s="1" t="n">
        <f aca="false">MIN(D270-D271,MAX(0,D120))</f>
        <v>0.729559408996025</v>
      </c>
      <c r="E272" s="1" t="n">
        <f aca="false">MIN(E270-E271,MAX(0,E120))</f>
        <v>1.33005720894728</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0.00803570318086935</v>
      </c>
      <c r="E274" s="1" t="n">
        <f aca="false">IF(01_Supuestos!$C$174="Sí",01_Supuestos!$C$172*E271,01_Supuestos!$I$134*(E271+MIN(MIN(E270-E271,MAX(0,D120)),E264))+$C$10*MAX(0,MIN(E270-E271,MAX(0,D120))-E264))</f>
        <v>0.0144304433949273</v>
      </c>
      <c r="F274" s="1" t="n">
        <f aca="false">IF(01_Supuestos!$C$174="Sí",01_Supuestos!$C$172*F271,01_Supuestos!$I$134*(F271+MIN(MIN(F270-F271,MAX(0,E120)),F264))+$C$10*MAX(0,MIN(F270-F271,MAX(0,E120))-F264))</f>
        <v>0.0214440016230973</v>
      </c>
      <c r="G274" s="1" t="n">
        <f aca="false">IF(01_Supuestos!$C$174="Sí",01_Supuestos!$C$172*G271,01_Supuestos!$I$134*(G271+MIN(MIN(G270-G271,MAX(0,F120)),G264))+$C$10*MAX(0,MIN(G270-G271,MAX(0,F120))-G264))</f>
        <v>0.0284793474042063</v>
      </c>
      <c r="H274" s="1" t="n">
        <f aca="false">IF(01_Supuestos!$C$174="Sí",01_Supuestos!$C$172*H271,01_Supuestos!$I$134*(H271+MIN(MIN(H270-H271,MAX(0,G120)),H264))+$C$10*MAX(0,MIN(H270-H271,MAX(0,G120))-H264))</f>
        <v>0.0354659628811439</v>
      </c>
      <c r="I274" s="1" t="n">
        <f aca="false">IF(01_Supuestos!$C$174="Sí",01_Supuestos!$C$172*I271,01_Supuestos!$I$134*(I271+MIN(MIN(I270-I271,MAX(0,H120)),I264))+$C$10*MAX(0,MIN(I270-I271,MAX(0,H120))-I264))</f>
        <v>0.0425960003668428</v>
      </c>
      <c r="J274" s="1" t="n">
        <f aca="false">IF(01_Supuestos!$C$174="Sí",01_Supuestos!$C$172*J271,01_Supuestos!$I$134*(J271+MIN(MIN(J270-J271,MAX(0,I120)),J264))+$C$10*MAX(0,MIN(J270-J271,MAX(0,I120))-J264))</f>
        <v>0.0498913924718013</v>
      </c>
      <c r="K274" s="1" t="n">
        <f aca="false">IF(01_Supuestos!$C$174="Sí",01_Supuestos!$C$172*K271,01_Supuestos!$I$134*(K271+MIN(MIN(K270-K271,MAX(0,J120)),K264))+$C$10*MAX(0,MIN(K270-K271,MAX(0,J120))-K264))</f>
        <v>0.057129753133114</v>
      </c>
      <c r="L274" s="1" t="n">
        <f aca="false">IF(01_Supuestos!$C$174="Sí",01_Supuestos!$C$172*L271,01_Supuestos!$I$134*(L271+MIN(MIN(L270-L271,MAX(0,K120)),L264))+$C$10*MAX(0,MIN(L270-L271,MAX(0,K120))-L264))</f>
        <v>0.0646742169422271</v>
      </c>
      <c r="M274" s="1" t="n">
        <f aca="false">IF(01_Supuestos!$C$174="Sí",01_Supuestos!$C$172*M271,01_Supuestos!$I$134*(M271+MIN(MIN(M270-M271,MAX(0,L120)),M264))+$C$10*MAX(0,MIN(M270-M271,MAX(0,L120))-M264))</f>
        <v>0.0716352066954145</v>
      </c>
      <c r="N274" s="1" t="n">
        <f aca="false">IF(01_Supuestos!$C$174="Sí",01_Supuestos!$C$172*N271,01_Supuestos!$I$134*(N271+MIN(MIN(N270-N271,MAX(0,M120)),N264))+$C$10*MAX(0,MIN(N270-N271,MAX(0,M120))-N264))</f>
        <v>0.0765009447532388</v>
      </c>
      <c r="O274" s="1" t="n">
        <f aca="false">IF(01_Supuestos!$C$174="Sí",01_Supuestos!$C$172*O271,01_Supuestos!$I$134*(O271+MIN(MIN(O270-O271,MAX(0,N120)),O264))+$C$10*MAX(0,MIN(O270-O271,MAX(0,N120))-O264))</f>
        <v>0.0792503103199064</v>
      </c>
      <c r="P274" s="1" t="n">
        <f aca="false">IF(01_Supuestos!$C$174="Sí",01_Supuestos!$C$172*P271,01_Supuestos!$I$134*(P271+MIN(MIN(P270-P271,MAX(0,O120)),P264))+$C$10*MAX(0,MIN(P270-P271,MAX(0,O120))-P264))</f>
        <v>0.0813523593585129</v>
      </c>
      <c r="Q274" s="1" t="n">
        <f aca="false">IF(01_Supuestos!$C$174="Sí",01_Supuestos!$C$172*Q271,01_Supuestos!$I$134*(Q271+MIN(MIN(Q270-Q271,MAX(0,P120)),Q264))+$C$10*MAX(0,MIN(Q270-Q271,MAX(0,P120))-Q264))</f>
        <v>0.0832139918914684</v>
      </c>
      <c r="R274" s="1" t="n">
        <f aca="false">IF(01_Supuestos!$C$174="Sí",01_Supuestos!$C$172*R271,01_Supuestos!$I$134*(R271+MIN(MIN(R270-R271,MAX(0,Q120)),R264))+$C$10*MAX(0,MIN(R270-R271,MAX(0,Q120))-R264))</f>
        <v>0.0851178757731386</v>
      </c>
      <c r="S274" s="1" t="n">
        <f aca="false">IF(01_Supuestos!$C$174="Sí",01_Supuestos!$C$172*S271,01_Supuestos!$I$134*(S271+MIN(MIN(S270-S271,MAX(0,R120)),S264))+$C$10*MAX(0,MIN(S270-S271,MAX(0,R120))-S264))</f>
        <v>0.0870656782562797</v>
      </c>
      <c r="T274" s="1" t="n">
        <f aca="false">IF(01_Supuestos!$C$174="Sí",01_Supuestos!$C$172*T271,01_Supuestos!$I$134*(T271+MIN(MIN(T270-T271,MAX(0,S120)),T264))+$C$10*MAX(0,MIN(T270-T271,MAX(0,S120))-T264))</f>
        <v>0.0890585062337359</v>
      </c>
      <c r="U274" s="1" t="n">
        <f aca="false">IF(01_Supuestos!$C$174="Sí",01_Supuestos!$C$172*U271,01_Supuestos!$I$134*(U271+MIN(MIN(U270-U271,MAX(0,T120)),U264))+$C$10*MAX(0,MIN(U270-U271,MAX(0,T120))-U264))</f>
        <v>0.0910999820744313</v>
      </c>
      <c r="V274" s="1" t="n">
        <f aca="false">IF(01_Supuestos!$C$174="Sí",01_Supuestos!$C$172*V271,01_Supuestos!$I$134*(V271+MIN(MIN(V270-V271,MAX(0,U120)),V264))+$C$10*MAX(0,MIN(V270-V271,MAX(0,U120))-V264))</f>
        <v>0.0926618037325846</v>
      </c>
      <c r="W274" s="1" t="n">
        <f aca="false">IF(01_Supuestos!$C$174="Sí",01_Supuestos!$C$172*W271,01_Supuestos!$I$134*(W271+MIN(MIN(W270-W271,MAX(0,V120)),W264))+$C$10*MAX(0,MIN(W270-W271,MAX(0,V120))-W264))</f>
        <v>0.0940831316277617</v>
      </c>
      <c r="X274" s="1" t="n">
        <f aca="false">IF(01_Supuestos!$C$174="Sí",01_Supuestos!$C$172*X271,01_Supuestos!$I$134*(X271+MIN(MIN(X270-X271,MAX(0,W120)),X264))+$C$10*MAX(0,MIN(X270-X271,MAX(0,W120))-X264))</f>
        <v>0.0954447210597249</v>
      </c>
      <c r="Y274" s="1" t="n">
        <f aca="false">IF(01_Supuestos!$C$174="Sí",01_Supuestos!$C$172*Y271,01_Supuestos!$I$134*(Y271+MIN(MIN(Y270-Y271,MAX(0,X120)),Y264))+$C$10*MAX(0,MIN(Y270-Y271,MAX(0,X120))-Y264))</f>
        <v>0.0967740461972802</v>
      </c>
      <c r="Z274" s="1" t="n">
        <f aca="false">IF(01_Supuestos!$C$174="Sí",01_Supuestos!$C$172*Z271,01_Supuestos!$I$134*(Z271+MIN(MIN(Z270-Z271,MAX(0,Y120)),Z264))+$C$10*MAX(0,MIN(Z270-Z271,MAX(0,Y120))-Z264))</f>
        <v>0.0980749607946097</v>
      </c>
      <c r="AA274" s="1" t="n">
        <f aca="false">IF(01_Supuestos!$C$174="Sí",01_Supuestos!$C$172*AA271,01_Supuestos!$I$134*(AA271+MIN(MIN(AA270-AA271,MAX(0,Z120)),AA264))+$C$10*MAX(0,MIN(AA270-AA271,MAX(0,Z120))-AA264))</f>
        <v>0.0993473889182929</v>
      </c>
      <c r="AB274" s="1" t="n">
        <f aca="false">IF(01_Supuestos!$C$174="Sí",01_Supuestos!$C$172*AB271,01_Supuestos!$I$134*(AB271+MIN(MIN(AB270-AB271,MAX(0,AA120)),AB264))+$C$10*MAX(0,MIN(AB270-AB271,MAX(0,AA120))-AB264))</f>
        <v>0.100591278995027</v>
      </c>
      <c r="AC274" s="1" t="n">
        <f aca="false">IF(01_Supuestos!$C$174="Sí",01_Supuestos!$C$172*AC271,01_Supuestos!$I$134*(AC271+MIN(MIN(AC270-AC271,MAX(0,AB120)),AC264))+$C$10*MAX(0,MIN(AC270-AC271,MAX(0,AB120))-AC264))</f>
        <v>0.101806571412022</v>
      </c>
      <c r="AD274" s="1" t="n">
        <f aca="false">IF(01_Supuestos!$C$174="Sí",01_Supuestos!$C$172*AD271,01_Supuestos!$I$134*(AD271+MIN(MIN(AD270-AD271,MAX(0,AC120)),AD264))+$C$10*MAX(0,MIN(AD270-AD271,MAX(0,AC120))-AD264))</f>
        <v>0.102993202426029</v>
      </c>
      <c r="AE274" s="1" t="n">
        <f aca="false">IF(01_Supuestos!$C$174="Sí",01_Supuestos!$C$172*AE271,01_Supuestos!$I$134*(AE271+MIN(MIN(AE270-AE271,MAX(0,AD120)),AE264))+$C$10*MAX(0,MIN(AE270-AE271,MAX(0,AD120))-AE264))</f>
        <v>0.104151110000338</v>
      </c>
      <c r="AF274" s="1" t="n">
        <f aca="false">IF(01_Supuestos!$C$174="Sí",01_Supuestos!$C$172*AF271,01_Supuestos!$I$134*(AF271+MIN(MIN(AF270-AF271,MAX(0,AE120)),AF264))+$C$10*MAX(0,MIN(AF270-AF271,MAX(0,AE120))-AF264))</f>
        <v>0.105280233667186</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20.2097389972215</v>
      </c>
      <c r="D276" s="1" t="n">
        <f aca="false">D120-MAX(D264,D272)</f>
        <v>39.5071448338557</v>
      </c>
      <c r="E276" s="1" t="n">
        <f aca="false">E120-MAX(E264,E272)</f>
        <v>58.9821410202184</v>
      </c>
      <c r="F276" s="1" t="n">
        <f aca="false">F120-MAX(F264,F272)</f>
        <v>74.9143440056131</v>
      </c>
      <c r="G276" s="1" t="n">
        <f aca="false">G120-MAX(G264,G272)</f>
        <v>87.9871715054758</v>
      </c>
      <c r="H276" s="1" t="n">
        <f aca="false">H120-MAX(H264,H272)</f>
        <v>100.243489381918</v>
      </c>
      <c r="I276" s="1" t="n">
        <f aca="false">I120-MAX(I264,I272)</f>
        <v>112.321626624378</v>
      </c>
      <c r="J276" s="1" t="n">
        <f aca="false">J120-MAX(J264,J272)</f>
        <v>124.565030455524</v>
      </c>
      <c r="K276" s="1" t="n">
        <f aca="false">K120-MAX(K264,K272)</f>
        <v>138.237413705391</v>
      </c>
      <c r="L276" s="1" t="n">
        <f aca="false">L120-MAX(L264,L272)</f>
        <v>153.32802072706</v>
      </c>
      <c r="M276" s="1" t="n">
        <f aca="false">M120-MAX(M264,M272)</f>
        <v>151.624293135189</v>
      </c>
      <c r="N276" s="1" t="n">
        <f aca="false">N120-MAX(N264,N272)</f>
        <v>152.408811767854</v>
      </c>
      <c r="O276" s="1" t="n">
        <f aca="false">O120-MAX(O264,O272)</f>
        <v>154.985705801291</v>
      </c>
      <c r="P276" s="1" t="n">
        <f aca="false">P120-MAX(P264,P272)</f>
        <v>156.286440828916</v>
      </c>
      <c r="Q276" s="1" t="n">
        <f aca="false">Q120-MAX(Q264,Q272)</f>
        <v>156.99906504964</v>
      </c>
      <c r="R276" s="1" t="n">
        <f aca="false">R120-MAX(R264,R272)</f>
        <v>157.608165900857</v>
      </c>
      <c r="S276" s="1" t="n">
        <f aca="false">S120-MAX(S264,S272)</f>
        <v>158.069510015136</v>
      </c>
      <c r="T276" s="1" t="n">
        <f aca="false">T120-MAX(T264,T272)</f>
        <v>158.349402164734</v>
      </c>
      <c r="U276" s="1" t="n">
        <f aca="false">U120-MAX(U264,U272)</f>
        <v>158.451491988942</v>
      </c>
      <c r="V276" s="1" t="n">
        <f aca="false">V120-MAX(V264,V272)</f>
        <v>158.542023191104</v>
      </c>
      <c r="W276" s="1" t="n">
        <f aca="false">W120-MAX(W264,W272)</f>
        <v>158.389420005063</v>
      </c>
      <c r="X276" s="1" t="n">
        <f aca="false">X120-MAX(X264,X272)</f>
        <v>157.984761817809</v>
      </c>
      <c r="Y276" s="1" t="n">
        <f aca="false">Y120-MAX(Y264,Y272)</f>
        <v>157.386712323239</v>
      </c>
      <c r="Z276" s="1" t="n">
        <f aca="false">Z120-MAX(Z264,Z272)</f>
        <v>156.608272757536</v>
      </c>
      <c r="AA276" s="1" t="n">
        <f aca="false">AA120-MAX(AA264,AA272)</f>
        <v>155.654602804313</v>
      </c>
      <c r="AB276" s="1" t="n">
        <f aca="false">AB120-MAX(AB264,AB272)</f>
        <v>154.530593273889</v>
      </c>
      <c r="AC276" s="1" t="n">
        <f aca="false">AC120-MAX(AC264,AC272)</f>
        <v>153.240909105039</v>
      </c>
      <c r="AD276" s="1" t="n">
        <f aca="false">AD120-MAX(AD264,AD272)</f>
        <v>151.790017101859</v>
      </c>
      <c r="AE276" s="1" t="n">
        <f aca="false">AE120-MAX(AE264,AE272)</f>
        <v>150.182216781227</v>
      </c>
      <c r="AF276" s="1" t="n">
        <f aca="false">AF120-MAX(AF264,AF272)</f>
        <v>148.421658753354</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2.15158778078157</v>
      </c>
      <c r="D284" s="1" t="n">
        <f aca="false">$C$279*D87</f>
        <v>5.60164986037079</v>
      </c>
      <c r="E284" s="1" t="n">
        <f aca="false">$C$279*E87</f>
        <v>9.7086560997431</v>
      </c>
      <c r="F284" s="1" t="n">
        <f aca="false">$C$279*F87</f>
        <v>12.2301621893589</v>
      </c>
      <c r="G284" s="1" t="n">
        <f aca="false">$C$279*G87</f>
        <v>14.8794201054532</v>
      </c>
      <c r="H284" s="1" t="n">
        <f aca="false">$C$279*H87</f>
        <v>18.185176948938</v>
      </c>
      <c r="I284" s="1" t="n">
        <f aca="false">$C$279*I87</f>
        <v>21.9383193693201</v>
      </c>
      <c r="J284" s="1" t="n">
        <f aca="false">$C$279*J87</f>
        <v>26.0994260542934</v>
      </c>
      <c r="K284" s="1" t="n">
        <f aca="false">$C$279*K87</f>
        <v>31.6869826530955</v>
      </c>
      <c r="L284" s="1" t="n">
        <f aca="false">$C$279*L87</f>
        <v>37.4171296022407</v>
      </c>
      <c r="M284" s="1" t="n">
        <f aca="false">$C$279*M87</f>
        <v>47.2982423405846</v>
      </c>
      <c r="N284" s="1" t="n">
        <f aca="false">$C$279*N87</f>
        <v>53.3771310372805</v>
      </c>
      <c r="O284" s="1" t="n">
        <f aca="false">$C$279*O87</f>
        <v>54.5112390495504</v>
      </c>
      <c r="P284" s="1" t="n">
        <f aca="false">$C$279*P87</f>
        <v>55.7183843070107</v>
      </c>
      <c r="Q284" s="1" t="n">
        <f aca="false">$C$279*Q87</f>
        <v>56.9993681125375</v>
      </c>
      <c r="R284" s="1" t="n">
        <f aca="false">$C$279*R87</f>
        <v>58.3460169037838</v>
      </c>
      <c r="S284" s="1" t="n">
        <f aca="false">$C$279*S87</f>
        <v>59.7517848729779</v>
      </c>
      <c r="T284" s="1" t="n">
        <f aca="false">$C$279*T87</f>
        <v>61.2112649699939</v>
      </c>
      <c r="U284" s="1" t="n">
        <f aca="false">$C$279*U87</f>
        <v>62.7079767210921</v>
      </c>
      <c r="V284" s="1" t="n">
        <f aca="false">$C$279*V87</f>
        <v>63.7387572516071</v>
      </c>
      <c r="W284" s="1" t="n">
        <f aca="false">$C$279*W87</f>
        <v>64.6793322214143</v>
      </c>
      <c r="X284" s="1" t="n">
        <f aca="false">$C$279*X87</f>
        <v>65.6002479768173</v>
      </c>
      <c r="Y284" s="1" t="n">
        <f aca="false">$C$279*Y87</f>
        <v>66.5015606850455</v>
      </c>
      <c r="Z284" s="1" t="n">
        <f aca="false">$C$279*Z87</f>
        <v>67.3833281831141</v>
      </c>
      <c r="AA284" s="1" t="n">
        <f aca="false">$C$279*AA87</f>
        <v>68.2456098631937</v>
      </c>
      <c r="AB284" s="1" t="n">
        <f aca="false">$C$279*AB87</f>
        <v>69.0883593554204</v>
      </c>
      <c r="AC284" s="1" t="n">
        <f aca="false">$C$279*AC87</f>
        <v>69.9115316294489</v>
      </c>
      <c r="AD284" s="1" t="n">
        <f aca="false">$C$279*AD87</f>
        <v>70.7150828929186</v>
      </c>
      <c r="AE284" s="1" t="n">
        <f aca="false">$C$279*AE87</f>
        <v>71.4989704937764</v>
      </c>
      <c r="AF284" s="1" t="n">
        <f aca="false">$C$279*AF87</f>
        <v>72.263152826221</v>
      </c>
    </row>
    <row r="285" customFormat="false" ht="14.25" hidden="false" customHeight="true" outlineLevel="0" collapsed="false">
      <c r="B285" s="84" t="s">
        <v>1280</v>
      </c>
      <c r="C285" s="1" t="n">
        <f aca="false">MAX(0/$C$280,0-C284)</f>
        <v>0</v>
      </c>
      <c r="D285" s="1" t="n">
        <f aca="false">MAX(C284*(1-$C$340)/$C$280,C284-D341-D284)</f>
        <v>0.106503595148688</v>
      </c>
      <c r="E285" s="1" t="n">
        <f aca="false">MAX(D284*(1-$C$340)/$C$280,D284-E341-E284)</f>
        <v>0.277281668088354</v>
      </c>
      <c r="F285" s="1" t="n">
        <f aca="false">MAX(E284*(1-$C$340)/$C$280,E284-F341-F284)</f>
        <v>0.480578476937284</v>
      </c>
      <c r="G285" s="1" t="n">
        <f aca="false">MAX(F284*(1-$C$340)/$C$280,F284-G341-G284)</f>
        <v>0.605393028373265</v>
      </c>
      <c r="H285" s="1" t="n">
        <f aca="false">MAX(G284*(1-$C$340)/$C$280,G284-H341-H284)</f>
        <v>0.736531295219932</v>
      </c>
      <c r="I285" s="1" t="n">
        <f aca="false">MAX(H284*(1-$C$340)/$C$280,H284-I341-I284)</f>
        <v>0.900166258972432</v>
      </c>
      <c r="J285" s="1" t="n">
        <f aca="false">MAX(I284*(1-$C$340)/$C$280,I284-J341-J284)</f>
        <v>1.08594680878135</v>
      </c>
      <c r="K285" s="1" t="n">
        <f aca="false">MAX(J284*(1-$C$340)/$C$280,J284-K341-K284)</f>
        <v>1.29192158968752</v>
      </c>
      <c r="L285" s="1" t="n">
        <f aca="false">MAX(K284*(1-$C$340)/$C$280,K284-L341-L284)</f>
        <v>1.56850564132823</v>
      </c>
      <c r="M285" s="1" t="n">
        <f aca="false">MAX(L284*(1-$C$340)/$C$280,L284-M341-M284)</f>
        <v>1.85214791531091</v>
      </c>
      <c r="N285" s="1" t="n">
        <f aca="false">MAX(M284*(1-$C$340)/$C$280,M284-N341-N284)</f>
        <v>2.34126299585894</v>
      </c>
      <c r="O285" s="1" t="n">
        <f aca="false">MAX(N284*(1-$C$340)/$C$280,N284-O341-O284)</f>
        <v>2.64216798634539</v>
      </c>
      <c r="P285" s="1" t="n">
        <f aca="false">MAX(O284*(1-$C$340)/$C$280,O284-P341-P284)</f>
        <v>2.69830633295275</v>
      </c>
      <c r="Q285" s="1" t="n">
        <f aca="false">MAX(P284*(1-$C$340)/$C$280,P284-Q341-Q284)</f>
        <v>2.75806002319703</v>
      </c>
      <c r="R285" s="1" t="n">
        <f aca="false">MAX(Q284*(1-$C$340)/$C$280,Q284-R341-R284)</f>
        <v>2.82146872157061</v>
      </c>
      <c r="S285" s="1" t="n">
        <f aca="false">MAX(R284*(1-$C$340)/$C$280,R284-S341-S284)</f>
        <v>2.8881278367373</v>
      </c>
      <c r="T285" s="1" t="n">
        <f aca="false">MAX(S284*(1-$C$340)/$C$280,S284-T341-T284)</f>
        <v>2.95771335121241</v>
      </c>
      <c r="U285" s="1" t="n">
        <f aca="false">MAX(T284*(1-$C$340)/$C$280,T284-U341-U284)</f>
        <v>3.0299576160147</v>
      </c>
      <c r="V285" s="1" t="n">
        <f aca="false">MAX(U284*(1-$C$340)/$C$280,U284-V341-V284)</f>
        <v>3.10404484769406</v>
      </c>
      <c r="W285" s="1" t="n">
        <f aca="false">MAX(V284*(1-$C$340)/$C$280,V284-W341-W284)</f>
        <v>3.15506848395455</v>
      </c>
      <c r="X285" s="1" t="n">
        <f aca="false">MAX(W284*(1-$C$340)/$C$280,W284-X341-X284)</f>
        <v>3.20162694496001</v>
      </c>
      <c r="Y285" s="1" t="n">
        <f aca="false">MAX(X284*(1-$C$340)/$C$280,X284-Y341-Y284)</f>
        <v>3.24721227485246</v>
      </c>
      <c r="Z285" s="1" t="n">
        <f aca="false">MAX(Y284*(1-$C$340)/$C$280,Y284-Z341-Z284)</f>
        <v>3.29182725390975</v>
      </c>
      <c r="AA285" s="1" t="n">
        <f aca="false">MAX(Z284*(1-$C$340)/$C$280,Z284-AA341-AA284)</f>
        <v>3.33547474506415</v>
      </c>
      <c r="AB285" s="1" t="n">
        <f aca="false">MAX(AA284*(1-$C$340)/$C$280,AA284-AB341-AB284)</f>
        <v>3.37815768822809</v>
      </c>
      <c r="AC285" s="1" t="n">
        <f aca="false">MAX(AB284*(1-$C$340)/$C$280,AB284-AC341-AC284)</f>
        <v>3.41987378809331</v>
      </c>
      <c r="AD285" s="1" t="n">
        <f aca="false">MAX(AC284*(1-$C$340)/$C$280,AC284-AD341-AD284)</f>
        <v>3.46062081565772</v>
      </c>
      <c r="AE285" s="1" t="n">
        <f aca="false">MAX(AD284*(1-$C$340)/$C$280,AD284-AE341-AE284)</f>
        <v>3.50039660319947</v>
      </c>
      <c r="AF285" s="1" t="n">
        <f aca="false">MAX(AE284*(1-$C$340)/$C$280,AE284-AF341-AF284)</f>
        <v>3.53919903944193</v>
      </c>
    </row>
    <row r="286" customFormat="false" ht="14.25" hidden="false" customHeight="true" outlineLevel="0" collapsed="false">
      <c r="B286" s="84" t="s">
        <v>1281</v>
      </c>
      <c r="C286" s="1" t="n">
        <f aca="false">C284-0+C285</f>
        <v>2.15158778078157</v>
      </c>
      <c r="D286" s="1" t="n">
        <f aca="false">D284-C284+D285+D341</f>
        <v>3.57808155254572</v>
      </c>
      <c r="E286" s="1" t="n">
        <f aca="false">E284-D284+E285+E341</f>
        <v>4.44030440606438</v>
      </c>
      <c r="F286" s="1" t="n">
        <f aca="false">F284-E284+F285+F341</f>
        <v>3.0991711275505</v>
      </c>
      <c r="G286" s="1" t="n">
        <f aca="false">G284-F284+G285+G341</f>
        <v>3.37695256636115</v>
      </c>
      <c r="H286" s="1" t="n">
        <f aca="false">H284-G284+H285+H341</f>
        <v>4.1910823397593</v>
      </c>
      <c r="I286" s="1" t="n">
        <f aca="false">I284-H284+I285+I341</f>
        <v>4.83516044884394</v>
      </c>
      <c r="J286" s="1" t="n">
        <f aca="false">J284-I284+J285+J341</f>
        <v>5.4664366874478</v>
      </c>
      <c r="K286" s="1" t="n">
        <f aca="false">K284-J284+K285+K341</f>
        <v>7.14047244903256</v>
      </c>
      <c r="L286" s="1" t="n">
        <f aca="false">L284-K284+L285+L341</f>
        <v>7.61552241700437</v>
      </c>
      <c r="M286" s="1" t="n">
        <f aca="false">M284-L284+M285+M341</f>
        <v>12.1074319496772</v>
      </c>
      <c r="N286" s="1" t="n">
        <f aca="false">N284-M284+N285+N341</f>
        <v>8.89313411596073</v>
      </c>
      <c r="O286" s="1" t="n">
        <f aca="false">O284-N284+O285+O341</f>
        <v>4.31004730898809</v>
      </c>
      <c r="P286" s="1" t="n">
        <f aca="false">P284-O284+P285+P341</f>
        <v>4.45056398090855</v>
      </c>
      <c r="Q286" s="1" t="n">
        <f aca="false">Q284-P284+Q285+Q341</f>
        <v>4.59622767179396</v>
      </c>
      <c r="R286" s="1" t="n">
        <f aca="false">R284-Q284+R285+R341</f>
        <v>4.7381111939422</v>
      </c>
      <c r="S286" s="1" t="n">
        <f aca="false">S284-R284+S285+S341</f>
        <v>4.87735597496931</v>
      </c>
      <c r="T286" s="1" t="n">
        <f aca="false">T284-S284+T285+T341</f>
        <v>5.01471129695816</v>
      </c>
      <c r="U286" s="1" t="n">
        <f aca="false">U284-T284+U285+U341</f>
        <v>5.13878201681279</v>
      </c>
      <c r="V286" s="1" t="n">
        <f aca="false">V284-U284+V285+V341</f>
        <v>4.76190514542</v>
      </c>
      <c r="W286" s="1" t="n">
        <f aca="false">W284-V284+W285+W341</f>
        <v>4.73303102627787</v>
      </c>
      <c r="X286" s="1" t="n">
        <f aca="false">X284-W284+X285+X341</f>
        <v>4.76933602257717</v>
      </c>
      <c r="Y286" s="1" t="n">
        <f aca="false">Y284-X284+Y285+Y341</f>
        <v>4.80452746284875</v>
      </c>
      <c r="Z286" s="1" t="n">
        <f aca="false">Z284-Y284+Z285+Z341</f>
        <v>4.83861035882886</v>
      </c>
      <c r="AA286" s="1" t="n">
        <f aca="false">AA284-Z284+AA285+AA341</f>
        <v>4.87158970697487</v>
      </c>
      <c r="AB286" s="1" t="n">
        <f aca="false">AB284-AA284+AB285+AB341</f>
        <v>4.90336327908674</v>
      </c>
      <c r="AC286" s="1" t="n">
        <f aca="false">AC284-AB284+AC285+AC341</f>
        <v>4.93392965567601</v>
      </c>
      <c r="AD286" s="1" t="n">
        <f aca="false">AD284-AC284+AD285+AD341</f>
        <v>4.96328739542188</v>
      </c>
      <c r="AE286" s="1" t="n">
        <f aca="false">AE284-AD284+AE285+AE341</f>
        <v>4.99143503298645</v>
      </c>
      <c r="AF286" s="1" t="n">
        <f aca="false">AF284-AE284+AF285+AF341</f>
        <v>5.01837107682433</v>
      </c>
    </row>
    <row r="287" customFormat="false" ht="14.25" hidden="false" customHeight="true" outlineLevel="0" collapsed="false">
      <c r="B287" s="84" t="s">
        <v>1282</v>
      </c>
      <c r="C287" s="1" t="n">
        <f aca="false">C284*(1-$C$340)*$C$175</f>
        <v>0.0915930918278716</v>
      </c>
      <c r="D287" s="1" t="n">
        <f aca="false">D284*(1-$C$340)*$C$175</f>
        <v>0.238462234555984</v>
      </c>
      <c r="E287" s="1" t="n">
        <f aca="false">E284*(1-$C$340)*$C$175</f>
        <v>0.413297490166064</v>
      </c>
      <c r="F287" s="1" t="n">
        <f aca="false">F284*(1-$C$340)*$C$175</f>
        <v>0.520638004401008</v>
      </c>
      <c r="G287" s="1" t="n">
        <f aca="false">G284*(1-$C$340)*$C$175</f>
        <v>0.633416913889142</v>
      </c>
      <c r="H287" s="1" t="n">
        <f aca="false">H284*(1-$C$340)*$C$175</f>
        <v>0.774142982716291</v>
      </c>
      <c r="I287" s="1" t="n">
        <f aca="false">I284*(1-$C$340)*$C$175</f>
        <v>0.933914255551958</v>
      </c>
      <c r="J287" s="1" t="n">
        <f aca="false">J284*(1-$C$340)*$C$175</f>
        <v>1.11105256713127</v>
      </c>
      <c r="K287" s="1" t="n">
        <f aca="false">K284*(1-$C$340)*$C$175</f>
        <v>1.34891485154227</v>
      </c>
      <c r="L287" s="1" t="n">
        <f aca="false">L284*(1-$C$340)*$C$175</f>
        <v>1.59284720716739</v>
      </c>
      <c r="M287" s="1" t="n">
        <f aca="false">M284*(1-$C$340)*$C$175</f>
        <v>2.01348617643869</v>
      </c>
      <c r="N287" s="1" t="n">
        <f aca="false">N284*(1-$C$340)*$C$175</f>
        <v>2.27226446825703</v>
      </c>
      <c r="O287" s="1" t="n">
        <f aca="false">O284*(1-$C$340)*$C$175</f>
        <v>2.32054344633936</v>
      </c>
      <c r="P287" s="1" t="n">
        <f aca="false">P284*(1-$C$340)*$C$175</f>
        <v>2.37193161994945</v>
      </c>
      <c r="Q287" s="1" t="n">
        <f aca="false">Q284*(1-$C$340)*$C$175</f>
        <v>2.42646310055072</v>
      </c>
      <c r="R287" s="1" t="n">
        <f aca="false">R284*(1-$C$340)*$C$175</f>
        <v>2.48378993959407</v>
      </c>
      <c r="S287" s="1" t="n">
        <f aca="false">S284*(1-$C$340)*$C$175</f>
        <v>2.54363348204267</v>
      </c>
      <c r="T287" s="1" t="n">
        <f aca="false">T284*(1-$C$340)*$C$175</f>
        <v>2.60576354977264</v>
      </c>
      <c r="U287" s="1" t="n">
        <f aca="false">U284*(1-$C$340)*$C$175</f>
        <v>2.66947856901689</v>
      </c>
      <c r="V287" s="1" t="n">
        <f aca="false">V284*(1-$C$340)*$C$175</f>
        <v>2.71335889620091</v>
      </c>
      <c r="W287" s="1" t="n">
        <f aca="false">W284*(1-$C$340)*$C$175</f>
        <v>2.75339917266561</v>
      </c>
      <c r="X287" s="1" t="n">
        <f aca="false">X284*(1-$C$340)*$C$175</f>
        <v>2.79260255637311</v>
      </c>
      <c r="Y287" s="1" t="n">
        <f aca="false">Y284*(1-$C$340)*$C$175</f>
        <v>2.83097143836239</v>
      </c>
      <c r="Z287" s="1" t="n">
        <f aca="false">Z284*(1-$C$340)*$C$175</f>
        <v>2.86850828075517</v>
      </c>
      <c r="AA287" s="1" t="n">
        <f aca="false">AA284*(1-$C$340)*$C$175</f>
        <v>2.90521561187616</v>
      </c>
      <c r="AB287" s="1" t="n">
        <f aca="false">AB284*(1-$C$340)*$C$175</f>
        <v>2.94109145776025</v>
      </c>
      <c r="AC287" s="1" t="n">
        <f aca="false">AC284*(1-$C$340)*$C$175</f>
        <v>2.97613390146564</v>
      </c>
      <c r="AD287" s="1" t="n">
        <f aca="false">AD284*(1-$C$340)*$C$175</f>
        <v>3.01034107875154</v>
      </c>
      <c r="AE287" s="1" t="n">
        <f aca="false">AE284*(1-$C$340)*$C$175</f>
        <v>3.04371117392006</v>
      </c>
      <c r="AF287" s="1" t="n">
        <f aca="false">AF284*(1-$C$340)*$C$175</f>
        <v>3.07624241581223</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2.97124026869837</v>
      </c>
      <c r="D289" s="1" t="n">
        <f aca="false">(1-$C$279)*D87</f>
        <v>7.73561171194062</v>
      </c>
      <c r="E289" s="1" t="n">
        <f aca="false">(1-$C$279)*E87</f>
        <v>13.4071917567881</v>
      </c>
      <c r="F289" s="1" t="n">
        <f aca="false">(1-$C$279)*F87</f>
        <v>16.8892715948289</v>
      </c>
      <c r="G289" s="1" t="n">
        <f aca="false">(1-$C$279)*G87</f>
        <v>20.5477706218163</v>
      </c>
      <c r="H289" s="1" t="n">
        <f aca="false">(1-$C$279)*H87</f>
        <v>25.1128634056763</v>
      </c>
      <c r="I289" s="1" t="n">
        <f aca="false">(1-$C$279)*I87</f>
        <v>30.2957743671564</v>
      </c>
      <c r="J289" s="1" t="n">
        <f aca="false">(1-$C$279)*J87</f>
        <v>36.0420645511671</v>
      </c>
      <c r="K289" s="1" t="n">
        <f aca="false">(1-$C$279)*K87</f>
        <v>43.758214139989</v>
      </c>
      <c r="L289" s="1" t="n">
        <f aca="false">(1-$C$279)*L87</f>
        <v>51.6712742126181</v>
      </c>
      <c r="M289" s="1" t="n">
        <f aca="false">(1-$C$279)*M87</f>
        <v>65.316620375093</v>
      </c>
      <c r="N289" s="1" t="n">
        <f aca="false">(1-$C$279)*N87</f>
        <v>73.7112761943398</v>
      </c>
      <c r="O289" s="1" t="n">
        <f aca="false">(1-$C$279)*O87</f>
        <v>75.2774253541411</v>
      </c>
      <c r="P289" s="1" t="n">
        <f aca="false">(1-$C$279)*P87</f>
        <v>76.9444354715862</v>
      </c>
      <c r="Q289" s="1" t="n">
        <f aca="false">(1-$C$279)*Q87</f>
        <v>78.71341310779</v>
      </c>
      <c r="R289" s="1" t="n">
        <f aca="false">(1-$C$279)*R87</f>
        <v>80.5730709623681</v>
      </c>
      <c r="S289" s="1" t="n">
        <f aca="false">(1-$C$279)*S87</f>
        <v>82.5143695864933</v>
      </c>
      <c r="T289" s="1" t="n">
        <f aca="false">(1-$C$279)*T87</f>
        <v>84.5298421014202</v>
      </c>
      <c r="U289" s="1" t="n">
        <f aca="false">(1-$C$279)*U87</f>
        <v>86.5967297576986</v>
      </c>
      <c r="V289" s="1" t="n">
        <f aca="false">(1-$C$279)*V87</f>
        <v>88.0201885855527</v>
      </c>
      <c r="W289" s="1" t="n">
        <f aca="false">(1-$C$279)*W87</f>
        <v>89.3190778295722</v>
      </c>
      <c r="X289" s="1" t="n">
        <f aca="false">(1-$C$279)*X87</f>
        <v>90.5908186346525</v>
      </c>
      <c r="Y289" s="1" t="n">
        <f aca="false">(1-$C$279)*Y87</f>
        <v>91.8354885650628</v>
      </c>
      <c r="Z289" s="1" t="n">
        <f aca="false">(1-$C$279)*Z87</f>
        <v>93.0531674909671</v>
      </c>
      <c r="AA289" s="1" t="n">
        <f aca="false">(1-$C$279)*AA87</f>
        <v>94.2439374301246</v>
      </c>
      <c r="AB289" s="1" t="n">
        <f aca="false">(1-$C$279)*AB87</f>
        <v>95.4077343479615</v>
      </c>
      <c r="AC289" s="1" t="n">
        <f aca="false">(1-$C$279)*AC87</f>
        <v>96.5444960597152</v>
      </c>
      <c r="AD289" s="1" t="n">
        <f aca="false">(1-$C$279)*AD87</f>
        <v>97.6541620902209</v>
      </c>
      <c r="AE289" s="1" t="n">
        <f aca="false">(1-$C$279)*AE87</f>
        <v>98.7366735390245</v>
      </c>
      <c r="AF289" s="1" t="n">
        <f aca="false">(1-$C$279)*AF87</f>
        <v>99.7919729504957</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0.588305573202276</v>
      </c>
      <c r="E290" s="1" t="n">
        <f aca="false">MAX(D289*(1-$C$340)/$C$281+IF(AND(01_Supuestos!$C$189&gt;0,E$39=01_Supuestos!$C$189),01_Supuestos!$C$190*D289*(1-$C$340)*(1-1/$C$281),0),D289-E342-E289)</f>
        <v>1.53165111896424</v>
      </c>
      <c r="F290" s="1" t="n">
        <f aca="false">MAX(E289*(1-$C$340)/$C$281+IF(AND(01_Supuestos!$C$189&gt;0,F$39=01_Supuestos!$C$189),01_Supuestos!$C$190*E289*(1-$C$340)*(1-1/$C$281),0),E289-F342-F289)</f>
        <v>2.65462396784404</v>
      </c>
      <c r="G290" s="1" t="n">
        <f aca="false">MAX(F289*(1-$C$340)/$C$281+IF(AND(01_Supuestos!$C$189&gt;0,G$39=01_Supuestos!$C$189),01_Supuestos!$C$190*F289*(1-$C$340)*(1-1/$C$281),0),F289-G342-G289)</f>
        <v>3.34407577577613</v>
      </c>
      <c r="H290" s="1" t="n">
        <f aca="false">MAX(G289*(1-$C$340)/$C$281+IF(AND(01_Supuestos!$C$189&gt;0,H$39=01_Supuestos!$C$189),01_Supuestos!$C$190*G289*(1-$C$340)*(1-1/$C$281),0),G289-H342-H289)</f>
        <v>4.06845858311963</v>
      </c>
      <c r="I290" s="1" t="n">
        <f aca="false">MAX(H289*(1-$C$340)/$C$281+IF(AND(01_Supuestos!$C$189&gt;0,I$39=01_Supuestos!$C$189),01_Supuestos!$C$190*H289*(1-$C$340)*(1-1/$C$281),0),H289-I342-I289)</f>
        <v>4.97234695432391</v>
      </c>
      <c r="J290" s="1" t="n">
        <f aca="false">MAX(I289*(1-$C$340)/$C$281+IF(AND(01_Supuestos!$C$189&gt;0,J$39=01_Supuestos!$C$189),01_Supuestos!$C$190*I289*(1-$C$340)*(1-1/$C$281),0),I289-J342-J289)</f>
        <v>5.99856332469696</v>
      </c>
      <c r="K290" s="1" t="n">
        <f aca="false">MAX(J289*(1-$C$340)/$C$281+IF(AND(01_Supuestos!$C$189&gt;0,K$39=01_Supuestos!$C$189),01_Supuestos!$C$190*J289*(1-$C$340)*(1-1/$C$281),0),J289-K342-K289)</f>
        <v>7.13632878113108</v>
      </c>
      <c r="L290" s="1" t="n">
        <f aca="false">MAX(K289*(1-$C$340)/$C$281+IF(AND(01_Supuestos!$C$189&gt;0,L$39=01_Supuestos!$C$189),01_Supuestos!$C$190*K289*(1-$C$340)*(1-1/$C$281),0),K289-L342-L289)</f>
        <v>8.66412639971782</v>
      </c>
      <c r="M290" s="1" t="n">
        <f aca="false">MAX(L289*(1-$C$340)/$C$281+IF(AND(01_Supuestos!$C$189&gt;0,M$39=01_Supuestos!$C$189),01_Supuestos!$C$190*L289*(1-$C$340)*(1-1/$C$281),0),L289-M342-M289)</f>
        <v>10.2309122940984</v>
      </c>
      <c r="N290" s="1" t="n">
        <f aca="false">MAX(M289*(1-$C$340)/$C$281+IF(AND(01_Supuestos!$C$189&gt;0,N$39=01_Supuestos!$C$189),01_Supuestos!$C$190*M289*(1-$C$340)*(1-1/$C$281),0),M289-N342-N289)</f>
        <v>12.9326908342684</v>
      </c>
      <c r="O290" s="1" t="n">
        <f aca="false">MAX(N289*(1-$C$340)/$C$281+IF(AND(01_Supuestos!$C$189&gt;0,O$39=01_Supuestos!$C$189),01_Supuestos!$C$190*N289*(1-$C$340)*(1-1/$C$281),0),N289-O342-O289)</f>
        <v>14.5948326864793</v>
      </c>
      <c r="P290" s="1" t="n">
        <f aca="false">MAX(O289*(1-$C$340)/$C$281+IF(AND(01_Supuestos!$C$189&gt;0,P$39=01_Supuestos!$C$189),01_Supuestos!$C$190*O289*(1-$C$340)*(1-1/$C$281),0),O289-P342-P289)</f>
        <v>14.9049302201199</v>
      </c>
      <c r="Q290" s="1" t="n">
        <f aca="false">MAX(P289*(1-$C$340)/$C$281+IF(AND(01_Supuestos!$C$189&gt;0,Q$39=01_Supuestos!$C$189),01_Supuestos!$C$190*P289*(1-$C$340)*(1-1/$C$281),0),P289-Q342-Q289)</f>
        <v>15.2349982233741</v>
      </c>
      <c r="R290" s="1" t="n">
        <f aca="false">MAX(Q289*(1-$C$340)/$C$281+IF(AND(01_Supuestos!$C$189&gt;0,R$39=01_Supuestos!$C$189),01_Supuestos!$C$190*Q289*(1-$C$340)*(1-1/$C$281),0),Q289-R342-R289)</f>
        <v>15.5852557953424</v>
      </c>
      <c r="S290" s="1" t="n">
        <f aca="false">MAX(R289*(1-$C$340)/$C$281+IF(AND(01_Supuestos!$C$189&gt;0,S$39=01_Supuestos!$C$189),01_Supuestos!$C$190*R289*(1-$C$340)*(1-1/$C$281),0),R289-S342-S289)</f>
        <v>15.9534680505489</v>
      </c>
      <c r="T290" s="1" t="n">
        <f aca="false">MAX(S289*(1-$C$340)/$C$281+IF(AND(01_Supuestos!$C$189&gt;0,T$39=01_Supuestos!$C$189),01_Supuestos!$C$190*S289*(1-$C$340)*(1-1/$C$281),0),S289-T342-T289)</f>
        <v>16.3378451781257</v>
      </c>
      <c r="U290" s="1" t="n">
        <f aca="false">MAX(T289*(1-$C$340)/$C$281+IF(AND(01_Supuestos!$C$189&gt;0,U$39=01_Supuestos!$C$189),01_Supuestos!$C$190*T289*(1-$C$340)*(1-1/$C$281),0),T289-U342-U289)</f>
        <v>16.7369087360812</v>
      </c>
      <c r="V290" s="1" t="n">
        <f aca="false">MAX(U289*(1-$C$340)/$C$281+IF(AND(01_Supuestos!$C$189&gt;0,V$39=01_Supuestos!$C$189),01_Supuestos!$C$190*U289*(1-$C$340)*(1-1/$C$281),0),U289-V342-V289)</f>
        <v>17.1461524920243</v>
      </c>
      <c r="W290" s="1" t="n">
        <f aca="false">MAX(V289*(1-$C$340)/$C$281+IF(AND(01_Supuestos!$C$189&gt;0,W$39=01_Supuestos!$C$189),01_Supuestos!$C$190*V289*(1-$C$340)*(1-1/$C$281),0),V289-W342-W289)</f>
        <v>17.4279973399394</v>
      </c>
      <c r="X290" s="1" t="n">
        <f aca="false">MAX(W289*(1-$C$340)/$C$281+IF(AND(01_Supuestos!$C$189&gt;0,X$39=01_Supuestos!$C$189),01_Supuestos!$C$190*W289*(1-$C$340)*(1-1/$C$281),0),W289-X342-X289)</f>
        <v>17.6851774102553</v>
      </c>
      <c r="Y290" s="1" t="n">
        <f aca="false">MAX(X289*(1-$C$340)/$C$281+IF(AND(01_Supuestos!$C$189&gt;0,Y$39=01_Supuestos!$C$189),01_Supuestos!$C$190*X289*(1-$C$340)*(1-1/$C$281),0),X289-Y342-Y289)</f>
        <v>17.9369820896612</v>
      </c>
      <c r="Z290" s="1" t="n">
        <f aca="false">MAX(Y289*(1-$C$340)/$C$281+IF(AND(01_Supuestos!$C$189&gt;0,Z$39=01_Supuestos!$C$189),01_Supuestos!$C$190*Y289*(1-$C$340)*(1-1/$C$281),0),Y289-Z342-Z289)</f>
        <v>18.1834267358824</v>
      </c>
      <c r="AA290" s="1" t="n">
        <f aca="false">MAX(Z289*(1-$C$340)/$C$281+IF(AND(01_Supuestos!$C$189&gt;0,AA$39=01_Supuestos!$C$189),01_Supuestos!$C$190*Z289*(1-$C$340)*(1-1/$C$281),0),Z289-AA342-AA289)</f>
        <v>18.4245271632115</v>
      </c>
      <c r="AB290" s="1" t="n">
        <f aca="false">MAX(AA289*(1-$C$340)/$C$281+IF(AND(01_Supuestos!$C$189&gt;0,AB$39=01_Supuestos!$C$189),01_Supuestos!$C$190*AA289*(1-$C$340)*(1-1/$C$281),0),AA289-AB342-AB289)</f>
        <v>18.6602996111647</v>
      </c>
      <c r="AC290" s="1" t="n">
        <f aca="false">MAX(AB289*(1-$C$340)/$C$281+IF(AND(01_Supuestos!$C$189&gt;0,AC$39=01_Supuestos!$C$189),01_Supuestos!$C$190*AB289*(1-$C$340)*(1-1/$C$281),0),AB289-AC342-AC289)</f>
        <v>18.8907314008964</v>
      </c>
      <c r="AD290" s="1" t="n">
        <f aca="false">MAX(AC289*(1-$C$340)/$C$281+IF(AND(01_Supuestos!$C$189&gt;0,AD$39=01_Supuestos!$C$189),01_Supuestos!$C$190*AC289*(1-$C$340)*(1-1/$C$281),0),AC289-AD342-AD289)</f>
        <v>19.1158102198236</v>
      </c>
      <c r="AE290" s="1" t="n">
        <f aca="false">MAX(AD289*(1-$C$340)/$C$281+IF(AND(01_Supuestos!$C$189&gt;0,AE$39=01_Supuestos!$C$189),01_Supuestos!$C$190*AD289*(1-$C$340)*(1-1/$C$281),0),AD289-AE342-AE289)</f>
        <v>19.3355240938637</v>
      </c>
      <c r="AF290" s="1" t="n">
        <f aca="false">MAX(AE289*(1-$C$340)/$C$281+IF(AND(01_Supuestos!$C$189&gt;0,AF$39=01_Supuestos!$C$189),01_Supuestos!$C$190*AE289*(1-$C$340)*(1-1/$C$281),0),AE289-AF342-AF289)</f>
        <v>19.5498613607269</v>
      </c>
    </row>
    <row r="291" customFormat="false" ht="14.25" hidden="false" customHeight="true" outlineLevel="0" collapsed="false">
      <c r="B291" s="84" t="s">
        <v>1281</v>
      </c>
      <c r="C291" s="1" t="n">
        <f aca="false">C289-0+C290</f>
        <v>2.97124026869837</v>
      </c>
      <c r="D291" s="1" t="n">
        <f aca="false">D289-C289+D290+D342</f>
        <v>5.38238941913151</v>
      </c>
      <c r="E291" s="1" t="n">
        <f aca="false">E289-D289+E290+E342</f>
        <v>7.28058728093113</v>
      </c>
      <c r="F291" s="1" t="n">
        <f aca="false">F289-E289+F290+F342</f>
        <v>6.27077572345277</v>
      </c>
      <c r="G291" s="1" t="n">
        <f aca="false">G289-F289+G290+G342</f>
        <v>7.17146751871178</v>
      </c>
      <c r="H291" s="1" t="n">
        <f aca="false">H289-G289+H290+H342</f>
        <v>8.8390290731978</v>
      </c>
      <c r="I291" s="1" t="n">
        <f aca="false">I289-H289+I290+I342</f>
        <v>10.4063865498607</v>
      </c>
      <c r="J291" s="1" t="n">
        <f aca="false">J289-I289+J290+J342</f>
        <v>12.0478112523792</v>
      </c>
      <c r="K291" s="1" t="n">
        <f aca="false">K289-J289+K290+K342</f>
        <v>15.2128990154647</v>
      </c>
      <c r="L291" s="1" t="n">
        <f aca="false">L289-K289+L290+L342</f>
        <v>17.0147686137468</v>
      </c>
      <c r="M291" s="1" t="n">
        <f aca="false">M289-L289+M290+M342</f>
        <v>24.3929711986995</v>
      </c>
      <c r="N291" s="1" t="n">
        <f aca="false">N289-M289+N290+N342</f>
        <v>21.9805128572661</v>
      </c>
      <c r="O291" s="1" t="n">
        <f aca="false">O289-N289+O290+O342</f>
        <v>16.898094608224</v>
      </c>
      <c r="P291" s="1" t="n">
        <f aca="false">P289-O289+P290+P342</f>
        <v>17.3247145911065</v>
      </c>
      <c r="Q291" s="1" t="n">
        <f aca="false">Q289-P289+Q290+Q342</f>
        <v>17.7734202142937</v>
      </c>
      <c r="R291" s="1" t="n">
        <f aca="false">R289-Q289+R290+R342</f>
        <v>18.2320477809984</v>
      </c>
      <c r="S291" s="1" t="n">
        <f aca="false">S289-R289+S290+S342</f>
        <v>18.7004973842978</v>
      </c>
      <c r="T291" s="1" t="n">
        <f aca="false">T289-S289+T290+T342</f>
        <v>19.1784613889174</v>
      </c>
      <c r="U291" s="1" t="n">
        <f aca="false">U289-T289+U290+U342</f>
        <v>19.6490948133738</v>
      </c>
      <c r="V291" s="1" t="n">
        <f aca="false">V289-U289+V290+V342</f>
        <v>19.4355786174554</v>
      </c>
      <c r="W291" s="1" t="n">
        <f aca="false">W289-V289+W290+W342</f>
        <v>19.6070884698145</v>
      </c>
      <c r="X291" s="1" t="n">
        <f aca="false">X289-W289+X290+X342</f>
        <v>19.8501089936314</v>
      </c>
      <c r="Y291" s="1" t="n">
        <f aca="false">Y289-X289+Y290+Y342</f>
        <v>20.087560206418</v>
      </c>
      <c r="Z291" s="1" t="n">
        <f aca="false">Z289-Y289+Z290+Z342</f>
        <v>20.3194605474374</v>
      </c>
      <c r="AA291" s="1" t="n">
        <f aca="false">AA289-Z289+AA290+AA342</f>
        <v>20.5458287772787</v>
      </c>
      <c r="AB291" s="1" t="n">
        <f aca="false">AB289-AA289+AB290+AB342</f>
        <v>20.7665359033028</v>
      </c>
      <c r="AC291" s="1" t="n">
        <f aca="false">AC289-AB289+AC290+AC342</f>
        <v>20.9815704561296</v>
      </c>
      <c r="AD291" s="1" t="n">
        <f aca="false">AD289-AC289+AD290+AD342</f>
        <v>21.1909212109265</v>
      </c>
      <c r="AE291" s="1" t="n">
        <f aca="false">AE289-AD289+AE290+AE342</f>
        <v>21.3945771635696</v>
      </c>
      <c r="AF291" s="1" t="n">
        <f aca="false">AF289-AE289+AF290+AF342</f>
        <v>21.5925275075883</v>
      </c>
    </row>
    <row r="292" customFormat="false" ht="14.25" hidden="false" customHeight="true" outlineLevel="0" collapsed="false">
      <c r="B292" s="84" t="s">
        <v>1282</v>
      </c>
      <c r="C292" s="1" t="n">
        <f aca="false">C289*(1-$C$340)*$C$175</f>
        <v>0.126485698238489</v>
      </c>
      <c r="D292" s="1" t="n">
        <f aca="false">D289*(1-$C$340)*$C$175</f>
        <v>0.329304990577312</v>
      </c>
      <c r="E292" s="1" t="n">
        <f aca="false">E289*(1-$C$340)*$C$175</f>
        <v>0.570744153086469</v>
      </c>
      <c r="F292" s="1" t="n">
        <f aca="false">F289*(1-$C$340)*$C$175</f>
        <v>0.718976291791868</v>
      </c>
      <c r="G292" s="1" t="n">
        <f aca="false">G289*(1-$C$340)*$C$175</f>
        <v>0.87471859537072</v>
      </c>
      <c r="H292" s="1" t="n">
        <f aca="false">H289*(1-$C$340)*$C$175</f>
        <v>1.06905459517964</v>
      </c>
      <c r="I292" s="1" t="n">
        <f aca="false">I289*(1-$C$340)*$C$175</f>
        <v>1.28969111480985</v>
      </c>
      <c r="J292" s="1" t="n">
        <f aca="false">J289*(1-$C$340)*$C$175</f>
        <v>1.53431068794318</v>
      </c>
      <c r="K292" s="1" t="n">
        <f aca="false">K289*(1-$C$340)*$C$175</f>
        <v>1.86278717593933</v>
      </c>
      <c r="L292" s="1" t="n">
        <f aca="false">L289*(1-$C$340)*$C$175</f>
        <v>2.19964614323115</v>
      </c>
      <c r="M292" s="1" t="n">
        <f aca="false">M289*(1-$C$340)*$C$175</f>
        <v>2.78052852936771</v>
      </c>
      <c r="N292" s="1" t="n">
        <f aca="false">N289*(1-$C$340)*$C$175</f>
        <v>3.13788902759304</v>
      </c>
      <c r="O292" s="1" t="n">
        <f aca="false">O289*(1-$C$340)*$C$175</f>
        <v>3.20455999732578</v>
      </c>
      <c r="P292" s="1" t="n">
        <f aca="false">P289*(1-$C$340)*$C$175</f>
        <v>3.27552461802543</v>
      </c>
      <c r="Q292" s="1" t="n">
        <f aca="false">Q289*(1-$C$340)*$C$175</f>
        <v>3.35082999599862</v>
      </c>
      <c r="R292" s="1" t="n">
        <f aca="false">R289*(1-$C$340)*$C$175</f>
        <v>3.42999563086801</v>
      </c>
      <c r="S292" s="1" t="n">
        <f aca="false">S289*(1-$C$340)*$C$175</f>
        <v>3.51263671329702</v>
      </c>
      <c r="T292" s="1" t="n">
        <f aca="false">T289*(1-$C$340)*$C$175</f>
        <v>3.59843537825746</v>
      </c>
      <c r="U292" s="1" t="n">
        <f aca="false">U289*(1-$C$340)*$C$175</f>
        <v>3.68642278578523</v>
      </c>
      <c r="V292" s="1" t="n">
        <f aca="false">V289*(1-$C$340)*$C$175</f>
        <v>3.74701942808698</v>
      </c>
      <c r="W292" s="1" t="n">
        <f aca="false">W289*(1-$C$340)*$C$175</f>
        <v>3.80231314320489</v>
      </c>
      <c r="X292" s="1" t="n">
        <f aca="false">X289*(1-$C$340)*$C$175</f>
        <v>3.85645114927716</v>
      </c>
      <c r="Y292" s="1" t="n">
        <f aca="false">Y289*(1-$C$340)*$C$175</f>
        <v>3.90943674821472</v>
      </c>
      <c r="Z292" s="1" t="n">
        <f aca="false">Z289*(1-$C$340)*$C$175</f>
        <v>3.96127334009047</v>
      </c>
      <c r="AA292" s="1" t="n">
        <f aca="false">AA289*(1-$C$340)*$C$175</f>
        <v>4.01196441640041</v>
      </c>
      <c r="AB292" s="1" t="n">
        <f aca="false">AB289*(1-$C$340)*$C$175</f>
        <v>4.06150725119272</v>
      </c>
      <c r="AC292" s="1" t="n">
        <f aca="false">AC289*(1-$C$340)*$C$175</f>
        <v>4.10989919726208</v>
      </c>
      <c r="AD292" s="1" t="n">
        <f aca="false">AD289*(1-$C$340)*$C$175</f>
        <v>4.1571376801807</v>
      </c>
      <c r="AE292" s="1" t="n">
        <f aca="false">AE289*(1-$C$340)*$C$175</f>
        <v>4.20322019255627</v>
      </c>
      <c r="AF292" s="1" t="n">
        <f aca="false">AF289*(1-$C$340)*$C$175</f>
        <v>4.2481442885026</v>
      </c>
    </row>
    <row r="293" customFormat="false" ht="14.25" hidden="false" customHeight="true" outlineLevel="0" collapsed="false">
      <c r="B293" s="144" t="s">
        <v>1285</v>
      </c>
    </row>
    <row r="294" customFormat="false" ht="14.25" hidden="false" customHeight="true" outlineLevel="0" collapsed="false">
      <c r="B294" s="84" t="s">
        <v>1286</v>
      </c>
      <c r="C294" s="116" t="n">
        <f aca="false">C85</f>
        <v>1.41920433268594</v>
      </c>
      <c r="D294" s="116" t="n">
        <f aca="false">D85</f>
        <v>3.7524686378297</v>
      </c>
      <c r="E294" s="116" t="n">
        <f aca="false">E85</f>
        <v>6.8985155036099</v>
      </c>
      <c r="F294" s="116" t="n">
        <f aca="false">F85</f>
        <v>14.1168292884033</v>
      </c>
      <c r="G294" s="116" t="n">
        <f aca="false">G85</f>
        <v>21.335075751158</v>
      </c>
      <c r="H294" s="116" t="n">
        <f aca="false">H85</f>
        <v>27.3013276079837</v>
      </c>
      <c r="I294" s="116" t="n">
        <f aca="false">I85</f>
        <v>32.520629044428</v>
      </c>
      <c r="J294" s="116" t="n">
        <f aca="false">J85</f>
        <v>37.0941601545716</v>
      </c>
      <c r="K294" s="116" t="n">
        <f aca="false">K85</f>
        <v>38.6044432895951</v>
      </c>
      <c r="L294" s="116" t="n">
        <f aca="false">L85</f>
        <v>40.1159473448892</v>
      </c>
      <c r="M294" s="116" t="n">
        <f aca="false">M85</f>
        <v>32.0927578759113</v>
      </c>
      <c r="N294" s="116" t="n">
        <f aca="false">N85</f>
        <v>26.8915128730083</v>
      </c>
      <c r="O294" s="116" t="n">
        <f aca="false">O85</f>
        <v>27.7327938633435</v>
      </c>
      <c r="P294" s="116" t="n">
        <f aca="false">P85</f>
        <v>28.4816320285799</v>
      </c>
      <c r="Q294" s="116" t="n">
        <f aca="false">Q85</f>
        <v>29.1379929784143</v>
      </c>
      <c r="R294" s="116" t="n">
        <f aca="false">R85</f>
        <v>29.7232541391611</v>
      </c>
      <c r="S294" s="116" t="n">
        <f aca="false">S85</f>
        <v>30.2549614119638</v>
      </c>
      <c r="T294" s="116" t="n">
        <f aca="false">T85</f>
        <v>30.747994465064</v>
      </c>
      <c r="U294" s="116" t="n">
        <f aca="false">U85</f>
        <v>31.2436443930264</v>
      </c>
      <c r="V294" s="116" t="n">
        <f aca="false">V85</f>
        <v>31.7416184481417</v>
      </c>
      <c r="W294" s="116" t="n">
        <f aca="false">W85</f>
        <v>32.2308678236893</v>
      </c>
      <c r="X294" s="116" t="n">
        <f aca="false">X85</f>
        <v>32.7111113379173</v>
      </c>
      <c r="Y294" s="116" t="n">
        <f aca="false">Y85</f>
        <v>33.1820687450361</v>
      </c>
      <c r="Z294" s="116" t="n">
        <f aca="false">Z85</f>
        <v>33.6434606756987</v>
      </c>
      <c r="AA294" s="116" t="n">
        <f aca="false">AA85</f>
        <v>34.0950085800093</v>
      </c>
      <c r="AB294" s="116" t="n">
        <f aca="false">AB85</f>
        <v>34.536689928129</v>
      </c>
      <c r="AC294" s="116" t="n">
        <f aca="false">AC85</f>
        <v>34.9684829027044</v>
      </c>
      <c r="AD294" s="116" t="n">
        <f aca="false">AD85</f>
        <v>35.3903663486284</v>
      </c>
      <c r="AE294" s="116" t="n">
        <f aca="false">AE85</f>
        <v>35.8023197247978</v>
      </c>
      <c r="AF294" s="116" t="n">
        <f aca="false">AF85</f>
        <v>36.2043230577487</v>
      </c>
    </row>
    <row r="295" customFormat="false" ht="14.25" hidden="false" customHeight="true" outlineLevel="0" collapsed="false">
      <c r="B295" s="84" t="s">
        <v>1287</v>
      </c>
      <c r="C295" s="1" t="n">
        <f aca="false">MAX(0/$C$282,0-C294)</f>
        <v>0</v>
      </c>
      <c r="D295" s="1" t="n">
        <f aca="false">MAX(C294/$C$282,C294-D294)</f>
        <v>0.141920433268594</v>
      </c>
      <c r="E295" s="1" t="n">
        <f aca="false">MAX(D294/$C$282,D294-E294)</f>
        <v>0.37524686378297</v>
      </c>
      <c r="F295" s="1" t="n">
        <f aca="false">MAX(E294/$C$282,E294-F294)</f>
        <v>0.68985155036099</v>
      </c>
      <c r="G295" s="1" t="n">
        <f aca="false">MAX(F294/$C$282,F294-G294)</f>
        <v>1.41168292884033</v>
      </c>
      <c r="H295" s="1" t="n">
        <f aca="false">MAX(G294/$C$282,G294-H294)</f>
        <v>2.1335075751158</v>
      </c>
      <c r="I295" s="1" t="n">
        <f aca="false">MAX(H294/$C$282,H294-I294)</f>
        <v>2.73013276079837</v>
      </c>
      <c r="J295" s="1" t="n">
        <f aca="false">MAX(I294/$C$282,I294-J294)</f>
        <v>3.2520629044428</v>
      </c>
      <c r="K295" s="1" t="n">
        <f aca="false">MAX(J294/$C$282,J294-K294)</f>
        <v>3.70941601545716</v>
      </c>
      <c r="L295" s="1" t="n">
        <f aca="false">MAX(K294/$C$282,K294-L294)</f>
        <v>3.86044432895951</v>
      </c>
      <c r="M295" s="1" t="n">
        <f aca="false">MAX(L294/$C$282,L294-M294)</f>
        <v>8.02318946897783</v>
      </c>
      <c r="N295" s="1" t="n">
        <f aca="false">MAX(M294/$C$282,M294-N294)</f>
        <v>5.20124500290308</v>
      </c>
      <c r="O295" s="1" t="n">
        <f aca="false">MAX(N294/$C$282,N294-O294)</f>
        <v>2.68915128730083</v>
      </c>
      <c r="P295" s="1" t="n">
        <f aca="false">MAX(O294/$C$282,O294-P294)</f>
        <v>2.77327938633435</v>
      </c>
      <c r="Q295" s="1" t="n">
        <f aca="false">MAX(P294/$C$282,P294-Q294)</f>
        <v>2.84816320285799</v>
      </c>
      <c r="R295" s="1" t="n">
        <f aca="false">MAX(Q294/$C$282,Q294-R294)</f>
        <v>2.91379929784143</v>
      </c>
      <c r="S295" s="1" t="n">
        <f aca="false">MAX(R294/$C$282,R294-S294)</f>
        <v>2.97232541391611</v>
      </c>
      <c r="T295" s="1" t="n">
        <f aca="false">MAX(S294/$C$282,S294-T294)</f>
        <v>3.02549614119638</v>
      </c>
      <c r="U295" s="1" t="n">
        <f aca="false">MAX(T294/$C$282,T294-U294)</f>
        <v>3.0747994465064</v>
      </c>
      <c r="V295" s="1" t="n">
        <f aca="false">MAX(U294/$C$282,U294-V294)</f>
        <v>3.12436443930264</v>
      </c>
      <c r="W295" s="1" t="n">
        <f aca="false">MAX(V294/$C$282,V294-W294)</f>
        <v>3.17416184481417</v>
      </c>
      <c r="X295" s="1" t="n">
        <f aca="false">MAX(W294/$C$282,W294-X294)</f>
        <v>3.22308678236893</v>
      </c>
      <c r="Y295" s="1" t="n">
        <f aca="false">MAX(X294/$C$282,X294-Y294)</f>
        <v>3.27111113379173</v>
      </c>
      <c r="Z295" s="1" t="n">
        <f aca="false">MAX(Y294/$C$282,Y294-Z294)</f>
        <v>3.31820687450361</v>
      </c>
      <c r="AA295" s="1" t="n">
        <f aca="false">MAX(Z294/$C$282,Z294-AA294)</f>
        <v>3.36434606756987</v>
      </c>
      <c r="AB295" s="1" t="n">
        <f aca="false">MAX(AA294/$C$282,AA294-AB294)</f>
        <v>3.40950085800093</v>
      </c>
      <c r="AC295" s="1" t="n">
        <f aca="false">MAX(AB294/$C$282,AB294-AC294)</f>
        <v>3.4536689928129</v>
      </c>
      <c r="AD295" s="1" t="n">
        <f aca="false">MAX(AC294/$C$282,AC294-AD294)</f>
        <v>3.49684829027044</v>
      </c>
      <c r="AE295" s="1" t="n">
        <f aca="false">MAX(AD294/$C$282,AD294-AE294)</f>
        <v>3.53903663486284</v>
      </c>
      <c r="AF295" s="1" t="n">
        <f aca="false">MAX(AE294/$C$282,AE294-AF294)</f>
        <v>3.58023197247978</v>
      </c>
    </row>
    <row r="296" customFormat="false" ht="14.25" hidden="false" customHeight="true" outlineLevel="0" collapsed="false">
      <c r="B296" s="84" t="s">
        <v>1288</v>
      </c>
      <c r="C296" s="1" t="n">
        <f aca="false">C294-0+C295</f>
        <v>1.41920433268594</v>
      </c>
      <c r="D296" s="1" t="n">
        <f aca="false">D294-C294+D295</f>
        <v>2.47518473841235</v>
      </c>
      <c r="E296" s="1" t="n">
        <f aca="false">E294-D294+E295</f>
        <v>3.52129372956317</v>
      </c>
      <c r="F296" s="1" t="n">
        <f aca="false">F294-E294+F295</f>
        <v>7.90816533515436</v>
      </c>
      <c r="G296" s="1" t="n">
        <f aca="false">G294-F294+G295</f>
        <v>8.62992939159503</v>
      </c>
      <c r="H296" s="1" t="n">
        <f aca="false">H294-G294+H295</f>
        <v>8.09975943194154</v>
      </c>
      <c r="I296" s="1" t="n">
        <f aca="false">I294-H294+I295</f>
        <v>7.94943419724267</v>
      </c>
      <c r="J296" s="1" t="n">
        <f aca="false">J294-I294+J295</f>
        <v>7.82559401458642</v>
      </c>
      <c r="K296" s="1" t="n">
        <f aca="false">K294-J294+K295</f>
        <v>5.21969915048061</v>
      </c>
      <c r="L296" s="1" t="n">
        <f aca="false">L294-K294+L295</f>
        <v>5.37194838425361</v>
      </c>
      <c r="M296" s="1" t="n">
        <f aca="false">M294-L294+M295</f>
        <v>0</v>
      </c>
      <c r="N296" s="1" t="n">
        <f aca="false">N294-M294+N295</f>
        <v>0</v>
      </c>
      <c r="O296" s="1" t="n">
        <f aca="false">O294-N294+O295</f>
        <v>3.53043227763606</v>
      </c>
      <c r="P296" s="1" t="n">
        <f aca="false">P294-O294+P295</f>
        <v>3.5221175515707</v>
      </c>
      <c r="Q296" s="1" t="n">
        <f aca="false">Q294-P294+Q295</f>
        <v>3.50452415269245</v>
      </c>
      <c r="R296" s="1" t="n">
        <f aca="false">R294-Q294+R295</f>
        <v>3.49906045858817</v>
      </c>
      <c r="S296" s="1" t="n">
        <f aca="false">S294-R294+S295</f>
        <v>3.50403268671883</v>
      </c>
      <c r="T296" s="1" t="n">
        <f aca="false">T294-S294+T295</f>
        <v>3.51852919429658</v>
      </c>
      <c r="U296" s="1" t="n">
        <f aca="false">U294-T294+U295</f>
        <v>3.57044937446882</v>
      </c>
      <c r="V296" s="1" t="n">
        <f aca="false">V294-U294+V295</f>
        <v>3.62233849441795</v>
      </c>
      <c r="W296" s="1" t="n">
        <f aca="false">W294-V294+W295</f>
        <v>3.66341122036174</v>
      </c>
      <c r="X296" s="1" t="n">
        <f aca="false">X294-W294+X295</f>
        <v>3.70333029659698</v>
      </c>
      <c r="Y296" s="1" t="n">
        <f aca="false">Y294-X294+Y295</f>
        <v>3.74206854091047</v>
      </c>
      <c r="Z296" s="1" t="n">
        <f aca="false">Z294-Y294+Z295</f>
        <v>3.77959880516622</v>
      </c>
      <c r="AA296" s="1" t="n">
        <f aca="false">AA294-Z294+AA295</f>
        <v>3.81589397188045</v>
      </c>
      <c r="AB296" s="1" t="n">
        <f aca="false">AB294-AA294+AB295</f>
        <v>3.8511822061207</v>
      </c>
      <c r="AC296" s="1" t="n">
        <f aca="false">AC294-AB294+AC295</f>
        <v>3.8854619673883</v>
      </c>
      <c r="AD296" s="1" t="n">
        <f aca="false">AD294-AC294+AD295</f>
        <v>3.91873173619443</v>
      </c>
      <c r="AE296" s="1" t="n">
        <f aca="false">AE294-AD294+AE295</f>
        <v>3.95099001103224</v>
      </c>
      <c r="AF296" s="1" t="n">
        <f aca="false">AF294-AE294+AF295</f>
        <v>3.9822353054307</v>
      </c>
    </row>
    <row r="297" customFormat="false" ht="14.25" hidden="false" customHeight="true" outlineLevel="0" collapsed="false">
      <c r="B297" s="84" t="s">
        <v>1289</v>
      </c>
      <c r="C297" s="1" t="n">
        <f aca="false">C294*01_Supuestos!$I$126</f>
        <v>0.0567681733074377</v>
      </c>
      <c r="D297" s="1" t="n">
        <f aca="false">D294*01_Supuestos!$I$126</f>
        <v>0.150098745513188</v>
      </c>
      <c r="E297" s="1" t="n">
        <f aca="false">E294*01_Supuestos!$I$126</f>
        <v>0.275940620144396</v>
      </c>
      <c r="F297" s="1" t="n">
        <f aca="false">F294*01_Supuestos!$I$126</f>
        <v>0.564673171536131</v>
      </c>
      <c r="G297" s="1" t="n">
        <f aca="false">G294*01_Supuestos!$I$126</f>
        <v>0.853403030046319</v>
      </c>
      <c r="H297" s="1" t="n">
        <f aca="false">H294*01_Supuestos!$I$126</f>
        <v>1.09205310431935</v>
      </c>
      <c r="I297" s="1" t="n">
        <f aca="false">I294*01_Supuestos!$I$126</f>
        <v>1.30082516177712</v>
      </c>
      <c r="J297" s="1" t="n">
        <f aca="false">J294*01_Supuestos!$I$126</f>
        <v>1.48376640618287</v>
      </c>
      <c r="K297" s="1" t="n">
        <f aca="false">K294*01_Supuestos!$I$126</f>
        <v>1.5441777315838</v>
      </c>
      <c r="L297" s="1" t="n">
        <f aca="false">L294*01_Supuestos!$I$126</f>
        <v>1.60463789379557</v>
      </c>
      <c r="M297" s="1" t="n">
        <f aca="false">M294*01_Supuestos!$I$126</f>
        <v>1.28371031503645</v>
      </c>
      <c r="N297" s="1" t="n">
        <f aca="false">N294*01_Supuestos!$I$126</f>
        <v>1.07566051492033</v>
      </c>
      <c r="O297" s="1" t="n">
        <f aca="false">O294*01_Supuestos!$I$126</f>
        <v>1.10931175453374</v>
      </c>
      <c r="P297" s="1" t="n">
        <f aca="false">P294*01_Supuestos!$I$126</f>
        <v>1.13926528114319</v>
      </c>
      <c r="Q297" s="1" t="n">
        <f aca="false">Q294*01_Supuestos!$I$126</f>
        <v>1.16551971913657</v>
      </c>
      <c r="R297" s="1" t="n">
        <f aca="false">R294*01_Supuestos!$I$126</f>
        <v>1.18893016556644</v>
      </c>
      <c r="S297" s="1" t="n">
        <f aca="false">S294*01_Supuestos!$I$126</f>
        <v>1.21019845647855</v>
      </c>
      <c r="T297" s="1" t="n">
        <f aca="false">T294*01_Supuestos!$I$126</f>
        <v>1.22991977860256</v>
      </c>
      <c r="U297" s="1" t="n">
        <f aca="false">U294*01_Supuestos!$I$126</f>
        <v>1.24974577572106</v>
      </c>
      <c r="V297" s="1" t="n">
        <f aca="false">V294*01_Supuestos!$I$126</f>
        <v>1.26966473792567</v>
      </c>
      <c r="W297" s="1" t="n">
        <f aca="false">W294*01_Supuestos!$I$126</f>
        <v>1.28923471294757</v>
      </c>
      <c r="X297" s="1" t="n">
        <f aca="false">X294*01_Supuestos!$I$126</f>
        <v>1.30844445351669</v>
      </c>
      <c r="Y297" s="1" t="n">
        <f aca="false">Y294*01_Supuestos!$I$126</f>
        <v>1.32728274980144</v>
      </c>
      <c r="Z297" s="1" t="n">
        <f aca="false">Z294*01_Supuestos!$I$126</f>
        <v>1.34573842702795</v>
      </c>
      <c r="AA297" s="1" t="n">
        <f aca="false">AA294*01_Supuestos!$I$126</f>
        <v>1.36380034320037</v>
      </c>
      <c r="AB297" s="1" t="n">
        <f aca="false">AB294*01_Supuestos!$I$126</f>
        <v>1.38146759712516</v>
      </c>
      <c r="AC297" s="1" t="n">
        <f aca="false">AC294*01_Supuestos!$I$126</f>
        <v>1.39873931610818</v>
      </c>
      <c r="AD297" s="1" t="n">
        <f aca="false">AD294*01_Supuestos!$I$126</f>
        <v>1.41561465394514</v>
      </c>
      <c r="AE297" s="1" t="n">
        <f aca="false">AE294*01_Supuestos!$I$126</f>
        <v>1.43209278899191</v>
      </c>
      <c r="AF297" s="1" t="n">
        <f aca="false">AF294*01_Supuestos!$I$126</f>
        <v>1.44817292230995</v>
      </c>
    </row>
    <row r="298" customFormat="false" ht="14.25" hidden="false" customHeight="true" outlineLevel="0" collapsed="false">
      <c r="B298" s="84" t="s">
        <v>1290</v>
      </c>
      <c r="C298" s="116" t="n">
        <f aca="false">C86</f>
        <v>0.344317493798204</v>
      </c>
      <c r="D298" s="116" t="n">
        <f aca="false">D86</f>
        <v>0.899459484744269</v>
      </c>
      <c r="E298" s="116" t="n">
        <f aca="false">E86</f>
        <v>1.57970333474427</v>
      </c>
      <c r="F298" s="116" t="n">
        <f aca="false">F86</f>
        <v>2.27559279329427</v>
      </c>
      <c r="G298" s="116" t="n">
        <f aca="false">G86</f>
        <v>2.98748770939092</v>
      </c>
      <c r="H298" s="116" t="n">
        <f aca="false">H86</f>
        <v>3.71575620855779</v>
      </c>
      <c r="I298" s="116" t="n">
        <f aca="false">I86</f>
        <v>4.4607748832055</v>
      </c>
      <c r="J298" s="116" t="n">
        <f aca="false">J86</f>
        <v>5.22292898737011</v>
      </c>
      <c r="K298" s="116" t="n">
        <f aca="false">K86</f>
        <v>6.0026126359305</v>
      </c>
      <c r="L298" s="116" t="n">
        <f aca="false">L86</f>
        <v>6.80022900840779</v>
      </c>
      <c r="M298" s="116" t="n">
        <f aca="false">M86</f>
        <v>7.61619055745205</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9.6579244360685</v>
      </c>
      <c r="W298" s="116" t="n">
        <f aca="false">W86</f>
        <v>9.80154094077241</v>
      </c>
      <c r="X298" s="116" t="n">
        <f aca="false">X86</f>
        <v>9.94221989207301</v>
      </c>
      <c r="Y298" s="116" t="n">
        <f aca="false">Y86</f>
        <v>10.0799535786918</v>
      </c>
      <c r="Z298" s="116" t="n">
        <f aca="false">Z86</f>
        <v>10.2147345447253</v>
      </c>
      <c r="AA298" s="116" t="n">
        <f aca="false">AA86</f>
        <v>10.3465555722804</v>
      </c>
      <c r="AB298" s="116" t="n">
        <f aca="false">AB86</f>
        <v>10.4754096648164</v>
      </c>
      <c r="AC298" s="116" t="n">
        <f aca="false">AC86</f>
        <v>10.601290031151</v>
      </c>
      <c r="AD298" s="116" t="n">
        <f aca="false">AD86</f>
        <v>10.724190070093</v>
      </c>
      <c r="AE298" s="116" t="n">
        <f aca="false">AE86</f>
        <v>10.8441033556631</v>
      </c>
      <c r="AF298" s="116" t="n">
        <f aca="false">AF86</f>
        <v>10.9610236228666</v>
      </c>
    </row>
    <row r="299" customFormat="false" ht="14.25" hidden="false" customHeight="true" outlineLevel="0" collapsed="false">
      <c r="B299" s="144" t="s">
        <v>1291</v>
      </c>
      <c r="C299" s="1" t="n">
        <f aca="false">C286+C291+C296</f>
        <v>6.54203238216588</v>
      </c>
      <c r="D299" s="1" t="n">
        <f aca="false">D286+D291+D296</f>
        <v>11.4356557100896</v>
      </c>
      <c r="E299" s="1" t="n">
        <f aca="false">E286+E291+E296</f>
        <v>15.2421854165587</v>
      </c>
      <c r="F299" s="1" t="n">
        <f aca="false">F286+F291+F296</f>
        <v>17.2781121861576</v>
      </c>
      <c r="G299" s="1" t="n">
        <f aca="false">G286+G291+G296</f>
        <v>19.178349476668</v>
      </c>
      <c r="H299" s="1" t="n">
        <f aca="false">H286+H291+H296</f>
        <v>21.1298708448986</v>
      </c>
      <c r="I299" s="1" t="n">
        <f aca="false">I286+I291+I296</f>
        <v>23.1909811959474</v>
      </c>
      <c r="J299" s="1" t="n">
        <f aca="false">J286+J291+J296</f>
        <v>25.3398419544134</v>
      </c>
      <c r="K299" s="1" t="n">
        <f aca="false">K286+K291+K296</f>
        <v>27.5730706149779</v>
      </c>
      <c r="L299" s="1" t="n">
        <f aca="false">L286+L291+L296</f>
        <v>30.0022394150048</v>
      </c>
      <c r="M299" s="1" t="n">
        <f aca="false">M286+M291+M296</f>
        <v>36.5004031483767</v>
      </c>
      <c r="N299" s="1" t="n">
        <f aca="false">N286+N291+N296</f>
        <v>30.8736469732269</v>
      </c>
      <c r="O299" s="1" t="n">
        <f aca="false">O286+O291+O296</f>
        <v>24.7385741948481</v>
      </c>
      <c r="P299" s="1" t="n">
        <f aca="false">P286+P291+P296</f>
        <v>25.2973961235858</v>
      </c>
      <c r="Q299" s="1" t="n">
        <f aca="false">Q286+Q291+Q296</f>
        <v>25.8741720387801</v>
      </c>
      <c r="R299" s="1" t="n">
        <f aca="false">R286+R291+R296</f>
        <v>26.4692194335288</v>
      </c>
      <c r="S299" s="1" t="n">
        <f aca="false">S286+S291+S296</f>
        <v>27.081886045986</v>
      </c>
      <c r="T299" s="1" t="n">
        <f aca="false">T286+T291+T296</f>
        <v>27.7117018801722</v>
      </c>
      <c r="U299" s="1" t="n">
        <f aca="false">U286+U291+U296</f>
        <v>28.3583262046554</v>
      </c>
      <c r="V299" s="1" t="n">
        <f aca="false">V286+V291+V296</f>
        <v>27.8198222572933</v>
      </c>
      <c r="W299" s="1" t="n">
        <f aca="false">W286+W291+W296</f>
        <v>28.0035307164541</v>
      </c>
      <c r="X299" s="1" t="n">
        <f aca="false">X286+X291+X296</f>
        <v>28.3227753128055</v>
      </c>
      <c r="Y299" s="1" t="n">
        <f aca="false">Y286+Y291+Y296</f>
        <v>28.6341562101772</v>
      </c>
      <c r="Z299" s="1" t="n">
        <f aca="false">Z286+Z291+Z296</f>
        <v>28.9376697114325</v>
      </c>
      <c r="AA299" s="1" t="n">
        <f aca="false">AA286+AA291+AA296</f>
        <v>29.233312456134</v>
      </c>
      <c r="AB299" s="1" t="n">
        <f aca="false">AB286+AB291+AB296</f>
        <v>29.5210813885103</v>
      </c>
      <c r="AC299" s="1" t="n">
        <f aca="false">AC286+AC291+AC296</f>
        <v>29.800962079194</v>
      </c>
      <c r="AD299" s="1" t="n">
        <f aca="false">AD286+AD291+AD296</f>
        <v>30.0729403425428</v>
      </c>
      <c r="AE299" s="1" t="n">
        <f aca="false">AE286+AE291+AE296</f>
        <v>30.3370022075883</v>
      </c>
      <c r="AF299" s="1" t="n">
        <f aca="false">AF286+AF291+AF296</f>
        <v>30.5931338898433</v>
      </c>
    </row>
    <row r="300" customFormat="false" ht="14.25" hidden="false" customHeight="true" outlineLevel="0" collapsed="false">
      <c r="B300" s="144" t="s">
        <v>1292</v>
      </c>
      <c r="C300" s="1" t="n">
        <f aca="false">C285+C290+C295</f>
        <v>0</v>
      </c>
      <c r="D300" s="1" t="n">
        <f aca="false">D285+D290+D295</f>
        <v>0.836729601619559</v>
      </c>
      <c r="E300" s="1" t="n">
        <f aca="false">E285+E290+E295</f>
        <v>2.18417965083557</v>
      </c>
      <c r="F300" s="1" t="n">
        <f aca="false">F285+F290+F295</f>
        <v>3.82505399514232</v>
      </c>
      <c r="G300" s="1" t="n">
        <f aca="false">G285+G290+G295</f>
        <v>5.36115173298972</v>
      </c>
      <c r="H300" s="1" t="n">
        <f aca="false">H285+H290+H295</f>
        <v>6.93849745345536</v>
      </c>
      <c r="I300" s="1" t="n">
        <f aca="false">I285+I290+I295</f>
        <v>8.60264597409471</v>
      </c>
      <c r="J300" s="1" t="n">
        <f aca="false">J285+J290+J295</f>
        <v>10.3365730379211</v>
      </c>
      <c r="K300" s="1" t="n">
        <f aca="false">K285+K290+K295</f>
        <v>12.1376663862758</v>
      </c>
      <c r="L300" s="1" t="n">
        <f aca="false">L285+L290+L295</f>
        <v>14.0930763700056</v>
      </c>
      <c r="M300" s="1" t="n">
        <f aca="false">M285+M290+M295</f>
        <v>20.1062496783871</v>
      </c>
      <c r="N300" s="1" t="n">
        <f aca="false">N285+N290+N295</f>
        <v>20.4751988330304</v>
      </c>
      <c r="O300" s="1" t="n">
        <f aca="false">O285+O290+O295</f>
        <v>19.9261519601255</v>
      </c>
      <c r="P300" s="1" t="n">
        <f aca="false">P285+P290+P295</f>
        <v>20.376515939407</v>
      </c>
      <c r="Q300" s="1" t="n">
        <f aca="false">Q285+Q290+Q295</f>
        <v>20.8412214494291</v>
      </c>
      <c r="R300" s="1" t="n">
        <f aca="false">R285+R290+R295</f>
        <v>21.3205238147545</v>
      </c>
      <c r="S300" s="1" t="n">
        <f aca="false">S285+S290+S295</f>
        <v>21.8139213012023</v>
      </c>
      <c r="T300" s="1" t="n">
        <f aca="false">T285+T290+T295</f>
        <v>22.3210546705345</v>
      </c>
      <c r="U300" s="1" t="n">
        <f aca="false">U285+U290+U295</f>
        <v>22.8416657986023</v>
      </c>
      <c r="V300" s="1" t="n">
        <f aca="false">V285+V290+V295</f>
        <v>23.374561779021</v>
      </c>
      <c r="W300" s="1" t="n">
        <f aca="false">W285+W290+W295</f>
        <v>23.7572276687082</v>
      </c>
      <c r="X300" s="1" t="n">
        <f aca="false">X285+X290+X295</f>
        <v>24.1098911375842</v>
      </c>
      <c r="Y300" s="1" t="n">
        <f aca="false">Y285+Y290+Y295</f>
        <v>24.4553054983054</v>
      </c>
      <c r="Z300" s="1" t="n">
        <f aca="false">Z285+Z290+Z295</f>
        <v>24.7934608642958</v>
      </c>
      <c r="AA300" s="1" t="n">
        <f aca="false">AA285+AA290+AA295</f>
        <v>25.1243479758455</v>
      </c>
      <c r="AB300" s="1" t="n">
        <f aca="false">AB285+AB290+AB295</f>
        <v>25.4479581573937</v>
      </c>
      <c r="AC300" s="1" t="n">
        <f aca="false">AC285+AC290+AC295</f>
        <v>25.7642741818026</v>
      </c>
      <c r="AD300" s="1" t="n">
        <f aca="false">AD285+AD290+AD295</f>
        <v>26.0732793257518</v>
      </c>
      <c r="AE300" s="1" t="n">
        <f aca="false">AE285+AE290+AE295</f>
        <v>26.3749573319261</v>
      </c>
      <c r="AF300" s="1" t="n">
        <f aca="false">AF285+AF290+AF295</f>
        <v>26.6692923726486</v>
      </c>
    </row>
    <row r="301" customFormat="false" ht="14.25" hidden="false" customHeight="true" outlineLevel="0" collapsed="false">
      <c r="B301" s="144" t="s">
        <v>1293</v>
      </c>
      <c r="C301" s="1" t="n">
        <f aca="false">C284+C289+C294</f>
        <v>6.54203238216588</v>
      </c>
      <c r="D301" s="1" t="n">
        <f aca="false">D284+D289+D294</f>
        <v>17.0897302101411</v>
      </c>
      <c r="E301" s="1" t="n">
        <f aca="false">E284+E289+E294</f>
        <v>30.0143633601411</v>
      </c>
      <c r="F301" s="1" t="n">
        <f aca="false">F284+F289+F294</f>
        <v>43.2362630725911</v>
      </c>
      <c r="G301" s="1" t="n">
        <f aca="false">G284+G289+G294</f>
        <v>56.7622664784275</v>
      </c>
      <c r="H301" s="1" t="n">
        <f aca="false">H284+H289+H294</f>
        <v>70.599367962598</v>
      </c>
      <c r="I301" s="1" t="n">
        <f aca="false">I284+I289+I294</f>
        <v>84.7547227809045</v>
      </c>
      <c r="J301" s="1" t="n">
        <f aca="false">J284+J289+J294</f>
        <v>99.2356507600321</v>
      </c>
      <c r="K301" s="1" t="n">
        <f aca="false">K284+K289+K294</f>
        <v>114.04964008268</v>
      </c>
      <c r="L301" s="1" t="n">
        <f aca="false">L284+L289+L294</f>
        <v>129.204351159748</v>
      </c>
      <c r="M301" s="1" t="n">
        <f aca="false">M284+M289+M294</f>
        <v>144.707620591589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183.500564285301</v>
      </c>
      <c r="W301" s="1" t="n">
        <f aca="false">W284+W289+W294</f>
        <v>186.229277874676</v>
      </c>
      <c r="X301" s="1" t="n">
        <f aca="false">X284+X289+X294</f>
        <v>188.902177949387</v>
      </c>
      <c r="Y301" s="1" t="n">
        <f aca="false">Y284+Y289+Y294</f>
        <v>191.519117995144</v>
      </c>
      <c r="Z301" s="1" t="n">
        <f aca="false">Z284+Z289+Z294</f>
        <v>194.07995634978</v>
      </c>
      <c r="AA301" s="1" t="n">
        <f aca="false">AA284+AA289+AA294</f>
        <v>196.584555873328</v>
      </c>
      <c r="AB301" s="1" t="n">
        <f aca="false">AB284+AB289+AB294</f>
        <v>199.032783631511</v>
      </c>
      <c r="AC301" s="1" t="n">
        <f aca="false">AC284+AC289+AC294</f>
        <v>201.424510591869</v>
      </c>
      <c r="AD301" s="1" t="n">
        <f aca="false">AD284+AD289+AD294</f>
        <v>203.759611331768</v>
      </c>
      <c r="AE301" s="1" t="n">
        <f aca="false">AE284+AE289+AE294</f>
        <v>206.037963757599</v>
      </c>
      <c r="AF301" s="1" t="n">
        <f aca="false">AF284+AF289+AF294</f>
        <v>208.259448834465</v>
      </c>
    </row>
    <row r="302" customFormat="false" ht="14.25" hidden="false" customHeight="true" outlineLevel="0" collapsed="false">
      <c r="B302" s="144" t="s">
        <v>1294</v>
      </c>
      <c r="C302" s="1" t="n">
        <f aca="false">C287+C292+C297</f>
        <v>0.274846963373799</v>
      </c>
      <c r="D302" s="1" t="n">
        <f aca="false">D287+D292+D297</f>
        <v>0.717865970646485</v>
      </c>
      <c r="E302" s="1" t="n">
        <f aca="false">E287+E292+E297</f>
        <v>1.25998226339693</v>
      </c>
      <c r="F302" s="1" t="n">
        <f aca="false">F287+F292+F297</f>
        <v>1.80428746772901</v>
      </c>
      <c r="G302" s="1" t="n">
        <f aca="false">G287+G292+G297</f>
        <v>2.36153853930618</v>
      </c>
      <c r="H302" s="1" t="n">
        <f aca="false">H287+H292+H297</f>
        <v>2.93525068221528</v>
      </c>
      <c r="I302" s="1" t="n">
        <f aca="false">I287+I292+I297</f>
        <v>3.52443053213893</v>
      </c>
      <c r="J302" s="1" t="n">
        <f aca="false">J287+J292+J297</f>
        <v>4.12912966125732</v>
      </c>
      <c r="K302" s="1" t="n">
        <f aca="false">K287+K292+K297</f>
        <v>4.75587975906541</v>
      </c>
      <c r="L302" s="1" t="n">
        <f aca="false">L287+L292+L297</f>
        <v>5.3971312441941</v>
      </c>
      <c r="M302" s="1" t="n">
        <f aca="false">M287+M292+M297</f>
        <v>6.07772502084285</v>
      </c>
      <c r="N302" s="1" t="n">
        <f aca="false">N287+N292+N297</f>
        <v>6.48581401077041</v>
      </c>
      <c r="O302" s="1" t="n">
        <f aca="false">O287+O292+O297</f>
        <v>6.63441519819889</v>
      </c>
      <c r="P302" s="1" t="n">
        <f aca="false">P287+P292+P297</f>
        <v>6.78672151911807</v>
      </c>
      <c r="Q302" s="1" t="n">
        <f aca="false">Q287+Q292+Q297</f>
        <v>6.94281281568591</v>
      </c>
      <c r="R302" s="1" t="n">
        <f aca="false">R287+R292+R297</f>
        <v>7.10271573602852</v>
      </c>
      <c r="S302" s="1" t="n">
        <f aca="false">S287+S292+S297</f>
        <v>7.26646865181824</v>
      </c>
      <c r="T302" s="1" t="n">
        <f aca="false">T287+T292+T297</f>
        <v>7.43411870663266</v>
      </c>
      <c r="U302" s="1" t="n">
        <f aca="false">U287+U292+U297</f>
        <v>7.60564713052317</v>
      </c>
      <c r="V302" s="1" t="n">
        <f aca="false">V287+V292+V297</f>
        <v>7.73004306221356</v>
      </c>
      <c r="W302" s="1" t="n">
        <f aca="false">W287+W292+W297</f>
        <v>7.84494702881807</v>
      </c>
      <c r="X302" s="1" t="n">
        <f aca="false">X287+X292+X297</f>
        <v>7.95749815916697</v>
      </c>
      <c r="Y302" s="1" t="n">
        <f aca="false">Y287+Y292+Y297</f>
        <v>8.06769093637855</v>
      </c>
      <c r="Z302" s="1" t="n">
        <f aca="false">Z287+Z292+Z297</f>
        <v>8.17552004787359</v>
      </c>
      <c r="AA302" s="1" t="n">
        <f aca="false">AA287+AA292+AA297</f>
        <v>8.28098037147693</v>
      </c>
      <c r="AB302" s="1" t="n">
        <f aca="false">AB287+AB292+AB297</f>
        <v>8.38406630607813</v>
      </c>
      <c r="AC302" s="1" t="n">
        <f aca="false">AC287+AC292+AC297</f>
        <v>8.48477241483589</v>
      </c>
      <c r="AD302" s="1" t="n">
        <f aca="false">AD287+AD292+AD297</f>
        <v>8.58309341287738</v>
      </c>
      <c r="AE302" s="1" t="n">
        <f aca="false">AE287+AE292+AE297</f>
        <v>8.67902415546825</v>
      </c>
      <c r="AF302" s="1" t="n">
        <f aca="false">AF287+AF292+AF297</f>
        <v>8.77255962662478</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11.8267027723829</v>
      </c>
      <c r="D307" s="116" t="n">
        <f aca="false">D81</f>
        <v>31.2705719819142</v>
      </c>
      <c r="E307" s="116" t="n">
        <f aca="false">E81</f>
        <v>57.4876291967492</v>
      </c>
      <c r="F307" s="116" t="n">
        <f aca="false">F81</f>
        <v>117.640244070027</v>
      </c>
      <c r="G307" s="116" t="n">
        <f aca="false">G81</f>
        <v>177.792297926316</v>
      </c>
      <c r="H307" s="116" t="n">
        <f aca="false">H81</f>
        <v>227.511063399864</v>
      </c>
      <c r="I307" s="116" t="n">
        <f aca="false">I81</f>
        <v>271.0052420369</v>
      </c>
      <c r="J307" s="116" t="n">
        <f aca="false">J81</f>
        <v>309.118001288097</v>
      </c>
      <c r="K307" s="116" t="n">
        <f aca="false">K81</f>
        <v>321.703694079959</v>
      </c>
      <c r="L307" s="116" t="n">
        <f aca="false">L81</f>
        <v>334.29956120741</v>
      </c>
      <c r="M307" s="116" t="n">
        <f aca="false">M81</f>
        <v>346.66226255922</v>
      </c>
      <c r="N307" s="116" t="n">
        <f aca="false">N81</f>
        <v>358.553504973444</v>
      </c>
      <c r="O307" s="116" t="n">
        <f aca="false">O81</f>
        <v>369.77058484458</v>
      </c>
      <c r="P307" s="116" t="n">
        <f aca="false">P81</f>
        <v>379.755093714398</v>
      </c>
      <c r="Q307" s="116" t="n">
        <f aca="false">Q81</f>
        <v>388.506573045524</v>
      </c>
      <c r="R307" s="116" t="n">
        <f aca="false">R81</f>
        <v>396.310055188814</v>
      </c>
      <c r="S307" s="116" t="n">
        <f aca="false">S81</f>
        <v>403.39948549285</v>
      </c>
      <c r="T307" s="116" t="n">
        <f aca="false">T81</f>
        <v>409.973259534186</v>
      </c>
      <c r="U307" s="116" t="n">
        <f aca="false">U81</f>
        <v>416.581925240352</v>
      </c>
      <c r="V307" s="116" t="n">
        <f aca="false">V81</f>
        <v>423.221579308556</v>
      </c>
      <c r="W307" s="116" t="n">
        <f aca="false">W81</f>
        <v>429.744904315857</v>
      </c>
      <c r="X307" s="116" t="n">
        <f aca="false">X81</f>
        <v>436.148151172231</v>
      </c>
      <c r="Y307" s="116" t="n">
        <f aca="false">Y81</f>
        <v>442.427583267148</v>
      </c>
      <c r="Z307" s="116" t="n">
        <f aca="false">Z81</f>
        <v>448.579475675982</v>
      </c>
      <c r="AA307" s="116" t="n">
        <f aca="false">AA81</f>
        <v>454.600114400124</v>
      </c>
      <c r="AB307" s="116" t="n">
        <f aca="false">AB81</f>
        <v>460.489199041721</v>
      </c>
      <c r="AC307" s="116" t="n">
        <f aca="false">AC81</f>
        <v>466.246438702726</v>
      </c>
      <c r="AD307" s="116" t="n">
        <f aca="false">AD81</f>
        <v>471.871551315046</v>
      </c>
      <c r="AE307" s="116" t="n">
        <f aca="false">AE81</f>
        <v>477.364262997304</v>
      </c>
      <c r="AF307" s="116" t="n">
        <f aca="false">AF81</f>
        <v>482.72430743665</v>
      </c>
    </row>
    <row r="308" customFormat="false" ht="14.25" hidden="false" customHeight="true" outlineLevel="0" collapsed="false">
      <c r="B308" s="84" t="s">
        <v>1300</v>
      </c>
      <c r="C308" s="1" t="n">
        <f aca="false">C301</f>
        <v>6.54203238216588</v>
      </c>
      <c r="D308" s="1" t="n">
        <f aca="false">D301</f>
        <v>17.0897302101411</v>
      </c>
      <c r="E308" s="1" t="n">
        <f aca="false">E301</f>
        <v>30.0143633601411</v>
      </c>
      <c r="F308" s="1" t="n">
        <f aca="false">F301</f>
        <v>43.2362630725911</v>
      </c>
      <c r="G308" s="1" t="n">
        <f aca="false">G301</f>
        <v>56.7622664784275</v>
      </c>
      <c r="H308" s="1" t="n">
        <f aca="false">H301</f>
        <v>70.599367962598</v>
      </c>
      <c r="I308" s="1" t="n">
        <f aca="false">I301</f>
        <v>84.7547227809045</v>
      </c>
      <c r="J308" s="1" t="n">
        <f aca="false">J301</f>
        <v>99.2356507600321</v>
      </c>
      <c r="K308" s="1" t="n">
        <f aca="false">K301</f>
        <v>114.04964008268</v>
      </c>
      <c r="L308" s="1" t="n">
        <f aca="false">L301</f>
        <v>129.204351159748</v>
      </c>
      <c r="M308" s="1" t="n">
        <f aca="false">M301</f>
        <v>144.707620591589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183.500564285301</v>
      </c>
      <c r="W308" s="1" t="n">
        <f aca="false">W301</f>
        <v>186.229277874676</v>
      </c>
      <c r="X308" s="1" t="n">
        <f aca="false">X301</f>
        <v>188.902177949387</v>
      </c>
      <c r="Y308" s="1" t="n">
        <f aca="false">Y301</f>
        <v>191.519117995144</v>
      </c>
      <c r="Z308" s="1" t="n">
        <f aca="false">Z301</f>
        <v>194.07995634978</v>
      </c>
      <c r="AA308" s="1" t="n">
        <f aca="false">AA301</f>
        <v>196.584555873328</v>
      </c>
      <c r="AB308" s="1" t="n">
        <f aca="false">AB301</f>
        <v>199.032783631511</v>
      </c>
      <c r="AC308" s="1" t="n">
        <f aca="false">AC301</f>
        <v>201.424510591869</v>
      </c>
      <c r="AD308" s="1" t="n">
        <f aca="false">AD301</f>
        <v>203.759611331768</v>
      </c>
      <c r="AE308" s="1" t="n">
        <f aca="false">AE301</f>
        <v>206.037963757599</v>
      </c>
      <c r="AF308" s="1" t="n">
        <f aca="false">AF301</f>
        <v>208.259448834465</v>
      </c>
    </row>
    <row r="309" customFormat="false" ht="14.25" hidden="false" customHeight="true" outlineLevel="0" collapsed="false">
      <c r="B309" s="84" t="s">
        <v>1301</v>
      </c>
      <c r="C309" s="1" t="n">
        <f aca="false">C307-C308</f>
        <v>5.28467039021698</v>
      </c>
      <c r="D309" s="1" t="n">
        <f aca="false">D307-D308</f>
        <v>14.1808417717731</v>
      </c>
      <c r="E309" s="1" t="n">
        <f aca="false">E307-E308</f>
        <v>27.4732658366081</v>
      </c>
      <c r="F309" s="1" t="n">
        <f aca="false">F307-F308</f>
        <v>74.4039809974362</v>
      </c>
      <c r="G309" s="1" t="n">
        <f aca="false">G307-G308</f>
        <v>121.030031447889</v>
      </c>
      <c r="H309" s="1" t="n">
        <f aca="false">H307-H308</f>
        <v>156.911695437266</v>
      </c>
      <c r="I309" s="1" t="n">
        <f aca="false">I307-I308</f>
        <v>186.250519255996</v>
      </c>
      <c r="J309" s="1" t="n">
        <f aca="false">J307-J308</f>
        <v>209.882350528065</v>
      </c>
      <c r="K309" s="1" t="n">
        <f aca="false">K307-K308</f>
        <v>207.654053997279</v>
      </c>
      <c r="L309" s="1" t="n">
        <f aca="false">L307-L308</f>
        <v>205.095210047662</v>
      </c>
      <c r="M309" s="1" t="n">
        <f aca="false">M307-M308</f>
        <v>201.954641967631</v>
      </c>
      <c r="N309" s="1" t="n">
        <f aca="false">N307-N308</f>
        <v>204.573584868815</v>
      </c>
      <c r="O309" s="1" t="n">
        <f aca="false">O307-O308</f>
        <v>212.249126577545</v>
      </c>
      <c r="P309" s="1" t="n">
        <f aca="false">P307-P308</f>
        <v>218.610641907221</v>
      </c>
      <c r="Q309" s="1" t="n">
        <f aca="false">Q307-Q308</f>
        <v>223.655798846783</v>
      </c>
      <c r="R309" s="1" t="n">
        <f aca="false">R307-R308</f>
        <v>227.667713183501</v>
      </c>
      <c r="S309" s="1" t="n">
        <f aca="false">S307-S308</f>
        <v>230.878369621415</v>
      </c>
      <c r="T309" s="1" t="n">
        <f aca="false">T307-T308</f>
        <v>233.484157997708</v>
      </c>
      <c r="U309" s="1" t="n">
        <f aca="false">U307-U308</f>
        <v>236.033574368535</v>
      </c>
      <c r="V309" s="1" t="n">
        <f aca="false">V307-V308</f>
        <v>239.721015023255</v>
      </c>
      <c r="W309" s="1" t="n">
        <f aca="false">W307-W308</f>
        <v>243.515626441181</v>
      </c>
      <c r="X309" s="1" t="n">
        <f aca="false">X307-X308</f>
        <v>247.245973222844</v>
      </c>
      <c r="Y309" s="1" t="n">
        <f aca="false">Y307-Y308</f>
        <v>250.908465272003</v>
      </c>
      <c r="Z309" s="1" t="n">
        <f aca="false">Z307-Z308</f>
        <v>254.499519326203</v>
      </c>
      <c r="AA309" s="1" t="n">
        <f aca="false">AA307-AA308</f>
        <v>258.015558526796</v>
      </c>
      <c r="AB309" s="1" t="n">
        <f aca="false">AB307-AB308</f>
        <v>261.45641541021</v>
      </c>
      <c r="AC309" s="1" t="n">
        <f aca="false">AC307-AC308</f>
        <v>264.821928110857</v>
      </c>
      <c r="AD309" s="1" t="n">
        <f aca="false">AD307-AD308</f>
        <v>268.111939983278</v>
      </c>
      <c r="AE309" s="1" t="n">
        <f aca="false">AE307-AE308</f>
        <v>271.326299239706</v>
      </c>
      <c r="AF309" s="1" t="n">
        <f aca="false">AF307-AF308</f>
        <v>274.464858602184</v>
      </c>
    </row>
    <row r="310" customFormat="false" ht="14.25" hidden="false" customHeight="true" outlineLevel="0" collapsed="false">
      <c r="B310" s="84" t="s">
        <v>1302</v>
      </c>
      <c r="C310" s="1" t="n">
        <f aca="false">IF(C307&gt;0,100*C308/C307,0)</f>
        <v>55.3157757328824</v>
      </c>
      <c r="D310" s="1" t="n">
        <f aca="false">IF(D307&gt;0,100*D308/D307,0)</f>
        <v>54.6511596270935</v>
      </c>
      <c r="E310" s="1" t="n">
        <f aca="false">IF(E307&gt;0,100*E308/E307,0)</f>
        <v>52.2101255166013</v>
      </c>
      <c r="F310" s="1" t="n">
        <f aca="false">IF(F307&gt;0,100*F308/F307,0)</f>
        <v>36.7529525413548</v>
      </c>
      <c r="G310" s="1" t="n">
        <f aca="false">IF(G307&gt;0,100*G308/G307,0)</f>
        <v>31.9261672977261</v>
      </c>
      <c r="H310" s="1" t="n">
        <f aca="false">IF(H307&gt;0,100*H308/H307,0)</f>
        <v>31.0311801578262</v>
      </c>
      <c r="I310" s="1" t="n">
        <f aca="false">IF(I307&gt;0,100*I308/I307,0)</f>
        <v>31.2742005076656</v>
      </c>
      <c r="J310" s="1" t="n">
        <f aca="false">IF(J307&gt;0,100*J308/J307,0)</f>
        <v>32.1028378633779</v>
      </c>
      <c r="K310" s="1" t="n">
        <f aca="false">IF(K307&gt;0,100*K308/K307,0)</f>
        <v>35.4517657650312</v>
      </c>
      <c r="L310" s="1" t="n">
        <f aca="false">IF(L307&gt;0,100*L308/L307,0)</f>
        <v>38.649273332305</v>
      </c>
      <c r="M310" s="1" t="n">
        <f aca="false">IF(M307&gt;0,100*M308/M307,0)</f>
        <v>41.7431131739841</v>
      </c>
      <c r="N310" s="1" t="n">
        <f aca="false">IF(N307&gt;0,100*N308/N307,0)</f>
        <v>42.9447538425355</v>
      </c>
      <c r="O310" s="1" t="n">
        <f aca="false">IF(O307&gt;0,100*O308/O307,0)</f>
        <v>42.59978070815</v>
      </c>
      <c r="P310" s="1" t="n">
        <f aca="false">IF(P307&gt;0,100*P308/P307,0)</f>
        <v>42.4337828443635</v>
      </c>
      <c r="Q310" s="1" t="n">
        <f aca="false">IF(Q307&gt;0,100*Q308/Q307,0)</f>
        <v>42.4319138043065</v>
      </c>
      <c r="R310" s="1" t="n">
        <f aca="false">IF(R307&gt;0,100*R308/R307,0)</f>
        <v>42.5531322754268</v>
      </c>
      <c r="S310" s="1" t="n">
        <f aca="false">IF(S307&gt;0,100*S308/S307,0)</f>
        <v>42.766816041091</v>
      </c>
      <c r="T310" s="1" t="n">
        <f aca="false">IF(T307&gt;0,100*T308/T307,0)</f>
        <v>43.0489300050949</v>
      </c>
      <c r="U310" s="1" t="n">
        <f aca="false">IF(U307&gt;0,100*U308/U307,0)</f>
        <v>43.3404187586025</v>
      </c>
      <c r="V310" s="1" t="n">
        <f aca="false">IF(V307&gt;0,100*V308/V307,0)</f>
        <v>43.3580358981453</v>
      </c>
      <c r="W310" s="1" t="n">
        <f aca="false">IF(W307&gt;0,100*W308/W307,0)</f>
        <v>43.3348426018333</v>
      </c>
      <c r="X310" s="1" t="n">
        <f aca="false">IF(X307&gt;0,100*X308/X307,0)</f>
        <v>43.311470527085</v>
      </c>
      <c r="Y310" s="1" t="n">
        <f aca="false">IF(Y307&gt;0,100*Y308/Y307,0)</f>
        <v>43.2882408869839</v>
      </c>
      <c r="Z310" s="1" t="n">
        <f aca="false">IF(Z307&gt;0,100*Z308/Z307,0)</f>
        <v>43.2654561507329</v>
      </c>
      <c r="AA310" s="1" t="n">
        <f aca="false">IF(AA307&gt;0,100*AA308/AA307,0)</f>
        <v>43.2434022003568</v>
      </c>
      <c r="AB310" s="1" t="n">
        <f aca="false">IF(AB307&gt;0,100*AB308/AB307,0)</f>
        <v>43.2220308414831</v>
      </c>
      <c r="AC310" s="1" t="n">
        <f aca="false">IF(AC307&gt;0,100*AC308/AC307,0)</f>
        <v>43.2012973980687</v>
      </c>
      <c r="AD310" s="1" t="n">
        <f aca="false">IF(AD307&gt;0,100*AD308/AD307,0)</f>
        <v>43.181160373817</v>
      </c>
      <c r="AE310" s="1" t="n">
        <f aca="false">IF(AE307&gt;0,100*AE308/AE307,0)</f>
        <v>43.1615811506112</v>
      </c>
      <c r="AF310" s="1" t="n">
        <f aca="false">IF(AF307&gt;0,100*AF308/AF307,0)</f>
        <v>43.1425237192549</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0.55357665388876</v>
      </c>
      <c r="D313" s="116" t="n">
        <f aca="false">D111</f>
        <v>1.42828368911724</v>
      </c>
      <c r="E313" s="116" t="n">
        <f aca="false">E111</f>
        <v>2.56406832333937</v>
      </c>
      <c r="F313" s="116" t="n">
        <f aca="false">F111</f>
        <v>5.25232231519187</v>
      </c>
      <c r="G313" s="116" t="n">
        <f aca="false">G111</f>
        <v>7.80108948551008</v>
      </c>
      <c r="H313" s="116" t="n">
        <f aca="false">H111</f>
        <v>9.73116546168079</v>
      </c>
      <c r="I313" s="116" t="n">
        <f aca="false">I111</f>
        <v>11.2792050011858</v>
      </c>
      <c r="J313" s="116" t="n">
        <f aca="false">J111</f>
        <v>12.5091975008267</v>
      </c>
      <c r="K313" s="116" t="n">
        <f aca="false">K111</f>
        <v>12.4841295794165</v>
      </c>
      <c r="L313" s="116" t="n">
        <f aca="false">L111</f>
        <v>12.4794900332596</v>
      </c>
      <c r="M313" s="116" t="n">
        <f aca="false">M111</f>
        <v>12.512414471571</v>
      </c>
      <c r="N313" s="116" t="n">
        <f aca="false">N111</f>
        <v>12.5917626576767</v>
      </c>
      <c r="O313" s="116" t="n">
        <f aca="false">O111</f>
        <v>12.7241359868209</v>
      </c>
      <c r="P313" s="116" t="n">
        <f aca="false">P111</f>
        <v>12.9472962336558</v>
      </c>
      <c r="Q313" s="116" t="n">
        <f aca="false">Q111</f>
        <v>13.2553942813638</v>
      </c>
      <c r="R313" s="116" t="n">
        <f aca="false">R111</f>
        <v>13.6195072119713</v>
      </c>
      <c r="S313" s="116" t="n">
        <f aca="false">S111</f>
        <v>14.024429714961</v>
      </c>
      <c r="T313" s="116" t="n">
        <f aca="false">T111</f>
        <v>14.4576234701719</v>
      </c>
      <c r="U313" s="116" t="n">
        <f aca="false">U111</f>
        <v>14.8757720780868</v>
      </c>
      <c r="V313" s="116" t="n">
        <f aca="false">V111</f>
        <v>15.2795277045336</v>
      </c>
      <c r="W313" s="116" t="n">
        <f aca="false">W111</f>
        <v>15.669500222863</v>
      </c>
      <c r="X313" s="116" t="n">
        <f aca="false">X111</f>
        <v>16.0462599531352</v>
      </c>
      <c r="Y313" s="116" t="n">
        <f aca="false">Y111</f>
        <v>16.4103402240666</v>
      </c>
      <c r="Z313" s="116" t="n">
        <f aca="false">Z111</f>
        <v>16.7622397691973</v>
      </c>
      <c r="AA313" s="116" t="n">
        <f aca="false">AA111</f>
        <v>17.1024249679981</v>
      </c>
      <c r="AB313" s="116" t="n">
        <f aca="false">AB111</f>
        <v>17.4313319419445</v>
      </c>
      <c r="AC313" s="116" t="n">
        <f aca="false">AC111</f>
        <v>17.7493685149341</v>
      </c>
      <c r="AD313" s="116" t="n">
        <f aca="false">AD111</f>
        <v>18.056916046823</v>
      </c>
      <c r="AE313" s="116" t="n">
        <f aca="false">AE111</f>
        <v>18.3543311482834</v>
      </c>
      <c r="AF313" s="116" t="n">
        <f aca="false">AF111</f>
        <v>18.6419472846603</v>
      </c>
    </row>
    <row r="314" customFormat="false" ht="14.25" hidden="false" customHeight="true" outlineLevel="0" collapsed="false">
      <c r="B314" s="84" t="s">
        <v>1306</v>
      </c>
      <c r="C314" s="1" t="n">
        <f aca="false">C302</f>
        <v>0.274846963373799</v>
      </c>
      <c r="D314" s="1" t="n">
        <f aca="false">D302</f>
        <v>0.717865970646485</v>
      </c>
      <c r="E314" s="1" t="n">
        <f aca="false">E302</f>
        <v>1.25998226339693</v>
      </c>
      <c r="F314" s="1" t="n">
        <f aca="false">F302</f>
        <v>1.80428746772901</v>
      </c>
      <c r="G314" s="1" t="n">
        <f aca="false">G302</f>
        <v>2.36153853930618</v>
      </c>
      <c r="H314" s="1" t="n">
        <f aca="false">H302</f>
        <v>2.93525068221528</v>
      </c>
      <c r="I314" s="1" t="n">
        <f aca="false">I302</f>
        <v>3.52443053213893</v>
      </c>
      <c r="J314" s="1" t="n">
        <f aca="false">J302</f>
        <v>4.12912966125732</v>
      </c>
      <c r="K314" s="1" t="n">
        <f aca="false">K302</f>
        <v>4.75587975906541</v>
      </c>
      <c r="L314" s="1" t="n">
        <f aca="false">L302</f>
        <v>5.3971312441941</v>
      </c>
      <c r="M314" s="1" t="n">
        <f aca="false">M302</f>
        <v>6.07772502084285</v>
      </c>
      <c r="N314" s="1" t="n">
        <f aca="false">N302</f>
        <v>6.48581401077041</v>
      </c>
      <c r="O314" s="1" t="n">
        <f aca="false">O302</f>
        <v>6.63441519819889</v>
      </c>
      <c r="P314" s="1" t="n">
        <f aca="false">P302</f>
        <v>6.78672151911807</v>
      </c>
      <c r="Q314" s="1" t="n">
        <f aca="false">Q302</f>
        <v>6.94281281568591</v>
      </c>
      <c r="R314" s="1" t="n">
        <f aca="false">R302</f>
        <v>7.10271573602852</v>
      </c>
      <c r="S314" s="1" t="n">
        <f aca="false">S302</f>
        <v>7.26646865181824</v>
      </c>
      <c r="T314" s="1" t="n">
        <f aca="false">T302</f>
        <v>7.43411870663266</v>
      </c>
      <c r="U314" s="1" t="n">
        <f aca="false">U302</f>
        <v>7.60564713052317</v>
      </c>
      <c r="V314" s="1" t="n">
        <f aca="false">V302</f>
        <v>7.73004306221356</v>
      </c>
      <c r="W314" s="1" t="n">
        <f aca="false">W302</f>
        <v>7.84494702881807</v>
      </c>
      <c r="X314" s="1" t="n">
        <f aca="false">X302</f>
        <v>7.95749815916697</v>
      </c>
      <c r="Y314" s="1" t="n">
        <f aca="false">Y302</f>
        <v>8.06769093637855</v>
      </c>
      <c r="Z314" s="1" t="n">
        <f aca="false">Z302</f>
        <v>8.17552004787359</v>
      </c>
      <c r="AA314" s="1" t="n">
        <f aca="false">AA302</f>
        <v>8.28098037147693</v>
      </c>
      <c r="AB314" s="1" t="n">
        <f aca="false">AB302</f>
        <v>8.38406630607813</v>
      </c>
      <c r="AC314" s="1" t="n">
        <f aca="false">AC302</f>
        <v>8.48477241483589</v>
      </c>
      <c r="AD314" s="1" t="n">
        <f aca="false">AD302</f>
        <v>8.58309341287738</v>
      </c>
      <c r="AE314" s="1" t="n">
        <f aca="false">AE302</f>
        <v>8.67902415546825</v>
      </c>
      <c r="AF314" s="1" t="n">
        <f aca="false">AF302</f>
        <v>8.77255962662478</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242.937803450801</v>
      </c>
      <c r="D316" s="1" t="n">
        <f aca="false">IF(D313&gt;0,100*(D314+D315)/D313,0)</f>
        <v>127.048707793339</v>
      </c>
      <c r="E316" s="1" t="n">
        <f aca="false">IF(E313&gt;0,100*(E314+E315)/E313,0)</f>
        <v>92.9831312096973</v>
      </c>
      <c r="F316" s="1" t="n">
        <f aca="false">IF(F313&gt;0,100*(F314+F315)/F313,0)</f>
        <v>56.290537005458</v>
      </c>
      <c r="G316" s="1" t="n">
        <f aca="false">IF(G313&gt;0,100*(G314+G315)/G313,0)</f>
        <v>45.4118407288504</v>
      </c>
      <c r="H316" s="1" t="n">
        <f aca="false">IF(H313&gt;0,100*(H314+H315)/H313,0)</f>
        <v>42.6039150843106</v>
      </c>
      <c r="I316" s="1" t="n">
        <f aca="false">IF(I313&gt;0,100*(I314+I315)/I313,0)</f>
        <v>42.2485670676765</v>
      </c>
      <c r="J316" s="1" t="n">
        <f aca="false">IF(J313&gt;0,100*(J314+J315)/J313,0)</f>
        <v>43.1764181301429</v>
      </c>
      <c r="K316" s="1" t="n">
        <f aca="false">IF(K313&gt;0,100*(K314+K315)/K313,0)</f>
        <v>48.5381925976792</v>
      </c>
      <c r="L316" s="1" t="n">
        <f aca="false">IF(L313&gt;0,100*(L314+L315)/L313,0)</f>
        <v>53.9558475874622</v>
      </c>
      <c r="M316" s="1" t="n">
        <f aca="false">IF(M313&gt;0,100*(M314+M315)/M313,0)</f>
        <v>59.5202109077667</v>
      </c>
      <c r="N316" s="1" t="n">
        <f aca="false">IF(N313&gt;0,100*(N314+N315)/N313,0)</f>
        <v>62.6580007034018</v>
      </c>
      <c r="O316" s="1" t="n">
        <f aca="false">IF(O313&gt;0,100*(O314+O315)/O313,0)</f>
        <v>63.4498581947295</v>
      </c>
      <c r="P316" s="1" t="n">
        <f aca="false">IF(P313&gt;0,100*(P314+P315)/P313,0)</f>
        <v>63.8104526845868</v>
      </c>
      <c r="Q316" s="1" t="n">
        <f aca="false">IF(Q313&gt;0,100*(Q314+Q315)/Q313,0)</f>
        <v>63.783050316463</v>
      </c>
      <c r="R316" s="1" t="n">
        <f aca="false">IF(R313&gt;0,100*(R314+R315)/R313,0)</f>
        <v>63.5294261350086</v>
      </c>
      <c r="S316" s="1" t="n">
        <f aca="false">IF(S313&gt;0,100*(S314+S315)/S313,0)</f>
        <v>63.139035567905</v>
      </c>
      <c r="T316" s="1" t="n">
        <f aca="false">IF(T313&gt;0,100*(T314+T315)/T313,0)</f>
        <v>62.6814653514032</v>
      </c>
      <c r="U316" s="1" t="n">
        <f aca="false">IF(U313&gt;0,100*(U314+U315)/U313,0)</f>
        <v>62.3462225004856</v>
      </c>
      <c r="V316" s="1" t="n">
        <f aca="false">IF(V313&gt;0,100*(V314+V315)/V313,0)</f>
        <v>61.7859330694957</v>
      </c>
      <c r="W316" s="1" t="n">
        <f aca="false">IF(W313&gt;0,100*(W314+W315)/W313,0)</f>
        <v>61.2544528122486</v>
      </c>
      <c r="X316" s="1" t="n">
        <f aca="false">IF(X313&gt;0,100*(X314+X315)/X313,0)</f>
        <v>60.7908058858883</v>
      </c>
      <c r="Y316" s="1" t="n">
        <f aca="false">IF(Y313&gt;0,100*(Y314+Y315)/Y313,0)</f>
        <v>60.3873667241589</v>
      </c>
      <c r="Z316" s="1" t="n">
        <f aca="false">IF(Z313&gt;0,100*(Z314+Z315)/Z313,0)</f>
        <v>60.0376418470209</v>
      </c>
      <c r="AA316" s="1" t="n">
        <f aca="false">IF(AA313&gt;0,100*(AA314+AA315)/AA313,0)</f>
        <v>59.7360734319663</v>
      </c>
      <c r="AB316" s="1" t="n">
        <f aca="false">IF(AB313&gt;0,100*(AB314+AB315)/AB313,0)</f>
        <v>59.4778788322833</v>
      </c>
      <c r="AC316" s="1" t="n">
        <f aca="false">IF(AC313&gt;0,100*(AC314+AC315)/AC313,0)</f>
        <v>59.2589285405896</v>
      </c>
      <c r="AD316" s="1" t="n">
        <f aca="false">IF(AD313&gt;0,100*(AD314+AD315)/AD313,0)</f>
        <v>59.0756439515868</v>
      </c>
      <c r="AE316" s="1" t="n">
        <f aca="false">IF(AE313&gt;0,100*(AE314+AE315)/AE313,0)</f>
        <v>58.9249138972301</v>
      </c>
      <c r="AF316" s="1" t="n">
        <f aca="false">IF(AF313&gt;0,100*(AF314+AF315)/AF313,0)</f>
        <v>58.8040260550845</v>
      </c>
    </row>
    <row r="317" customFormat="false" ht="14.25" hidden="false" customHeight="true" outlineLevel="0" collapsed="false">
      <c r="B317" s="1" t="s">
        <v>1309</v>
      </c>
      <c r="C317" s="1" t="n">
        <f aca="false">$C$329*C291</f>
        <v>2.97124026869837</v>
      </c>
      <c r="D317" s="1" t="n">
        <f aca="false">$C$329*D291</f>
        <v>5.38238941913151</v>
      </c>
      <c r="E317" s="1" t="n">
        <f aca="false">$C$329*E291</f>
        <v>7.28058728093113</v>
      </c>
      <c r="F317" s="1" t="n">
        <f aca="false">$C$329*F291</f>
        <v>6.27077572345277</v>
      </c>
      <c r="G317" s="1" t="n">
        <f aca="false">$C$329*G291</f>
        <v>7.17146751871178</v>
      </c>
      <c r="H317" s="1" t="n">
        <f aca="false">$C$329*H291</f>
        <v>8.8390290731978</v>
      </c>
      <c r="I317" s="1" t="n">
        <f aca="false">$C$329*I291</f>
        <v>10.4063865498607</v>
      </c>
      <c r="J317" s="1" t="n">
        <f aca="false">$C$329*J291</f>
        <v>12.0478112523792</v>
      </c>
      <c r="K317" s="1" t="n">
        <f aca="false">$C$329*K291</f>
        <v>15.2128990154647</v>
      </c>
      <c r="L317" s="1" t="n">
        <f aca="false">$C$329*L291</f>
        <v>17.0147686137468</v>
      </c>
      <c r="M317" s="1" t="n">
        <f aca="false">$C$329*M291</f>
        <v>24.3929711986995</v>
      </c>
      <c r="N317" s="1" t="n">
        <f aca="false">$C$329*N291</f>
        <v>21.9805128572661</v>
      </c>
      <c r="O317" s="1" t="n">
        <f aca="false">$C$329*O291</f>
        <v>16.898094608224</v>
      </c>
      <c r="P317" s="1" t="n">
        <f aca="false">$C$329*P291</f>
        <v>17.3247145911065</v>
      </c>
      <c r="Q317" s="1" t="n">
        <f aca="false">$C$329*Q291</f>
        <v>17.7734202142937</v>
      </c>
      <c r="R317" s="1" t="n">
        <f aca="false">$C$329*R291</f>
        <v>18.2320477809984</v>
      </c>
      <c r="S317" s="1" t="n">
        <f aca="false">$C$329*S291</f>
        <v>18.7004973842978</v>
      </c>
      <c r="T317" s="1" t="n">
        <f aca="false">$C$329*T291</f>
        <v>19.1784613889174</v>
      </c>
      <c r="U317" s="1" t="n">
        <f aca="false">$C$329*U291</f>
        <v>19.6490948133738</v>
      </c>
      <c r="V317" s="1" t="n">
        <f aca="false">$C$329*V291</f>
        <v>19.4355786174554</v>
      </c>
      <c r="W317" s="1" t="n">
        <f aca="false">$C$329*W291</f>
        <v>19.6070884698145</v>
      </c>
      <c r="X317" s="1" t="n">
        <f aca="false">$C$329*X291</f>
        <v>19.8501089936314</v>
      </c>
      <c r="Y317" s="1" t="n">
        <f aca="false">$C$329*Y291</f>
        <v>20.087560206418</v>
      </c>
      <c r="Z317" s="1" t="n">
        <f aca="false">$C$329*Z291</f>
        <v>20.3194605474374</v>
      </c>
      <c r="AA317" s="1" t="n">
        <f aca="false">$C$329*AA291</f>
        <v>20.5458287772787</v>
      </c>
      <c r="AB317" s="1" t="n">
        <f aca="false">$C$329*AB291</f>
        <v>20.7665359033028</v>
      </c>
      <c r="AC317" s="1" t="n">
        <f aca="false">$C$329*AC291</f>
        <v>20.9815704561296</v>
      </c>
      <c r="AD317" s="1" t="n">
        <f aca="false">$C$329*AD291</f>
        <v>21.1909212109265</v>
      </c>
      <c r="AE317" s="1" t="n">
        <f aca="false">$C$329*AE291</f>
        <v>21.3945771635696</v>
      </c>
      <c r="AF317" s="1" t="n">
        <f aca="false">$C$329*AF291</f>
        <v>21.5925275075883</v>
      </c>
    </row>
    <row r="318" customFormat="false" ht="14.25" hidden="false" customHeight="true" outlineLevel="0" collapsed="false">
      <c r="B318" s="146" t="s">
        <v>1310</v>
      </c>
      <c r="C318" s="1" t="n">
        <f aca="false">$C$329*(C290+(1-$C$279)*C332)</f>
        <v>0</v>
      </c>
      <c r="D318" s="1" t="n">
        <f aca="false">$C$329*(D290+(1-$C$279)*D332)</f>
        <v>0.588305573202276</v>
      </c>
      <c r="E318" s="1" t="n">
        <f aca="false">$C$329*(E290+(1-$C$279)*E332)</f>
        <v>1.53165111896424</v>
      </c>
      <c r="F318" s="1" t="n">
        <f aca="false">$C$329*(F290+(1-$C$279)*F332)</f>
        <v>2.65462396784404</v>
      </c>
      <c r="G318" s="1" t="n">
        <f aca="false">$C$329*(G290+(1-$C$279)*G332)</f>
        <v>3.34407577577613</v>
      </c>
      <c r="H318" s="1" t="n">
        <f aca="false">$C$329*(H290+(1-$C$279)*H332)</f>
        <v>4.06845858311963</v>
      </c>
      <c r="I318" s="1" t="n">
        <f aca="false">$C$329*(I290+(1-$C$279)*I332)</f>
        <v>4.97234695432391</v>
      </c>
      <c r="J318" s="1" t="n">
        <f aca="false">$C$329*(J290+(1-$C$279)*J332)</f>
        <v>5.99856332469696</v>
      </c>
      <c r="K318" s="1" t="n">
        <f aca="false">$C$329*(K290+(1-$C$279)*K332)</f>
        <v>7.13632878113108</v>
      </c>
      <c r="L318" s="1" t="n">
        <f aca="false">$C$329*(L290+(1-$C$279)*L332)</f>
        <v>8.66412639971782</v>
      </c>
      <c r="M318" s="1" t="n">
        <f aca="false">$C$329*(M290+(1-$C$279)*M332)</f>
        <v>10.2309122940984</v>
      </c>
      <c r="N318" s="1" t="n">
        <f aca="false">$C$329*(N290+(1-$C$279)*N332)</f>
        <v>12.9326908342684</v>
      </c>
      <c r="O318" s="1" t="n">
        <f aca="false">$C$329*(O290+(1-$C$279)*O332)</f>
        <v>14.5948326864793</v>
      </c>
      <c r="P318" s="1" t="n">
        <f aca="false">$C$329*(P290+(1-$C$279)*P332)</f>
        <v>14.9049302201199</v>
      </c>
      <c r="Q318" s="1" t="n">
        <f aca="false">$C$329*(Q290+(1-$C$279)*Q332)</f>
        <v>15.2349982233741</v>
      </c>
      <c r="R318" s="1" t="n">
        <f aca="false">$C$329*(R290+(1-$C$279)*R332)</f>
        <v>15.5852557953424</v>
      </c>
      <c r="S318" s="1" t="n">
        <f aca="false">$C$329*(S290+(1-$C$279)*S332)</f>
        <v>15.9534680505489</v>
      </c>
      <c r="T318" s="1" t="n">
        <f aca="false">$C$329*(T290+(1-$C$279)*T332)</f>
        <v>16.3378451781257</v>
      </c>
      <c r="U318" s="1" t="n">
        <f aca="false">$C$329*(U290+(1-$C$279)*U332)</f>
        <v>16.7369087360812</v>
      </c>
      <c r="V318" s="1" t="n">
        <f aca="false">$C$329*(V290+(1-$C$279)*V332)</f>
        <v>17.1461524920243</v>
      </c>
      <c r="W318" s="1" t="n">
        <f aca="false">$C$329*(W290+(1-$C$279)*W332)</f>
        <v>17.4279973399394</v>
      </c>
      <c r="X318" s="1" t="n">
        <f aca="false">$C$329*(X290+(1-$C$279)*X332)</f>
        <v>17.6851774102553</v>
      </c>
      <c r="Y318" s="1" t="n">
        <f aca="false">$C$329*(Y290+(1-$C$279)*Y332)</f>
        <v>17.9369820896612</v>
      </c>
      <c r="Z318" s="1" t="n">
        <f aca="false">$C$329*(Z290+(1-$C$279)*Z332)</f>
        <v>18.1834267358824</v>
      </c>
      <c r="AA318" s="1" t="n">
        <f aca="false">$C$329*(AA290+(1-$C$279)*AA332)</f>
        <v>18.4245271632115</v>
      </c>
      <c r="AB318" s="1" t="n">
        <f aca="false">$C$329*(AB290+(1-$C$279)*AB332)</f>
        <v>18.6602996111647</v>
      </c>
      <c r="AC318" s="1" t="n">
        <f aca="false">$C$329*(AC290+(1-$C$279)*AC332)</f>
        <v>18.8907314008964</v>
      </c>
      <c r="AD318" s="1" t="n">
        <f aca="false">$C$329*(AD290+(1-$C$279)*AD332)</f>
        <v>19.1158102198236</v>
      </c>
      <c r="AE318" s="1" t="n">
        <f aca="false">$C$329*(AE290+(1-$C$279)*AE332)</f>
        <v>19.3355240938637</v>
      </c>
      <c r="AF318" s="1" t="n">
        <f aca="false">$C$329*(AF290+(1-$C$279)*AF332)</f>
        <v>19.5498613607269</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0.89137208060951</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1.91778333314669</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2.73317990503075</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2.62385261969081</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2.79105937940572</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3.38319840886794</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4.0234969304244</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4.67579480379956</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5.79274645238209</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6.65614628370143</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9.05339775821201</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9.08223691944718</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7.31144069390833</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6.9210200273708</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7.09914695258096</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7.28250319615748</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7.46981808895119</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7.66098914987361</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7.85093150568172</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7.83488125620075</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7.86455555992479</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7.95495572201049</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8.05097917927579</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8.14476930528585</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8.23633360902221</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8.32563530627327</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8.41265779897578</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8.49739654980317</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8.57984711258537</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8.66000512296058</v>
      </c>
    </row>
    <row r="320" customFormat="false" ht="14.25" hidden="false" customHeight="true" outlineLevel="0" collapsed="false">
      <c r="B320" s="1" t="s">
        <v>1312</v>
      </c>
      <c r="C320" s="1" t="n">
        <f aca="false">01_Supuestos!$C$185*C317</f>
        <v>0.89137208060951</v>
      </c>
      <c r="D320" s="1" t="n">
        <f aca="false">01_Supuestos!$C$185*D317</f>
        <v>1.61471682573945</v>
      </c>
      <c r="E320" s="1" t="n">
        <f aca="false">01_Supuestos!$C$185*E317</f>
        <v>2.18417618427934</v>
      </c>
      <c r="F320" s="1" t="n">
        <f aca="false">01_Supuestos!$C$185*F317</f>
        <v>1.88123271703583</v>
      </c>
      <c r="G320" s="1" t="n">
        <f aca="false">01_Supuestos!$C$185*G317</f>
        <v>2.15144025561353</v>
      </c>
      <c r="H320" s="1" t="n">
        <f aca="false">01_Supuestos!$C$185*H317</f>
        <v>2.65170872195934</v>
      </c>
      <c r="I320" s="1" t="n">
        <f aca="false">01_Supuestos!$C$185*I317</f>
        <v>3.12191596495822</v>
      </c>
      <c r="J320" s="1" t="n">
        <f aca="false">01_Supuestos!$C$185*J317</f>
        <v>3.61434337571376</v>
      </c>
      <c r="K320" s="1" t="n">
        <f aca="false">01_Supuestos!$C$185*K317</f>
        <v>4.56386970463941</v>
      </c>
      <c r="L320" s="1" t="n">
        <f aca="false">01_Supuestos!$C$185*L317</f>
        <v>5.10443058412404</v>
      </c>
      <c r="M320" s="1" t="n">
        <f aca="false">01_Supuestos!$C$185*M317</f>
        <v>7.31789135960984</v>
      </c>
      <c r="N320" s="1" t="n">
        <f aca="false">01_Supuestos!$C$185*N317</f>
        <v>6.59415385717984</v>
      </c>
      <c r="O320" s="1" t="n">
        <f aca="false">01_Supuestos!$C$185*O317</f>
        <v>5.06942838246719</v>
      </c>
      <c r="P320" s="1" t="n">
        <f aca="false">01_Supuestos!$C$185*P317</f>
        <v>5.19741437733195</v>
      </c>
      <c r="Q320" s="1" t="n">
        <f aca="false">01_Supuestos!$C$185*Q317</f>
        <v>5.3320260642881</v>
      </c>
      <c r="R320" s="1" t="n">
        <f aca="false">01_Supuestos!$C$185*R317</f>
        <v>5.46961433429953</v>
      </c>
      <c r="S320" s="1" t="n">
        <f aca="false">01_Supuestos!$C$185*S317</f>
        <v>5.61014921528935</v>
      </c>
      <c r="T320" s="1" t="n">
        <f aca="false">01_Supuestos!$C$185*T317</f>
        <v>5.75353841667523</v>
      </c>
      <c r="U320" s="1" t="n">
        <f aca="false">01_Supuestos!$C$185*U317</f>
        <v>5.89472844401214</v>
      </c>
      <c r="V320" s="1" t="n">
        <f aca="false">01_Supuestos!$C$185*V317</f>
        <v>5.83067358523662</v>
      </c>
      <c r="W320" s="1" t="n">
        <f aca="false">01_Supuestos!$C$185*W317</f>
        <v>5.88212654094434</v>
      </c>
      <c r="X320" s="1" t="n">
        <f aca="false">01_Supuestos!$C$185*X317</f>
        <v>5.95503269808941</v>
      </c>
      <c r="Y320" s="1" t="n">
        <f aca="false">01_Supuestos!$C$185*Y317</f>
        <v>6.02626806192539</v>
      </c>
      <c r="Z320" s="1" t="n">
        <f aca="false">01_Supuestos!$C$185*Z317</f>
        <v>6.09583816423122</v>
      </c>
      <c r="AA320" s="1" t="n">
        <f aca="false">01_Supuestos!$C$185*AA317</f>
        <v>6.1637486331836</v>
      </c>
      <c r="AB320" s="1" t="n">
        <f aca="false">01_Supuestos!$C$185*AB317</f>
        <v>6.22996077099085</v>
      </c>
      <c r="AC320" s="1" t="n">
        <f aca="false">01_Supuestos!$C$185*AC317</f>
        <v>6.29447113683889</v>
      </c>
      <c r="AD320" s="1" t="n">
        <f aca="false">01_Supuestos!$C$185*AD317</f>
        <v>6.35727636327795</v>
      </c>
      <c r="AE320" s="1" t="n">
        <f aca="false">01_Supuestos!$C$185*AE317</f>
        <v>6.41837314907087</v>
      </c>
      <c r="AF320" s="1" t="n">
        <f aca="false">01_Supuestos!$C$185*AF317</f>
        <v>6.47775825227648</v>
      </c>
    </row>
    <row r="321" customFormat="false" ht="14.25" hidden="false" customHeight="true" outlineLevel="0" collapsed="false">
      <c r="B321" s="1" t="s">
        <v>1313</v>
      </c>
      <c r="C321" s="1" t="n">
        <f aca="false">C320-C323</f>
        <v>0.89137208060951</v>
      </c>
      <c r="D321" s="1" t="n">
        <f aca="false">C321+D320-D323</f>
        <v>1.91778333314669</v>
      </c>
      <c r="E321" s="1" t="n">
        <f aca="false">D321+E320-E323</f>
        <v>2.73317990503075</v>
      </c>
      <c r="F321" s="1" t="n">
        <f aca="false">E321+F320-F323</f>
        <v>2.62385261969081</v>
      </c>
      <c r="G321" s="1" t="n">
        <f aca="false">F321+G320-G323</f>
        <v>2.79105937940572</v>
      </c>
      <c r="H321" s="1" t="n">
        <f aca="false">G321+H320-H323</f>
        <v>3.38319840886794</v>
      </c>
      <c r="I321" s="1" t="n">
        <f aca="false">H321+I320-I323</f>
        <v>4.0234969304244</v>
      </c>
      <c r="J321" s="1" t="n">
        <f aca="false">I321+J320-J323</f>
        <v>4.67579480379956</v>
      </c>
      <c r="K321" s="1" t="n">
        <f aca="false">J321+K320-K323</f>
        <v>5.79274645238209</v>
      </c>
      <c r="L321" s="1" t="n">
        <f aca="false">K321+L320-L323</f>
        <v>6.65614628370143</v>
      </c>
      <c r="M321" s="1" t="n">
        <f aca="false">L321+M320-M323</f>
        <v>9.05339775821201</v>
      </c>
      <c r="N321" s="1" t="n">
        <f aca="false">M321+N320-N323</f>
        <v>9.08223691944718</v>
      </c>
      <c r="O321" s="1" t="n">
        <f aca="false">N321+O320-O323</f>
        <v>7.31144069390833</v>
      </c>
      <c r="P321" s="1" t="n">
        <f aca="false">O321+P320-P323</f>
        <v>6.9210200273708</v>
      </c>
      <c r="Q321" s="1" t="n">
        <f aca="false">P321+Q320-Q323</f>
        <v>7.09914695258096</v>
      </c>
      <c r="R321" s="1" t="n">
        <f aca="false">Q321+R320-R323</f>
        <v>7.28250319615748</v>
      </c>
      <c r="S321" s="1" t="n">
        <f aca="false">R321+S320-S323</f>
        <v>7.46981808895119</v>
      </c>
      <c r="T321" s="1" t="n">
        <f aca="false">S321+T320-T323</f>
        <v>7.66098914987361</v>
      </c>
      <c r="U321" s="1" t="n">
        <f aca="false">T321+U320-U323</f>
        <v>7.85093150568172</v>
      </c>
      <c r="V321" s="1" t="n">
        <f aca="false">U321+V320-V323</f>
        <v>7.83488125620075</v>
      </c>
      <c r="W321" s="1" t="n">
        <f aca="false">V321+W320-W323</f>
        <v>7.86455555992479</v>
      </c>
      <c r="X321" s="1" t="n">
        <f aca="false">W321+X320-X323</f>
        <v>7.95495572201049</v>
      </c>
      <c r="Y321" s="1" t="n">
        <f aca="false">X321+Y320-Y323</f>
        <v>8.05097917927579</v>
      </c>
      <c r="Z321" s="1" t="n">
        <f aca="false">Y321+Z320-Z323</f>
        <v>8.14476930528585</v>
      </c>
      <c r="AA321" s="1" t="n">
        <f aca="false">Z321+AA320-AA323</f>
        <v>8.23633360902221</v>
      </c>
      <c r="AB321" s="1" t="n">
        <f aca="false">AA321+AB320-AB323</f>
        <v>8.32563530627327</v>
      </c>
      <c r="AC321" s="1" t="n">
        <f aca="false">AB321+AC320-AC323</f>
        <v>8.41265779897578</v>
      </c>
      <c r="AD321" s="1" t="n">
        <f aca="false">AC321+AD320-AD323</f>
        <v>8.49739654980317</v>
      </c>
      <c r="AE321" s="1" t="n">
        <f aca="false">AD321+AE320-AE323</f>
        <v>8.57984711258537</v>
      </c>
      <c r="AF321" s="1" t="n">
        <f aca="false">AE321+AF320-AF323</f>
        <v>8.66000512296058</v>
      </c>
    </row>
    <row r="322" customFormat="false" ht="14.25" hidden="false" customHeight="true" outlineLevel="0" collapsed="false">
      <c r="B322" s="1" t="s">
        <v>1314</v>
      </c>
      <c r="C322" s="1" t="n">
        <f aca="false">$C$172*C83</f>
        <v>2.06590496278923</v>
      </c>
      <c r="D322" s="1" t="n">
        <f aca="false">$C$172*D83</f>
        <v>5.39675690846561</v>
      </c>
      <c r="E322" s="1" t="n">
        <f aca="false">$C$172*E83</f>
        <v>9.47822000846561</v>
      </c>
      <c r="F322" s="1" t="n">
        <f aca="false">$C$172*F83</f>
        <v>13.6535567597656</v>
      </c>
      <c r="G322" s="1" t="n">
        <f aca="false">$C$172*G83</f>
        <v>17.9249262563455</v>
      </c>
      <c r="H322" s="1" t="n">
        <f aca="false">$C$172*H83</f>
        <v>22.2945372513467</v>
      </c>
      <c r="I322" s="1" t="n">
        <f aca="false">$C$172*I83</f>
        <v>26.764649299233</v>
      </c>
      <c r="J322" s="1" t="n">
        <f aca="false">$C$172*J83</f>
        <v>31.3375739242207</v>
      </c>
      <c r="K322" s="1" t="n">
        <f aca="false">$C$172*K83</f>
        <v>36.015675815583</v>
      </c>
      <c r="L322" s="1" t="n">
        <f aca="false">$C$172*L83</f>
        <v>40.8013740504467</v>
      </c>
      <c r="M322" s="1" t="n">
        <f aca="false">$C$172*M83</f>
        <v>45.6971433447123</v>
      </c>
      <c r="N322" s="1" t="n">
        <f aca="false">$C$172*N83</f>
        <v>48.6252379277774</v>
      </c>
      <c r="O322" s="1" t="n">
        <f aca="false">$C$172*O83</f>
        <v>49.7436184001163</v>
      </c>
      <c r="P322" s="1" t="n">
        <f aca="false">$C$172*P83</f>
        <v>50.887721623319</v>
      </c>
      <c r="Q322" s="1" t="n">
        <f aca="false">$C$172*Q83</f>
        <v>52.0581392206553</v>
      </c>
      <c r="R322" s="1" t="n">
        <f aca="false">$C$172*R83</f>
        <v>53.2554764227304</v>
      </c>
      <c r="S322" s="1" t="n">
        <f aca="false">$C$172*S83</f>
        <v>54.4803523804532</v>
      </c>
      <c r="T322" s="1" t="n">
        <f aca="false">$C$172*T83</f>
        <v>55.7334004852036</v>
      </c>
      <c r="U322" s="1" t="n">
        <f aca="false">$C$172*U83</f>
        <v>57.0152686963633</v>
      </c>
      <c r="V322" s="1" t="n">
        <f aca="false">$C$172*V83</f>
        <v>57.947546616411</v>
      </c>
      <c r="W322" s="1" t="n">
        <f aca="false">$C$172*W83</f>
        <v>58.8092456446345</v>
      </c>
      <c r="X322" s="1" t="n">
        <f aca="false">$C$172*X83</f>
        <v>59.6533193524381</v>
      </c>
      <c r="Y322" s="1" t="n">
        <f aca="false">$C$172*Y83</f>
        <v>60.4797214721508</v>
      </c>
      <c r="Z322" s="1" t="n">
        <f aca="false">$C$172*Z83</f>
        <v>61.2884072683516</v>
      </c>
      <c r="AA322" s="1" t="n">
        <f aca="false">$C$172*AA83</f>
        <v>62.0793334336824</v>
      </c>
      <c r="AB322" s="1" t="n">
        <f aca="false">$C$172*AB83</f>
        <v>62.8524579888982</v>
      </c>
      <c r="AC322" s="1" t="n">
        <f aca="false">$C$172*AC83</f>
        <v>63.6077401869058</v>
      </c>
      <c r="AD322" s="1" t="n">
        <f aca="false">$C$172*AD83</f>
        <v>64.3451404205583</v>
      </c>
      <c r="AE322" s="1" t="n">
        <f aca="false">$C$172*AE83</f>
        <v>65.0646201339785</v>
      </c>
      <c r="AF322" s="1" t="n">
        <f aca="false">$C$172*AF83</f>
        <v>65.7661417371996</v>
      </c>
    </row>
    <row r="323" customFormat="false" ht="14.25" hidden="false" customHeight="true" outlineLevel="0" collapsed="false">
      <c r="B323" s="1" t="s">
        <v>1315</v>
      </c>
      <c r="C323" s="1" t="n">
        <f aca="false">MAX(0,MIN(C318,C320,C320-C319))</f>
        <v>0</v>
      </c>
      <c r="D323" s="1" t="n">
        <f aca="false">MAX(0,MIN(D318,C321+D320,C321+D320-D319))</f>
        <v>0.588305573202276</v>
      </c>
      <c r="E323" s="1" t="n">
        <f aca="false">MAX(0,MIN(E318,D321+E320,D321+E320-E319))</f>
        <v>1.36877961239527</v>
      </c>
      <c r="F323" s="1" t="n">
        <f aca="false">MAX(0,MIN(F318,E321+F320,E321+F320-F319))</f>
        <v>1.99056000237578</v>
      </c>
      <c r="G323" s="1" t="n">
        <f aca="false">MAX(0,MIN(G318,F321+G320,F321+G320-G319))</f>
        <v>1.98423349589862</v>
      </c>
      <c r="H323" s="1" t="n">
        <f aca="false">MAX(0,MIN(H318,G321+H320,G321+H320-H319))</f>
        <v>2.05956969249711</v>
      </c>
      <c r="I323" s="1" t="n">
        <f aca="false">MAX(0,MIN(I318,H321+I320,H321+I320-I319))</f>
        <v>2.48161744340177</v>
      </c>
      <c r="J323" s="1" t="n">
        <f aca="false">MAX(0,MIN(J318,I321+J320,I321+J320-J319))</f>
        <v>2.9620455023386</v>
      </c>
      <c r="K323" s="1" t="n">
        <f aca="false">MAX(0,MIN(K318,J321+K320,J321+K320-K319))</f>
        <v>3.44691805605688</v>
      </c>
      <c r="L323" s="1" t="n">
        <f aca="false">MAX(0,MIN(L318,K321+L320,K321+L320-L319))</f>
        <v>4.24103075280469</v>
      </c>
      <c r="M323" s="1" t="n">
        <f aca="false">MAX(0,MIN(M318,L321+M320,L321+M320-M319))</f>
        <v>4.92063988509926</v>
      </c>
      <c r="N323" s="1" t="n">
        <f aca="false">MAX(0,MIN(N318,M321+N320,M321+N320-N319))</f>
        <v>6.56531469594467</v>
      </c>
      <c r="O323" s="1" t="n">
        <f aca="false">MAX(0,MIN(O318,N321+O320,N321+O320-O319))</f>
        <v>6.84022460800604</v>
      </c>
      <c r="P323" s="1" t="n">
        <f aca="false">MAX(0,MIN(P318,O321+P320,O321+P320-P319))</f>
        <v>5.58783504386949</v>
      </c>
      <c r="Q323" s="1" t="n">
        <f aca="false">MAX(0,MIN(Q318,P321+Q320,P321+Q320-Q319))</f>
        <v>5.15389913907793</v>
      </c>
      <c r="R323" s="1" t="n">
        <f aca="false">MAX(0,MIN(R318,Q321+R320,Q321+R320-R319))</f>
        <v>5.28625809072301</v>
      </c>
      <c r="S323" s="1" t="n">
        <f aca="false">MAX(0,MIN(S318,R321+S320,R321+S320-S319))</f>
        <v>5.42283432249564</v>
      </c>
      <c r="T323" s="1" t="n">
        <f aca="false">MAX(0,MIN(T318,S321+T320,S321+T320-T319))</f>
        <v>5.56236735575281</v>
      </c>
      <c r="U323" s="1" t="n">
        <f aca="false">MAX(0,MIN(U318,T321+U320,T321+U320-U319))</f>
        <v>5.70478608820403</v>
      </c>
      <c r="V323" s="1" t="n">
        <f aca="false">MAX(0,MIN(V318,U321+V320,U321+V320-V319))</f>
        <v>5.84672383471759</v>
      </c>
      <c r="W323" s="1" t="n">
        <f aca="false">MAX(0,MIN(W318,V321+W320,V321+W320-W319))</f>
        <v>5.85245223722029</v>
      </c>
      <c r="X323" s="1" t="n">
        <f aca="false">MAX(0,MIN(X318,W321+X320,W321+X320-X319))</f>
        <v>5.86463253600372</v>
      </c>
      <c r="Y323" s="1" t="n">
        <f aca="false">MAX(0,MIN(Y318,X321+Y320,X321+Y320-Y319))</f>
        <v>5.93024460466009</v>
      </c>
      <c r="Z323" s="1" t="n">
        <f aca="false">MAX(0,MIN(Z318,Y321+Z320,Y321+Z320-Z319))</f>
        <v>6.00204803822116</v>
      </c>
      <c r="AA323" s="1" t="n">
        <f aca="false">MAX(0,MIN(AA318,Z321+AA320,Z321+AA320-AA319))</f>
        <v>6.07218432944724</v>
      </c>
      <c r="AB323" s="1" t="n">
        <f aca="false">MAX(0,MIN(AB318,AA321+AB320,AA321+AB320-AB319))</f>
        <v>6.14065907373979</v>
      </c>
      <c r="AC323" s="1" t="n">
        <f aca="false">MAX(0,MIN(AC318,AB321+AC320,AB321+AC320-AC319))</f>
        <v>6.20744864413638</v>
      </c>
      <c r="AD323" s="1" t="n">
        <f aca="false">MAX(0,MIN(AD318,AC321+AD320,AC321+AD320-AD319))</f>
        <v>6.27253761245056</v>
      </c>
      <c r="AE323" s="1" t="n">
        <f aca="false">MAX(0,MIN(AE318,AD321+AE320,AD321+AE320-AE319))</f>
        <v>6.33592258628867</v>
      </c>
      <c r="AF323" s="1" t="n">
        <f aca="false">MAX(0,MIN(AF318,AE321+AF320,AE321+AF320-AF319))</f>
        <v>6.39760024190128</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0.89137208060951</v>
      </c>
      <c r="D326" s="1" t="n">
        <f aca="false">IF(01_Supuestos!$C$184="Sí",D321,$C$172*D83)</f>
        <v>1.91778333314669</v>
      </c>
      <c r="E326" s="1" t="n">
        <f aca="false">IF(01_Supuestos!$C$184="Sí",E321,$C$172*E83)</f>
        <v>2.73317990503075</v>
      </c>
      <c r="F326" s="1" t="n">
        <f aca="false">IF(01_Supuestos!$C$184="Sí",F321,$C$172*F83)</f>
        <v>2.62385261969081</v>
      </c>
      <c r="G326" s="1" t="n">
        <f aca="false">IF(01_Supuestos!$C$184="Sí",G321,$C$172*G83)</f>
        <v>2.79105937940572</v>
      </c>
      <c r="H326" s="1" t="n">
        <f aca="false">IF(01_Supuestos!$C$184="Sí",H321,$C$172*H83)</f>
        <v>3.38319840886794</v>
      </c>
      <c r="I326" s="1" t="n">
        <f aca="false">IF(01_Supuestos!$C$184="Sí",I321,$C$172*I83)</f>
        <v>4.0234969304244</v>
      </c>
      <c r="J326" s="1" t="n">
        <f aca="false">IF(01_Supuestos!$C$184="Sí",J321,$C$172*J83)</f>
        <v>4.67579480379956</v>
      </c>
      <c r="K326" s="1" t="n">
        <f aca="false">IF(01_Supuestos!$C$184="Sí",K321,$C$172*K83)</f>
        <v>5.79274645238209</v>
      </c>
      <c r="L326" s="1" t="n">
        <f aca="false">IF(01_Supuestos!$C$184="Sí",L321,$C$172*L83)</f>
        <v>6.65614628370143</v>
      </c>
      <c r="M326" s="1" t="n">
        <f aca="false">IF(01_Supuestos!$C$184="Sí",M321,$C$172*M83)</f>
        <v>9.05339775821201</v>
      </c>
      <c r="N326" s="1" t="n">
        <f aca="false">IF(01_Supuestos!$C$184="Sí",N321,$C$172*N83)</f>
        <v>9.08223691944718</v>
      </c>
      <c r="O326" s="1" t="n">
        <f aca="false">IF(01_Supuestos!$C$184="Sí",O321,$C$172*O83)</f>
        <v>7.31144069390833</v>
      </c>
      <c r="P326" s="1" t="n">
        <f aca="false">IF(01_Supuestos!$C$184="Sí",P321,$C$172*P83)</f>
        <v>6.9210200273708</v>
      </c>
      <c r="Q326" s="1" t="n">
        <f aca="false">IF(01_Supuestos!$C$184="Sí",Q321,$C$172*Q83)</f>
        <v>7.09914695258096</v>
      </c>
      <c r="R326" s="1" t="n">
        <f aca="false">IF(01_Supuestos!$C$184="Sí",R321,$C$172*R83)</f>
        <v>7.28250319615748</v>
      </c>
      <c r="S326" s="1" t="n">
        <f aca="false">IF(01_Supuestos!$C$184="Sí",S321,$C$172*S83)</f>
        <v>7.46981808895119</v>
      </c>
      <c r="T326" s="1" t="n">
        <f aca="false">IF(01_Supuestos!$C$184="Sí",T321,$C$172*T83)</f>
        <v>7.66098914987361</v>
      </c>
      <c r="U326" s="1" t="n">
        <f aca="false">IF(01_Supuestos!$C$184="Sí",U321,$C$172*U83)</f>
        <v>7.85093150568172</v>
      </c>
      <c r="V326" s="1" t="n">
        <f aca="false">IF(01_Supuestos!$C$184="Sí",V321,$C$172*V83)</f>
        <v>7.83488125620075</v>
      </c>
      <c r="W326" s="1" t="n">
        <f aca="false">IF(01_Supuestos!$C$184="Sí",W321,$C$172*W83)</f>
        <v>7.86455555992479</v>
      </c>
      <c r="X326" s="1" t="n">
        <f aca="false">IF(01_Supuestos!$C$184="Sí",X321,$C$172*X83)</f>
        <v>7.95495572201049</v>
      </c>
      <c r="Y326" s="1" t="n">
        <f aca="false">IF(01_Supuestos!$C$184="Sí",Y321,$C$172*Y83)</f>
        <v>8.05097917927579</v>
      </c>
      <c r="Z326" s="1" t="n">
        <f aca="false">IF(01_Supuestos!$C$184="Sí",Z321,$C$172*Z83)</f>
        <v>8.14476930528585</v>
      </c>
      <c r="AA326" s="1" t="n">
        <f aca="false">IF(01_Supuestos!$C$184="Sí",AA321,$C$172*AA83)</f>
        <v>8.23633360902221</v>
      </c>
      <c r="AB326" s="1" t="n">
        <f aca="false">IF(01_Supuestos!$C$184="Sí",AB321,$C$172*AB83)</f>
        <v>8.32563530627327</v>
      </c>
      <c r="AC326" s="1" t="n">
        <f aca="false">IF(01_Supuestos!$C$184="Sí",AC321,$C$172*AC83)</f>
        <v>8.41265779897578</v>
      </c>
      <c r="AD326" s="1" t="n">
        <f aca="false">IF(01_Supuestos!$C$184="Sí",AD321,$C$172*AD83)</f>
        <v>8.49739654980317</v>
      </c>
      <c r="AE326" s="1" t="n">
        <f aca="false">IF(01_Supuestos!$C$184="Sí",AE321,$C$172*AE83)</f>
        <v>8.57984711258537</v>
      </c>
      <c r="AF326" s="1" t="n">
        <f aca="false">IF(01_Supuestos!$C$184="Sí",AF321,$C$172*AF83)</f>
        <v>8.66000512296058</v>
      </c>
    </row>
    <row r="327" customFormat="false" ht="14.25" hidden="false" customHeight="true" outlineLevel="0" collapsed="false">
      <c r="B327" s="1" t="s">
        <v>1319</v>
      </c>
      <c r="C327" s="1" t="n">
        <f aca="false">IF(01_Supuestos!$C$184="Sí",MAX(0.001,$C$328*(1-$C$279)),$C$172)</f>
        <v>0.174</v>
      </c>
      <c r="D327" s="1" t="n">
        <f aca="false">IF(01_Supuestos!$C$184="Sí",MAX(0.001,IF(C299&gt;0,C320/C299,$C$328*(1-$C$279))),$C$172)</f>
        <v>0.136253082916475</v>
      </c>
      <c r="E327" s="1" t="n">
        <f aca="false">IF(01_Supuestos!$C$184="Sí",MAX(0.001,IF(D299&gt;0,D320/D299,$C$328*(1-$C$279))),$C$172)</f>
        <v>0.141200195832654</v>
      </c>
      <c r="F327" s="1" t="n">
        <f aca="false">IF(01_Supuestos!$C$184="Sí",MAX(0.001,IF(E299&gt;0,E320/E299,$C$328*(1-$C$279))),$C$172)</f>
        <v>0.143298098309873</v>
      </c>
      <c r="G327" s="1" t="n">
        <f aca="false">IF(01_Supuestos!$C$184="Sí",MAX(0.001,IF(F299&gt;0,F320/F299,$C$328*(1-$C$279))),$C$172)</f>
        <v>0.10887952901145</v>
      </c>
      <c r="H327" s="1" t="n">
        <f aca="false">IF(01_Supuestos!$C$184="Sí",MAX(0.001,IF(G299&gt;0,G320/G299,$C$328*(1-$C$279))),$C$172)</f>
        <v>0.112180678437993</v>
      </c>
      <c r="I327" s="1" t="n">
        <f aca="false">IF(01_Supuestos!$C$184="Sí",MAX(0.001,IF(H299&gt;0,H320/H299,$C$328*(1-$C$279))),$C$172)</f>
        <v>0.125495737357975</v>
      </c>
      <c r="J327" s="1" t="n">
        <f aca="false">IF(01_Supuestos!$C$184="Sí",MAX(0.001,IF(I299&gt;0,I320/I299,$C$328*(1-$C$279))),$C$172)</f>
        <v>0.134617674801262</v>
      </c>
      <c r="K327" s="1" t="n">
        <f aca="false">IF(01_Supuestos!$C$184="Sí",MAX(0.001,IF(J299&gt;0,J320/J299,$C$328*(1-$C$279))),$C$172)</f>
        <v>0.142634803414165</v>
      </c>
      <c r="L327" s="1" t="n">
        <f aca="false">IF(01_Supuestos!$C$184="Sí",MAX(0.001,IF(K299&gt;0,K320/K299,$C$328*(1-$C$279))),$C$172)</f>
        <v>0.165519095365472</v>
      </c>
      <c r="M327" s="1" t="n">
        <f aca="false">IF(01_Supuestos!$C$184="Sí",MAX(0.001,IF(L299&gt;0,L320/L299,$C$328*(1-$C$279))),$C$172)</f>
        <v>0.170134986042782</v>
      </c>
      <c r="N327" s="1" t="n">
        <f aca="false">IF(01_Supuestos!$C$184="Sí",MAX(0.001,IF(M299&gt;0,M320/M299,$C$328*(1-$C$279))),$C$172)</f>
        <v>0.20048795981409</v>
      </c>
      <c r="O327" s="1" t="n">
        <f aca="false">IF(01_Supuestos!$C$184="Sí",MAX(0.001,IF(N299&gt;0,N320/N299,$C$328*(1-$C$279))),$C$172)</f>
        <v>0.213585193317077</v>
      </c>
      <c r="P327" s="1" t="n">
        <f aca="false">IF(01_Supuestos!$C$184="Sí",MAX(0.001,IF(O299&gt;0,O320/O299,$C$328*(1-$C$279))),$C$172)</f>
        <v>0.204919990236257</v>
      </c>
      <c r="Q327" s="1" t="n">
        <f aca="false">IF(01_Supuestos!$C$184="Sí",MAX(0.001,IF(P299&gt;0,P320/P299,$C$328*(1-$C$279))),$C$172)</f>
        <v>0.205452543492656</v>
      </c>
      <c r="R327" s="1" t="n">
        <f aca="false">IF(01_Supuestos!$C$184="Sí",MAX(0.001,IF(Q299&gt;0,Q320/Q299,$C$328*(1-$C$279))),$C$172)</f>
        <v>0.206075234264365</v>
      </c>
      <c r="S327" s="1" t="n">
        <f aca="false">IF(01_Supuestos!$C$184="Sí",MAX(0.001,IF(R299&gt;0,R320/R299,$C$328*(1-$C$279))),$C$172)</f>
        <v>0.206640560294389</v>
      </c>
      <c r="T327" s="1" t="n">
        <f aca="false">IF(01_Supuestos!$C$184="Sí",MAX(0.001,IF(S299&gt;0,S320/S299,$C$328*(1-$C$279))),$C$172)</f>
        <v>0.207155041039724</v>
      </c>
      <c r="U327" s="1" t="n">
        <f aca="false">IF(01_Supuestos!$C$184="Sí",MAX(0.001,IF(T299&gt;0,T320/T299,$C$328*(1-$C$279))),$C$172)</f>
        <v>0.207621258396689</v>
      </c>
      <c r="V327" s="1" t="n">
        <f aca="false">IF(01_Supuestos!$C$184="Sí",MAX(0.001,IF(U299&gt;0,U320/U299,$C$328*(1-$C$279))),$C$172)</f>
        <v>0.2078658804286</v>
      </c>
      <c r="W327" s="1" t="n">
        <f aca="false">IF(01_Supuestos!$C$184="Sí",MAX(0.001,IF(V299&gt;0,V320/V299,$C$328*(1-$C$279))),$C$172)</f>
        <v>0.209587017893618</v>
      </c>
      <c r="X327" s="1" t="n">
        <f aca="false">IF(01_Supuestos!$C$184="Sí",MAX(0.001,IF(W299&gt;0,W320/W299,$C$328*(1-$C$279))),$C$172)</f>
        <v>0.210049461280544</v>
      </c>
      <c r="Y327" s="1" t="n">
        <f aca="false">IF(01_Supuestos!$C$184="Sí",MAX(0.001,IF(X299&gt;0,X320/X299,$C$328*(1-$C$279))),$C$172)</f>
        <v>0.21025597358734</v>
      </c>
      <c r="Z327" s="1" t="n">
        <f aca="false">IF(01_Supuestos!$C$184="Sí",MAX(0.001,IF(Y299&gt;0,Y320/Y299,$C$328*(1-$C$279))),$C$172)</f>
        <v>0.210457329969567</v>
      </c>
      <c r="AA327" s="1" t="n">
        <f aca="false">IF(01_Supuestos!$C$184="Sí",MAX(0.001,IF(Z299&gt;0,Z320/Z299,$C$328*(1-$C$279))),$C$172)</f>
        <v>0.210654079095489</v>
      </c>
      <c r="AB327" s="1" t="n">
        <f aca="false">IF(01_Supuestos!$C$184="Sí",MAX(0.001,IF(AA299&gt;0,AA320/AA299,$C$328*(1-$C$279))),$C$172)</f>
        <v>0.210846740082316</v>
      </c>
      <c r="AC327" s="1" t="n">
        <f aca="false">IF(01_Supuestos!$C$184="Sí",MAX(0.001,IF(AB299&gt;0,AB320/AB299,$C$328*(1-$C$279))),$C$172)</f>
        <v>0.211034300844263</v>
      </c>
      <c r="AD327" s="1" t="n">
        <f aca="false">IF(01_Supuestos!$C$184="Sí",MAX(0.001,IF(AC299&gt;0,AC320/AC299,$C$328*(1-$C$279))),$C$172)</f>
        <v>0.211217044607881</v>
      </c>
      <c r="AE327" s="1" t="n">
        <f aca="false">IF(01_Supuestos!$C$184="Sí",MAX(0.001,IF(AD299&gt;0,AD320/AD299,$C$328*(1-$C$279))),$C$172)</f>
        <v>0.211395237408316</v>
      </c>
      <c r="AF327" s="1" t="n">
        <f aca="false">IF(01_Supuestos!$C$184="Sí",MAX(0.001,IF(AE299&gt;0,AE320/AE299,$C$328*(1-$C$279))),$C$172)</f>
        <v>0.211569129512257</v>
      </c>
    </row>
    <row r="328" customFormat="false" ht="14.25" hidden="false" customHeight="true" outlineLevel="0" collapsed="false">
      <c r="B328" s="1" t="s">
        <v>1320</v>
      </c>
      <c r="C328" s="1" t="n">
        <v>0.3</v>
      </c>
      <c r="D328" s="1" t="s">
        <v>1942</v>
      </c>
    </row>
    <row r="329" customFormat="false" ht="14.25" hidden="false" customHeight="true" outlineLevel="0" collapsed="false">
      <c r="B329" s="1" t="s">
        <v>1322</v>
      </c>
      <c r="C329" s="1" t="n">
        <f aca="false">IF(01_Supuestos!$C$185&gt;0,MIN(1,$C$328/01_Supuestos!$C$185),0)</f>
        <v>1</v>
      </c>
    </row>
    <row r="330" customFormat="false" ht="14.25" hidden="false" customHeight="true" outlineLevel="0" collapsed="false">
      <c r="B330" s="1" t="s">
        <v>1323</v>
      </c>
      <c r="C330" s="1" t="n">
        <f aca="false">C343</f>
        <v>0</v>
      </c>
      <c r="D330" s="1" t="n">
        <f aca="false">D343</f>
        <v>0.0512282804947994</v>
      </c>
      <c r="E330" s="1" t="n">
        <f aca="false">E343</f>
        <v>0.133372615723114</v>
      </c>
      <c r="F330" s="1" t="n">
        <f aca="false">F343</f>
        <v>0.231158478565312</v>
      </c>
      <c r="G330" s="1" t="n">
        <f aca="false">G343</f>
        <v>0.291194337841878</v>
      </c>
      <c r="H330" s="1" t="n">
        <f aca="false">H343</f>
        <v>0.354271907272695</v>
      </c>
      <c r="I330" s="1" t="n">
        <f aca="false">I343</f>
        <v>0.432980403546143</v>
      </c>
      <c r="J330" s="1" t="n">
        <f aca="false">J343</f>
        <v>0.522340937364765</v>
      </c>
      <c r="K330" s="1" t="n">
        <f aca="false">K343</f>
        <v>0.621414906054605</v>
      </c>
      <c r="L330" s="1" t="n">
        <f aca="false">L343</f>
        <v>0.754451967930845</v>
      </c>
      <c r="M330" s="1" t="n">
        <f aca="false">M343</f>
        <v>0.890884038148588</v>
      </c>
      <c r="N330" s="1" t="n">
        <f aca="false">N343</f>
        <v>1.12614862715678</v>
      </c>
      <c r="O330" s="1" t="n">
        <f aca="false">O343</f>
        <v>1.2708840723162</v>
      </c>
      <c r="P330" s="1" t="n">
        <f aca="false">P343</f>
        <v>1.29788664403691</v>
      </c>
      <c r="Q330" s="1" t="n">
        <f aca="false">Q343</f>
        <v>1.32662819778597</v>
      </c>
      <c r="R330" s="1" t="n">
        <f aca="false">R343</f>
        <v>1.35712781220328</v>
      </c>
      <c r="S330" s="1" t="n">
        <f aca="false">S343</f>
        <v>1.38919087866152</v>
      </c>
      <c r="T330" s="1" t="n">
        <f aca="false">T343</f>
        <v>1.42266154459471</v>
      </c>
      <c r="U330" s="1" t="n">
        <f aca="false">U343</f>
        <v>1.45741107071414</v>
      </c>
      <c r="V330" s="1" t="n">
        <f aca="false">V343</f>
        <v>1.49304706478791</v>
      </c>
      <c r="W330" s="1" t="n">
        <f aca="false">W343</f>
        <v>1.5175894583716</v>
      </c>
      <c r="X330" s="1" t="n">
        <f aca="false">X343</f>
        <v>1.53998410050987</v>
      </c>
      <c r="Y330" s="1" t="n">
        <f aca="false">Y343</f>
        <v>1.5619106661147</v>
      </c>
      <c r="Z330" s="1" t="n">
        <f aca="false">Z343</f>
        <v>1.58337049250108</v>
      </c>
      <c r="AA330" s="1" t="n">
        <f aca="false">AA343</f>
        <v>1.60436495674081</v>
      </c>
      <c r="AB330" s="1" t="n">
        <f aca="false">AB343</f>
        <v>1.62489547293318</v>
      </c>
      <c r="AC330" s="1" t="n">
        <f aca="false">AC343</f>
        <v>1.64496093703382</v>
      </c>
      <c r="AD330" s="1" t="n">
        <f aca="false">AD343</f>
        <v>1.66456027689164</v>
      </c>
      <c r="AE330" s="1" t="n">
        <f aca="false">AE343</f>
        <v>1.6836924498314</v>
      </c>
      <c r="AF330" s="1" t="n">
        <f aca="false">AF343</f>
        <v>1.70235644032801</v>
      </c>
    </row>
    <row r="331" customFormat="false" ht="14.25" hidden="false" customHeight="true" outlineLevel="0" collapsed="false">
      <c r="B331" s="1" t="s">
        <v>1324</v>
      </c>
      <c r="C331" s="1" t="n">
        <f aca="false">C330*$C$338</f>
        <v>0</v>
      </c>
      <c r="D331" s="1" t="n">
        <f aca="false">D330*$C$338</f>
        <v>0</v>
      </c>
      <c r="E331" s="1" t="n">
        <f aca="false">E330*$C$338</f>
        <v>0</v>
      </c>
      <c r="F331" s="1" t="n">
        <f aca="false">F330*$C$338</f>
        <v>0</v>
      </c>
      <c r="G331" s="1" t="n">
        <f aca="false">G330*$C$338</f>
        <v>0</v>
      </c>
      <c r="H331" s="1" t="n">
        <f aca="false">H330*$C$338</f>
        <v>0</v>
      </c>
      <c r="I331" s="1" t="n">
        <f aca="false">I330*$C$338</f>
        <v>0</v>
      </c>
      <c r="J331" s="1" t="n">
        <f aca="false">J330*$C$338</f>
        <v>0</v>
      </c>
      <c r="K331" s="1" t="n">
        <f aca="false">K330*$C$338</f>
        <v>0</v>
      </c>
      <c r="L331" s="1" t="n">
        <f aca="false">L330*$C$338</f>
        <v>0</v>
      </c>
      <c r="M331" s="1" t="n">
        <f aca="false">M330*$C$338</f>
        <v>0</v>
      </c>
      <c r="N331" s="1" t="n">
        <f aca="false">N330*$C$338</f>
        <v>0</v>
      </c>
      <c r="O331" s="1" t="n">
        <f aca="false">O330*$C$338</f>
        <v>0</v>
      </c>
      <c r="P331" s="1" t="n">
        <f aca="false">P330*$C$338</f>
        <v>0</v>
      </c>
      <c r="Q331" s="1" t="n">
        <f aca="false">Q330*$C$338</f>
        <v>0</v>
      </c>
      <c r="R331" s="1" t="n">
        <f aca="false">R330*$C$338</f>
        <v>0</v>
      </c>
      <c r="S331" s="1" t="n">
        <f aca="false">S330*$C$338</f>
        <v>0</v>
      </c>
      <c r="T331" s="1" t="n">
        <f aca="false">T330*$C$338</f>
        <v>0</v>
      </c>
      <c r="U331" s="1" t="n">
        <f aca="false">U330*$C$338</f>
        <v>0</v>
      </c>
      <c r="V331" s="1" t="n">
        <f aca="false">V330*$C$338</f>
        <v>0</v>
      </c>
      <c r="W331" s="1" t="n">
        <f aca="false">W330*$C$338</f>
        <v>0</v>
      </c>
      <c r="X331" s="1" t="n">
        <f aca="false">X330*$C$338</f>
        <v>0</v>
      </c>
      <c r="Y331" s="1" t="n">
        <f aca="false">Y330*$C$338</f>
        <v>0</v>
      </c>
      <c r="Z331" s="1" t="n">
        <f aca="false">Z330*$C$338</f>
        <v>0</v>
      </c>
      <c r="AA331" s="1" t="n">
        <f aca="false">AA330*$C$338</f>
        <v>0</v>
      </c>
      <c r="AB331" s="1" t="n">
        <f aca="false">AB330*$C$338</f>
        <v>0</v>
      </c>
      <c r="AC331" s="1" t="n">
        <f aca="false">AC330*$C$338</f>
        <v>0</v>
      </c>
      <c r="AD331" s="1" t="n">
        <f aca="false">AD330*$C$338</f>
        <v>0</v>
      </c>
      <c r="AE331" s="1" t="n">
        <f aca="false">AE330*$C$338</f>
        <v>0</v>
      </c>
      <c r="AF331" s="1" t="n">
        <f aca="false">AF330*$C$338</f>
        <v>0</v>
      </c>
    </row>
    <row r="332" customFormat="false" ht="14.25" hidden="false" customHeight="true" outlineLevel="0" collapsed="false">
      <c r="B332" s="1" t="s">
        <v>1325</v>
      </c>
      <c r="C332" s="1" t="n">
        <f aca="false">IF($C$339&lt;=0,C331,IF($C$339=1,0,0))</f>
        <v>0</v>
      </c>
      <c r="D332" s="1" t="n">
        <f aca="false">IF($C$339&lt;=0,D331,IF($C$339=1,C331,0))</f>
        <v>0</v>
      </c>
      <c r="E332" s="1" t="n">
        <f aca="false">IF($C$339&lt;=0,E331,IF($C$339=1,D331,C331))</f>
        <v>0</v>
      </c>
      <c r="F332" s="1" t="n">
        <f aca="false">IF($C$339&lt;=0,F331,IF($C$339=1,E331,D331))</f>
        <v>0</v>
      </c>
      <c r="G332" s="1" t="n">
        <f aca="false">IF($C$339&lt;=0,G331,IF($C$339=1,F331,E331))</f>
        <v>0</v>
      </c>
      <c r="H332" s="1" t="n">
        <f aca="false">IF($C$339&lt;=0,H331,IF($C$339=1,G331,F331))</f>
        <v>0</v>
      </c>
      <c r="I332" s="1" t="n">
        <f aca="false">IF($C$339&lt;=0,I331,IF($C$339=1,H331,G331))</f>
        <v>0</v>
      </c>
      <c r="J332" s="1" t="n">
        <f aca="false">IF($C$339&lt;=0,J331,IF($C$339=1,I331,H331))</f>
        <v>0</v>
      </c>
      <c r="K332" s="1" t="n">
        <f aca="false">IF($C$339&lt;=0,K331,IF($C$339=1,J331,I331))</f>
        <v>0</v>
      </c>
      <c r="L332" s="1" t="n">
        <f aca="false">IF($C$339&lt;=0,L331,IF($C$339=1,K331,J331))</f>
        <v>0</v>
      </c>
      <c r="M332" s="1" t="n">
        <f aca="false">IF($C$339&lt;=0,M331,IF($C$339=1,L331,K331))</f>
        <v>0</v>
      </c>
      <c r="N332" s="1" t="n">
        <f aca="false">IF($C$339&lt;=0,N331,IF($C$339=1,M331,L331))</f>
        <v>0</v>
      </c>
      <c r="O332" s="1" t="n">
        <f aca="false">IF($C$339&lt;=0,O331,IF($C$339=1,N331,M331))</f>
        <v>0</v>
      </c>
      <c r="P332" s="1" t="n">
        <f aca="false">IF($C$339&lt;=0,P331,IF($C$339=1,O331,N331))</f>
        <v>0</v>
      </c>
      <c r="Q332" s="1" t="n">
        <f aca="false">IF($C$339&lt;=0,Q331,IF($C$339=1,P331,O331))</f>
        <v>0</v>
      </c>
      <c r="R332" s="1" t="n">
        <f aca="false">IF($C$339&lt;=0,R331,IF($C$339=1,Q331,P331))</f>
        <v>0</v>
      </c>
      <c r="S332" s="1" t="n">
        <f aca="false">IF($C$339&lt;=0,S331,IF($C$339=1,R331,Q331))</f>
        <v>0</v>
      </c>
      <c r="T332" s="1" t="n">
        <f aca="false">IF($C$339&lt;=0,T331,IF($C$339=1,S331,R331))</f>
        <v>0</v>
      </c>
      <c r="U332" s="1" t="n">
        <f aca="false">IF($C$339&lt;=0,U331,IF($C$339=1,T331,S331))</f>
        <v>0</v>
      </c>
      <c r="V332" s="1" t="n">
        <f aca="false">IF($C$339&lt;=0,V331,IF($C$339=1,U331,T331))</f>
        <v>0</v>
      </c>
      <c r="W332" s="1" t="n">
        <f aca="false">IF($C$339&lt;=0,W331,IF($C$339=1,V331,U331))</f>
        <v>0</v>
      </c>
      <c r="X332" s="1" t="n">
        <f aca="false">IF($C$339&lt;=0,X331,IF($C$339=1,W331,V331))</f>
        <v>0</v>
      </c>
      <c r="Y332" s="1" t="n">
        <f aca="false">IF($C$339&lt;=0,Y331,IF($C$339=1,X331,W331))</f>
        <v>0</v>
      </c>
      <c r="Z332" s="1" t="n">
        <f aca="false">IF($C$339&lt;=0,Z331,IF($C$339=1,Y331,X331))</f>
        <v>0</v>
      </c>
      <c r="AA332" s="1" t="n">
        <f aca="false">IF($C$339&lt;=0,AA331,IF($C$339=1,Z331,Y331))</f>
        <v>0</v>
      </c>
      <c r="AB332" s="1" t="n">
        <f aca="false">IF($C$339&lt;=0,AB331,IF($C$339=1,AA331,Z331))</f>
        <v>0</v>
      </c>
      <c r="AC332" s="1" t="n">
        <f aca="false">IF($C$339&lt;=0,AC331,IF($C$339=1,AB331,AA331))</f>
        <v>0</v>
      </c>
      <c r="AD332" s="1" t="n">
        <f aca="false">IF($C$339&lt;=0,AD331,IF($C$339=1,AC331,AB331))</f>
        <v>0</v>
      </c>
      <c r="AE332" s="1" t="n">
        <f aca="false">IF($C$339&lt;=0,AE331,IF($C$339=1,AD331,AC331))</f>
        <v>0</v>
      </c>
      <c r="AF332" s="1" t="n">
        <f aca="false">IF($C$339&lt;=0,AF331,IF($C$339=1,AE331,AD331))</f>
        <v>0</v>
      </c>
    </row>
    <row r="333" customFormat="false" ht="14.25" hidden="false" customHeight="true" outlineLevel="0" collapsed="false">
      <c r="B333" s="1" t="s">
        <v>1326</v>
      </c>
      <c r="C333" s="1" t="n">
        <f aca="false">C330-C331</f>
        <v>0</v>
      </c>
      <c r="D333" s="1" t="n">
        <f aca="false">D330-D331</f>
        <v>0.0512282804947994</v>
      </c>
      <c r="E333" s="1" t="n">
        <f aca="false">E330-E331</f>
        <v>0.133372615723114</v>
      </c>
      <c r="F333" s="1" t="n">
        <f aca="false">F330-F331</f>
        <v>0.231158478565312</v>
      </c>
      <c r="G333" s="1" t="n">
        <f aca="false">G330-G331</f>
        <v>0.291194337841878</v>
      </c>
      <c r="H333" s="1" t="n">
        <f aca="false">H330-H331</f>
        <v>0.354271907272695</v>
      </c>
      <c r="I333" s="1" t="n">
        <f aca="false">I330-I331</f>
        <v>0.432980403546143</v>
      </c>
      <c r="J333" s="1" t="n">
        <f aca="false">J330-J331</f>
        <v>0.522340937364765</v>
      </c>
      <c r="K333" s="1" t="n">
        <f aca="false">K330-K331</f>
        <v>0.621414906054605</v>
      </c>
      <c r="L333" s="1" t="n">
        <f aca="false">L330-L331</f>
        <v>0.754451967930845</v>
      </c>
      <c r="M333" s="1" t="n">
        <f aca="false">M330-M331</f>
        <v>0.890884038148588</v>
      </c>
      <c r="N333" s="1" t="n">
        <f aca="false">N330-N331</f>
        <v>1.12614862715678</v>
      </c>
      <c r="O333" s="1" t="n">
        <f aca="false">O330-O331</f>
        <v>1.2708840723162</v>
      </c>
      <c r="P333" s="1" t="n">
        <f aca="false">P330-P331</f>
        <v>1.29788664403691</v>
      </c>
      <c r="Q333" s="1" t="n">
        <f aca="false">Q330-Q331</f>
        <v>1.32662819778597</v>
      </c>
      <c r="R333" s="1" t="n">
        <f aca="false">R330-R331</f>
        <v>1.35712781220328</v>
      </c>
      <c r="S333" s="1" t="n">
        <f aca="false">S330-S331</f>
        <v>1.38919087866152</v>
      </c>
      <c r="T333" s="1" t="n">
        <f aca="false">T330-T331</f>
        <v>1.42266154459471</v>
      </c>
      <c r="U333" s="1" t="n">
        <f aca="false">U330-U331</f>
        <v>1.45741107071414</v>
      </c>
      <c r="V333" s="1" t="n">
        <f aca="false">V330-V331</f>
        <v>1.49304706478791</v>
      </c>
      <c r="W333" s="1" t="n">
        <f aca="false">W330-W331</f>
        <v>1.5175894583716</v>
      </c>
      <c r="X333" s="1" t="n">
        <f aca="false">X330-X331</f>
        <v>1.53998410050987</v>
      </c>
      <c r="Y333" s="1" t="n">
        <f aca="false">Y330-Y331</f>
        <v>1.5619106661147</v>
      </c>
      <c r="Z333" s="1" t="n">
        <f aca="false">Z330-Z331</f>
        <v>1.58337049250108</v>
      </c>
      <c r="AA333" s="1" t="n">
        <f aca="false">AA330-AA331</f>
        <v>1.60436495674081</v>
      </c>
      <c r="AB333" s="1" t="n">
        <f aca="false">AB330-AB331</f>
        <v>1.62489547293318</v>
      </c>
      <c r="AC333" s="1" t="n">
        <f aca="false">AC330-AC331</f>
        <v>1.64496093703382</v>
      </c>
      <c r="AD333" s="1" t="n">
        <f aca="false">AD330-AD331</f>
        <v>1.66456027689164</v>
      </c>
      <c r="AE333" s="1" t="n">
        <f aca="false">AE330-AE331</f>
        <v>1.6836924498314</v>
      </c>
      <c r="AF333" s="1" t="n">
        <f aca="false">AF330-AF331</f>
        <v>1.70235644032801</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v>0</v>
      </c>
      <c r="D338" s="1" t="s">
        <v>1368</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0.0215158778078157</v>
      </c>
      <c r="E341" s="1" t="n">
        <f aca="false">D284*$C$340</f>
        <v>0.0560164986037079</v>
      </c>
      <c r="F341" s="1" t="n">
        <f aca="false">E284*$C$340</f>
        <v>0.097086560997431</v>
      </c>
      <c r="G341" s="1" t="n">
        <f aca="false">F284*$C$340</f>
        <v>0.122301621893589</v>
      </c>
      <c r="H341" s="1" t="n">
        <f aca="false">G284*$C$340</f>
        <v>0.148794201054532</v>
      </c>
      <c r="I341" s="1" t="n">
        <f aca="false">H284*$C$340</f>
        <v>0.18185176948938</v>
      </c>
      <c r="J341" s="1" t="n">
        <f aca="false">I284*$C$340</f>
        <v>0.219383193693201</v>
      </c>
      <c r="K341" s="1" t="n">
        <f aca="false">J284*$C$340</f>
        <v>0.260994260542934</v>
      </c>
      <c r="L341" s="1" t="n">
        <f aca="false">K284*$C$340</f>
        <v>0.316869826530955</v>
      </c>
      <c r="M341" s="1" t="n">
        <f aca="false">L284*$C$340</f>
        <v>0.374171296022407</v>
      </c>
      <c r="N341" s="1" t="n">
        <f aca="false">M284*$C$340</f>
        <v>0.472982423405846</v>
      </c>
      <c r="O341" s="1" t="n">
        <f aca="false">N284*$C$340</f>
        <v>0.533771310372805</v>
      </c>
      <c r="P341" s="1" t="n">
        <f aca="false">O284*$C$340</f>
        <v>0.545112390495504</v>
      </c>
      <c r="Q341" s="1" t="n">
        <f aca="false">P284*$C$340</f>
        <v>0.557183843070107</v>
      </c>
      <c r="R341" s="1" t="n">
        <f aca="false">Q284*$C$340</f>
        <v>0.569993681125375</v>
      </c>
      <c r="S341" s="1" t="n">
        <f aca="false">R284*$C$340</f>
        <v>0.583460169037838</v>
      </c>
      <c r="T341" s="1" t="n">
        <f aca="false">S284*$C$340</f>
        <v>0.597517848729779</v>
      </c>
      <c r="U341" s="1" t="n">
        <f aca="false">T284*$C$340</f>
        <v>0.612112649699939</v>
      </c>
      <c r="V341" s="1" t="n">
        <f aca="false">U284*$C$340</f>
        <v>0.627079767210921</v>
      </c>
      <c r="W341" s="1" t="n">
        <f aca="false">V284*$C$340</f>
        <v>0.637387572516071</v>
      </c>
      <c r="X341" s="1" t="n">
        <f aca="false">W284*$C$340</f>
        <v>0.646793322214143</v>
      </c>
      <c r="Y341" s="1" t="n">
        <f aca="false">X284*$C$340</f>
        <v>0.656002479768174</v>
      </c>
      <c r="Z341" s="1" t="n">
        <f aca="false">Y284*$C$340</f>
        <v>0.665015606850455</v>
      </c>
      <c r="AA341" s="1" t="n">
        <f aca="false">Z284*$C$340</f>
        <v>0.673833281831141</v>
      </c>
      <c r="AB341" s="1" t="n">
        <f aca="false">AA284*$C$340</f>
        <v>0.682456098631937</v>
      </c>
      <c r="AC341" s="1" t="n">
        <f aca="false">AB284*$C$340</f>
        <v>0.690883593554204</v>
      </c>
      <c r="AD341" s="1" t="n">
        <f aca="false">AC284*$C$340</f>
        <v>0.699115316294489</v>
      </c>
      <c r="AE341" s="1" t="n">
        <f aca="false">AD284*$C$340</f>
        <v>0.707150828929186</v>
      </c>
      <c r="AF341" s="1" t="n">
        <f aca="false">AE284*$C$340</f>
        <v>0.714989704937764</v>
      </c>
    </row>
    <row r="342" customFormat="false" ht="14.25" hidden="false" customHeight="true" outlineLevel="0" collapsed="false">
      <c r="B342" s="1" t="s">
        <v>1336</v>
      </c>
      <c r="C342" s="1" t="n">
        <f aca="false">0*$C$340</f>
        <v>0</v>
      </c>
      <c r="D342" s="1" t="n">
        <f aca="false">C289*$C$340</f>
        <v>0.0297124026869837</v>
      </c>
      <c r="E342" s="1" t="n">
        <f aca="false">D289*$C$340</f>
        <v>0.0773561171194062</v>
      </c>
      <c r="F342" s="1" t="n">
        <f aca="false">E289*$C$340</f>
        <v>0.134071917567881</v>
      </c>
      <c r="G342" s="1" t="n">
        <f aca="false">F289*$C$340</f>
        <v>0.168892715948289</v>
      </c>
      <c r="H342" s="1" t="n">
        <f aca="false">G289*$C$340</f>
        <v>0.205477706218163</v>
      </c>
      <c r="I342" s="1" t="n">
        <f aca="false">H289*$C$340</f>
        <v>0.251128634056763</v>
      </c>
      <c r="J342" s="1" t="n">
        <f aca="false">I289*$C$340</f>
        <v>0.302957743671564</v>
      </c>
      <c r="K342" s="1" t="n">
        <f aca="false">J289*$C$340</f>
        <v>0.360420645511671</v>
      </c>
      <c r="L342" s="1" t="n">
        <f aca="false">K289*$C$340</f>
        <v>0.43758214139989</v>
      </c>
      <c r="M342" s="1" t="n">
        <f aca="false">L289*$C$340</f>
        <v>0.516712742126181</v>
      </c>
      <c r="N342" s="1" t="n">
        <f aca="false">M289*$C$340</f>
        <v>0.65316620375093</v>
      </c>
      <c r="O342" s="1" t="n">
        <f aca="false">N289*$C$340</f>
        <v>0.737112761943398</v>
      </c>
      <c r="P342" s="1" t="n">
        <f aca="false">O289*$C$340</f>
        <v>0.752774253541411</v>
      </c>
      <c r="Q342" s="1" t="n">
        <f aca="false">P289*$C$340</f>
        <v>0.769444354715862</v>
      </c>
      <c r="R342" s="1" t="n">
        <f aca="false">Q289*$C$340</f>
        <v>0.7871341310779</v>
      </c>
      <c r="S342" s="1" t="n">
        <f aca="false">R289*$C$340</f>
        <v>0.805730709623681</v>
      </c>
      <c r="T342" s="1" t="n">
        <f aca="false">S289*$C$340</f>
        <v>0.825143695864933</v>
      </c>
      <c r="U342" s="1" t="n">
        <f aca="false">T289*$C$340</f>
        <v>0.845298421014202</v>
      </c>
      <c r="V342" s="1" t="n">
        <f aca="false">U289*$C$340</f>
        <v>0.865967297576986</v>
      </c>
      <c r="W342" s="1" t="n">
        <f aca="false">V289*$C$340</f>
        <v>0.880201885855527</v>
      </c>
      <c r="X342" s="1" t="n">
        <f aca="false">W289*$C$340</f>
        <v>0.893190778295722</v>
      </c>
      <c r="Y342" s="1" t="n">
        <f aca="false">X289*$C$340</f>
        <v>0.905908186346525</v>
      </c>
      <c r="Z342" s="1" t="n">
        <f aca="false">Y289*$C$340</f>
        <v>0.918354885650628</v>
      </c>
      <c r="AA342" s="1" t="n">
        <f aca="false">Z289*$C$340</f>
        <v>0.930531674909671</v>
      </c>
      <c r="AB342" s="1" t="n">
        <f aca="false">AA289*$C$340</f>
        <v>0.942439374301246</v>
      </c>
      <c r="AC342" s="1" t="n">
        <f aca="false">AB289*$C$340</f>
        <v>0.954077343479615</v>
      </c>
      <c r="AD342" s="1" t="n">
        <f aca="false">AC289*$C$340</f>
        <v>0.965444960597152</v>
      </c>
      <c r="AE342" s="1" t="n">
        <f aca="false">AD289*$C$340</f>
        <v>0.976541620902209</v>
      </c>
      <c r="AF342" s="1" t="n">
        <f aca="false">AE289*$C$340</f>
        <v>0.987366735390245</v>
      </c>
    </row>
    <row r="343" customFormat="false" ht="14.25" hidden="false" customHeight="true" outlineLevel="0" collapsed="false">
      <c r="B343" s="1" t="s">
        <v>1337</v>
      </c>
      <c r="C343" s="1" t="n">
        <f aca="false">C341+C342</f>
        <v>0</v>
      </c>
      <c r="D343" s="1" t="n">
        <f aca="false">D341+D342</f>
        <v>0.0512282804947994</v>
      </c>
      <c r="E343" s="1" t="n">
        <f aca="false">E341+E342</f>
        <v>0.133372615723114</v>
      </c>
      <c r="F343" s="1" t="n">
        <f aca="false">F341+F342</f>
        <v>0.231158478565312</v>
      </c>
      <c r="G343" s="1" t="n">
        <f aca="false">G341+G342</f>
        <v>0.291194337841878</v>
      </c>
      <c r="H343" s="1" t="n">
        <f aca="false">H341+H342</f>
        <v>0.354271907272695</v>
      </c>
      <c r="I343" s="1" t="n">
        <f aca="false">I341+I342</f>
        <v>0.432980403546143</v>
      </c>
      <c r="J343" s="1" t="n">
        <f aca="false">J341+J342</f>
        <v>0.522340937364765</v>
      </c>
      <c r="K343" s="1" t="n">
        <f aca="false">K341+K342</f>
        <v>0.621414906054605</v>
      </c>
      <c r="L343" s="1" t="n">
        <f aca="false">L341+L342</f>
        <v>0.754451967930845</v>
      </c>
      <c r="M343" s="1" t="n">
        <f aca="false">M341+M342</f>
        <v>0.890884038148588</v>
      </c>
      <c r="N343" s="1" t="n">
        <f aca="false">N341+N342</f>
        <v>1.12614862715678</v>
      </c>
      <c r="O343" s="1" t="n">
        <f aca="false">O341+O342</f>
        <v>1.2708840723162</v>
      </c>
      <c r="P343" s="1" t="n">
        <f aca="false">P341+P342</f>
        <v>1.29788664403691</v>
      </c>
      <c r="Q343" s="1" t="n">
        <f aca="false">Q341+Q342</f>
        <v>1.32662819778597</v>
      </c>
      <c r="R343" s="1" t="n">
        <f aca="false">R341+R342</f>
        <v>1.35712781220328</v>
      </c>
      <c r="S343" s="1" t="n">
        <f aca="false">S341+S342</f>
        <v>1.38919087866152</v>
      </c>
      <c r="T343" s="1" t="n">
        <f aca="false">T341+T342</f>
        <v>1.42266154459471</v>
      </c>
      <c r="U343" s="1" t="n">
        <f aca="false">U341+U342</f>
        <v>1.45741107071414</v>
      </c>
      <c r="V343" s="1" t="n">
        <f aca="false">V341+V342</f>
        <v>1.49304706478791</v>
      </c>
      <c r="W343" s="1" t="n">
        <f aca="false">W341+W342</f>
        <v>1.5175894583716</v>
      </c>
      <c r="X343" s="1" t="n">
        <f aca="false">X341+X342</f>
        <v>1.53998410050987</v>
      </c>
      <c r="Y343" s="1" t="n">
        <f aca="false">Y341+Y342</f>
        <v>1.5619106661147</v>
      </c>
      <c r="Z343" s="1" t="n">
        <f aca="false">Z341+Z342</f>
        <v>1.58337049250108</v>
      </c>
      <c r="AA343" s="1" t="n">
        <f aca="false">AA341+AA342</f>
        <v>1.60436495674081</v>
      </c>
      <c r="AB343" s="1" t="n">
        <f aca="false">AB341+AB342</f>
        <v>1.62489547293318</v>
      </c>
      <c r="AC343" s="1" t="n">
        <f aca="false">AC341+AC342</f>
        <v>1.64496093703382</v>
      </c>
      <c r="AD343" s="1" t="n">
        <f aca="false">AD341+AD342</f>
        <v>1.66456027689164</v>
      </c>
      <c r="AE343" s="1" t="n">
        <f aca="false">AE341+AE342</f>
        <v>1.6836924498314</v>
      </c>
      <c r="AF343" s="1" t="n">
        <f aca="false">AF341+AF342</f>
        <v>1.70235644032801</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T3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4.25"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3" min="3" style="1" width="11"/>
    <col collapsed="false" customWidth="true" hidden="false" outlineLevel="0" max="72" min="4" style="1" width="8"/>
  </cols>
  <sheetData>
    <row r="2" customFormat="false" ht="17.25" hidden="false" customHeight="true" outlineLevel="0" collapsed="false">
      <c r="B2" s="18" t="s">
        <v>1943</v>
      </c>
    </row>
    <row r="3" customFormat="false" ht="43.5" hidden="false" customHeight="true" outlineLevel="0" collapsed="false">
      <c r="B3" s="123" t="s">
        <v>998</v>
      </c>
      <c r="C3" s="123"/>
      <c r="D3" s="123"/>
      <c r="E3" s="123"/>
      <c r="F3" s="123"/>
      <c r="G3" s="123"/>
      <c r="H3" s="123"/>
      <c r="I3" s="123"/>
      <c r="J3" s="123"/>
      <c r="K3" s="123"/>
      <c r="L3" s="123"/>
      <c r="M3" s="123"/>
      <c r="N3" s="123"/>
      <c r="O3" s="123"/>
      <c r="P3" s="123"/>
    </row>
    <row r="4" customFormat="false" ht="15" hidden="false" customHeight="true" outlineLevel="0" collapsed="false">
      <c r="B4" s="81" t="s">
        <v>999</v>
      </c>
      <c r="D4" s="81" t="s">
        <v>1000</v>
      </c>
    </row>
    <row r="5" customFormat="false" ht="15" hidden="false" customHeight="true" outlineLevel="0" collapsed="false">
      <c r="B5" s="1" t="s">
        <v>348</v>
      </c>
      <c r="C5" s="124" t="n">
        <v>0.035</v>
      </c>
      <c r="D5" s="83" t="s">
        <v>434</v>
      </c>
    </row>
    <row r="6" customFormat="false" ht="15" hidden="false" customHeight="true" outlineLevel="0" collapsed="false">
      <c r="B6" s="1" t="s">
        <v>1001</v>
      </c>
      <c r="C6" s="82" t="s">
        <v>352</v>
      </c>
      <c r="D6" s="83" t="s">
        <v>434</v>
      </c>
    </row>
    <row r="7" customFormat="false" ht="15" hidden="false" customHeight="true" outlineLevel="0" collapsed="false">
      <c r="B7" s="1" t="s">
        <v>1002</v>
      </c>
      <c r="C7" s="124" t="n">
        <v>0.002</v>
      </c>
      <c r="D7" s="83" t="s">
        <v>434</v>
      </c>
    </row>
    <row r="8" customFormat="false" ht="15" hidden="false" customHeight="true" outlineLevel="0" collapsed="false">
      <c r="B8" s="1" t="s">
        <v>1003</v>
      </c>
      <c r="C8" s="124" t="n">
        <f aca="false">$C$340*(1-$C$338)</f>
        <v>0.0065</v>
      </c>
      <c r="D8" s="83" t="s">
        <v>1004</v>
      </c>
    </row>
    <row r="9" customFormat="false" ht="15" hidden="false" customHeight="true" outlineLevel="0" collapsed="false">
      <c r="B9" s="1" t="s">
        <v>1005</v>
      </c>
      <c r="C9" s="125" t="n">
        <v>0.45</v>
      </c>
      <c r="D9" s="83" t="s">
        <v>1006</v>
      </c>
    </row>
    <row r="10" customFormat="false" ht="15" hidden="false" customHeight="true" outlineLevel="0" collapsed="false">
      <c r="B10" s="1" t="s">
        <v>1007</v>
      </c>
      <c r="C10" s="124" t="n">
        <v>0.035</v>
      </c>
      <c r="D10" s="83" t="s">
        <v>434</v>
      </c>
    </row>
    <row r="11" customFormat="false" ht="15" hidden="false" customHeight="true" outlineLevel="0" collapsed="false">
      <c r="B11" s="1" t="s">
        <v>1008</v>
      </c>
      <c r="C11" s="82" t="s">
        <v>1009</v>
      </c>
      <c r="D11" s="83" t="s">
        <v>434</v>
      </c>
    </row>
    <row r="12" customFormat="false" ht="15" hidden="false" customHeight="true" outlineLevel="0" collapsed="false">
      <c r="B12" s="1" t="s">
        <v>1010</v>
      </c>
      <c r="C12" s="82" t="s">
        <v>1011</v>
      </c>
      <c r="D12" s="83" t="s">
        <v>434</v>
      </c>
    </row>
    <row r="13" customFormat="false" ht="15" hidden="false" customHeight="true" outlineLevel="0" collapsed="false">
      <c r="B13" s="84" t="s">
        <v>1012</v>
      </c>
      <c r="C13" s="82" t="s">
        <v>398</v>
      </c>
      <c r="D13" s="83" t="s">
        <v>1013</v>
      </c>
    </row>
    <row r="14" customFormat="false" ht="15" hidden="false" customHeight="true" outlineLevel="0" collapsed="false">
      <c r="B14" s="84" t="s">
        <v>1014</v>
      </c>
      <c r="C14" s="126" t="n">
        <v>0</v>
      </c>
      <c r="D14" s="83" t="s">
        <v>1015</v>
      </c>
    </row>
    <row r="15" customFormat="false" ht="15" hidden="false" customHeight="true" outlineLevel="0" collapsed="false">
      <c r="B15" s="84" t="s">
        <v>1016</v>
      </c>
      <c r="C15" s="125" t="n">
        <v>0</v>
      </c>
      <c r="D15" s="83" t="s">
        <v>1017</v>
      </c>
    </row>
    <row r="16" customFormat="false" ht="15" hidden="false" customHeight="true" outlineLevel="0" collapsed="false">
      <c r="B16" s="84" t="s">
        <v>1018</v>
      </c>
      <c r="C16" s="124" t="n">
        <v>0</v>
      </c>
      <c r="D16" s="83" t="s">
        <v>1019</v>
      </c>
    </row>
    <row r="17" customFormat="false" ht="15" hidden="false" customHeight="true" outlineLevel="0" collapsed="false">
      <c r="B17" s="84" t="s">
        <v>1020</v>
      </c>
      <c r="C17" s="125" t="n">
        <v>0</v>
      </c>
      <c r="D17" s="83" t="s">
        <v>1357</v>
      </c>
    </row>
    <row r="18" customFormat="false" ht="15" hidden="false" customHeight="true" outlineLevel="0" collapsed="false">
      <c r="B18" s="84" t="s">
        <v>1022</v>
      </c>
      <c r="C18" s="124" t="n">
        <v>0</v>
      </c>
      <c r="D18" s="83" t="s">
        <v>1019</v>
      </c>
    </row>
    <row r="19" customFormat="false" ht="15" hidden="false" customHeight="true" outlineLevel="0" collapsed="false">
      <c r="B19" s="84" t="s">
        <v>1023</v>
      </c>
      <c r="C19" s="125" t="n">
        <v>0.05</v>
      </c>
      <c r="D19" s="83" t="s">
        <v>1019</v>
      </c>
    </row>
    <row r="20" customFormat="false" ht="15" hidden="false" customHeight="true" outlineLevel="0" collapsed="false">
      <c r="B20" s="84" t="s">
        <v>1024</v>
      </c>
      <c r="C20" s="82" t="s">
        <v>1025</v>
      </c>
      <c r="D20" s="83" t="s">
        <v>1019</v>
      </c>
    </row>
    <row r="21" customFormat="false" ht="15" hidden="false" customHeight="true" outlineLevel="0" collapsed="false">
      <c r="B21" s="84" t="s">
        <v>1027</v>
      </c>
      <c r="C21" s="125" t="n">
        <v>0.1</v>
      </c>
      <c r="D21" s="83" t="s">
        <v>1028</v>
      </c>
    </row>
    <row r="22" customFormat="false" ht="15" hidden="false" customHeight="true" outlineLevel="0" collapsed="false">
      <c r="B22" s="84" t="s">
        <v>1029</v>
      </c>
      <c r="C22" s="125" t="n">
        <v>0.25</v>
      </c>
      <c r="D22" s="83" t="s">
        <v>1030</v>
      </c>
    </row>
    <row r="23" customFormat="false" ht="15" hidden="false" customHeight="true" outlineLevel="0" collapsed="false">
      <c r="B23" s="84" t="s">
        <v>1031</v>
      </c>
      <c r="C23" s="124" t="n">
        <v>0</v>
      </c>
      <c r="D23" s="83" t="s">
        <v>1032</v>
      </c>
    </row>
    <row r="24" customFormat="false" ht="15" hidden="false" customHeight="true" outlineLevel="0" collapsed="false">
      <c r="B24" s="84" t="s">
        <v>1033</v>
      </c>
      <c r="C24" s="126" t="n">
        <v>0.001</v>
      </c>
      <c r="D24" s="83" t="s">
        <v>1019</v>
      </c>
    </row>
    <row r="25" customFormat="false" ht="15" hidden="false" customHeight="true" outlineLevel="0" collapsed="false">
      <c r="B25" s="84" t="s">
        <v>1034</v>
      </c>
      <c r="C25" s="82" t="s">
        <v>1035</v>
      </c>
      <c r="D25" s="83" t="s">
        <v>1036</v>
      </c>
    </row>
    <row r="26" customFormat="false" ht="15" hidden="false" customHeight="true" outlineLevel="0" collapsed="false">
      <c r="B26" s="84" t="s">
        <v>1037</v>
      </c>
      <c r="C26" s="127" t="n">
        <v>129360000</v>
      </c>
      <c r="D26" s="83" t="s">
        <v>1038</v>
      </c>
    </row>
    <row r="27" customFormat="false" ht="15" hidden="false" customHeight="true" outlineLevel="0" collapsed="false">
      <c r="B27" s="84" t="s">
        <v>1039</v>
      </c>
      <c r="C27" s="124" t="n">
        <v>0.02</v>
      </c>
      <c r="D27" s="83" t="s">
        <v>1019</v>
      </c>
    </row>
    <row r="28" customFormat="false" ht="15" hidden="false" customHeight="true" outlineLevel="0" collapsed="false">
      <c r="B28" s="84" t="s">
        <v>1040</v>
      </c>
      <c r="C28" s="124" t="n">
        <v>0.015</v>
      </c>
      <c r="D28" s="83" t="s">
        <v>1019</v>
      </c>
    </row>
    <row r="29" customFormat="false" ht="15" hidden="false" customHeight="true" outlineLevel="0" collapsed="false">
      <c r="B29" s="84" t="s">
        <v>1041</v>
      </c>
      <c r="C29" s="128" t="n">
        <v>5</v>
      </c>
      <c r="D29" s="83" t="s">
        <v>1019</v>
      </c>
    </row>
    <row r="30" customFormat="false" ht="15" hidden="false" customHeight="true" outlineLevel="0" collapsed="false">
      <c r="B30" s="84" t="s">
        <v>1042</v>
      </c>
      <c r="C30" s="125" t="n">
        <v>0</v>
      </c>
      <c r="D30" s="83" t="s">
        <v>1043</v>
      </c>
    </row>
    <row r="31" customFormat="false" ht="15" hidden="false" customHeight="true" outlineLevel="0" collapsed="false">
      <c r="B31" s="84" t="s">
        <v>1044</v>
      </c>
      <c r="C31" s="128" t="n">
        <v>5</v>
      </c>
      <c r="D31" s="83" t="s">
        <v>1019</v>
      </c>
    </row>
    <row r="32" customFormat="false" ht="15" hidden="false" customHeight="true" outlineLevel="0" collapsed="false">
      <c r="B32" s="84" t="s">
        <v>1045</v>
      </c>
      <c r="C32" s="82" t="s">
        <v>398</v>
      </c>
      <c r="D32" s="83" t="s">
        <v>1046</v>
      </c>
    </row>
    <row r="33" customFormat="false" ht="15" hidden="false" customHeight="true" outlineLevel="0" collapsed="false">
      <c r="B33" s="84" t="s">
        <v>1047</v>
      </c>
      <c r="C33" s="125" t="n">
        <v>0.21</v>
      </c>
      <c r="D33" s="83" t="s">
        <v>1048</v>
      </c>
    </row>
    <row r="34" customFormat="false" ht="15" hidden="false" customHeight="true" outlineLevel="0" collapsed="false">
      <c r="B34" s="84" t="s">
        <v>1049</v>
      </c>
      <c r="C34" s="129" t="n">
        <v>0</v>
      </c>
      <c r="D34" s="83" t="s">
        <v>1050</v>
      </c>
    </row>
    <row r="35" customFormat="false" ht="15" hidden="false" customHeight="true" outlineLevel="0" collapsed="false">
      <c r="B35" s="84" t="s">
        <v>1051</v>
      </c>
      <c r="C35" s="82" t="s">
        <v>352</v>
      </c>
      <c r="D35" s="83" t="s">
        <v>1052</v>
      </c>
    </row>
    <row r="36" customFormat="false" ht="15" hidden="false" customHeight="true" outlineLevel="0" collapsed="false">
      <c r="B36" s="1" t="s">
        <v>1053</v>
      </c>
      <c r="C36" s="130" t="n">
        <f aca="false">32150.7466*4165*959/1000000000000</f>
        <v>0.128417637345851</v>
      </c>
    </row>
    <row r="39" customFormat="false" ht="15" hidden="false" customHeight="true" outlineLevel="0" collapsed="false">
      <c r="B39" s="131" t="s">
        <v>784</v>
      </c>
      <c r="C39" s="131" t="n">
        <v>1</v>
      </c>
      <c r="D39" s="131" t="n">
        <v>2</v>
      </c>
      <c r="E39" s="131" t="n">
        <v>3</v>
      </c>
      <c r="F39" s="131" t="n">
        <v>4</v>
      </c>
      <c r="G39" s="131" t="n">
        <v>5</v>
      </c>
      <c r="H39" s="131" t="n">
        <v>6</v>
      </c>
      <c r="I39" s="131" t="n">
        <v>7</v>
      </c>
      <c r="J39" s="131" t="n">
        <v>8</v>
      </c>
      <c r="K39" s="131" t="n">
        <v>9</v>
      </c>
      <c r="L39" s="131" t="n">
        <v>10</v>
      </c>
      <c r="M39" s="131" t="n">
        <v>11</v>
      </c>
      <c r="N39" s="131" t="n">
        <v>12</v>
      </c>
      <c r="O39" s="131" t="n">
        <v>13</v>
      </c>
      <c r="P39" s="131" t="n">
        <v>14</v>
      </c>
      <c r="Q39" s="131" t="n">
        <v>15</v>
      </c>
      <c r="R39" s="131" t="n">
        <v>16</v>
      </c>
      <c r="S39" s="131" t="n">
        <v>17</v>
      </c>
      <c r="T39" s="131" t="n">
        <v>18</v>
      </c>
      <c r="U39" s="131" t="n">
        <v>19</v>
      </c>
      <c r="V39" s="131" t="n">
        <v>20</v>
      </c>
      <c r="W39" s="131" t="n">
        <v>21</v>
      </c>
      <c r="X39" s="131" t="n">
        <v>22</v>
      </c>
      <c r="Y39" s="131" t="n">
        <v>23</v>
      </c>
      <c r="Z39" s="131" t="n">
        <v>24</v>
      </c>
      <c r="AA39" s="131" t="n">
        <v>25</v>
      </c>
      <c r="AB39" s="131" t="n">
        <v>26</v>
      </c>
      <c r="AC39" s="131" t="n">
        <v>27</v>
      </c>
      <c r="AD39" s="131" t="n">
        <v>28</v>
      </c>
      <c r="AE39" s="131" t="n">
        <v>29</v>
      </c>
      <c r="AF39" s="131" t="n">
        <v>30</v>
      </c>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row>
    <row r="40" customFormat="false" ht="15" hidden="false" customHeight="true" outlineLevel="0" collapsed="false">
      <c r="B40" s="132" t="s">
        <v>1054</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row>
    <row r="41" customFormat="false" ht="15" hidden="false" customHeight="true" outlineLevel="0" collapsed="false">
      <c r="B41" s="134" t="s">
        <v>1055</v>
      </c>
      <c r="C41" s="116" t="n">
        <f aca="false">01_Supuestos!$I$25*(1+01_Supuestos!$I$9)^(C$39-1)</f>
        <v>325</v>
      </c>
      <c r="D41" s="116" t="n">
        <f aca="false">01_Supuestos!$I$25*(1+01_Supuestos!$I$9)^(D$39-1)</f>
        <v>332.475</v>
      </c>
      <c r="E41" s="116" t="n">
        <f aca="false">01_Supuestos!$I$25*(1+01_Supuestos!$I$9)^(E$39-1)</f>
        <v>340.121925</v>
      </c>
      <c r="F41" s="116" t="n">
        <f aca="false">01_Supuestos!$I$25*(1+01_Supuestos!$I$9)^(F$39-1)</f>
        <v>347.944729275</v>
      </c>
      <c r="G41" s="116" t="n">
        <f aca="false">01_Supuestos!$I$25*(1+01_Supuestos!$I$9)^(G$39-1)</f>
        <v>355.947458048325</v>
      </c>
      <c r="H41" s="116" t="n">
        <f aca="false">01_Supuestos!$I$25*(1+01_Supuestos!$I$9)^(H$39-1)</f>
        <v>364.134249583436</v>
      </c>
      <c r="I41" s="116" t="n">
        <f aca="false">01_Supuestos!$I$25*(1+01_Supuestos!$I$9)^(I$39-1)</f>
        <v>372.509337323855</v>
      </c>
      <c r="J41" s="116" t="n">
        <f aca="false">01_Supuestos!$I$25*(1+01_Supuestos!$I$9)^(J$39-1)</f>
        <v>381.077052082304</v>
      </c>
      <c r="K41" s="116" t="n">
        <f aca="false">01_Supuestos!$I$25*(1+01_Supuestos!$I$9)^(K$39-1)</f>
        <v>389.841824280197</v>
      </c>
      <c r="L41" s="116" t="n">
        <f aca="false">01_Supuestos!$I$25*(1+01_Supuestos!$I$9)^(L$39-1)</f>
        <v>398.808186238641</v>
      </c>
      <c r="M41" s="116" t="n">
        <f aca="false">01_Supuestos!$I$25*(1+01_Supuestos!$I$9)^(M$39-1)</f>
        <v>407.98077452213</v>
      </c>
      <c r="N41" s="116" t="n">
        <f aca="false">01_Supuestos!$I$25*(1+01_Supuestos!$I$9)^(N$39-1)</f>
        <v>417.364332336139</v>
      </c>
      <c r="O41" s="116" t="n">
        <f aca="false">01_Supuestos!$I$25*(1+01_Supuestos!$I$9)^(O$39-1)</f>
        <v>426.96371197987</v>
      </c>
      <c r="P41" s="116" t="n">
        <f aca="false">01_Supuestos!$I$25*(1+01_Supuestos!$I$9)^(P$39-1)</f>
        <v>436.783877355407</v>
      </c>
      <c r="Q41" s="116" t="n">
        <f aca="false">01_Supuestos!$I$25*(1+01_Supuestos!$I$9)^(Q$39-1)</f>
        <v>446.829906534582</v>
      </c>
      <c r="R41" s="116" t="n">
        <f aca="false">01_Supuestos!$I$25*(1+01_Supuestos!$I$9)^(R$39-1)</f>
        <v>457.106994384877</v>
      </c>
      <c r="S41" s="116" t="n">
        <f aca="false">01_Supuestos!$I$25*(1+01_Supuestos!$I$9)^(S$39-1)</f>
        <v>467.620455255729</v>
      </c>
      <c r="T41" s="116" t="n">
        <f aca="false">01_Supuestos!$I$25*(1+01_Supuestos!$I$9)^(T$39-1)</f>
        <v>478.375725726611</v>
      </c>
      <c r="U41" s="116" t="n">
        <f aca="false">01_Supuestos!$I$25*(1+01_Supuestos!$I$9)^(U$39-1)</f>
        <v>489.378367418323</v>
      </c>
      <c r="V41" s="116" t="n">
        <f aca="false">01_Supuestos!$I$25*(1+01_Supuestos!$I$9)^(V$39-1)</f>
        <v>500.634069868944</v>
      </c>
      <c r="W41" s="116" t="n">
        <f aca="false">01_Supuestos!$I$25*(1+01_Supuestos!$I$9)^(W$39-1)</f>
        <v>512.14865347593</v>
      </c>
      <c r="X41" s="116" t="n">
        <f aca="false">01_Supuestos!$I$25*(1+01_Supuestos!$I$9)^(X$39-1)</f>
        <v>523.928072505876</v>
      </c>
      <c r="Y41" s="116" t="n">
        <f aca="false">01_Supuestos!$I$25*(1+01_Supuestos!$I$9)^(Y$39-1)</f>
        <v>535.978418173511</v>
      </c>
      <c r="Z41" s="116" t="n">
        <f aca="false">01_Supuestos!$I$25*(1+01_Supuestos!$I$9)^(Z$39-1)</f>
        <v>548.305921791502</v>
      </c>
      <c r="AA41" s="116" t="n">
        <f aca="false">01_Supuestos!$I$25*(1+01_Supuestos!$I$9)^(AA$39-1)</f>
        <v>560.916957992706</v>
      </c>
      <c r="AB41" s="116" t="n">
        <f aca="false">01_Supuestos!$I$25*(1+01_Supuestos!$I$9)^(AB$39-1)</f>
        <v>573.818048026539</v>
      </c>
      <c r="AC41" s="116" t="n">
        <f aca="false">01_Supuestos!$I$25*(1+01_Supuestos!$I$9)^(AC$39-1)</f>
        <v>587.015863131149</v>
      </c>
      <c r="AD41" s="116" t="n">
        <f aca="false">01_Supuestos!$I$25*(1+01_Supuestos!$I$9)^(AD$39-1)</f>
        <v>600.517227983165</v>
      </c>
      <c r="AE41" s="116" t="n">
        <f aca="false">01_Supuestos!$I$25*(1+01_Supuestos!$I$9)^(AE$39-1)</f>
        <v>614.329124226778</v>
      </c>
      <c r="AF41" s="116" t="n">
        <f aca="false">01_Supuestos!$I$25*(1+01_Supuestos!$I$9)^(AF$39-1)</f>
        <v>628.458694083994</v>
      </c>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row>
    <row r="42" customFormat="false" ht="15" hidden="false" customHeight="true" outlineLevel="0" collapsed="false">
      <c r="B42" s="134" t="s">
        <v>1056</v>
      </c>
      <c r="C42" s="116" t="n">
        <f aca="false">IF($C$6="Sí",(1+01_Supuestos!$I$104)^C$39,1)</f>
        <v>1</v>
      </c>
      <c r="D42" s="116" t="n">
        <f aca="false">IF($C$6="Sí",(1+01_Supuestos!$I$104)^D$39,1)</f>
        <v>1</v>
      </c>
      <c r="E42" s="116" t="n">
        <f aca="false">IF($C$6="Sí",(1+01_Supuestos!$I$104)^E$39,1)</f>
        <v>1</v>
      </c>
      <c r="F42" s="116" t="n">
        <f aca="false">IF($C$6="Sí",(1+01_Supuestos!$I$104)^F$39,1)</f>
        <v>1</v>
      </c>
      <c r="G42" s="116" t="n">
        <f aca="false">IF($C$6="Sí",(1+01_Supuestos!$I$104)^G$39,1)</f>
        <v>1</v>
      </c>
      <c r="H42" s="116" t="n">
        <f aca="false">IF($C$6="Sí",(1+01_Supuestos!$I$104)^H$39,1)</f>
        <v>1</v>
      </c>
      <c r="I42" s="116" t="n">
        <f aca="false">IF($C$6="Sí",(1+01_Supuestos!$I$104)^I$39,1)</f>
        <v>1</v>
      </c>
      <c r="J42" s="116" t="n">
        <f aca="false">IF($C$6="Sí",(1+01_Supuestos!$I$104)^J$39,1)</f>
        <v>1</v>
      </c>
      <c r="K42" s="116" t="n">
        <f aca="false">IF($C$6="Sí",(1+01_Supuestos!$I$104)^K$39,1)</f>
        <v>1</v>
      </c>
      <c r="L42" s="116" t="n">
        <f aca="false">IF($C$6="Sí",(1+01_Supuestos!$I$104)^L$39,1)</f>
        <v>1</v>
      </c>
      <c r="M42" s="116" t="n">
        <f aca="false">IF($C$6="Sí",(1+01_Supuestos!$I$104)^M$39,1)</f>
        <v>1</v>
      </c>
      <c r="N42" s="116" t="n">
        <f aca="false">IF($C$6="Sí",(1+01_Supuestos!$I$104)^N$39,1)</f>
        <v>1</v>
      </c>
      <c r="O42" s="116" t="n">
        <f aca="false">IF($C$6="Sí",(1+01_Supuestos!$I$104)^O$39,1)</f>
        <v>1</v>
      </c>
      <c r="P42" s="116" t="n">
        <f aca="false">IF($C$6="Sí",(1+01_Supuestos!$I$104)^P$39,1)</f>
        <v>1</v>
      </c>
      <c r="Q42" s="116" t="n">
        <f aca="false">IF($C$6="Sí",(1+01_Supuestos!$I$104)^Q$39,1)</f>
        <v>1</v>
      </c>
      <c r="R42" s="116" t="n">
        <f aca="false">IF($C$6="Sí",(1+01_Supuestos!$I$104)^R$39,1)</f>
        <v>1</v>
      </c>
      <c r="S42" s="116" t="n">
        <f aca="false">IF($C$6="Sí",(1+01_Supuestos!$I$104)^S$39,1)</f>
        <v>1</v>
      </c>
      <c r="T42" s="116" t="n">
        <f aca="false">IF($C$6="Sí",(1+01_Supuestos!$I$104)^T$39,1)</f>
        <v>1</v>
      </c>
      <c r="U42" s="116" t="n">
        <f aca="false">IF($C$6="Sí",(1+01_Supuestos!$I$104)^U$39,1)</f>
        <v>1</v>
      </c>
      <c r="V42" s="116" t="n">
        <f aca="false">IF($C$6="Sí",(1+01_Supuestos!$I$104)^V$39,1)</f>
        <v>1</v>
      </c>
      <c r="W42" s="116" t="n">
        <f aca="false">IF($C$6="Sí",(1+01_Supuestos!$I$104)^W$39,1)</f>
        <v>1</v>
      </c>
      <c r="X42" s="116" t="n">
        <f aca="false">IF($C$6="Sí",(1+01_Supuestos!$I$104)^X$39,1)</f>
        <v>1</v>
      </c>
      <c r="Y42" s="116" t="n">
        <f aca="false">IF($C$6="Sí",(1+01_Supuestos!$I$104)^Y$39,1)</f>
        <v>1</v>
      </c>
      <c r="Z42" s="116" t="n">
        <f aca="false">IF($C$6="Sí",(1+01_Supuestos!$I$104)^Z$39,1)</f>
        <v>1</v>
      </c>
      <c r="AA42" s="116" t="n">
        <f aca="false">IF($C$6="Sí",(1+01_Supuestos!$I$104)^AA$39,1)</f>
        <v>1</v>
      </c>
      <c r="AB42" s="116" t="n">
        <f aca="false">IF($C$6="Sí",(1+01_Supuestos!$I$104)^AB$39,1)</f>
        <v>1</v>
      </c>
      <c r="AC42" s="116" t="n">
        <f aca="false">IF($C$6="Sí",(1+01_Supuestos!$I$104)^AC$39,1)</f>
        <v>1</v>
      </c>
      <c r="AD42" s="116" t="n">
        <f aca="false">IF($C$6="Sí",(1+01_Supuestos!$I$104)^AD$39,1)</f>
        <v>1</v>
      </c>
      <c r="AE42" s="116" t="n">
        <f aca="false">IF($C$6="Sí",(1+01_Supuestos!$I$104)^AE$39,1)</f>
        <v>1</v>
      </c>
      <c r="AF42" s="116" t="n">
        <f aca="false">IF($C$6="Sí",(1+01_Supuestos!$I$104)^AF$39,1)</f>
        <v>1</v>
      </c>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row>
    <row r="43" customFormat="false" ht="15" hidden="false" customHeight="true" outlineLevel="0" collapsed="false">
      <c r="B43" s="134" t="s">
        <v>1057</v>
      </c>
      <c r="C43" s="116" t="n">
        <f aca="false">(1+01_Supuestos!$I$10)^(C$39-1)</f>
        <v>1</v>
      </c>
      <c r="D43" s="116" t="n">
        <f aca="false">(1+01_Supuestos!$I$10)^(D$39-1)</f>
        <v>1.035</v>
      </c>
      <c r="E43" s="116" t="n">
        <f aca="false">(1+01_Supuestos!$I$10)^(E$39-1)</f>
        <v>1.071225</v>
      </c>
      <c r="F43" s="116" t="n">
        <f aca="false">(1+01_Supuestos!$I$10)^(F$39-1)</f>
        <v>1.108717875</v>
      </c>
      <c r="G43" s="116" t="n">
        <f aca="false">(1+01_Supuestos!$I$10)^(G$39-1)</f>
        <v>1.147523000625</v>
      </c>
      <c r="H43" s="116" t="n">
        <f aca="false">(1+01_Supuestos!$I$10)^(H$39-1)</f>
        <v>1.18768630564687</v>
      </c>
      <c r="I43" s="116" t="n">
        <f aca="false">(1+01_Supuestos!$I$10)^(I$39-1)</f>
        <v>1.22925532634452</v>
      </c>
      <c r="J43" s="116" t="n">
        <f aca="false">(1+01_Supuestos!$I$10)^(J$39-1)</f>
        <v>1.27227926276657</v>
      </c>
      <c r="K43" s="116" t="n">
        <f aca="false">(1+01_Supuestos!$I$10)^(K$39-1)</f>
        <v>1.3168090369634</v>
      </c>
      <c r="L43" s="116" t="n">
        <f aca="false">(1+01_Supuestos!$I$10)^(L$39-1)</f>
        <v>1.36289735325712</v>
      </c>
      <c r="M43" s="116" t="n">
        <f aca="false">(1+01_Supuestos!$I$10)^(M$39-1)</f>
        <v>1.41059876062112</v>
      </c>
      <c r="N43" s="116" t="n">
        <f aca="false">(1+01_Supuestos!$I$10)^(N$39-1)</f>
        <v>1.45996971724286</v>
      </c>
      <c r="O43" s="116" t="n">
        <f aca="false">(1+01_Supuestos!$I$10)^(O$39-1)</f>
        <v>1.51106865734636</v>
      </c>
      <c r="P43" s="116" t="n">
        <f aca="false">(1+01_Supuestos!$I$10)^(P$39-1)</f>
        <v>1.56395606035348</v>
      </c>
      <c r="Q43" s="116" t="n">
        <f aca="false">(1+01_Supuestos!$I$10)^(Q$39-1)</f>
        <v>1.61869452246585</v>
      </c>
      <c r="R43" s="116" t="n">
        <f aca="false">(1+01_Supuestos!$I$10)^(R$39-1)</f>
        <v>1.67534883075216</v>
      </c>
      <c r="S43" s="116" t="n">
        <f aca="false">(1+01_Supuestos!$I$10)^(S$39-1)</f>
        <v>1.73398603982848</v>
      </c>
      <c r="T43" s="116" t="n">
        <f aca="false">(1+01_Supuestos!$I$10)^(T$39-1)</f>
        <v>1.79467555122248</v>
      </c>
      <c r="U43" s="116" t="n">
        <f aca="false">(1+01_Supuestos!$I$10)^(U$39-1)</f>
        <v>1.85748919551527</v>
      </c>
      <c r="V43" s="116" t="n">
        <f aca="false">(1+01_Supuestos!$I$10)^(V$39-1)</f>
        <v>1.9225013173583</v>
      </c>
      <c r="W43" s="116" t="n">
        <f aca="false">(1+01_Supuestos!$I$10)^(W$39-1)</f>
        <v>1.98978886346584</v>
      </c>
      <c r="X43" s="116" t="n">
        <f aca="false">(1+01_Supuestos!$I$10)^(X$39-1)</f>
        <v>2.05943147368715</v>
      </c>
      <c r="Y43" s="116" t="n">
        <f aca="false">(1+01_Supuestos!$I$10)^(Y$39-1)</f>
        <v>2.1315115752662</v>
      </c>
      <c r="Z43" s="116" t="n">
        <f aca="false">(1+01_Supuestos!$I$10)^(Z$39-1)</f>
        <v>2.20611448040051</v>
      </c>
      <c r="AA43" s="116" t="n">
        <f aca="false">(1+01_Supuestos!$I$10)^(AA$39-1)</f>
        <v>2.28332848721453</v>
      </c>
      <c r="AB43" s="116" t="n">
        <f aca="false">(1+01_Supuestos!$I$10)^(AB$39-1)</f>
        <v>2.36324498426704</v>
      </c>
      <c r="AC43" s="116" t="n">
        <f aca="false">(1+01_Supuestos!$I$10)^(AC$39-1)</f>
        <v>2.44595855871639</v>
      </c>
      <c r="AD43" s="116" t="n">
        <f aca="false">(1+01_Supuestos!$I$10)^(AD$39-1)</f>
        <v>2.53156710827146</v>
      </c>
      <c r="AE43" s="116" t="n">
        <f aca="false">(1+01_Supuestos!$I$10)^(AE$39-1)</f>
        <v>2.62017195706096</v>
      </c>
      <c r="AF43" s="116" t="n">
        <f aca="false">(1+01_Supuestos!$I$10)^(AF$39-1)</f>
        <v>2.71187797555809</v>
      </c>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row>
    <row r="44" customFormat="false" ht="15" hidden="false" customHeight="true" outlineLevel="0" collapsed="false">
      <c r="B44" s="132" t="s">
        <v>1058</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row>
    <row r="45" customFormat="false" ht="15" hidden="false" customHeight="true" outlineLevel="0" collapsed="false">
      <c r="B45" s="134" t="s">
        <v>1059</v>
      </c>
      <c r="C45" s="116" t="n">
        <f aca="false">IF(C$39=1,01_Supuestos!$I$55*(01_Supuestos!$I$56+75_Bonos_AFJ!$G$30),IF(C$39=2,01_Supuestos!$I$65*(307000*240+75_Bonos_AFJ!$G$33),IF(C$39=3,01_Supuestos!$I$57*(01_Supuestos!$I$58+75_Bonos_AFJ!$G$31)+01_Supuestos!$I$59*(01_Supuestos!$I$60+75_Bonos_AFJ!$G$32),IF(C$39=4,IF($C$25="Verificado",01_Supuestos!$I$85*01_Supuestos!$I$86+01_Supuestos!$I$87*01_Supuestos!$I$63+01_Supuestos!$I$88*(01_Supuestos!$I$89+75_Bonos_AFJ!$G$36),01_Supuestos!$I$61*01_Supuestos!$I$63),0))))/1000000000000</f>
        <v>57.20223777748</v>
      </c>
      <c r="D45" s="116" t="n">
        <f aca="false">IF(D$39=1,01_Supuestos!$I$55*(01_Supuestos!$I$56+75_Bonos_AFJ!$G$30),IF(D$39=2,01_Supuestos!$I$65*(307000*240+75_Bonos_AFJ!$G$33),IF(D$39=3,01_Supuestos!$I$57*(01_Supuestos!$I$58+75_Bonos_AFJ!$G$31)+01_Supuestos!$I$59*(01_Supuestos!$I$60+75_Bonos_AFJ!$G$32),IF(D$39=4,IF($C$25="Verificado",01_Supuestos!$I$85*01_Supuestos!$I$86+01_Supuestos!$I$87*01_Supuestos!$I$63+01_Supuestos!$I$88*(01_Supuestos!$I$89+75_Bonos_AFJ!$G$36),01_Supuestos!$I$61*01_Supuestos!$I$63),0))))/1000000000000</f>
        <v>34.966185862</v>
      </c>
      <c r="E45" s="116" t="n">
        <f aca="false">IF(E$39=1,01_Supuestos!$I$55*(01_Supuestos!$I$56+75_Bonos_AFJ!$G$30),IF(E$39=2,01_Supuestos!$I$65*(307000*240+75_Bonos_AFJ!$G$33),IF(E$39=3,01_Supuestos!$I$57*(01_Supuestos!$I$58+75_Bonos_AFJ!$G$31)+01_Supuestos!$I$59*(01_Supuestos!$I$60+75_Bonos_AFJ!$G$32),IF(E$39=4,IF($C$25="Verificado",01_Supuestos!$I$85*01_Supuestos!$I$86+01_Supuestos!$I$87*01_Supuestos!$I$63+01_Supuestos!$I$88*(01_Supuestos!$I$89+75_Bonos_AFJ!$G$36),01_Supuestos!$I$61*01_Supuestos!$I$63),0))))/1000000000000</f>
        <v>29.7357744</v>
      </c>
      <c r="F45" s="116" t="n">
        <f aca="false">IF(F$39=1,01_Supuestos!$I$55*(01_Supuestos!$I$56+75_Bonos_AFJ!$G$30),IF(F$39=2,01_Supuestos!$I$65*(307000*240+75_Bonos_AFJ!$G$33),IF(F$39=3,01_Supuestos!$I$57*(01_Supuestos!$I$58+75_Bonos_AFJ!$G$31)+01_Supuestos!$I$59*(01_Supuestos!$I$60+75_Bonos_AFJ!$G$32),IF(F$39=4,IF($C$25="Verificado",01_Supuestos!$I$85*01_Supuestos!$I$86+01_Supuestos!$I$87*01_Supuestos!$I$63+01_Supuestos!$I$88*(01_Supuestos!$I$89+75_Bonos_AFJ!$G$36),01_Supuestos!$I$61*01_Supuestos!$I$63),0))))/1000000000000</f>
        <v>82.048473431352</v>
      </c>
      <c r="G45" s="116" t="n">
        <f aca="false">IF(G$39=1,01_Supuestos!$I$55*(01_Supuestos!$I$56+75_Bonos_AFJ!$G$30),IF(G$39=2,01_Supuestos!$I$65*(307000*240+75_Bonos_AFJ!$G$33),IF(G$39=3,01_Supuestos!$I$57*(01_Supuestos!$I$58+75_Bonos_AFJ!$G$31)+01_Supuestos!$I$59*(01_Supuestos!$I$60+75_Bonos_AFJ!$G$32),IF(G$39=4,IF($C$25="Verificado",01_Supuestos!$I$85*01_Supuestos!$I$86+01_Supuestos!$I$87*01_Supuestos!$I$63+01_Supuestos!$I$88*(01_Supuestos!$I$89+75_Bonos_AFJ!$G$36),01_Supuestos!$I$61*01_Supuestos!$I$63),0))))/1000000000000</f>
        <v>0</v>
      </c>
      <c r="H45" s="116" t="n">
        <f aca="false">IF(H$39=1,01_Supuestos!$I$55*(01_Supuestos!$I$56+75_Bonos_AFJ!$G$30),IF(H$39=2,01_Supuestos!$I$65*(307000*240+75_Bonos_AFJ!$G$33),IF(H$39=3,01_Supuestos!$I$57*(01_Supuestos!$I$58+75_Bonos_AFJ!$G$31)+01_Supuestos!$I$59*(01_Supuestos!$I$60+75_Bonos_AFJ!$G$32),IF(H$39=4,IF($C$25="Verificado",01_Supuestos!$I$85*01_Supuestos!$I$86+01_Supuestos!$I$87*01_Supuestos!$I$63+01_Supuestos!$I$88*(01_Supuestos!$I$89+75_Bonos_AFJ!$G$36),01_Supuestos!$I$61*01_Supuestos!$I$63),0))))/1000000000000</f>
        <v>0</v>
      </c>
      <c r="I45" s="116" t="n">
        <f aca="false">IF(I$39=1,01_Supuestos!$I$55*(01_Supuestos!$I$56+75_Bonos_AFJ!$G$30),IF(I$39=2,01_Supuestos!$I$65*(307000*240+75_Bonos_AFJ!$G$33),IF(I$39=3,01_Supuestos!$I$57*(01_Supuestos!$I$58+75_Bonos_AFJ!$G$31)+01_Supuestos!$I$59*(01_Supuestos!$I$60+75_Bonos_AFJ!$G$32),IF(I$39=4,IF($C$25="Verificado",01_Supuestos!$I$85*01_Supuestos!$I$86+01_Supuestos!$I$87*01_Supuestos!$I$63+01_Supuestos!$I$88*(01_Supuestos!$I$89+75_Bonos_AFJ!$G$36),01_Supuestos!$I$61*01_Supuestos!$I$63),0))))/1000000000000</f>
        <v>0</v>
      </c>
      <c r="J45" s="116" t="n">
        <f aca="false">IF(J$39=1,01_Supuestos!$I$55*(01_Supuestos!$I$56+75_Bonos_AFJ!$G$30),IF(J$39=2,01_Supuestos!$I$65*(307000*240+75_Bonos_AFJ!$G$33),IF(J$39=3,01_Supuestos!$I$57*(01_Supuestos!$I$58+75_Bonos_AFJ!$G$31)+01_Supuestos!$I$59*(01_Supuestos!$I$60+75_Bonos_AFJ!$G$32),IF(J$39=4,IF($C$25="Verificado",01_Supuestos!$I$85*01_Supuestos!$I$86+01_Supuestos!$I$87*01_Supuestos!$I$63+01_Supuestos!$I$88*(01_Supuestos!$I$89+75_Bonos_AFJ!$G$36),01_Supuestos!$I$61*01_Supuestos!$I$63),0))))/1000000000000</f>
        <v>0</v>
      </c>
      <c r="K45" s="116" t="n">
        <f aca="false">IF(K$39=1,01_Supuestos!$I$55*(01_Supuestos!$I$56+75_Bonos_AFJ!$G$30),IF(K$39=2,01_Supuestos!$I$65*(307000*240+75_Bonos_AFJ!$G$33),IF(K$39=3,01_Supuestos!$I$57*(01_Supuestos!$I$58+75_Bonos_AFJ!$G$31)+01_Supuestos!$I$59*(01_Supuestos!$I$60+75_Bonos_AFJ!$G$32),IF(K$39=4,IF($C$25="Verificado",01_Supuestos!$I$85*01_Supuestos!$I$86+01_Supuestos!$I$87*01_Supuestos!$I$63+01_Supuestos!$I$88*(01_Supuestos!$I$89+75_Bonos_AFJ!$G$36),01_Supuestos!$I$61*01_Supuestos!$I$63),0))))/1000000000000</f>
        <v>0</v>
      </c>
      <c r="L45" s="116" t="n">
        <f aca="false">IF(L$39=1,01_Supuestos!$I$55*(01_Supuestos!$I$56+75_Bonos_AFJ!$G$30),IF(L$39=2,01_Supuestos!$I$65*(307000*240+75_Bonos_AFJ!$G$33),IF(L$39=3,01_Supuestos!$I$57*(01_Supuestos!$I$58+75_Bonos_AFJ!$G$31)+01_Supuestos!$I$59*(01_Supuestos!$I$60+75_Bonos_AFJ!$G$32),IF(L$39=4,IF($C$25="Verificado",01_Supuestos!$I$85*01_Supuestos!$I$86+01_Supuestos!$I$87*01_Supuestos!$I$63+01_Supuestos!$I$88*(01_Supuestos!$I$89+75_Bonos_AFJ!$G$36),01_Supuestos!$I$61*01_Supuestos!$I$63),0))))/1000000000000</f>
        <v>0</v>
      </c>
      <c r="M45" s="116" t="n">
        <f aca="false">IF(M$39=1,01_Supuestos!$I$55*(01_Supuestos!$I$56+75_Bonos_AFJ!$G$30),IF(M$39=2,01_Supuestos!$I$65*(307000*240+75_Bonos_AFJ!$G$33),IF(M$39=3,01_Supuestos!$I$57*(01_Supuestos!$I$58+75_Bonos_AFJ!$G$31)+01_Supuestos!$I$59*(01_Supuestos!$I$60+75_Bonos_AFJ!$G$32),IF(M$39=4,IF($C$25="Verificado",01_Supuestos!$I$85*01_Supuestos!$I$86+01_Supuestos!$I$87*01_Supuestos!$I$63+01_Supuestos!$I$88*(01_Supuestos!$I$89+75_Bonos_AFJ!$G$36),01_Supuestos!$I$61*01_Supuestos!$I$63),0))))/1000000000000</f>
        <v>0</v>
      </c>
      <c r="N45" s="116" t="n">
        <f aca="false">IF(N$39=1,01_Supuestos!$I$55*(01_Supuestos!$I$56+75_Bonos_AFJ!$G$30),IF(N$39=2,01_Supuestos!$I$65*(307000*240+75_Bonos_AFJ!$G$33),IF(N$39=3,01_Supuestos!$I$57*(01_Supuestos!$I$58+75_Bonos_AFJ!$G$31)+01_Supuestos!$I$59*(01_Supuestos!$I$60+75_Bonos_AFJ!$G$32),IF(N$39=4,IF($C$25="Verificado",01_Supuestos!$I$85*01_Supuestos!$I$86+01_Supuestos!$I$87*01_Supuestos!$I$63+01_Supuestos!$I$88*(01_Supuestos!$I$89+75_Bonos_AFJ!$G$36),01_Supuestos!$I$61*01_Supuestos!$I$63),0))))/1000000000000</f>
        <v>0</v>
      </c>
      <c r="O45" s="116" t="n">
        <f aca="false">IF(O$39=1,01_Supuestos!$I$55*(01_Supuestos!$I$56+75_Bonos_AFJ!$G$30),IF(O$39=2,01_Supuestos!$I$65*(307000*240+75_Bonos_AFJ!$G$33),IF(O$39=3,01_Supuestos!$I$57*(01_Supuestos!$I$58+75_Bonos_AFJ!$G$31)+01_Supuestos!$I$59*(01_Supuestos!$I$60+75_Bonos_AFJ!$G$32),IF(O$39=4,IF($C$25="Verificado",01_Supuestos!$I$85*01_Supuestos!$I$86+01_Supuestos!$I$87*01_Supuestos!$I$63+01_Supuestos!$I$88*(01_Supuestos!$I$89+75_Bonos_AFJ!$G$36),01_Supuestos!$I$61*01_Supuestos!$I$63),0))))/1000000000000</f>
        <v>0</v>
      </c>
      <c r="P45" s="116" t="n">
        <f aca="false">IF(P$39=1,01_Supuestos!$I$55*(01_Supuestos!$I$56+75_Bonos_AFJ!$G$30),IF(P$39=2,01_Supuestos!$I$65*(307000*240+75_Bonos_AFJ!$G$33),IF(P$39=3,01_Supuestos!$I$57*(01_Supuestos!$I$58+75_Bonos_AFJ!$G$31)+01_Supuestos!$I$59*(01_Supuestos!$I$60+75_Bonos_AFJ!$G$32),IF(P$39=4,IF($C$25="Verificado",01_Supuestos!$I$85*01_Supuestos!$I$86+01_Supuestos!$I$87*01_Supuestos!$I$63+01_Supuestos!$I$88*(01_Supuestos!$I$89+75_Bonos_AFJ!$G$36),01_Supuestos!$I$61*01_Supuestos!$I$63),0))))/1000000000000</f>
        <v>0</v>
      </c>
      <c r="Q45" s="116" t="n">
        <f aca="false">IF(Q$39=1,01_Supuestos!$I$55*(01_Supuestos!$I$56+75_Bonos_AFJ!$G$30),IF(Q$39=2,01_Supuestos!$I$65*(307000*240+75_Bonos_AFJ!$G$33),IF(Q$39=3,01_Supuestos!$I$57*(01_Supuestos!$I$58+75_Bonos_AFJ!$G$31)+01_Supuestos!$I$59*(01_Supuestos!$I$60+75_Bonos_AFJ!$G$32),IF(Q$39=4,IF($C$25="Verificado",01_Supuestos!$I$85*01_Supuestos!$I$86+01_Supuestos!$I$87*01_Supuestos!$I$63+01_Supuestos!$I$88*(01_Supuestos!$I$89+75_Bonos_AFJ!$G$36),01_Supuestos!$I$61*01_Supuestos!$I$63),0))))/1000000000000</f>
        <v>0</v>
      </c>
      <c r="R45" s="116" t="n">
        <f aca="false">IF(R$39=1,01_Supuestos!$I$55*(01_Supuestos!$I$56+75_Bonos_AFJ!$G$30),IF(R$39=2,01_Supuestos!$I$65*(307000*240+75_Bonos_AFJ!$G$33),IF(R$39=3,01_Supuestos!$I$57*(01_Supuestos!$I$58+75_Bonos_AFJ!$G$31)+01_Supuestos!$I$59*(01_Supuestos!$I$60+75_Bonos_AFJ!$G$32),IF(R$39=4,IF($C$25="Verificado",01_Supuestos!$I$85*01_Supuestos!$I$86+01_Supuestos!$I$87*01_Supuestos!$I$63+01_Supuestos!$I$88*(01_Supuestos!$I$89+75_Bonos_AFJ!$G$36),01_Supuestos!$I$61*01_Supuestos!$I$63),0))))/1000000000000</f>
        <v>0</v>
      </c>
      <c r="S45" s="116" t="n">
        <f aca="false">IF(S$39=1,01_Supuestos!$I$55*(01_Supuestos!$I$56+75_Bonos_AFJ!$G$30),IF(S$39=2,01_Supuestos!$I$65*(307000*240+75_Bonos_AFJ!$G$33),IF(S$39=3,01_Supuestos!$I$57*(01_Supuestos!$I$58+75_Bonos_AFJ!$G$31)+01_Supuestos!$I$59*(01_Supuestos!$I$60+75_Bonos_AFJ!$G$32),IF(S$39=4,IF($C$25="Verificado",01_Supuestos!$I$85*01_Supuestos!$I$86+01_Supuestos!$I$87*01_Supuestos!$I$63+01_Supuestos!$I$88*(01_Supuestos!$I$89+75_Bonos_AFJ!$G$36),01_Supuestos!$I$61*01_Supuestos!$I$63),0))))/1000000000000</f>
        <v>0</v>
      </c>
      <c r="T45" s="116" t="n">
        <f aca="false">IF(T$39=1,01_Supuestos!$I$55*(01_Supuestos!$I$56+75_Bonos_AFJ!$G$30),IF(T$39=2,01_Supuestos!$I$65*(307000*240+75_Bonos_AFJ!$G$33),IF(T$39=3,01_Supuestos!$I$57*(01_Supuestos!$I$58+75_Bonos_AFJ!$G$31)+01_Supuestos!$I$59*(01_Supuestos!$I$60+75_Bonos_AFJ!$G$32),IF(T$39=4,IF($C$25="Verificado",01_Supuestos!$I$85*01_Supuestos!$I$86+01_Supuestos!$I$87*01_Supuestos!$I$63+01_Supuestos!$I$88*(01_Supuestos!$I$89+75_Bonos_AFJ!$G$36),01_Supuestos!$I$61*01_Supuestos!$I$63),0))))/1000000000000</f>
        <v>0</v>
      </c>
      <c r="U45" s="116" t="n">
        <f aca="false">IF(U$39=1,01_Supuestos!$I$55*(01_Supuestos!$I$56+75_Bonos_AFJ!$G$30),IF(U$39=2,01_Supuestos!$I$65*(307000*240+75_Bonos_AFJ!$G$33),IF(U$39=3,01_Supuestos!$I$57*(01_Supuestos!$I$58+75_Bonos_AFJ!$G$31)+01_Supuestos!$I$59*(01_Supuestos!$I$60+75_Bonos_AFJ!$G$32),IF(U$39=4,IF($C$25="Verificado",01_Supuestos!$I$85*01_Supuestos!$I$86+01_Supuestos!$I$87*01_Supuestos!$I$63+01_Supuestos!$I$88*(01_Supuestos!$I$89+75_Bonos_AFJ!$G$36),01_Supuestos!$I$61*01_Supuestos!$I$63),0))))/1000000000000</f>
        <v>0</v>
      </c>
      <c r="V45" s="116" t="n">
        <f aca="false">IF(V$39=1,01_Supuestos!$I$55*(01_Supuestos!$I$56+75_Bonos_AFJ!$G$30),IF(V$39=2,01_Supuestos!$I$65*(307000*240+75_Bonos_AFJ!$G$33),IF(V$39=3,01_Supuestos!$I$57*(01_Supuestos!$I$58+75_Bonos_AFJ!$G$31)+01_Supuestos!$I$59*(01_Supuestos!$I$60+75_Bonos_AFJ!$G$32),IF(V$39=4,IF($C$25="Verificado",01_Supuestos!$I$85*01_Supuestos!$I$86+01_Supuestos!$I$87*01_Supuestos!$I$63+01_Supuestos!$I$88*(01_Supuestos!$I$89+75_Bonos_AFJ!$G$36),01_Supuestos!$I$61*01_Supuestos!$I$63),0))))/1000000000000</f>
        <v>0</v>
      </c>
      <c r="W45" s="116" t="n">
        <f aca="false">IF(W$39=1,01_Supuestos!$I$55*(01_Supuestos!$I$56+75_Bonos_AFJ!$G$30),IF(W$39=2,01_Supuestos!$I$65*(307000*240+75_Bonos_AFJ!$G$33),IF(W$39=3,01_Supuestos!$I$57*(01_Supuestos!$I$58+75_Bonos_AFJ!$G$31)+01_Supuestos!$I$59*(01_Supuestos!$I$60+75_Bonos_AFJ!$G$32),IF(W$39=4,IF($C$25="Verificado",01_Supuestos!$I$85*01_Supuestos!$I$86+01_Supuestos!$I$87*01_Supuestos!$I$63+01_Supuestos!$I$88*(01_Supuestos!$I$89+75_Bonos_AFJ!$G$36),01_Supuestos!$I$61*01_Supuestos!$I$63),0))))/1000000000000</f>
        <v>0</v>
      </c>
      <c r="X45" s="116" t="n">
        <f aca="false">IF(X$39=1,01_Supuestos!$I$55*(01_Supuestos!$I$56+75_Bonos_AFJ!$G$30),IF(X$39=2,01_Supuestos!$I$65*(307000*240+75_Bonos_AFJ!$G$33),IF(X$39=3,01_Supuestos!$I$57*(01_Supuestos!$I$58+75_Bonos_AFJ!$G$31)+01_Supuestos!$I$59*(01_Supuestos!$I$60+75_Bonos_AFJ!$G$32),IF(X$39=4,IF($C$25="Verificado",01_Supuestos!$I$85*01_Supuestos!$I$86+01_Supuestos!$I$87*01_Supuestos!$I$63+01_Supuestos!$I$88*(01_Supuestos!$I$89+75_Bonos_AFJ!$G$36),01_Supuestos!$I$61*01_Supuestos!$I$63),0))))/1000000000000</f>
        <v>0</v>
      </c>
      <c r="Y45" s="116" t="n">
        <f aca="false">IF(Y$39=1,01_Supuestos!$I$55*(01_Supuestos!$I$56+75_Bonos_AFJ!$G$30),IF(Y$39=2,01_Supuestos!$I$65*(307000*240+75_Bonos_AFJ!$G$33),IF(Y$39=3,01_Supuestos!$I$57*(01_Supuestos!$I$58+75_Bonos_AFJ!$G$31)+01_Supuestos!$I$59*(01_Supuestos!$I$60+75_Bonos_AFJ!$G$32),IF(Y$39=4,IF($C$25="Verificado",01_Supuestos!$I$85*01_Supuestos!$I$86+01_Supuestos!$I$87*01_Supuestos!$I$63+01_Supuestos!$I$88*(01_Supuestos!$I$89+75_Bonos_AFJ!$G$36),01_Supuestos!$I$61*01_Supuestos!$I$63),0))))/1000000000000</f>
        <v>0</v>
      </c>
      <c r="Z45" s="116" t="n">
        <f aca="false">IF(Z$39=1,01_Supuestos!$I$55*(01_Supuestos!$I$56+75_Bonos_AFJ!$G$30),IF(Z$39=2,01_Supuestos!$I$65*(307000*240+75_Bonos_AFJ!$G$33),IF(Z$39=3,01_Supuestos!$I$57*(01_Supuestos!$I$58+75_Bonos_AFJ!$G$31)+01_Supuestos!$I$59*(01_Supuestos!$I$60+75_Bonos_AFJ!$G$32),IF(Z$39=4,IF($C$25="Verificado",01_Supuestos!$I$85*01_Supuestos!$I$86+01_Supuestos!$I$87*01_Supuestos!$I$63+01_Supuestos!$I$88*(01_Supuestos!$I$89+75_Bonos_AFJ!$G$36),01_Supuestos!$I$61*01_Supuestos!$I$63),0))))/1000000000000</f>
        <v>0</v>
      </c>
      <c r="AA45" s="116" t="n">
        <f aca="false">IF(AA$39=1,01_Supuestos!$I$55*(01_Supuestos!$I$56+75_Bonos_AFJ!$G$30),IF(AA$39=2,01_Supuestos!$I$65*(307000*240+75_Bonos_AFJ!$G$33),IF(AA$39=3,01_Supuestos!$I$57*(01_Supuestos!$I$58+75_Bonos_AFJ!$G$31)+01_Supuestos!$I$59*(01_Supuestos!$I$60+75_Bonos_AFJ!$G$32),IF(AA$39=4,IF($C$25="Verificado",01_Supuestos!$I$85*01_Supuestos!$I$86+01_Supuestos!$I$87*01_Supuestos!$I$63+01_Supuestos!$I$88*(01_Supuestos!$I$89+75_Bonos_AFJ!$G$36),01_Supuestos!$I$61*01_Supuestos!$I$63),0))))/1000000000000</f>
        <v>0</v>
      </c>
      <c r="AB45" s="116" t="n">
        <f aca="false">IF(AB$39=1,01_Supuestos!$I$55*(01_Supuestos!$I$56+75_Bonos_AFJ!$G$30),IF(AB$39=2,01_Supuestos!$I$65*(307000*240+75_Bonos_AFJ!$G$33),IF(AB$39=3,01_Supuestos!$I$57*(01_Supuestos!$I$58+75_Bonos_AFJ!$G$31)+01_Supuestos!$I$59*(01_Supuestos!$I$60+75_Bonos_AFJ!$G$32),IF(AB$39=4,IF($C$25="Verificado",01_Supuestos!$I$85*01_Supuestos!$I$86+01_Supuestos!$I$87*01_Supuestos!$I$63+01_Supuestos!$I$88*(01_Supuestos!$I$89+75_Bonos_AFJ!$G$36),01_Supuestos!$I$61*01_Supuestos!$I$63),0))))/1000000000000</f>
        <v>0</v>
      </c>
      <c r="AC45" s="116" t="n">
        <f aca="false">IF(AC$39=1,01_Supuestos!$I$55*(01_Supuestos!$I$56+75_Bonos_AFJ!$G$30),IF(AC$39=2,01_Supuestos!$I$65*(307000*240+75_Bonos_AFJ!$G$33),IF(AC$39=3,01_Supuestos!$I$57*(01_Supuestos!$I$58+75_Bonos_AFJ!$G$31)+01_Supuestos!$I$59*(01_Supuestos!$I$60+75_Bonos_AFJ!$G$32),IF(AC$39=4,IF($C$25="Verificado",01_Supuestos!$I$85*01_Supuestos!$I$86+01_Supuestos!$I$87*01_Supuestos!$I$63+01_Supuestos!$I$88*(01_Supuestos!$I$89+75_Bonos_AFJ!$G$36),01_Supuestos!$I$61*01_Supuestos!$I$63),0))))/1000000000000</f>
        <v>0</v>
      </c>
      <c r="AD45" s="116" t="n">
        <f aca="false">IF(AD$39=1,01_Supuestos!$I$55*(01_Supuestos!$I$56+75_Bonos_AFJ!$G$30),IF(AD$39=2,01_Supuestos!$I$65*(307000*240+75_Bonos_AFJ!$G$33),IF(AD$39=3,01_Supuestos!$I$57*(01_Supuestos!$I$58+75_Bonos_AFJ!$G$31)+01_Supuestos!$I$59*(01_Supuestos!$I$60+75_Bonos_AFJ!$G$32),IF(AD$39=4,IF($C$25="Verificado",01_Supuestos!$I$85*01_Supuestos!$I$86+01_Supuestos!$I$87*01_Supuestos!$I$63+01_Supuestos!$I$88*(01_Supuestos!$I$89+75_Bonos_AFJ!$G$36),01_Supuestos!$I$61*01_Supuestos!$I$63),0))))/1000000000000</f>
        <v>0</v>
      </c>
      <c r="AE45" s="116" t="n">
        <f aca="false">IF(AE$39=1,01_Supuestos!$I$55*(01_Supuestos!$I$56+75_Bonos_AFJ!$G$30),IF(AE$39=2,01_Supuestos!$I$65*(307000*240+75_Bonos_AFJ!$G$33),IF(AE$39=3,01_Supuestos!$I$57*(01_Supuestos!$I$58+75_Bonos_AFJ!$G$31)+01_Supuestos!$I$59*(01_Supuestos!$I$60+75_Bonos_AFJ!$G$32),IF(AE$39=4,IF($C$25="Verificado",01_Supuestos!$I$85*01_Supuestos!$I$86+01_Supuestos!$I$87*01_Supuestos!$I$63+01_Supuestos!$I$88*(01_Supuestos!$I$89+75_Bonos_AFJ!$G$36),01_Supuestos!$I$61*01_Supuestos!$I$63),0))))/1000000000000</f>
        <v>0</v>
      </c>
      <c r="AF45" s="116" t="n">
        <f aca="false">IF(AF$39=1,01_Supuestos!$I$55*(01_Supuestos!$I$56+75_Bonos_AFJ!$G$30),IF(AF$39=2,01_Supuestos!$I$65*(307000*240+75_Bonos_AFJ!$G$33),IF(AF$39=3,01_Supuestos!$I$57*(01_Supuestos!$I$58+75_Bonos_AFJ!$G$31)+01_Supuestos!$I$59*(01_Supuestos!$I$60+75_Bonos_AFJ!$G$32),IF(AF$39=4,IF($C$25="Verificado",01_Supuestos!$I$85*01_Supuestos!$I$86+01_Supuestos!$I$87*01_Supuestos!$I$63+01_Supuestos!$I$88*(01_Supuestos!$I$89+75_Bonos_AFJ!$G$36),01_Supuestos!$I$61*01_Supuestos!$I$63),0))))/1000000000000</f>
        <v>0</v>
      </c>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row>
    <row r="46" customFormat="false" ht="15" hidden="false" customHeight="true" outlineLevel="0" collapsed="false">
      <c r="B46" s="134" t="s">
        <v>1060</v>
      </c>
      <c r="C46" s="116" t="n">
        <f aca="false">IF(C$39=4,IF($C$25="Verificado",(01_Supuestos!$I$87*01_Supuestos!$I$64+01_Supuestos!$I$88*$C$26)/1000000000000,01_Supuestos!$I$67),0)</f>
        <v>0</v>
      </c>
      <c r="D46" s="116" t="n">
        <f aca="false">IF(D$39=4,IF($C$25="Verificado",(01_Supuestos!$I$87*01_Supuestos!$I$64+01_Supuestos!$I$88*$C$26)/1000000000000,01_Supuestos!$I$67),0)</f>
        <v>0</v>
      </c>
      <c r="E46" s="116" t="n">
        <f aca="false">IF(E$39=4,IF($C$25="Verificado",(01_Supuestos!$I$87*01_Supuestos!$I$64+01_Supuestos!$I$88*$C$26)/1000000000000,01_Supuestos!$I$67),0)</f>
        <v>0</v>
      </c>
      <c r="F46" s="116" t="n">
        <f aca="false">IF(F$39=4,IF($C$25="Verificado",(01_Supuestos!$I$87*01_Supuestos!$I$64+01_Supuestos!$I$88*$C$26)/1000000000000,01_Supuestos!$I$67),0)</f>
        <v>45.640408</v>
      </c>
      <c r="G46" s="116" t="n">
        <f aca="false">IF(G$39=4,IF($C$25="Verificado",(01_Supuestos!$I$87*01_Supuestos!$I$64+01_Supuestos!$I$88*$C$26)/1000000000000,01_Supuestos!$I$67),0)</f>
        <v>0</v>
      </c>
      <c r="H46" s="116" t="n">
        <f aca="false">IF(H$39=4,IF($C$25="Verificado",(01_Supuestos!$I$87*01_Supuestos!$I$64+01_Supuestos!$I$88*$C$26)/1000000000000,01_Supuestos!$I$67),0)</f>
        <v>0</v>
      </c>
      <c r="I46" s="116" t="n">
        <f aca="false">IF(I$39=4,IF($C$25="Verificado",(01_Supuestos!$I$87*01_Supuestos!$I$64+01_Supuestos!$I$88*$C$26)/1000000000000,01_Supuestos!$I$67),0)</f>
        <v>0</v>
      </c>
      <c r="J46" s="116" t="n">
        <f aca="false">IF(J$39=4,IF($C$25="Verificado",(01_Supuestos!$I$87*01_Supuestos!$I$64+01_Supuestos!$I$88*$C$26)/1000000000000,01_Supuestos!$I$67),0)</f>
        <v>0</v>
      </c>
      <c r="K46" s="116" t="n">
        <f aca="false">IF(K$39=4,IF($C$25="Verificado",(01_Supuestos!$I$87*01_Supuestos!$I$64+01_Supuestos!$I$88*$C$26)/1000000000000,01_Supuestos!$I$67),0)</f>
        <v>0</v>
      </c>
      <c r="L46" s="116" t="n">
        <f aca="false">IF(L$39=4,IF($C$25="Verificado",(01_Supuestos!$I$87*01_Supuestos!$I$64+01_Supuestos!$I$88*$C$26)/1000000000000,01_Supuestos!$I$67),0)</f>
        <v>0</v>
      </c>
      <c r="M46" s="116" t="n">
        <f aca="false">IF(M$39=4,IF($C$25="Verificado",(01_Supuestos!$I$87*01_Supuestos!$I$64+01_Supuestos!$I$88*$C$26)/1000000000000,01_Supuestos!$I$67),0)</f>
        <v>0</v>
      </c>
      <c r="N46" s="116" t="n">
        <f aca="false">IF(N$39=4,IF($C$25="Verificado",(01_Supuestos!$I$87*01_Supuestos!$I$64+01_Supuestos!$I$88*$C$26)/1000000000000,01_Supuestos!$I$67),0)</f>
        <v>0</v>
      </c>
      <c r="O46" s="116" t="n">
        <f aca="false">IF(O$39=4,IF($C$25="Verificado",(01_Supuestos!$I$87*01_Supuestos!$I$64+01_Supuestos!$I$88*$C$26)/1000000000000,01_Supuestos!$I$67),0)</f>
        <v>0</v>
      </c>
      <c r="P46" s="116" t="n">
        <f aca="false">IF(P$39=4,IF($C$25="Verificado",(01_Supuestos!$I$87*01_Supuestos!$I$64+01_Supuestos!$I$88*$C$26)/1000000000000,01_Supuestos!$I$67),0)</f>
        <v>0</v>
      </c>
      <c r="Q46" s="116" t="n">
        <f aca="false">IF(Q$39=4,IF($C$25="Verificado",(01_Supuestos!$I$87*01_Supuestos!$I$64+01_Supuestos!$I$88*$C$26)/1000000000000,01_Supuestos!$I$67),0)</f>
        <v>0</v>
      </c>
      <c r="R46" s="116" t="n">
        <f aca="false">IF(R$39=4,IF($C$25="Verificado",(01_Supuestos!$I$87*01_Supuestos!$I$64+01_Supuestos!$I$88*$C$26)/1000000000000,01_Supuestos!$I$67),0)</f>
        <v>0</v>
      </c>
      <c r="S46" s="116" t="n">
        <f aca="false">IF(S$39=4,IF($C$25="Verificado",(01_Supuestos!$I$87*01_Supuestos!$I$64+01_Supuestos!$I$88*$C$26)/1000000000000,01_Supuestos!$I$67),0)</f>
        <v>0</v>
      </c>
      <c r="T46" s="116" t="n">
        <f aca="false">IF(T$39=4,IF($C$25="Verificado",(01_Supuestos!$I$87*01_Supuestos!$I$64+01_Supuestos!$I$88*$C$26)/1000000000000,01_Supuestos!$I$67),0)</f>
        <v>0</v>
      </c>
      <c r="U46" s="116" t="n">
        <f aca="false">IF(U$39=4,IF($C$25="Verificado",(01_Supuestos!$I$87*01_Supuestos!$I$64+01_Supuestos!$I$88*$C$26)/1000000000000,01_Supuestos!$I$67),0)</f>
        <v>0</v>
      </c>
      <c r="V46" s="116" t="n">
        <f aca="false">IF(V$39=4,IF($C$25="Verificado",(01_Supuestos!$I$87*01_Supuestos!$I$64+01_Supuestos!$I$88*$C$26)/1000000000000,01_Supuestos!$I$67),0)</f>
        <v>0</v>
      </c>
      <c r="W46" s="116" t="n">
        <f aca="false">IF(W$39=4,IF($C$25="Verificado",(01_Supuestos!$I$87*01_Supuestos!$I$64+01_Supuestos!$I$88*$C$26)/1000000000000,01_Supuestos!$I$67),0)</f>
        <v>0</v>
      </c>
      <c r="X46" s="116" t="n">
        <f aca="false">IF(X$39=4,IF($C$25="Verificado",(01_Supuestos!$I$87*01_Supuestos!$I$64+01_Supuestos!$I$88*$C$26)/1000000000000,01_Supuestos!$I$67),0)</f>
        <v>0</v>
      </c>
      <c r="Y46" s="116" t="n">
        <f aca="false">IF(Y$39=4,IF($C$25="Verificado",(01_Supuestos!$I$87*01_Supuestos!$I$64+01_Supuestos!$I$88*$C$26)/1000000000000,01_Supuestos!$I$67),0)</f>
        <v>0</v>
      </c>
      <c r="Z46" s="116" t="n">
        <f aca="false">IF(Z$39=4,IF($C$25="Verificado",(01_Supuestos!$I$87*01_Supuestos!$I$64+01_Supuestos!$I$88*$C$26)/1000000000000,01_Supuestos!$I$67),0)</f>
        <v>0</v>
      </c>
      <c r="AA46" s="116" t="n">
        <f aca="false">IF(AA$39=4,IF($C$25="Verificado",(01_Supuestos!$I$87*01_Supuestos!$I$64+01_Supuestos!$I$88*$C$26)/1000000000000,01_Supuestos!$I$67),0)</f>
        <v>0</v>
      </c>
      <c r="AB46" s="116" t="n">
        <f aca="false">IF(AB$39=4,IF($C$25="Verificado",(01_Supuestos!$I$87*01_Supuestos!$I$64+01_Supuestos!$I$88*$C$26)/1000000000000,01_Supuestos!$I$67),0)</f>
        <v>0</v>
      </c>
      <c r="AC46" s="116" t="n">
        <f aca="false">IF(AC$39=4,IF($C$25="Verificado",(01_Supuestos!$I$87*01_Supuestos!$I$64+01_Supuestos!$I$88*$C$26)/1000000000000,01_Supuestos!$I$67),0)</f>
        <v>0</v>
      </c>
      <c r="AD46" s="116" t="n">
        <f aca="false">IF(AD$39=4,IF($C$25="Verificado",(01_Supuestos!$I$87*01_Supuestos!$I$64+01_Supuestos!$I$88*$C$26)/1000000000000,01_Supuestos!$I$67),0)</f>
        <v>0</v>
      </c>
      <c r="AE46" s="116" t="n">
        <f aca="false">IF(AE$39=4,IF($C$25="Verificado",(01_Supuestos!$I$87*01_Supuestos!$I$64+01_Supuestos!$I$88*$C$26)/1000000000000,01_Supuestos!$I$67),0)</f>
        <v>0</v>
      </c>
      <c r="AF46" s="116" t="n">
        <f aca="false">IF(AF$39=4,IF($C$25="Verificado",(01_Supuestos!$I$87*01_Supuestos!$I$64+01_Supuestos!$I$88*$C$26)/1000000000000,01_Supuestos!$I$67),0)</f>
        <v>0</v>
      </c>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row>
    <row r="47" customFormat="false" ht="15" hidden="false" customHeight="true" outlineLevel="0" collapsed="false">
      <c r="B47" s="135" t="s">
        <v>1061</v>
      </c>
      <c r="C47" s="116" t="n">
        <f aca="false">IF(C$39&gt;30,120000*((1+$C$27)^(C$39-30)-(1+$C$27)^(C$39-31))*01_Supuestos!$I$56*(1+$C$28)^(C$39-1)/1000000000000,0)</f>
        <v>0</v>
      </c>
      <c r="D47" s="116" t="n">
        <f aca="false">IF(D$39&gt;30,120000*((1+$C$27)^(D$39-30)-(1+$C$27)^(D$39-31))*01_Supuestos!$I$56*(1+$C$28)^(D$39-1)/1000000000000,0)</f>
        <v>0</v>
      </c>
      <c r="E47" s="116" t="n">
        <f aca="false">IF(E$39&gt;30,120000*((1+$C$27)^(E$39-30)-(1+$C$27)^(E$39-31))*01_Supuestos!$I$56*(1+$C$28)^(E$39-1)/1000000000000,0)</f>
        <v>0</v>
      </c>
      <c r="F47" s="116" t="n">
        <f aca="false">IF(F$39&gt;30,120000*((1+$C$27)^(F$39-30)-(1+$C$27)^(F$39-31))*01_Supuestos!$I$56*(1+$C$28)^(F$39-1)/1000000000000,0)</f>
        <v>0</v>
      </c>
      <c r="G47" s="116" t="n">
        <f aca="false">IF(G$39&gt;30,120000*((1+$C$27)^(G$39-30)-(1+$C$27)^(G$39-31))*01_Supuestos!$I$56*(1+$C$28)^(G$39-1)/1000000000000,0)</f>
        <v>0</v>
      </c>
      <c r="H47" s="116" t="n">
        <f aca="false">IF(H$39&gt;30,120000*((1+$C$27)^(H$39-30)-(1+$C$27)^(H$39-31))*01_Supuestos!$I$56*(1+$C$28)^(H$39-1)/1000000000000,0)</f>
        <v>0</v>
      </c>
      <c r="I47" s="116" t="n">
        <f aca="false">IF(I$39&gt;30,120000*((1+$C$27)^(I$39-30)-(1+$C$27)^(I$39-31))*01_Supuestos!$I$56*(1+$C$28)^(I$39-1)/1000000000000,0)</f>
        <v>0</v>
      </c>
      <c r="J47" s="116" t="n">
        <f aca="false">IF(J$39&gt;30,120000*((1+$C$27)^(J$39-30)-(1+$C$27)^(J$39-31))*01_Supuestos!$I$56*(1+$C$28)^(J$39-1)/1000000000000,0)</f>
        <v>0</v>
      </c>
      <c r="K47" s="116" t="n">
        <f aca="false">IF(K$39&gt;30,120000*((1+$C$27)^(K$39-30)-(1+$C$27)^(K$39-31))*01_Supuestos!$I$56*(1+$C$28)^(K$39-1)/1000000000000,0)</f>
        <v>0</v>
      </c>
      <c r="L47" s="116" t="n">
        <f aca="false">IF(L$39&gt;30,120000*((1+$C$27)^(L$39-30)-(1+$C$27)^(L$39-31))*01_Supuestos!$I$56*(1+$C$28)^(L$39-1)/1000000000000,0)</f>
        <v>0</v>
      </c>
      <c r="M47" s="116" t="n">
        <f aca="false">IF(M$39&gt;30,120000*((1+$C$27)^(M$39-30)-(1+$C$27)^(M$39-31))*01_Supuestos!$I$56*(1+$C$28)^(M$39-1)/1000000000000,0)</f>
        <v>0</v>
      </c>
      <c r="N47" s="116" t="n">
        <f aca="false">IF(N$39&gt;30,120000*((1+$C$27)^(N$39-30)-(1+$C$27)^(N$39-31))*01_Supuestos!$I$56*(1+$C$28)^(N$39-1)/1000000000000,0)</f>
        <v>0</v>
      </c>
      <c r="O47" s="116" t="n">
        <f aca="false">IF(O$39&gt;30,120000*((1+$C$27)^(O$39-30)-(1+$C$27)^(O$39-31))*01_Supuestos!$I$56*(1+$C$28)^(O$39-1)/1000000000000,0)</f>
        <v>0</v>
      </c>
      <c r="P47" s="116" t="n">
        <f aca="false">IF(P$39&gt;30,120000*((1+$C$27)^(P$39-30)-(1+$C$27)^(P$39-31))*01_Supuestos!$I$56*(1+$C$28)^(P$39-1)/1000000000000,0)</f>
        <v>0</v>
      </c>
      <c r="Q47" s="116" t="n">
        <f aca="false">IF(Q$39&gt;30,120000*((1+$C$27)^(Q$39-30)-(1+$C$27)^(Q$39-31))*01_Supuestos!$I$56*(1+$C$28)^(Q$39-1)/1000000000000,0)</f>
        <v>0</v>
      </c>
      <c r="R47" s="116" t="n">
        <f aca="false">IF(R$39&gt;30,120000*((1+$C$27)^(R$39-30)-(1+$C$27)^(R$39-31))*01_Supuestos!$I$56*(1+$C$28)^(R$39-1)/1000000000000,0)</f>
        <v>0</v>
      </c>
      <c r="S47" s="116" t="n">
        <f aca="false">IF(S$39&gt;30,120000*((1+$C$27)^(S$39-30)-(1+$C$27)^(S$39-31))*01_Supuestos!$I$56*(1+$C$28)^(S$39-1)/1000000000000,0)</f>
        <v>0</v>
      </c>
      <c r="T47" s="116" t="n">
        <f aca="false">IF(T$39&gt;30,120000*((1+$C$27)^(T$39-30)-(1+$C$27)^(T$39-31))*01_Supuestos!$I$56*(1+$C$28)^(T$39-1)/1000000000000,0)</f>
        <v>0</v>
      </c>
      <c r="U47" s="116" t="n">
        <f aca="false">IF(U$39&gt;30,120000*((1+$C$27)^(U$39-30)-(1+$C$27)^(U$39-31))*01_Supuestos!$I$56*(1+$C$28)^(U$39-1)/1000000000000,0)</f>
        <v>0</v>
      </c>
      <c r="V47" s="116" t="n">
        <f aca="false">IF(V$39&gt;30,120000*((1+$C$27)^(V$39-30)-(1+$C$27)^(V$39-31))*01_Supuestos!$I$56*(1+$C$28)^(V$39-1)/1000000000000,0)</f>
        <v>0</v>
      </c>
      <c r="W47" s="116" t="n">
        <f aca="false">IF(W$39&gt;30,120000*((1+$C$27)^(W$39-30)-(1+$C$27)^(W$39-31))*01_Supuestos!$I$56*(1+$C$28)^(W$39-1)/1000000000000,0)</f>
        <v>0</v>
      </c>
      <c r="X47" s="116" t="n">
        <f aca="false">IF(X$39&gt;30,120000*((1+$C$27)^(X$39-30)-(1+$C$27)^(X$39-31))*01_Supuestos!$I$56*(1+$C$28)^(X$39-1)/1000000000000,0)</f>
        <v>0</v>
      </c>
      <c r="Y47" s="116" t="n">
        <f aca="false">IF(Y$39&gt;30,120000*((1+$C$27)^(Y$39-30)-(1+$C$27)^(Y$39-31))*01_Supuestos!$I$56*(1+$C$28)^(Y$39-1)/1000000000000,0)</f>
        <v>0</v>
      </c>
      <c r="Z47" s="116" t="n">
        <f aca="false">IF(Z$39&gt;30,120000*((1+$C$27)^(Z$39-30)-(1+$C$27)^(Z$39-31))*01_Supuestos!$I$56*(1+$C$28)^(Z$39-1)/1000000000000,0)</f>
        <v>0</v>
      </c>
      <c r="AA47" s="116" t="n">
        <f aca="false">IF(AA$39&gt;30,120000*((1+$C$27)^(AA$39-30)-(1+$C$27)^(AA$39-31))*01_Supuestos!$I$56*(1+$C$28)^(AA$39-1)/1000000000000,0)</f>
        <v>0</v>
      </c>
      <c r="AB47" s="116" t="n">
        <f aca="false">IF(AB$39&gt;30,120000*((1+$C$27)^(AB$39-30)-(1+$C$27)^(AB$39-31))*01_Supuestos!$I$56*(1+$C$28)^(AB$39-1)/1000000000000,0)</f>
        <v>0</v>
      </c>
      <c r="AC47" s="116" t="n">
        <f aca="false">IF(AC$39&gt;30,120000*((1+$C$27)^(AC$39-30)-(1+$C$27)^(AC$39-31))*01_Supuestos!$I$56*(1+$C$28)^(AC$39-1)/1000000000000,0)</f>
        <v>0</v>
      </c>
      <c r="AD47" s="116" t="n">
        <f aca="false">IF(AD$39&gt;30,120000*((1+$C$27)^(AD$39-30)-(1+$C$27)^(AD$39-31))*01_Supuestos!$I$56*(1+$C$28)^(AD$39-1)/1000000000000,0)</f>
        <v>0</v>
      </c>
      <c r="AE47" s="116" t="n">
        <f aca="false">IF(AE$39&gt;30,120000*((1+$C$27)^(AE$39-30)-(1+$C$27)^(AE$39-31))*01_Supuestos!$I$56*(1+$C$28)^(AE$39-1)/1000000000000,0)</f>
        <v>0</v>
      </c>
      <c r="AF47" s="116" t="n">
        <f aca="false">IF(AF$39&gt;30,120000*((1+$C$27)^(AF$39-30)-(1+$C$27)^(AF$39-31))*01_Supuestos!$I$56*(1+$C$28)^(AF$39-1)/1000000000000,0)</f>
        <v>0</v>
      </c>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row>
    <row r="48" customFormat="false" ht="15" hidden="false" customHeight="true" outlineLevel="0" collapsed="false">
      <c r="B48" s="134" t="s">
        <v>1062</v>
      </c>
      <c r="C48" s="116" t="n">
        <f aca="false">SUMPRODUCT(($C$39:$BT$39&gt;=C$39-$C$29+1)*($C$39:$BT$39&lt;=C$39)*($C$45:$BT$45))/$C$29+C47</f>
        <v>11.440447555496</v>
      </c>
      <c r="D48" s="116" t="n">
        <f aca="false">SUMPRODUCT(($C$39:$BT$39&gt;=D$39-$C$29+1)*($C$39:$BT$39&lt;=D$39)*($C$45:$BT$45))/$C$29+D47</f>
        <v>18.433684727896</v>
      </c>
      <c r="E48" s="116" t="n">
        <f aca="false">SUMPRODUCT(($C$39:$BT$39&gt;=E$39-$C$29+1)*($C$39:$BT$39&lt;=E$39)*($C$45:$BT$45))/$C$29+E47</f>
        <v>24.380839607896</v>
      </c>
      <c r="F48" s="116" t="n">
        <f aca="false">SUMPRODUCT(($C$39:$BT$39&gt;=F$39-$C$29+1)*($C$39:$BT$39&lt;=F$39)*($C$45:$BT$45))/$C$29+F47</f>
        <v>40.7905342941664</v>
      </c>
      <c r="G48" s="116" t="n">
        <f aca="false">SUMPRODUCT(($C$39:$BT$39&gt;=G$39-$C$29+1)*($C$39:$BT$39&lt;=G$39)*($C$45:$BT$45))/$C$29+G47</f>
        <v>40.7905342941664</v>
      </c>
      <c r="H48" s="116" t="n">
        <f aca="false">SUMPRODUCT(($C$39:$BT$39&gt;=H$39-$C$29+1)*($C$39:$BT$39&lt;=H$39)*($C$45:$BT$45))/$C$29+H47</f>
        <v>29.3500867386704</v>
      </c>
      <c r="I48" s="116" t="n">
        <f aca="false">SUMPRODUCT(($C$39:$BT$39&gt;=I$39-$C$29+1)*($C$39:$BT$39&lt;=I$39)*($C$45:$BT$45))/$C$29+I47</f>
        <v>22.3568495662704</v>
      </c>
      <c r="J48" s="116" t="n">
        <f aca="false">SUMPRODUCT(($C$39:$BT$39&gt;=J$39-$C$29+1)*($C$39:$BT$39&lt;=J$39)*($C$45:$BT$45))/$C$29+J47</f>
        <v>16.4096946862704</v>
      </c>
      <c r="K48" s="116" t="n">
        <f aca="false">SUMPRODUCT(($C$39:$BT$39&gt;=K$39-$C$29+1)*($C$39:$BT$39&lt;=K$39)*($C$45:$BT$45))/$C$29+K47</f>
        <v>0</v>
      </c>
      <c r="L48" s="116" t="n">
        <f aca="false">SUMPRODUCT(($C$39:$BT$39&gt;=L$39-$C$29+1)*($C$39:$BT$39&lt;=L$39)*($C$45:$BT$45))/$C$29+L47</f>
        <v>0</v>
      </c>
      <c r="M48" s="116" t="n">
        <f aca="false">SUMPRODUCT(($C$39:$BT$39&gt;=M$39-$C$29+1)*($C$39:$BT$39&lt;=M$39)*($C$45:$BT$45))/$C$29+M47</f>
        <v>0</v>
      </c>
      <c r="N48" s="116" t="n">
        <f aca="false">SUMPRODUCT(($C$39:$BT$39&gt;=N$39-$C$29+1)*($C$39:$BT$39&lt;=N$39)*($C$45:$BT$45))/$C$29+N47</f>
        <v>0</v>
      </c>
      <c r="O48" s="116" t="n">
        <f aca="false">SUMPRODUCT(($C$39:$BT$39&gt;=O$39-$C$29+1)*($C$39:$BT$39&lt;=O$39)*($C$45:$BT$45))/$C$29+O47</f>
        <v>0</v>
      </c>
      <c r="P48" s="116" t="n">
        <f aca="false">SUMPRODUCT(($C$39:$BT$39&gt;=P$39-$C$29+1)*($C$39:$BT$39&lt;=P$39)*($C$45:$BT$45))/$C$29+P47</f>
        <v>0</v>
      </c>
      <c r="Q48" s="116" t="n">
        <f aca="false">SUMPRODUCT(($C$39:$BT$39&gt;=Q$39-$C$29+1)*($C$39:$BT$39&lt;=Q$39)*($C$45:$BT$45))/$C$29+Q47</f>
        <v>0</v>
      </c>
      <c r="R48" s="116" t="n">
        <f aca="false">SUMPRODUCT(($C$39:$BT$39&gt;=R$39-$C$29+1)*($C$39:$BT$39&lt;=R$39)*($C$45:$BT$45))/$C$29+R47</f>
        <v>0</v>
      </c>
      <c r="S48" s="116" t="n">
        <f aca="false">SUMPRODUCT(($C$39:$BT$39&gt;=S$39-$C$29+1)*($C$39:$BT$39&lt;=S$39)*($C$45:$BT$45))/$C$29+S47</f>
        <v>0</v>
      </c>
      <c r="T48" s="116" t="n">
        <f aca="false">SUMPRODUCT(($C$39:$BT$39&gt;=T$39-$C$29+1)*($C$39:$BT$39&lt;=T$39)*($C$45:$BT$45))/$C$29+T47</f>
        <v>0</v>
      </c>
      <c r="U48" s="116" t="n">
        <f aca="false">SUMPRODUCT(($C$39:$BT$39&gt;=U$39-$C$29+1)*($C$39:$BT$39&lt;=U$39)*($C$45:$BT$45))/$C$29+U47</f>
        <v>0</v>
      </c>
      <c r="V48" s="116" t="n">
        <f aca="false">SUMPRODUCT(($C$39:$BT$39&gt;=V$39-$C$29+1)*($C$39:$BT$39&lt;=V$39)*($C$45:$BT$45))/$C$29+V47</f>
        <v>0</v>
      </c>
      <c r="W48" s="116" t="n">
        <f aca="false">SUMPRODUCT(($C$39:$BT$39&gt;=W$39-$C$29+1)*($C$39:$BT$39&lt;=W$39)*($C$45:$BT$45))/$C$29+W47</f>
        <v>0</v>
      </c>
      <c r="X48" s="116" t="n">
        <f aca="false">SUMPRODUCT(($C$39:$BT$39&gt;=X$39-$C$29+1)*($C$39:$BT$39&lt;=X$39)*($C$45:$BT$45))/$C$29+X47</f>
        <v>0</v>
      </c>
      <c r="Y48" s="116" t="n">
        <f aca="false">SUMPRODUCT(($C$39:$BT$39&gt;=Y$39-$C$29+1)*($C$39:$BT$39&lt;=Y$39)*($C$45:$BT$45))/$C$29+Y47</f>
        <v>0</v>
      </c>
      <c r="Z48" s="116" t="n">
        <f aca="false">SUMPRODUCT(($C$39:$BT$39&gt;=Z$39-$C$29+1)*($C$39:$BT$39&lt;=Z$39)*($C$45:$BT$45))/$C$29+Z47</f>
        <v>0</v>
      </c>
      <c r="AA48" s="116" t="n">
        <f aca="false">SUMPRODUCT(($C$39:$BT$39&gt;=AA$39-$C$29+1)*($C$39:$BT$39&lt;=AA$39)*($C$45:$BT$45))/$C$29+AA47</f>
        <v>0</v>
      </c>
      <c r="AB48" s="116" t="n">
        <f aca="false">SUMPRODUCT(($C$39:$BT$39&gt;=AB$39-$C$29+1)*($C$39:$BT$39&lt;=AB$39)*($C$45:$BT$45))/$C$29+AB47</f>
        <v>0</v>
      </c>
      <c r="AC48" s="116" t="n">
        <f aca="false">SUMPRODUCT(($C$39:$BT$39&gt;=AC$39-$C$29+1)*($C$39:$BT$39&lt;=AC$39)*($C$45:$BT$45))/$C$29+AC47</f>
        <v>0</v>
      </c>
      <c r="AD48" s="116" t="n">
        <f aca="false">SUMPRODUCT(($C$39:$BT$39&gt;=AD$39-$C$29+1)*($C$39:$BT$39&lt;=AD$39)*($C$45:$BT$45))/$C$29+AD47</f>
        <v>0</v>
      </c>
      <c r="AE48" s="116" t="n">
        <f aca="false">SUMPRODUCT(($C$39:$BT$39&gt;=AE$39-$C$29+1)*($C$39:$BT$39&lt;=AE$39)*($C$45:$BT$45))/$C$29+AE47</f>
        <v>0</v>
      </c>
      <c r="AF48" s="116" t="n">
        <f aca="false">SUMPRODUCT(($C$39:$BT$39&gt;=AF$39-$C$29+1)*($C$39:$BT$39&lt;=AF$39)*($C$45:$BT$45))/$C$29+AF47</f>
        <v>0</v>
      </c>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row>
    <row r="49" customFormat="false" ht="15" hidden="false" customHeight="true" outlineLevel="0" collapsed="false">
      <c r="B49" s="134" t="s">
        <v>1063</v>
      </c>
      <c r="C49" s="116" t="n">
        <f aca="false">SUMPRODUCT(($C$39:$BT$39&gt;=C$39-$C$29+1)*($C$39:$BT$39&lt;=C$39)*($C$46:$BT$46))/$C$29</f>
        <v>0</v>
      </c>
      <c r="D49" s="116" t="n">
        <f aca="false">SUMPRODUCT(($C$39:$BT$39&gt;=D$39-$C$29+1)*($C$39:$BT$39&lt;=D$39)*($C$46:$BT$46))/$C$29</f>
        <v>0</v>
      </c>
      <c r="E49" s="116" t="n">
        <f aca="false">SUMPRODUCT(($C$39:$BT$39&gt;=E$39-$C$29+1)*($C$39:$BT$39&lt;=E$39)*($C$46:$BT$46))/$C$29</f>
        <v>0</v>
      </c>
      <c r="F49" s="116" t="n">
        <f aca="false">SUMPRODUCT(($C$39:$BT$39&gt;=F$39-$C$29+1)*($C$39:$BT$39&lt;=F$39)*($C$46:$BT$46))/$C$29</f>
        <v>9.1280816</v>
      </c>
      <c r="G49" s="116" t="n">
        <f aca="false">SUMPRODUCT(($C$39:$BT$39&gt;=G$39-$C$29+1)*($C$39:$BT$39&lt;=G$39)*($C$46:$BT$46))/$C$29</f>
        <v>9.1280816</v>
      </c>
      <c r="H49" s="116" t="n">
        <f aca="false">SUMPRODUCT(($C$39:$BT$39&gt;=H$39-$C$29+1)*($C$39:$BT$39&lt;=H$39)*($C$46:$BT$46))/$C$29</f>
        <v>9.1280816</v>
      </c>
      <c r="I49" s="116" t="n">
        <f aca="false">SUMPRODUCT(($C$39:$BT$39&gt;=I$39-$C$29+1)*($C$39:$BT$39&lt;=I$39)*($C$46:$BT$46))/$C$29</f>
        <v>9.1280816</v>
      </c>
      <c r="J49" s="116" t="n">
        <f aca="false">SUMPRODUCT(($C$39:$BT$39&gt;=J$39-$C$29+1)*($C$39:$BT$39&lt;=J$39)*($C$46:$BT$46))/$C$29</f>
        <v>9.1280816</v>
      </c>
      <c r="K49" s="116" t="n">
        <f aca="false">SUMPRODUCT(($C$39:$BT$39&gt;=K$39-$C$29+1)*($C$39:$BT$39&lt;=K$39)*($C$46:$BT$46))/$C$29</f>
        <v>0</v>
      </c>
      <c r="L49" s="116" t="n">
        <f aca="false">SUMPRODUCT(($C$39:$BT$39&gt;=L$39-$C$29+1)*($C$39:$BT$39&lt;=L$39)*($C$46:$BT$46))/$C$29</f>
        <v>0</v>
      </c>
      <c r="M49" s="116" t="n">
        <f aca="false">SUMPRODUCT(($C$39:$BT$39&gt;=M$39-$C$29+1)*($C$39:$BT$39&lt;=M$39)*($C$46:$BT$46))/$C$29</f>
        <v>0</v>
      </c>
      <c r="N49" s="116" t="n">
        <f aca="false">SUMPRODUCT(($C$39:$BT$39&gt;=N$39-$C$29+1)*($C$39:$BT$39&lt;=N$39)*($C$46:$BT$46))/$C$29</f>
        <v>0</v>
      </c>
      <c r="O49" s="116" t="n">
        <f aca="false">SUMPRODUCT(($C$39:$BT$39&gt;=O$39-$C$29+1)*($C$39:$BT$39&lt;=O$39)*($C$46:$BT$46))/$C$29</f>
        <v>0</v>
      </c>
      <c r="P49" s="116" t="n">
        <f aca="false">SUMPRODUCT(($C$39:$BT$39&gt;=P$39-$C$29+1)*($C$39:$BT$39&lt;=P$39)*($C$46:$BT$46))/$C$29</f>
        <v>0</v>
      </c>
      <c r="Q49" s="116" t="n">
        <f aca="false">SUMPRODUCT(($C$39:$BT$39&gt;=Q$39-$C$29+1)*($C$39:$BT$39&lt;=Q$39)*($C$46:$BT$46))/$C$29</f>
        <v>0</v>
      </c>
      <c r="R49" s="116" t="n">
        <f aca="false">SUMPRODUCT(($C$39:$BT$39&gt;=R$39-$C$29+1)*($C$39:$BT$39&lt;=R$39)*($C$46:$BT$46))/$C$29</f>
        <v>0</v>
      </c>
      <c r="S49" s="116" t="n">
        <f aca="false">SUMPRODUCT(($C$39:$BT$39&gt;=S$39-$C$29+1)*($C$39:$BT$39&lt;=S$39)*($C$46:$BT$46))/$C$29</f>
        <v>0</v>
      </c>
      <c r="T49" s="116" t="n">
        <f aca="false">SUMPRODUCT(($C$39:$BT$39&gt;=T$39-$C$29+1)*($C$39:$BT$39&lt;=T$39)*($C$46:$BT$46))/$C$29</f>
        <v>0</v>
      </c>
      <c r="U49" s="116" t="n">
        <f aca="false">SUMPRODUCT(($C$39:$BT$39&gt;=U$39-$C$29+1)*($C$39:$BT$39&lt;=U$39)*($C$46:$BT$46))/$C$29</f>
        <v>0</v>
      </c>
      <c r="V49" s="116" t="n">
        <f aca="false">SUMPRODUCT(($C$39:$BT$39&gt;=V$39-$C$29+1)*($C$39:$BT$39&lt;=V$39)*($C$46:$BT$46))/$C$29</f>
        <v>0</v>
      </c>
      <c r="W49" s="116" t="n">
        <f aca="false">SUMPRODUCT(($C$39:$BT$39&gt;=W$39-$C$29+1)*($C$39:$BT$39&lt;=W$39)*($C$46:$BT$46))/$C$29</f>
        <v>0</v>
      </c>
      <c r="X49" s="116" t="n">
        <f aca="false">SUMPRODUCT(($C$39:$BT$39&gt;=X$39-$C$29+1)*($C$39:$BT$39&lt;=X$39)*($C$46:$BT$46))/$C$29</f>
        <v>0</v>
      </c>
      <c r="Y49" s="116" t="n">
        <f aca="false">SUMPRODUCT(($C$39:$BT$39&gt;=Y$39-$C$29+1)*($C$39:$BT$39&lt;=Y$39)*($C$46:$BT$46))/$C$29</f>
        <v>0</v>
      </c>
      <c r="Z49" s="116" t="n">
        <f aca="false">SUMPRODUCT(($C$39:$BT$39&gt;=Z$39-$C$29+1)*($C$39:$BT$39&lt;=Z$39)*($C$46:$BT$46))/$C$29</f>
        <v>0</v>
      </c>
      <c r="AA49" s="116" t="n">
        <f aca="false">SUMPRODUCT(($C$39:$BT$39&gt;=AA$39-$C$29+1)*($C$39:$BT$39&lt;=AA$39)*($C$46:$BT$46))/$C$29</f>
        <v>0</v>
      </c>
      <c r="AB49" s="116" t="n">
        <f aca="false">SUMPRODUCT(($C$39:$BT$39&gt;=AB$39-$C$29+1)*($C$39:$BT$39&lt;=AB$39)*($C$46:$BT$46))/$C$29</f>
        <v>0</v>
      </c>
      <c r="AC49" s="116" t="n">
        <f aca="false">SUMPRODUCT(($C$39:$BT$39&gt;=AC$39-$C$29+1)*($C$39:$BT$39&lt;=AC$39)*($C$46:$BT$46))/$C$29</f>
        <v>0</v>
      </c>
      <c r="AD49" s="116" t="n">
        <f aca="false">SUMPRODUCT(($C$39:$BT$39&gt;=AD$39-$C$29+1)*($C$39:$BT$39&lt;=AD$39)*($C$46:$BT$46))/$C$29</f>
        <v>0</v>
      </c>
      <c r="AE49" s="116" t="n">
        <f aca="false">SUMPRODUCT(($C$39:$BT$39&gt;=AE$39-$C$29+1)*($C$39:$BT$39&lt;=AE$39)*($C$46:$BT$46))/$C$29</f>
        <v>0</v>
      </c>
      <c r="AF49" s="116" t="n">
        <f aca="false">SUMPRODUCT(($C$39:$BT$39&gt;=AF$39-$C$29+1)*($C$39:$BT$39&lt;=AF$39)*($C$46:$BT$46))/$C$29</f>
        <v>0</v>
      </c>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row>
    <row r="50" customFormat="false" ht="15" hidden="false" customHeight="true" outlineLevel="0" collapsed="false">
      <c r="B50" s="134" t="s">
        <v>1064</v>
      </c>
      <c r="C50" s="116" t="n">
        <f aca="false">IF($C$6="Sí",23_v67_Intermedio!C24,22_v67_Prudente!C24)-C194+C345</f>
        <v>0</v>
      </c>
      <c r="D50" s="116" t="n">
        <f aca="false">IF($C$6="Sí",23_v67_Intermedio!D24,22_v67_Prudente!D24)-D194+D345</f>
        <v>0</v>
      </c>
      <c r="E50" s="116" t="n">
        <f aca="false">IF($C$6="Sí",23_v67_Intermedio!E24,22_v67_Prudente!E24)-E194+E345</f>
        <v>0</v>
      </c>
      <c r="F50" s="116" t="n">
        <f aca="false">IF($C$6="Sí",23_v67_Intermedio!F24,22_v67_Prudente!F24)-F194+F345</f>
        <v>4.33152314191</v>
      </c>
      <c r="G50" s="116" t="n">
        <f aca="false">IF($C$6="Sí",23_v67_Intermedio!G24,22_v67_Prudente!G24)-G194+G345</f>
        <v>4.33152314191</v>
      </c>
      <c r="H50" s="116" t="n">
        <f aca="false">IF($C$6="Sí",23_v67_Intermedio!H24,22_v67_Prudente!H24)-H194+H345</f>
        <v>4.33152314191</v>
      </c>
      <c r="I50" s="116" t="n">
        <f aca="false">IF($C$6="Sí",23_v67_Intermedio!I24,22_v67_Prudente!I24)-I194+I345</f>
        <v>4.33152314191</v>
      </c>
      <c r="J50" s="116" t="n">
        <f aca="false">IF($C$6="Sí",23_v67_Intermedio!J24,22_v67_Prudente!J24)-J194+J345</f>
        <v>4.33152314191</v>
      </c>
      <c r="K50" s="116" t="n">
        <f aca="false">IF($C$6="Sí",23_v67_Intermedio!K24,22_v67_Prudente!K24)-K194+K345</f>
        <v>4.33152314191</v>
      </c>
      <c r="L50" s="116" t="n">
        <f aca="false">IF($C$6="Sí",23_v67_Intermedio!L24,22_v67_Prudente!L24)-L194+L345</f>
        <v>4.33152314191</v>
      </c>
      <c r="M50" s="116" t="n">
        <f aca="false">IF($C$6="Sí",23_v67_Intermedio!M24,22_v67_Prudente!M24)-M194+M345</f>
        <v>4.33152314191</v>
      </c>
      <c r="N50" s="116" t="n">
        <f aca="false">IF($C$6="Sí",23_v67_Intermedio!N24,22_v67_Prudente!N24)-N194+N345</f>
        <v>4.33152314191</v>
      </c>
      <c r="O50" s="116" t="n">
        <f aca="false">IF($C$6="Sí",23_v67_Intermedio!O24,22_v67_Prudente!O24)-O194+O345</f>
        <v>4.33152314191</v>
      </c>
      <c r="P50" s="116" t="n">
        <f aca="false">IF($C$6="Sí",23_v67_Intermedio!P24,22_v67_Prudente!P24)-P194+P345</f>
        <v>4.33152314191</v>
      </c>
      <c r="Q50" s="116" t="n">
        <f aca="false">IF($C$6="Sí",23_v67_Intermedio!Q24,22_v67_Prudente!Q24)-Q194+Q345</f>
        <v>4.33152314191</v>
      </c>
      <c r="R50" s="116" t="n">
        <f aca="false">IF($C$6="Sí",23_v67_Intermedio!R24,22_v67_Prudente!R24)-R194+R345</f>
        <v>4.231423058158</v>
      </c>
      <c r="S50" s="116" t="n">
        <f aca="false">IF($C$6="Sí",23_v67_Intermedio!S24,22_v67_Prudente!S24)-S194+S345</f>
        <v>4.131322974406</v>
      </c>
      <c r="T50" s="116" t="n">
        <f aca="false">IF($C$6="Sí",23_v67_Intermedio!T24,22_v67_Prudente!T24)-T194+T345</f>
        <v>4.031222890654</v>
      </c>
      <c r="U50" s="116" t="n">
        <f aca="false">IF($C$6="Sí",23_v67_Intermedio!U24,22_v67_Prudente!U24)-U194+U345</f>
        <v>3.931122806902</v>
      </c>
      <c r="V50" s="116" t="n">
        <f aca="false">IF($C$6="Sí",23_v67_Intermedio!V24,22_v67_Prudente!V24)-V194+V345</f>
        <v>3.83102272315</v>
      </c>
      <c r="W50" s="116" t="n">
        <f aca="false">IF($C$6="Sí",23_v67_Intermedio!W24,22_v67_Prudente!W24)-W194+W345</f>
        <v>3.730922639398</v>
      </c>
      <c r="X50" s="116" t="n">
        <f aca="false">IF($C$6="Sí",23_v67_Intermedio!X24,22_v67_Prudente!X24)-X194+X345</f>
        <v>3.630822555646</v>
      </c>
      <c r="Y50" s="116" t="n">
        <f aca="false">IF($C$6="Sí",23_v67_Intermedio!Y24,22_v67_Prudente!Y24)-Y194+Y345</f>
        <v>3.530722471894</v>
      </c>
      <c r="Z50" s="116" t="n">
        <f aca="false">IF($C$6="Sí",23_v67_Intermedio!Z24,22_v67_Prudente!Z24)-Z194+Z345</f>
        <v>3.430622388142</v>
      </c>
      <c r="AA50" s="116" t="n">
        <f aca="false">IF($C$6="Sí",23_v67_Intermedio!AA24,22_v67_Prudente!AA24)-AA194+AA345</f>
        <v>3.33052230439</v>
      </c>
      <c r="AB50" s="116" t="n">
        <f aca="false">IF($C$6="Sí",23_v67_Intermedio!AB24,22_v67_Prudente!AB24)-AB194+AB345</f>
        <v>3.230422220638</v>
      </c>
      <c r="AC50" s="116" t="n">
        <f aca="false">IF($C$6="Sí",23_v67_Intermedio!AC24,22_v67_Prudente!AC24)-AC194+AC345</f>
        <v>3.130322136886</v>
      </c>
      <c r="AD50" s="116" t="n">
        <f aca="false">IF($C$6="Sí",23_v67_Intermedio!AD24,22_v67_Prudente!AD24)-AD194+AD345</f>
        <v>3.030222053134</v>
      </c>
      <c r="AE50" s="116" t="n">
        <f aca="false">IF($C$6="Sí",23_v67_Intermedio!AE24,22_v67_Prudente!AE24)-AE194+AE345</f>
        <v>2.930121969382</v>
      </c>
      <c r="AF50" s="116" t="n">
        <f aca="false">IF($C$6="Sí",23_v67_Intermedio!AF24,22_v67_Prudente!AF24)-AF194+AF345</f>
        <v>2.83002188563</v>
      </c>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row>
    <row r="51" customFormat="false" ht="15" hidden="false" customHeight="true" outlineLevel="0" collapsed="false">
      <c r="B51" s="134" t="s">
        <v>1065</v>
      </c>
      <c r="C51" s="116" t="n">
        <f aca="false">IF(C$39&lt;4,0,01_Supuestos!$I$21*01_Supuestos!$I$64/1000000000000*C42)+C194+C348</f>
        <v>0</v>
      </c>
      <c r="D51" s="116" t="n">
        <f aca="false">IF(D$39&lt;4,0,01_Supuestos!$I$21*01_Supuestos!$I$64/1000000000000*D42)+D194+D348</f>
        <v>0</v>
      </c>
      <c r="E51" s="116" t="n">
        <f aca="false">IF(E$39&lt;4,0,01_Supuestos!$I$21*01_Supuestos!$I$64/1000000000000*E42)+E194+E348</f>
        <v>0</v>
      </c>
      <c r="F51" s="116" t="n">
        <f aca="false">IF(F$39&lt;4,0,01_Supuestos!$I$21*01_Supuestos!$I$64/1000000000000*F42)+F194+F348</f>
        <v>2.6823984</v>
      </c>
      <c r="G51" s="116" t="n">
        <f aca="false">IF(G$39&lt;4,0,01_Supuestos!$I$21*01_Supuestos!$I$64/1000000000000*G42)+G194+G348</f>
        <v>2.6823984</v>
      </c>
      <c r="H51" s="116" t="n">
        <f aca="false">IF(H$39&lt;4,0,01_Supuestos!$I$21*01_Supuestos!$I$64/1000000000000*H42)+H194+H348</f>
        <v>2.6823984</v>
      </c>
      <c r="I51" s="116" t="n">
        <f aca="false">IF(I$39&lt;4,0,01_Supuestos!$I$21*01_Supuestos!$I$64/1000000000000*I42)+I194+I348</f>
        <v>2.6823984</v>
      </c>
      <c r="J51" s="116" t="n">
        <f aca="false">IF(J$39&lt;4,0,01_Supuestos!$I$21*01_Supuestos!$I$64/1000000000000*J42)+J194+J348</f>
        <v>2.6823984</v>
      </c>
      <c r="K51" s="116" t="n">
        <f aca="false">IF(K$39&lt;4,0,01_Supuestos!$I$21*01_Supuestos!$I$64/1000000000000*K42)+K194+K348</f>
        <v>2.6823984</v>
      </c>
      <c r="L51" s="116" t="n">
        <f aca="false">IF(L$39&lt;4,0,01_Supuestos!$I$21*01_Supuestos!$I$64/1000000000000*L42)+L194+L348</f>
        <v>2.6823984</v>
      </c>
      <c r="M51" s="116" t="n">
        <f aca="false">IF(M$39&lt;4,0,01_Supuestos!$I$21*01_Supuestos!$I$64/1000000000000*M42)+M194+M348</f>
        <v>2.6823984</v>
      </c>
      <c r="N51" s="116" t="n">
        <f aca="false">IF(N$39&lt;4,0,01_Supuestos!$I$21*01_Supuestos!$I$64/1000000000000*N42)+N194+N348</f>
        <v>2.6823984</v>
      </c>
      <c r="O51" s="116" t="n">
        <f aca="false">IF(O$39&lt;4,0,01_Supuestos!$I$21*01_Supuestos!$I$64/1000000000000*O42)+O194+O348</f>
        <v>2.6823984</v>
      </c>
      <c r="P51" s="116" t="n">
        <f aca="false">IF(P$39&lt;4,0,01_Supuestos!$I$21*01_Supuestos!$I$64/1000000000000*P42)+P194+P348</f>
        <v>2.6823984</v>
      </c>
      <c r="Q51" s="116" t="n">
        <f aca="false">IF(Q$39&lt;4,0,01_Supuestos!$I$21*01_Supuestos!$I$64/1000000000000*Q42)+Q194+Q348</f>
        <v>2.6823984</v>
      </c>
      <c r="R51" s="116" t="n">
        <f aca="false">IF(R$39&lt;4,0,01_Supuestos!$I$21*01_Supuestos!$I$64/1000000000000*R42)+R194+R348</f>
        <v>2.6823984</v>
      </c>
      <c r="S51" s="116" t="n">
        <f aca="false">IF(S$39&lt;4,0,01_Supuestos!$I$21*01_Supuestos!$I$64/1000000000000*S42)+S194+S348</f>
        <v>2.6823984</v>
      </c>
      <c r="T51" s="116" t="n">
        <f aca="false">IF(T$39&lt;4,0,01_Supuestos!$I$21*01_Supuestos!$I$64/1000000000000*T42)+T194+T348</f>
        <v>2.6823984</v>
      </c>
      <c r="U51" s="116" t="n">
        <f aca="false">IF(U$39&lt;4,0,01_Supuestos!$I$21*01_Supuestos!$I$64/1000000000000*U42)+U194+U348</f>
        <v>2.6823984</v>
      </c>
      <c r="V51" s="116" t="n">
        <f aca="false">IF(V$39&lt;4,0,01_Supuestos!$I$21*01_Supuestos!$I$64/1000000000000*V42)+V194+V348</f>
        <v>2.6823984</v>
      </c>
      <c r="W51" s="116" t="n">
        <f aca="false">IF(W$39&lt;4,0,01_Supuestos!$I$21*01_Supuestos!$I$64/1000000000000*W42)+W194+W348</f>
        <v>2.6823984</v>
      </c>
      <c r="X51" s="116" t="n">
        <f aca="false">IF(X$39&lt;4,0,01_Supuestos!$I$21*01_Supuestos!$I$64/1000000000000*X42)+X194+X348</f>
        <v>2.6823984</v>
      </c>
      <c r="Y51" s="116" t="n">
        <f aca="false">IF(Y$39&lt;4,0,01_Supuestos!$I$21*01_Supuestos!$I$64/1000000000000*Y42)+Y194+Y348</f>
        <v>2.6823984</v>
      </c>
      <c r="Z51" s="116" t="n">
        <f aca="false">IF(Z$39&lt;4,0,01_Supuestos!$I$21*01_Supuestos!$I$64/1000000000000*Z42)+Z194+Z348</f>
        <v>2.6823984</v>
      </c>
      <c r="AA51" s="116" t="n">
        <f aca="false">IF(AA$39&lt;4,0,01_Supuestos!$I$21*01_Supuestos!$I$64/1000000000000*AA42)+AA194+AA348</f>
        <v>2.6823984</v>
      </c>
      <c r="AB51" s="116" t="n">
        <f aca="false">IF(AB$39&lt;4,0,01_Supuestos!$I$21*01_Supuestos!$I$64/1000000000000*AB42)+AB194+AB348</f>
        <v>2.6823984</v>
      </c>
      <c r="AC51" s="116" t="n">
        <f aca="false">IF(AC$39&lt;4,0,01_Supuestos!$I$21*01_Supuestos!$I$64/1000000000000*AC42)+AC194+AC348</f>
        <v>2.6823984</v>
      </c>
      <c r="AD51" s="116" t="n">
        <f aca="false">IF(AD$39&lt;4,0,01_Supuestos!$I$21*01_Supuestos!$I$64/1000000000000*AD42)+AD194+AD348</f>
        <v>2.6823984</v>
      </c>
      <c r="AE51" s="116" t="n">
        <f aca="false">IF(AE$39&lt;4,0,01_Supuestos!$I$21*01_Supuestos!$I$64/1000000000000*AE42)+AE194+AE348</f>
        <v>2.6823984</v>
      </c>
      <c r="AF51" s="116" t="n">
        <f aca="false">IF(AF$39&lt;4,0,01_Supuestos!$I$21*01_Supuestos!$I$64/1000000000000*AF42)+AF194+AF348</f>
        <v>2.6823984</v>
      </c>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row>
    <row r="52" customFormat="false" ht="15" hidden="false" customHeight="true" outlineLevel="0" collapsed="false">
      <c r="B52" s="132" t="s">
        <v>1066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c r="AK52" s="133"/>
      <c r="AL52" s="133"/>
      <c r="AM52" s="133"/>
      <c r="AN52" s="133"/>
      <c r="AO52" s="133"/>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3"/>
    </row>
    <row r="53" customFormat="false" ht="15" hidden="false" customHeight="true" outlineLevel="0" collapsed="false">
      <c r="B53" s="134" t="s">
        <v>1067</v>
      </c>
      <c r="C53" s="116" t="n">
        <f aca="false">IF(C$39&lt;=01_Supuestos!$I$29,01_Supuestos!$I$28/IF(01_Supuestos!$I$143="Sí",1,C43),0)</f>
        <v>20.6</v>
      </c>
      <c r="D53" s="116" t="n">
        <f aca="false">IF(D$39&lt;=01_Supuestos!$I$29,01_Supuestos!$I$28/IF(01_Supuestos!$I$143="Sí",1,D43),0)</f>
        <v>20.6</v>
      </c>
      <c r="E53" s="116" t="n">
        <f aca="false">IF(E$39&lt;=01_Supuestos!$I$29,01_Supuestos!$I$28/IF(01_Supuestos!$I$143="Sí",1,E43),0)</f>
        <v>20.6</v>
      </c>
      <c r="F53" s="116" t="n">
        <f aca="false">IF(F$39&lt;=01_Supuestos!$I$29,01_Supuestos!$I$28/IF(01_Supuestos!$I$143="Sí",1,F43),0)</f>
        <v>20.6</v>
      </c>
      <c r="G53" s="116" t="n">
        <f aca="false">IF(G$39&lt;=01_Supuestos!$I$29,01_Supuestos!$I$28/IF(01_Supuestos!$I$143="Sí",1,G43),0)</f>
        <v>20.6</v>
      </c>
      <c r="H53" s="116" t="n">
        <f aca="false">IF(H$39&lt;=01_Supuestos!$I$29,01_Supuestos!$I$28/IF(01_Supuestos!$I$143="Sí",1,H43),0)</f>
        <v>20.6</v>
      </c>
      <c r="I53" s="116" t="n">
        <f aca="false">IF(I$39&lt;=01_Supuestos!$I$29,01_Supuestos!$I$28/IF(01_Supuestos!$I$143="Sí",1,I43),0)</f>
        <v>20.6</v>
      </c>
      <c r="J53" s="116" t="n">
        <f aca="false">IF(J$39&lt;=01_Supuestos!$I$29,01_Supuestos!$I$28/IF(01_Supuestos!$I$143="Sí",1,J43),0)</f>
        <v>20.6</v>
      </c>
      <c r="K53" s="116" t="n">
        <f aca="false">IF(K$39&lt;=01_Supuestos!$I$29,01_Supuestos!$I$28/IF(01_Supuestos!$I$143="Sí",1,K43),0)</f>
        <v>20.6</v>
      </c>
      <c r="L53" s="116" t="n">
        <f aca="false">IF(L$39&lt;=01_Supuestos!$I$29,01_Supuestos!$I$28/IF(01_Supuestos!$I$143="Sí",1,L43),0)</f>
        <v>20.6</v>
      </c>
      <c r="M53" s="116" t="n">
        <f aca="false">IF(M$39&lt;=01_Supuestos!$I$29,01_Supuestos!$I$28/IF(01_Supuestos!$I$143="Sí",1,M43),0)</f>
        <v>0</v>
      </c>
      <c r="N53" s="116" t="n">
        <f aca="false">IF(N$39&lt;=01_Supuestos!$I$29,01_Supuestos!$I$28/IF(01_Supuestos!$I$143="Sí",1,N43),0)</f>
        <v>0</v>
      </c>
      <c r="O53" s="116" t="n">
        <f aca="false">IF(O$39&lt;=01_Supuestos!$I$29,01_Supuestos!$I$28/IF(01_Supuestos!$I$143="Sí",1,O43),0)</f>
        <v>0</v>
      </c>
      <c r="P53" s="116" t="n">
        <f aca="false">IF(P$39&lt;=01_Supuestos!$I$29,01_Supuestos!$I$28/IF(01_Supuestos!$I$143="Sí",1,P43),0)</f>
        <v>0</v>
      </c>
      <c r="Q53" s="116" t="n">
        <f aca="false">IF(Q$39&lt;=01_Supuestos!$I$29,01_Supuestos!$I$28/IF(01_Supuestos!$I$143="Sí",1,Q43),0)</f>
        <v>0</v>
      </c>
      <c r="R53" s="116" t="n">
        <f aca="false">IF(R$39&lt;=01_Supuestos!$I$29,01_Supuestos!$I$28/IF(01_Supuestos!$I$143="Sí",1,R43),0)</f>
        <v>0</v>
      </c>
      <c r="S53" s="116" t="n">
        <f aca="false">IF(S$39&lt;=01_Supuestos!$I$29,01_Supuestos!$I$28/IF(01_Supuestos!$I$143="Sí",1,S43),0)</f>
        <v>0</v>
      </c>
      <c r="T53" s="116" t="n">
        <f aca="false">IF(T$39&lt;=01_Supuestos!$I$29,01_Supuestos!$I$28/IF(01_Supuestos!$I$143="Sí",1,T43),0)</f>
        <v>0</v>
      </c>
      <c r="U53" s="116" t="n">
        <f aca="false">IF(U$39&lt;=01_Supuestos!$I$29,01_Supuestos!$I$28/IF(01_Supuestos!$I$143="Sí",1,U43),0)</f>
        <v>0</v>
      </c>
      <c r="V53" s="116" t="n">
        <f aca="false">IF(V$39&lt;=01_Supuestos!$I$29,01_Supuestos!$I$28/IF(01_Supuestos!$I$143="Sí",1,V43),0)</f>
        <v>0</v>
      </c>
      <c r="W53" s="116" t="n">
        <f aca="false">IF(W$39&lt;=01_Supuestos!$I$29,01_Supuestos!$I$28/IF(01_Supuestos!$I$143="Sí",1,W43),0)</f>
        <v>0</v>
      </c>
      <c r="X53" s="116" t="n">
        <f aca="false">IF(X$39&lt;=01_Supuestos!$I$29,01_Supuestos!$I$28/IF(01_Supuestos!$I$143="Sí",1,X43),0)</f>
        <v>0</v>
      </c>
      <c r="Y53" s="116" t="n">
        <f aca="false">IF(Y$39&lt;=01_Supuestos!$I$29,01_Supuestos!$I$28/IF(01_Supuestos!$I$143="Sí",1,Y43),0)</f>
        <v>0</v>
      </c>
      <c r="Z53" s="116" t="n">
        <f aca="false">IF(Z$39&lt;=01_Supuestos!$I$29,01_Supuestos!$I$28/IF(01_Supuestos!$I$143="Sí",1,Z43),0)</f>
        <v>0</v>
      </c>
      <c r="AA53" s="116" t="n">
        <f aca="false">IF(AA$39&lt;=01_Supuestos!$I$29,01_Supuestos!$I$28/IF(01_Supuestos!$I$143="Sí",1,AA43),0)</f>
        <v>0</v>
      </c>
      <c r="AB53" s="116" t="n">
        <f aca="false">IF(AB$39&lt;=01_Supuestos!$I$29,01_Supuestos!$I$28/IF(01_Supuestos!$I$143="Sí",1,AB43),0)</f>
        <v>0</v>
      </c>
      <c r="AC53" s="116" t="n">
        <f aca="false">IF(AC$39&lt;=01_Supuestos!$I$29,01_Supuestos!$I$28/IF(01_Supuestos!$I$143="Sí",1,AC43),0)</f>
        <v>0</v>
      </c>
      <c r="AD53" s="116" t="n">
        <f aca="false">IF(AD$39&lt;=01_Supuestos!$I$29,01_Supuestos!$I$28/IF(01_Supuestos!$I$143="Sí",1,AD43),0)</f>
        <v>0</v>
      </c>
      <c r="AE53" s="116" t="n">
        <f aca="false">IF(AE$39&lt;=01_Supuestos!$I$29,01_Supuestos!$I$28/IF(01_Supuestos!$I$143="Sí",1,AE43),0)</f>
        <v>0</v>
      </c>
      <c r="AF53" s="116" t="n">
        <f aca="false">IF(AF$39&lt;=01_Supuestos!$I$29,01_Supuestos!$I$28/IF(01_Supuestos!$I$143="Sí",1,AF43),0)</f>
        <v>0</v>
      </c>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row>
    <row r="54" customFormat="false" ht="15" hidden="false" customHeight="true" outlineLevel="0" collapsed="false">
      <c r="B54" s="134" t="s">
        <v>1068</v>
      </c>
      <c r="C54" s="116" t="n">
        <f aca="false">01_Supuestos!$I$132*(1+01_Supuestos!$I$133)^(C$39-1)*(1+$C$14)^(C$39-1)</f>
        <v>10.7</v>
      </c>
      <c r="D54" s="116" t="n">
        <f aca="false">01_Supuestos!$I$132*(1+01_Supuestos!$I$133)^(D$39-1)*(1+$C$14)^(D$39-1)</f>
        <v>10.9675</v>
      </c>
      <c r="E54" s="116" t="n">
        <f aca="false">01_Supuestos!$I$132*(1+01_Supuestos!$I$133)^(E$39-1)*(1+$C$14)^(E$39-1)</f>
        <v>11.2416875</v>
      </c>
      <c r="F54" s="116" t="n">
        <f aca="false">01_Supuestos!$I$132*(1+01_Supuestos!$I$133)^(F$39-1)*(1+$C$14)^(F$39-1)</f>
        <v>11.5227296875</v>
      </c>
      <c r="G54" s="116" t="n">
        <f aca="false">01_Supuestos!$I$132*(1+01_Supuestos!$I$133)^(G$39-1)*(1+$C$14)^(G$39-1)</f>
        <v>11.8107979296875</v>
      </c>
      <c r="H54" s="116" t="n">
        <f aca="false">01_Supuestos!$I$132*(1+01_Supuestos!$I$133)^(H$39-1)*(1+$C$14)^(H$39-1)</f>
        <v>12.1060678779297</v>
      </c>
      <c r="I54" s="116" t="n">
        <f aca="false">01_Supuestos!$I$132*(1+01_Supuestos!$I$133)^(I$39-1)*(1+$C$14)^(I$39-1)</f>
        <v>12.4087195748779</v>
      </c>
      <c r="J54" s="116" t="n">
        <f aca="false">01_Supuestos!$I$132*(1+01_Supuestos!$I$133)^(J$39-1)*(1+$C$14)^(J$39-1)</f>
        <v>12.7189375642499</v>
      </c>
      <c r="K54" s="116" t="n">
        <f aca="false">01_Supuestos!$I$132*(1+01_Supuestos!$I$133)^(K$39-1)*(1+$C$14)^(K$39-1)</f>
        <v>13.0369110033561</v>
      </c>
      <c r="L54" s="116" t="n">
        <f aca="false">01_Supuestos!$I$132*(1+01_Supuestos!$I$133)^(L$39-1)*(1+$C$14)^(L$39-1)</f>
        <v>13.36283377844</v>
      </c>
      <c r="M54" s="116" t="n">
        <f aca="false">01_Supuestos!$I$132*(1+01_Supuestos!$I$133)^(M$39-1)*(1+$C$14)^(M$39-1)</f>
        <v>13.696904622901</v>
      </c>
      <c r="N54" s="116" t="n">
        <f aca="false">01_Supuestos!$I$132*(1+01_Supuestos!$I$133)^(N$39-1)*(1+$C$14)^(N$39-1)</f>
        <v>14.0393272384735</v>
      </c>
      <c r="O54" s="116" t="n">
        <f aca="false">01_Supuestos!$I$132*(1+01_Supuestos!$I$133)^(O$39-1)*(1+$C$14)^(O$39-1)</f>
        <v>14.3903104194354</v>
      </c>
      <c r="P54" s="116" t="n">
        <f aca="false">01_Supuestos!$I$132*(1+01_Supuestos!$I$133)^(P$39-1)*(1+$C$14)^(P$39-1)</f>
        <v>14.7500681799213</v>
      </c>
      <c r="Q54" s="116" t="n">
        <f aca="false">01_Supuestos!$I$132*(1+01_Supuestos!$I$133)^(Q$39-1)*(1+$C$14)^(Q$39-1)</f>
        <v>15.1188198844193</v>
      </c>
      <c r="R54" s="116" t="n">
        <f aca="false">01_Supuestos!$I$132*(1+01_Supuestos!$I$133)^(R$39-1)*(1+$C$14)^(R$39-1)</f>
        <v>15.4967903815298</v>
      </c>
      <c r="S54" s="116" t="n">
        <f aca="false">01_Supuestos!$I$132*(1+01_Supuestos!$I$133)^(S$39-1)*(1+$C$14)^(S$39-1)</f>
        <v>15.884210141068</v>
      </c>
      <c r="T54" s="116" t="n">
        <f aca="false">01_Supuestos!$I$132*(1+01_Supuestos!$I$133)^(T$39-1)*(1+$C$14)^(T$39-1)</f>
        <v>16.2813153945947</v>
      </c>
      <c r="U54" s="116" t="n">
        <f aca="false">01_Supuestos!$I$132*(1+01_Supuestos!$I$133)^(U$39-1)*(1+$C$14)^(U$39-1)</f>
        <v>16.6883482794596</v>
      </c>
      <c r="V54" s="116" t="n">
        <f aca="false">01_Supuestos!$I$132*(1+01_Supuestos!$I$133)^(V$39-1)*(1+$C$14)^(V$39-1)</f>
        <v>17.1055569864461</v>
      </c>
      <c r="W54" s="116" t="n">
        <f aca="false">01_Supuestos!$I$132*(1+01_Supuestos!$I$133)^(W$39-1)*(1+$C$14)^(W$39-1)</f>
        <v>17.5331959111072</v>
      </c>
      <c r="X54" s="116" t="n">
        <f aca="false">01_Supuestos!$I$132*(1+01_Supuestos!$I$133)^(X$39-1)*(1+$C$14)^(X$39-1)</f>
        <v>17.9715258088849</v>
      </c>
      <c r="Y54" s="116" t="n">
        <f aca="false">01_Supuestos!$I$132*(1+01_Supuestos!$I$133)^(Y$39-1)*(1+$C$14)^(Y$39-1)</f>
        <v>18.420813954107</v>
      </c>
      <c r="Z54" s="116" t="n">
        <f aca="false">01_Supuestos!$I$132*(1+01_Supuestos!$I$133)^(Z$39-1)*(1+$C$14)^(Z$39-1)</f>
        <v>18.8813343029597</v>
      </c>
      <c r="AA54" s="116" t="n">
        <f aca="false">01_Supuestos!$I$132*(1+01_Supuestos!$I$133)^(AA$39-1)*(1+$C$14)^(AA$39-1)</f>
        <v>19.3533676605337</v>
      </c>
      <c r="AB54" s="116" t="n">
        <f aca="false">01_Supuestos!$I$132*(1+01_Supuestos!$I$133)^(AB$39-1)*(1+$C$14)^(AB$39-1)</f>
        <v>19.837201852047</v>
      </c>
      <c r="AC54" s="116" t="n">
        <f aca="false">01_Supuestos!$I$132*(1+01_Supuestos!$I$133)^(AC$39-1)*(1+$C$14)^(AC$39-1)</f>
        <v>20.3331318983482</v>
      </c>
      <c r="AD54" s="116" t="n">
        <f aca="false">01_Supuestos!$I$132*(1+01_Supuestos!$I$133)^(AD$39-1)*(1+$C$14)^(AD$39-1)</f>
        <v>20.8414601958069</v>
      </c>
      <c r="AE54" s="116" t="n">
        <f aca="false">01_Supuestos!$I$132*(1+01_Supuestos!$I$133)^(AE$39-1)*(1+$C$14)^(AE$39-1)</f>
        <v>21.3624967007021</v>
      </c>
      <c r="AF54" s="116" t="n">
        <f aca="false">01_Supuestos!$I$132*(1+01_Supuestos!$I$133)^(AF$39-1)*(1+$C$14)^(AF$39-1)</f>
        <v>21.8965591182196</v>
      </c>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row>
    <row r="55" customFormat="false" ht="15" hidden="false" customHeight="true" outlineLevel="0" collapsed="false">
      <c r="B55" s="134" t="s">
        <v>1069</v>
      </c>
      <c r="C55" s="87" t="n">
        <f aca="false">01_Supuestos!$I$141</f>
        <v>0.1</v>
      </c>
      <c r="D55" s="87" t="n">
        <f aca="false">IF($C$13="Sí",IF(C122&lt;01_Supuestos!$I$138,MIN(C55+01_Supuestos!$I$139,01_Supuestos!$I$140),IF(C122&gt;01_Supuestos!$C$159,MAX(C55-01_Supuestos!$C$160,01_Supuestos!$I$141),C55)),C55)</f>
        <v>0.1</v>
      </c>
      <c r="E55" s="87" t="n">
        <f aca="false">IF($C$13="Sí",IF(D122&lt;01_Supuestos!$I$138,MIN(D55+01_Supuestos!$I$139,01_Supuestos!$I$140),IF(D122&gt;01_Supuestos!$C$159,MAX(D55-01_Supuestos!$C$160,01_Supuestos!$I$141),D55)),D55)</f>
        <v>0.1</v>
      </c>
      <c r="F55" s="87" t="n">
        <f aca="false">IF($C$13="Sí",IF(E122&lt;01_Supuestos!$I$138,MIN(E55+01_Supuestos!$I$139,01_Supuestos!$I$140),IF(E122&gt;01_Supuestos!$C$159,MAX(E55-01_Supuestos!$C$160,01_Supuestos!$I$141),E55)),E55)</f>
        <v>0.1</v>
      </c>
      <c r="G55" s="87" t="n">
        <f aca="false">IF($C$13="Sí",IF(F122&lt;01_Supuestos!$I$138,MIN(F55+01_Supuestos!$I$139,01_Supuestos!$I$140),IF(F122&gt;01_Supuestos!$C$159,MAX(F55-01_Supuestos!$C$160,01_Supuestos!$I$141),F55)),F55)</f>
        <v>0.1</v>
      </c>
      <c r="H55" s="87" t="n">
        <f aca="false">IF($C$13="Sí",IF(G122&lt;01_Supuestos!$I$138,MIN(G55+01_Supuestos!$I$139,01_Supuestos!$I$140),IF(G122&gt;01_Supuestos!$C$159,MAX(G55-01_Supuestos!$C$160,01_Supuestos!$I$141),G55)),G55)</f>
        <v>0.1</v>
      </c>
      <c r="I55" s="87" t="n">
        <f aca="false">IF($C$13="Sí",IF(H122&lt;01_Supuestos!$I$138,MIN(H55+01_Supuestos!$I$139,01_Supuestos!$I$140),IF(H122&gt;01_Supuestos!$C$159,MAX(H55-01_Supuestos!$C$160,01_Supuestos!$I$141),H55)),H55)</f>
        <v>0.1</v>
      </c>
      <c r="J55" s="87" t="n">
        <f aca="false">IF($C$13="Sí",IF(I122&lt;01_Supuestos!$I$138,MIN(I55+01_Supuestos!$I$139,01_Supuestos!$I$140),IF(I122&gt;01_Supuestos!$C$159,MAX(I55-01_Supuestos!$C$160,01_Supuestos!$I$141),I55)),I55)</f>
        <v>0.1</v>
      </c>
      <c r="K55" s="87" t="n">
        <f aca="false">IF($C$13="Sí",IF(J122&lt;01_Supuestos!$I$138,MIN(J55+01_Supuestos!$I$139,01_Supuestos!$I$140),IF(J122&gt;01_Supuestos!$C$159,MAX(J55-01_Supuestos!$C$160,01_Supuestos!$I$141),J55)),J55)</f>
        <v>0.1</v>
      </c>
      <c r="L55" s="87" t="n">
        <f aca="false">IF($C$13="Sí",IF(K122&lt;01_Supuestos!$I$138,MIN(K55+01_Supuestos!$I$139,01_Supuestos!$I$140),IF(K122&gt;01_Supuestos!$C$159,MAX(K55-01_Supuestos!$C$160,01_Supuestos!$I$141),K55)),K55)</f>
        <v>0.1</v>
      </c>
      <c r="M55" s="87" t="n">
        <f aca="false">IF($C$13="Sí",IF(L122&lt;01_Supuestos!$I$138,MIN(L55+01_Supuestos!$I$139,01_Supuestos!$I$140),IF(L122&gt;01_Supuestos!$C$159,MAX(L55-01_Supuestos!$C$160,01_Supuestos!$I$141),L55)),L55)</f>
        <v>0.1</v>
      </c>
      <c r="N55" s="87" t="n">
        <f aca="false">IF($C$13="Sí",IF(M122&lt;01_Supuestos!$I$138,MIN(M55+01_Supuestos!$I$139,01_Supuestos!$I$140),IF(M122&gt;01_Supuestos!$C$159,MAX(M55-01_Supuestos!$C$160,01_Supuestos!$I$141),M55)),M55)</f>
        <v>0.1</v>
      </c>
      <c r="O55" s="87" t="n">
        <f aca="false">IF($C$13="Sí",IF(N122&lt;01_Supuestos!$I$138,MIN(N55+01_Supuestos!$I$139,01_Supuestos!$I$140),IF(N122&gt;01_Supuestos!$C$159,MAX(N55-01_Supuestos!$C$160,01_Supuestos!$I$141),N55)),N55)</f>
        <v>0.1</v>
      </c>
      <c r="P55" s="87" t="n">
        <f aca="false">IF($C$13="Sí",IF(O122&lt;01_Supuestos!$I$138,MIN(O55+01_Supuestos!$I$139,01_Supuestos!$I$140),IF(O122&gt;01_Supuestos!$C$159,MAX(O55-01_Supuestos!$C$160,01_Supuestos!$I$141),O55)),O55)</f>
        <v>0.1</v>
      </c>
      <c r="Q55" s="87" t="n">
        <f aca="false">IF($C$13="Sí",IF(P122&lt;01_Supuestos!$I$138,MIN(P55+01_Supuestos!$I$139,01_Supuestos!$I$140),IF(P122&gt;01_Supuestos!$C$159,MAX(P55-01_Supuestos!$C$160,01_Supuestos!$I$141),P55)),P55)</f>
        <v>0.1</v>
      </c>
      <c r="R55" s="87" t="n">
        <f aca="false">IF($C$13="Sí",IF(Q122&lt;01_Supuestos!$I$138,MIN(Q55+01_Supuestos!$I$139,01_Supuestos!$I$140),IF(Q122&gt;01_Supuestos!$C$159,MAX(Q55-01_Supuestos!$C$160,01_Supuestos!$I$141),Q55)),Q55)</f>
        <v>0.1</v>
      </c>
      <c r="S55" s="87" t="n">
        <f aca="false">IF($C$13="Sí",IF(R122&lt;01_Supuestos!$I$138,MIN(R55+01_Supuestos!$I$139,01_Supuestos!$I$140),IF(R122&gt;01_Supuestos!$C$159,MAX(R55-01_Supuestos!$C$160,01_Supuestos!$I$141),R55)),R55)</f>
        <v>0.1</v>
      </c>
      <c r="T55" s="87" t="n">
        <f aca="false">IF($C$13="Sí",IF(S122&lt;01_Supuestos!$I$138,MIN(S55+01_Supuestos!$I$139,01_Supuestos!$I$140),IF(S122&gt;01_Supuestos!$C$159,MAX(S55-01_Supuestos!$C$160,01_Supuestos!$I$141),S55)),S55)</f>
        <v>0.1</v>
      </c>
      <c r="U55" s="87" t="n">
        <f aca="false">IF($C$13="Sí",IF(T122&lt;01_Supuestos!$I$138,MIN(T55+01_Supuestos!$I$139,01_Supuestos!$I$140),IF(T122&gt;01_Supuestos!$C$159,MAX(T55-01_Supuestos!$C$160,01_Supuestos!$I$141),T55)),T55)</f>
        <v>0.1</v>
      </c>
      <c r="V55" s="87" t="n">
        <f aca="false">IF($C$13="Sí",IF(U122&lt;01_Supuestos!$I$138,MIN(U55+01_Supuestos!$I$139,01_Supuestos!$I$140),IF(U122&gt;01_Supuestos!$C$159,MAX(U55-01_Supuestos!$C$160,01_Supuestos!$I$141),U55)),U55)</f>
        <v>0.1</v>
      </c>
      <c r="W55" s="87" t="n">
        <f aca="false">IF($C$13="Sí",IF(V122&lt;01_Supuestos!$I$138,MIN(V55+01_Supuestos!$I$139,01_Supuestos!$I$140),IF(V122&gt;01_Supuestos!$C$159,MAX(V55-01_Supuestos!$C$160,01_Supuestos!$I$141),V55)),V55)</f>
        <v>0.1</v>
      </c>
      <c r="X55" s="87" t="n">
        <f aca="false">IF($C$13="Sí",IF(W122&lt;01_Supuestos!$I$138,MIN(W55+01_Supuestos!$I$139,01_Supuestos!$I$140),IF(W122&gt;01_Supuestos!$C$159,MAX(W55-01_Supuestos!$C$160,01_Supuestos!$I$141),W55)),W55)</f>
        <v>0.1</v>
      </c>
      <c r="Y55" s="87" t="n">
        <f aca="false">IF($C$13="Sí",IF(X122&lt;01_Supuestos!$I$138,MIN(X55+01_Supuestos!$I$139,01_Supuestos!$I$140),IF(X122&gt;01_Supuestos!$C$159,MAX(X55-01_Supuestos!$C$160,01_Supuestos!$I$141),X55)),X55)</f>
        <v>0.1</v>
      </c>
      <c r="Z55" s="87" t="n">
        <f aca="false">IF($C$13="Sí",IF(Y122&lt;01_Supuestos!$I$138,MIN(Y55+01_Supuestos!$I$139,01_Supuestos!$I$140),IF(Y122&gt;01_Supuestos!$C$159,MAX(Y55-01_Supuestos!$C$160,01_Supuestos!$I$141),Y55)),Y55)</f>
        <v>0.1</v>
      </c>
      <c r="AA55" s="87" t="n">
        <f aca="false">IF($C$13="Sí",IF(Z122&lt;01_Supuestos!$I$138,MIN(Z55+01_Supuestos!$I$139,01_Supuestos!$I$140),IF(Z122&gt;01_Supuestos!$C$159,MAX(Z55-01_Supuestos!$C$160,01_Supuestos!$I$141),Z55)),Z55)</f>
        <v>0.1</v>
      </c>
      <c r="AB55" s="87" t="n">
        <f aca="false">IF($C$13="Sí",IF(AA122&lt;01_Supuestos!$I$138,MIN(AA55+01_Supuestos!$I$139,01_Supuestos!$I$140),IF(AA122&gt;01_Supuestos!$C$159,MAX(AA55-01_Supuestos!$C$160,01_Supuestos!$I$141),AA55)),AA55)</f>
        <v>0.1</v>
      </c>
      <c r="AC55" s="87" t="n">
        <f aca="false">IF($C$13="Sí",IF(AB122&lt;01_Supuestos!$I$138,MIN(AB55+01_Supuestos!$I$139,01_Supuestos!$I$140),IF(AB122&gt;01_Supuestos!$C$159,MAX(AB55-01_Supuestos!$C$160,01_Supuestos!$I$141),AB55)),AB55)</f>
        <v>0.1</v>
      </c>
      <c r="AD55" s="87" t="n">
        <f aca="false">IF($C$13="Sí",IF(AC122&lt;01_Supuestos!$I$138,MIN(AC55+01_Supuestos!$I$139,01_Supuestos!$I$140),IF(AC122&gt;01_Supuestos!$C$159,MAX(AC55-01_Supuestos!$C$160,01_Supuestos!$I$141),AC55)),AC55)</f>
        <v>0.1</v>
      </c>
      <c r="AE55" s="87" t="n">
        <f aca="false">IF($C$13="Sí",IF(AD122&lt;01_Supuestos!$I$138,MIN(AD55+01_Supuestos!$I$139,01_Supuestos!$I$140),IF(AD122&gt;01_Supuestos!$C$159,MAX(AD55-01_Supuestos!$C$160,01_Supuestos!$I$141),AD55)),AD55)</f>
        <v>0.1</v>
      </c>
      <c r="AF55" s="87" t="n">
        <f aca="false">IF($C$13="Sí",IF(AE122&lt;01_Supuestos!$I$138,MIN(AE55+01_Supuestos!$I$139,01_Supuestos!$I$140),IF(AE122&gt;01_Supuestos!$C$159,MAX(AE55-01_Supuestos!$C$160,01_Supuestos!$I$141),AE55)),AE55)</f>
        <v>0.1</v>
      </c>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row>
    <row r="56" customFormat="false" ht="15" hidden="false" customHeight="true" outlineLevel="0" collapsed="false">
      <c r="B56" s="134" t="s">
        <v>1070</v>
      </c>
      <c r="C56" s="116" t="n">
        <f aca="false">IF($C$11="Libro",C55*C54,IF(C$39&lt;=20,01_Supuestos!$I$26+(01_Supuestos!$I$27-01_Supuestos!$I$26)*(C$39-1)/19,01_Supuestos!$I$27*IF($C$6="Sí",(1+01_Supuestos!$I$9)^(C$39-20),1))*C55/0.1)</f>
        <v>1.07</v>
      </c>
      <c r="D56" s="116" t="n">
        <f aca="false">IF($C$11="Libro",D55*D54,IF(D$39&lt;=20,01_Supuestos!$I$26+(01_Supuestos!$I$27-01_Supuestos!$I$26)*(D$39-1)/19,01_Supuestos!$I$27*IF($C$6="Sí",(1+01_Supuestos!$I$9)^(D$39-20),1))*D55/0.1)</f>
        <v>1.09675</v>
      </c>
      <c r="E56" s="116" t="n">
        <f aca="false">IF($C$11="Libro",E55*E54,IF(E$39&lt;=20,01_Supuestos!$I$26+(01_Supuestos!$I$27-01_Supuestos!$I$26)*(E$39-1)/19,01_Supuestos!$I$27*IF($C$6="Sí",(1+01_Supuestos!$I$9)^(E$39-20),1))*E55/0.1)</f>
        <v>1.12416875</v>
      </c>
      <c r="F56" s="116" t="n">
        <f aca="false">IF($C$11="Libro",F55*F54,IF(F$39&lt;=20,01_Supuestos!$I$26+(01_Supuestos!$I$27-01_Supuestos!$I$26)*(F$39-1)/19,01_Supuestos!$I$27*IF($C$6="Sí",(1+01_Supuestos!$I$9)^(F$39-20),1))*F55/0.1)</f>
        <v>1.15227296875</v>
      </c>
      <c r="G56" s="116" t="n">
        <f aca="false">IF($C$11="Libro",G55*G54,IF(G$39&lt;=20,01_Supuestos!$I$26+(01_Supuestos!$I$27-01_Supuestos!$I$26)*(G$39-1)/19,01_Supuestos!$I$27*IF($C$6="Sí",(1+01_Supuestos!$I$9)^(G$39-20),1))*G55/0.1)</f>
        <v>1.18107979296875</v>
      </c>
      <c r="H56" s="116" t="n">
        <f aca="false">IF($C$11="Libro",H55*H54,IF(H$39&lt;=20,01_Supuestos!$I$26+(01_Supuestos!$I$27-01_Supuestos!$I$26)*(H$39-1)/19,01_Supuestos!$I$27*IF($C$6="Sí",(1+01_Supuestos!$I$9)^(H$39-20),1))*H55/0.1)</f>
        <v>1.21060678779297</v>
      </c>
      <c r="I56" s="116" t="n">
        <f aca="false">IF($C$11="Libro",I55*I54,IF(I$39&lt;=20,01_Supuestos!$I$26+(01_Supuestos!$I$27-01_Supuestos!$I$26)*(I$39-1)/19,01_Supuestos!$I$27*IF($C$6="Sí",(1+01_Supuestos!$I$9)^(I$39-20),1))*I55/0.1)</f>
        <v>1.24087195748779</v>
      </c>
      <c r="J56" s="116" t="n">
        <f aca="false">IF($C$11="Libro",J55*J54,IF(J$39&lt;=20,01_Supuestos!$I$26+(01_Supuestos!$I$27-01_Supuestos!$I$26)*(J$39-1)/19,01_Supuestos!$I$27*IF($C$6="Sí",(1+01_Supuestos!$I$9)^(J$39-20),1))*J55/0.1)</f>
        <v>1.27189375642499</v>
      </c>
      <c r="K56" s="116" t="n">
        <f aca="false">IF($C$11="Libro",K55*K54,IF(K$39&lt;=20,01_Supuestos!$I$26+(01_Supuestos!$I$27-01_Supuestos!$I$26)*(K$39-1)/19,01_Supuestos!$I$27*IF($C$6="Sí",(1+01_Supuestos!$I$9)^(K$39-20),1))*K55/0.1)</f>
        <v>1.30369110033561</v>
      </c>
      <c r="L56" s="116" t="n">
        <f aca="false">IF($C$11="Libro",L55*L54,IF(L$39&lt;=20,01_Supuestos!$I$26+(01_Supuestos!$I$27-01_Supuestos!$I$26)*(L$39-1)/19,01_Supuestos!$I$27*IF($C$6="Sí",(1+01_Supuestos!$I$9)^(L$39-20),1))*L55/0.1)</f>
        <v>1.336283377844</v>
      </c>
      <c r="M56" s="116" t="n">
        <f aca="false">IF($C$11="Libro",M55*M54,IF(M$39&lt;=20,01_Supuestos!$I$26+(01_Supuestos!$I$27-01_Supuestos!$I$26)*(M$39-1)/19,01_Supuestos!$I$27*IF($C$6="Sí",(1+01_Supuestos!$I$9)^(M$39-20),1))*M55/0.1)</f>
        <v>1.3696904622901</v>
      </c>
      <c r="N56" s="116" t="n">
        <f aca="false">IF($C$11="Libro",N55*N54,IF(N$39&lt;=20,01_Supuestos!$I$26+(01_Supuestos!$I$27-01_Supuestos!$I$26)*(N$39-1)/19,01_Supuestos!$I$27*IF($C$6="Sí",(1+01_Supuestos!$I$9)^(N$39-20),1))*N55/0.1)</f>
        <v>1.40393272384735</v>
      </c>
      <c r="O56" s="116" t="n">
        <f aca="false">IF($C$11="Libro",O55*O54,IF(O$39&lt;=20,01_Supuestos!$I$26+(01_Supuestos!$I$27-01_Supuestos!$I$26)*(O$39-1)/19,01_Supuestos!$I$27*IF($C$6="Sí",(1+01_Supuestos!$I$9)^(O$39-20),1))*O55/0.1)</f>
        <v>1.43903104194354</v>
      </c>
      <c r="P56" s="116" t="n">
        <f aca="false">IF($C$11="Libro",P55*P54,IF(P$39&lt;=20,01_Supuestos!$I$26+(01_Supuestos!$I$27-01_Supuestos!$I$26)*(P$39-1)/19,01_Supuestos!$I$27*IF($C$6="Sí",(1+01_Supuestos!$I$9)^(P$39-20),1))*P55/0.1)</f>
        <v>1.47500681799213</v>
      </c>
      <c r="Q56" s="116" t="n">
        <f aca="false">IF($C$11="Libro",Q55*Q54,IF(Q$39&lt;=20,01_Supuestos!$I$26+(01_Supuestos!$I$27-01_Supuestos!$I$26)*(Q$39-1)/19,01_Supuestos!$I$27*IF($C$6="Sí",(1+01_Supuestos!$I$9)^(Q$39-20),1))*Q55/0.1)</f>
        <v>1.51188198844193</v>
      </c>
      <c r="R56" s="116" t="n">
        <f aca="false">IF($C$11="Libro",R55*R54,IF(R$39&lt;=20,01_Supuestos!$I$26+(01_Supuestos!$I$27-01_Supuestos!$I$26)*(R$39-1)/19,01_Supuestos!$I$27*IF($C$6="Sí",(1+01_Supuestos!$I$9)^(R$39-20),1))*R55/0.1)</f>
        <v>1.54967903815298</v>
      </c>
      <c r="S56" s="116" t="n">
        <f aca="false">IF($C$11="Libro",S55*S54,IF(S$39&lt;=20,01_Supuestos!$I$26+(01_Supuestos!$I$27-01_Supuestos!$I$26)*(S$39-1)/19,01_Supuestos!$I$27*IF($C$6="Sí",(1+01_Supuestos!$I$9)^(S$39-20),1))*S55/0.1)</f>
        <v>1.5884210141068</v>
      </c>
      <c r="T56" s="116" t="n">
        <f aca="false">IF($C$11="Libro",T55*T54,IF(T$39&lt;=20,01_Supuestos!$I$26+(01_Supuestos!$I$27-01_Supuestos!$I$26)*(T$39-1)/19,01_Supuestos!$I$27*IF($C$6="Sí",(1+01_Supuestos!$I$9)^(T$39-20),1))*T55/0.1)</f>
        <v>1.62813153945947</v>
      </c>
      <c r="U56" s="116" t="n">
        <f aca="false">IF($C$11="Libro",U55*U54,IF(U$39&lt;=20,01_Supuestos!$I$26+(01_Supuestos!$I$27-01_Supuestos!$I$26)*(U$39-1)/19,01_Supuestos!$I$27*IF($C$6="Sí",(1+01_Supuestos!$I$9)^(U$39-20),1))*U55/0.1)</f>
        <v>1.66883482794596</v>
      </c>
      <c r="V56" s="116" t="n">
        <f aca="false">IF($C$11="Libro",V55*V54,IF(V$39&lt;=20,01_Supuestos!$I$26+(01_Supuestos!$I$27-01_Supuestos!$I$26)*(V$39-1)/19,01_Supuestos!$I$27*IF($C$6="Sí",(1+01_Supuestos!$I$9)^(V$39-20),1))*V55/0.1)</f>
        <v>1.71055569864461</v>
      </c>
      <c r="W56" s="116" t="n">
        <f aca="false">IF($C$11="Libro",W55*W54,IF(W$39&lt;=20,01_Supuestos!$I$26+(01_Supuestos!$I$27-01_Supuestos!$I$26)*(W$39-1)/19,01_Supuestos!$I$27*IF($C$6="Sí",(1+01_Supuestos!$I$9)^(W$39-20),1))*W55/0.1)</f>
        <v>1.75331959111072</v>
      </c>
      <c r="X56" s="116" t="n">
        <f aca="false">IF($C$11="Libro",X55*X54,IF(X$39&lt;=20,01_Supuestos!$I$26+(01_Supuestos!$I$27-01_Supuestos!$I$26)*(X$39-1)/19,01_Supuestos!$I$27*IF($C$6="Sí",(1+01_Supuestos!$I$9)^(X$39-20),1))*X55/0.1)</f>
        <v>1.79715258088849</v>
      </c>
      <c r="Y56" s="116" t="n">
        <f aca="false">IF($C$11="Libro",Y55*Y54,IF(Y$39&lt;=20,01_Supuestos!$I$26+(01_Supuestos!$I$27-01_Supuestos!$I$26)*(Y$39-1)/19,01_Supuestos!$I$27*IF($C$6="Sí",(1+01_Supuestos!$I$9)^(Y$39-20),1))*Y55/0.1)</f>
        <v>1.8420813954107</v>
      </c>
      <c r="Z56" s="116" t="n">
        <f aca="false">IF($C$11="Libro",Z55*Z54,IF(Z$39&lt;=20,01_Supuestos!$I$26+(01_Supuestos!$I$27-01_Supuestos!$I$26)*(Z$39-1)/19,01_Supuestos!$I$27*IF($C$6="Sí",(1+01_Supuestos!$I$9)^(Z$39-20),1))*Z55/0.1)</f>
        <v>1.88813343029597</v>
      </c>
      <c r="AA56" s="116" t="n">
        <f aca="false">IF($C$11="Libro",AA55*AA54,IF(AA$39&lt;=20,01_Supuestos!$I$26+(01_Supuestos!$I$27-01_Supuestos!$I$26)*(AA$39-1)/19,01_Supuestos!$I$27*IF($C$6="Sí",(1+01_Supuestos!$I$9)^(AA$39-20),1))*AA55/0.1)</f>
        <v>1.93533676605337</v>
      </c>
      <c r="AB56" s="116" t="n">
        <f aca="false">IF($C$11="Libro",AB55*AB54,IF(AB$39&lt;=20,01_Supuestos!$I$26+(01_Supuestos!$I$27-01_Supuestos!$I$26)*(AB$39-1)/19,01_Supuestos!$I$27*IF($C$6="Sí",(1+01_Supuestos!$I$9)^(AB$39-20),1))*AB55/0.1)</f>
        <v>1.9837201852047</v>
      </c>
      <c r="AC56" s="116" t="n">
        <f aca="false">IF($C$11="Libro",AC55*AC54,IF(AC$39&lt;=20,01_Supuestos!$I$26+(01_Supuestos!$I$27-01_Supuestos!$I$26)*(AC$39-1)/19,01_Supuestos!$I$27*IF($C$6="Sí",(1+01_Supuestos!$I$9)^(AC$39-20),1))*AC55/0.1)</f>
        <v>2.03331318983482</v>
      </c>
      <c r="AD56" s="116" t="n">
        <f aca="false">IF($C$11="Libro",AD55*AD54,IF(AD$39&lt;=20,01_Supuestos!$I$26+(01_Supuestos!$I$27-01_Supuestos!$I$26)*(AD$39-1)/19,01_Supuestos!$I$27*IF($C$6="Sí",(1+01_Supuestos!$I$9)^(AD$39-20),1))*AD55/0.1)</f>
        <v>2.08414601958069</v>
      </c>
      <c r="AE56" s="116" t="n">
        <f aca="false">IF($C$11="Libro",AE55*AE54,IF(AE$39&lt;=20,01_Supuestos!$I$26+(01_Supuestos!$I$27-01_Supuestos!$I$26)*(AE$39-1)/19,01_Supuestos!$I$27*IF($C$6="Sí",(1+01_Supuestos!$I$9)^(AE$39-20),1))*AE55/0.1)</f>
        <v>2.13624967007021</v>
      </c>
      <c r="AF56" s="116" t="n">
        <f aca="false">IF($C$11="Libro",AF55*AF54,IF(AF$39&lt;=20,01_Supuestos!$I$26+(01_Supuestos!$I$27-01_Supuestos!$I$26)*(AF$39-1)/19,01_Supuestos!$I$27*IF($C$6="Sí",(1+01_Supuestos!$I$9)^(AF$39-20),1))*AF55/0.1)</f>
        <v>2.18965591182196</v>
      </c>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row>
    <row r="57" customFormat="false" ht="15" hidden="false" customHeight="true" outlineLevel="0" collapsed="false">
      <c r="B57" s="134" t="s">
        <v>1071</v>
      </c>
      <c r="C57" s="116" t="n">
        <f aca="false">IF(C$39&lt;=01_Supuestos!$I$29,MIN(C50,C53+C56),0)</f>
        <v>0</v>
      </c>
      <c r="D57" s="116" t="n">
        <f aca="false">IF(D$39&lt;=01_Supuestos!$I$29,MIN(D50,D53+D56),0)</f>
        <v>0</v>
      </c>
      <c r="E57" s="116" t="n">
        <f aca="false">IF(E$39&lt;=01_Supuestos!$I$29,MIN(E50,E53+E56),0)</f>
        <v>0</v>
      </c>
      <c r="F57" s="116" t="n">
        <f aca="false">IF(F$39&lt;=01_Supuestos!$I$29,MIN(F50,F53+F56),0)</f>
        <v>4.33152314191</v>
      </c>
      <c r="G57" s="116" t="n">
        <f aca="false">IF(G$39&lt;=01_Supuestos!$I$29,MIN(G50,G53+G56),0)</f>
        <v>4.33152314191</v>
      </c>
      <c r="H57" s="116" t="n">
        <f aca="false">IF(H$39&lt;=01_Supuestos!$I$29,MIN(H50,H53+H56),0)</f>
        <v>4.33152314191</v>
      </c>
      <c r="I57" s="116" t="n">
        <f aca="false">IF(I$39&lt;=01_Supuestos!$I$29,MIN(I50,I53+I56),0)</f>
        <v>4.33152314191</v>
      </c>
      <c r="J57" s="116" t="n">
        <f aca="false">IF(J$39&lt;=01_Supuestos!$I$29,MIN(J50,J53+J56),0)</f>
        <v>4.33152314191</v>
      </c>
      <c r="K57" s="116" t="n">
        <f aca="false">IF(K$39&lt;=01_Supuestos!$I$29,MIN(K50,K53+K56),0)</f>
        <v>4.33152314191</v>
      </c>
      <c r="L57" s="116" t="n">
        <f aca="false">IF(L$39&lt;=01_Supuestos!$I$29,MIN(L50,L53+L56),0)</f>
        <v>4.33152314191</v>
      </c>
      <c r="M57" s="116" t="n">
        <f aca="false">IF(M$39&lt;=01_Supuestos!$I$29,MIN(M50,M53+M56),0)</f>
        <v>0</v>
      </c>
      <c r="N57" s="116" t="n">
        <f aca="false">IF(N$39&lt;=01_Supuestos!$I$29,MIN(N50,N53+N56),0)</f>
        <v>0</v>
      </c>
      <c r="O57" s="116" t="n">
        <f aca="false">IF(O$39&lt;=01_Supuestos!$I$29,MIN(O50,O53+O56),0)</f>
        <v>0</v>
      </c>
      <c r="P57" s="116" t="n">
        <f aca="false">IF(P$39&lt;=01_Supuestos!$I$29,MIN(P50,P53+P56),0)</f>
        <v>0</v>
      </c>
      <c r="Q57" s="116" t="n">
        <f aca="false">IF(Q$39&lt;=01_Supuestos!$I$29,MIN(Q50,Q53+Q56),0)</f>
        <v>0</v>
      </c>
      <c r="R57" s="116" t="n">
        <f aca="false">IF(R$39&lt;=01_Supuestos!$I$29,MIN(R50,R53+R56),0)</f>
        <v>0</v>
      </c>
      <c r="S57" s="116" t="n">
        <f aca="false">IF(S$39&lt;=01_Supuestos!$I$29,MIN(S50,S53+S56),0)</f>
        <v>0</v>
      </c>
      <c r="T57" s="116" t="n">
        <f aca="false">IF(T$39&lt;=01_Supuestos!$I$29,MIN(T50,T53+T56),0)</f>
        <v>0</v>
      </c>
      <c r="U57" s="116" t="n">
        <f aca="false">IF(U$39&lt;=01_Supuestos!$I$29,MIN(U50,U53+U56),0)</f>
        <v>0</v>
      </c>
      <c r="V57" s="116" t="n">
        <f aca="false">IF(V$39&lt;=01_Supuestos!$I$29,MIN(V50,V53+V56),0)</f>
        <v>0</v>
      </c>
      <c r="W57" s="116" t="n">
        <f aca="false">IF(W$39&lt;=01_Supuestos!$I$29,MIN(W50,W53+W56),0)</f>
        <v>0</v>
      </c>
      <c r="X57" s="116" t="n">
        <f aca="false">IF(X$39&lt;=01_Supuestos!$I$29,MIN(X50,X53+X56),0)</f>
        <v>0</v>
      </c>
      <c r="Y57" s="116" t="n">
        <f aca="false">IF(Y$39&lt;=01_Supuestos!$I$29,MIN(Y50,Y53+Y56),0)</f>
        <v>0</v>
      </c>
      <c r="Z57" s="116" t="n">
        <f aca="false">IF(Z$39&lt;=01_Supuestos!$I$29,MIN(Z50,Z53+Z56),0)</f>
        <v>0</v>
      </c>
      <c r="AA57" s="116" t="n">
        <f aca="false">IF(AA$39&lt;=01_Supuestos!$I$29,MIN(AA50,AA53+AA56),0)</f>
        <v>0</v>
      </c>
      <c r="AB57" s="116" t="n">
        <f aca="false">IF(AB$39&lt;=01_Supuestos!$I$29,MIN(AB50,AB53+AB56),0)</f>
        <v>0</v>
      </c>
      <c r="AC57" s="116" t="n">
        <f aca="false">IF(AC$39&lt;=01_Supuestos!$I$29,MIN(AC50,AC53+AC56),0)</f>
        <v>0</v>
      </c>
      <c r="AD57" s="116" t="n">
        <f aca="false">IF(AD$39&lt;=01_Supuestos!$I$29,MIN(AD50,AD53+AD56),0)</f>
        <v>0</v>
      </c>
      <c r="AE57" s="116" t="n">
        <f aca="false">IF(AE$39&lt;=01_Supuestos!$I$29,MIN(AE50,AE53+AE56),0)</f>
        <v>0</v>
      </c>
      <c r="AF57" s="116" t="n">
        <f aca="false">IF(AF$39&lt;=01_Supuestos!$I$29,MIN(AF50,AF53+AF56),0)</f>
        <v>0</v>
      </c>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row>
    <row r="58" customFormat="false" ht="15" hidden="false" customHeight="true" outlineLevel="0" collapsed="false">
      <c r="B58" s="135" t="s">
        <v>1072</v>
      </c>
      <c r="C58" s="116" t="n">
        <f aca="false">01_Supuestos!$I$144*((1+$C$27)*(1+$C$28))^(C$39-1)</f>
        <v>0.08</v>
      </c>
      <c r="D58" s="116" t="n">
        <f aca="false">01_Supuestos!$I$144*((1+$C$27)*(1+$C$28))^(D$39-1)</f>
        <v>0.082824</v>
      </c>
      <c r="E58" s="116" t="n">
        <f aca="false">01_Supuestos!$I$144*((1+$C$27)*(1+$C$28))^(E$39-1)</f>
        <v>0.0857476872</v>
      </c>
      <c r="F58" s="116" t="n">
        <f aca="false">01_Supuestos!$I$144*((1+$C$27)*(1+$C$28))^(F$39-1)</f>
        <v>0.08877458055816</v>
      </c>
      <c r="G58" s="116" t="n">
        <f aca="false">01_Supuestos!$I$144*((1+$C$27)*(1+$C$28))^(G$39-1)</f>
        <v>0.091908323251863</v>
      </c>
      <c r="H58" s="116" t="n">
        <f aca="false">01_Supuestos!$I$144*((1+$C$27)*(1+$C$28))^(H$39-1)</f>
        <v>0.0951526870626538</v>
      </c>
      <c r="I58" s="116" t="n">
        <f aca="false">01_Supuestos!$I$144*((1+$C$27)*(1+$C$28))^(I$39-1)</f>
        <v>0.0985115769159654</v>
      </c>
      <c r="J58" s="116" t="n">
        <f aca="false">01_Supuestos!$I$144*((1+$C$27)*(1+$C$28))^(J$39-1)</f>
        <v>0.101989035581099</v>
      </c>
      <c r="K58" s="116" t="n">
        <f aca="false">01_Supuestos!$I$144*((1+$C$27)*(1+$C$28))^(K$39-1)</f>
        <v>0.105589248537112</v>
      </c>
      <c r="L58" s="116" t="n">
        <f aca="false">01_Supuestos!$I$144*((1+$C$27)*(1+$C$28))^(L$39-1)</f>
        <v>0.109316549010472</v>
      </c>
      <c r="M58" s="116" t="n">
        <f aca="false">01_Supuestos!$I$144*((1+$C$27)*(1+$C$28))^(M$39-1)</f>
        <v>0.113175423190541</v>
      </c>
      <c r="N58" s="116" t="n">
        <f aca="false">01_Supuestos!$I$144*((1+$C$27)*(1+$C$28))^(N$39-1)</f>
        <v>0.117170515629168</v>
      </c>
      <c r="O58" s="116" t="n">
        <f aca="false">01_Supuestos!$I$144*((1+$C$27)*(1+$C$28))^(O$39-1)</f>
        <v>0.121306634830877</v>
      </c>
      <c r="P58" s="116" t="n">
        <f aca="false">01_Supuestos!$I$144*((1+$C$27)*(1+$C$28))^(P$39-1)</f>
        <v>0.125588759040407</v>
      </c>
      <c r="Q58" s="116" t="n">
        <f aca="false">01_Supuestos!$I$144*((1+$C$27)*(1+$C$28))^(Q$39-1)</f>
        <v>0.130022042234533</v>
      </c>
      <c r="R58" s="116" t="n">
        <f aca="false">01_Supuestos!$I$144*((1+$C$27)*(1+$C$28))^(R$39-1)</f>
        <v>0.134611820325413</v>
      </c>
      <c r="S58" s="116" t="n">
        <f aca="false">01_Supuestos!$I$144*((1+$C$27)*(1+$C$28))^(S$39-1)</f>
        <v>0.1393636175829</v>
      </c>
      <c r="T58" s="116" t="n">
        <f aca="false">01_Supuestos!$I$144*((1+$C$27)*(1+$C$28))^(T$39-1)</f>
        <v>0.144283153283576</v>
      </c>
      <c r="U58" s="116" t="n">
        <f aca="false">01_Supuestos!$I$144*((1+$C$27)*(1+$C$28))^(U$39-1)</f>
        <v>0.149376348594486</v>
      </c>
      <c r="V58" s="116" t="n">
        <f aca="false">01_Supuestos!$I$144*((1+$C$27)*(1+$C$28))^(V$39-1)</f>
        <v>0.154649333699871</v>
      </c>
      <c r="W58" s="116" t="n">
        <f aca="false">01_Supuestos!$I$144*((1+$C$27)*(1+$C$28))^(W$39-1)</f>
        <v>0.160108455179477</v>
      </c>
      <c r="X58" s="116" t="n">
        <f aca="false">01_Supuestos!$I$144*((1+$C$27)*(1+$C$28))^(X$39-1)</f>
        <v>0.165760283647312</v>
      </c>
      <c r="Y58" s="116" t="n">
        <f aca="false">01_Supuestos!$I$144*((1+$C$27)*(1+$C$28))^(Y$39-1)</f>
        <v>0.171611621660063</v>
      </c>
      <c r="Z58" s="116" t="n">
        <f aca="false">01_Supuestos!$I$144*((1+$C$27)*(1+$C$28))^(Z$39-1)</f>
        <v>0.177669511904663</v>
      </c>
      <c r="AA58" s="116" t="n">
        <f aca="false">01_Supuestos!$I$144*((1+$C$27)*(1+$C$28))^(AA$39-1)</f>
        <v>0.183941245674897</v>
      </c>
      <c r="AB58" s="116" t="n">
        <f aca="false">01_Supuestos!$I$144*((1+$C$27)*(1+$C$28))^(AB$39-1)</f>
        <v>0.190434371647221</v>
      </c>
      <c r="AC58" s="116" t="n">
        <f aca="false">01_Supuestos!$I$144*((1+$C$27)*(1+$C$28))^(AC$39-1)</f>
        <v>0.197156704966368</v>
      </c>
      <c r="AD58" s="116" t="n">
        <f aca="false">01_Supuestos!$I$144*((1+$C$27)*(1+$C$28))^(AD$39-1)</f>
        <v>0.204116336651681</v>
      </c>
      <c r="AE58" s="116" t="n">
        <f aca="false">01_Supuestos!$I$144*((1+$C$27)*(1+$C$28))^(AE$39-1)</f>
        <v>0.211321643335485</v>
      </c>
      <c r="AF58" s="116" t="n">
        <f aca="false">01_Supuestos!$I$144*((1+$C$27)*(1+$C$28))^(AF$39-1)</f>
        <v>0.218781297345228</v>
      </c>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row>
    <row r="59" customFormat="false" ht="15" hidden="false" customHeight="true" outlineLevel="0" collapsed="false">
      <c r="B59" s="135" t="s">
        <v>696</v>
      </c>
      <c r="C59" s="116" t="n">
        <f aca="false">01_Supuestos!$I$62*01_Supuestos!$I$30*12/1000000000000*IF(C$39&lt;5,0,IF(C$39&gt;=30,01_Supuestos!$I$150,(C$39-5)/25*01_Supuestos!$I$150))</f>
        <v>0</v>
      </c>
      <c r="D59" s="116" t="n">
        <f aca="false">01_Supuestos!$I$62*01_Supuestos!$I$30*12/1000000000000*IF(D$39&lt;5,0,IF(D$39&gt;=30,01_Supuestos!$I$150,(D$39-5)/25*01_Supuestos!$I$150))</f>
        <v>0</v>
      </c>
      <c r="E59" s="116" t="n">
        <f aca="false">01_Supuestos!$I$62*01_Supuestos!$I$30*12/1000000000000*IF(E$39&lt;5,0,IF(E$39&gt;=30,01_Supuestos!$I$150,(E$39-5)/25*01_Supuestos!$I$150))</f>
        <v>0</v>
      </c>
      <c r="F59" s="116" t="n">
        <f aca="false">01_Supuestos!$I$62*01_Supuestos!$I$30*12/1000000000000*IF(F$39&lt;5,0,IF(F$39&gt;=30,01_Supuestos!$I$150,(F$39-5)/25*01_Supuestos!$I$150))</f>
        <v>0</v>
      </c>
      <c r="G59" s="116" t="n">
        <f aca="false">01_Supuestos!$I$62*01_Supuestos!$I$30*12/1000000000000*IF(G$39&lt;5,0,IF(G$39&gt;=30,01_Supuestos!$I$150,(G$39-5)/25*01_Supuestos!$I$150))</f>
        <v>0</v>
      </c>
      <c r="H59" s="116" t="n">
        <f aca="false">01_Supuestos!$I$62*01_Supuestos!$I$30*12/1000000000000*IF(H$39&lt;5,0,IF(H$39&gt;=30,01_Supuestos!$I$150,(H$39-5)/25*01_Supuestos!$I$150))</f>
        <v>0</v>
      </c>
      <c r="I59" s="116" t="n">
        <f aca="false">01_Supuestos!$I$62*01_Supuestos!$I$30*12/1000000000000*IF(I$39&lt;5,0,IF(I$39&gt;=30,01_Supuestos!$I$150,(I$39-5)/25*01_Supuestos!$I$150))</f>
        <v>0</v>
      </c>
      <c r="J59" s="116" t="n">
        <f aca="false">01_Supuestos!$I$62*01_Supuestos!$I$30*12/1000000000000*IF(J$39&lt;5,0,IF(J$39&gt;=30,01_Supuestos!$I$150,(J$39-5)/25*01_Supuestos!$I$150))</f>
        <v>0</v>
      </c>
      <c r="K59" s="116" t="n">
        <f aca="false">01_Supuestos!$I$62*01_Supuestos!$I$30*12/1000000000000*IF(K$39&lt;5,0,IF(K$39&gt;=30,01_Supuestos!$I$150,(K$39-5)/25*01_Supuestos!$I$150))</f>
        <v>0</v>
      </c>
      <c r="L59" s="116" t="n">
        <f aca="false">01_Supuestos!$I$62*01_Supuestos!$I$30*12/1000000000000*IF(L$39&lt;5,0,IF(L$39&gt;=30,01_Supuestos!$I$150,(L$39-5)/25*01_Supuestos!$I$150))</f>
        <v>0</v>
      </c>
      <c r="M59" s="116" t="n">
        <f aca="false">01_Supuestos!$I$62*01_Supuestos!$I$30*12/1000000000000*IF(M$39&lt;5,0,IF(M$39&gt;=30,01_Supuestos!$I$150,(M$39-5)/25*01_Supuestos!$I$150))</f>
        <v>0</v>
      </c>
      <c r="N59" s="116" t="n">
        <f aca="false">01_Supuestos!$I$62*01_Supuestos!$I$30*12/1000000000000*IF(N$39&lt;5,0,IF(N$39&gt;=30,01_Supuestos!$I$150,(N$39-5)/25*01_Supuestos!$I$150))</f>
        <v>0</v>
      </c>
      <c r="O59" s="116" t="n">
        <f aca="false">01_Supuestos!$I$62*01_Supuestos!$I$30*12/1000000000000*IF(O$39&lt;5,0,IF(O$39&gt;=30,01_Supuestos!$I$150,(O$39-5)/25*01_Supuestos!$I$150))</f>
        <v>0</v>
      </c>
      <c r="P59" s="116" t="n">
        <f aca="false">01_Supuestos!$I$62*01_Supuestos!$I$30*12/1000000000000*IF(P$39&lt;5,0,IF(P$39&gt;=30,01_Supuestos!$I$150,(P$39-5)/25*01_Supuestos!$I$150))</f>
        <v>0</v>
      </c>
      <c r="Q59" s="116" t="n">
        <f aca="false">01_Supuestos!$I$62*01_Supuestos!$I$30*12/1000000000000*IF(Q$39&lt;5,0,IF(Q$39&gt;=30,01_Supuestos!$I$150,(Q$39-5)/25*01_Supuestos!$I$150))</f>
        <v>0</v>
      </c>
      <c r="R59" s="116" t="n">
        <f aca="false">01_Supuestos!$I$62*01_Supuestos!$I$30*12/1000000000000*IF(R$39&lt;5,0,IF(R$39&gt;=30,01_Supuestos!$I$150,(R$39-5)/25*01_Supuestos!$I$150))</f>
        <v>0</v>
      </c>
      <c r="S59" s="116" t="n">
        <f aca="false">01_Supuestos!$I$62*01_Supuestos!$I$30*12/1000000000000*IF(S$39&lt;5,0,IF(S$39&gt;=30,01_Supuestos!$I$150,(S$39-5)/25*01_Supuestos!$I$150))</f>
        <v>0</v>
      </c>
      <c r="T59" s="116" t="n">
        <f aca="false">01_Supuestos!$I$62*01_Supuestos!$I$30*12/1000000000000*IF(T$39&lt;5,0,IF(T$39&gt;=30,01_Supuestos!$I$150,(T$39-5)/25*01_Supuestos!$I$150))</f>
        <v>0</v>
      </c>
      <c r="U59" s="116" t="n">
        <f aca="false">01_Supuestos!$I$62*01_Supuestos!$I$30*12/1000000000000*IF(U$39&lt;5,0,IF(U$39&gt;=30,01_Supuestos!$I$150,(U$39-5)/25*01_Supuestos!$I$150))</f>
        <v>0</v>
      </c>
      <c r="V59" s="116" t="n">
        <f aca="false">01_Supuestos!$I$62*01_Supuestos!$I$30*12/1000000000000*IF(V$39&lt;5,0,IF(V$39&gt;=30,01_Supuestos!$I$150,(V$39-5)/25*01_Supuestos!$I$150))</f>
        <v>0</v>
      </c>
      <c r="W59" s="116" t="n">
        <f aca="false">01_Supuestos!$I$62*01_Supuestos!$I$30*12/1000000000000*IF(W$39&lt;5,0,IF(W$39&gt;=30,01_Supuestos!$I$150,(W$39-5)/25*01_Supuestos!$I$150))</f>
        <v>0</v>
      </c>
      <c r="X59" s="116" t="n">
        <f aca="false">01_Supuestos!$I$62*01_Supuestos!$I$30*12/1000000000000*IF(X$39&lt;5,0,IF(X$39&gt;=30,01_Supuestos!$I$150,(X$39-5)/25*01_Supuestos!$I$150))</f>
        <v>0</v>
      </c>
      <c r="Y59" s="116" t="n">
        <f aca="false">01_Supuestos!$I$62*01_Supuestos!$I$30*12/1000000000000*IF(Y$39&lt;5,0,IF(Y$39&gt;=30,01_Supuestos!$I$150,(Y$39-5)/25*01_Supuestos!$I$150))</f>
        <v>0</v>
      </c>
      <c r="Z59" s="116" t="n">
        <f aca="false">01_Supuestos!$I$62*01_Supuestos!$I$30*12/1000000000000*IF(Z$39&lt;5,0,IF(Z$39&gt;=30,01_Supuestos!$I$150,(Z$39-5)/25*01_Supuestos!$I$150))</f>
        <v>0</v>
      </c>
      <c r="AA59" s="116" t="n">
        <f aca="false">01_Supuestos!$I$62*01_Supuestos!$I$30*12/1000000000000*IF(AA$39&lt;5,0,IF(AA$39&gt;=30,01_Supuestos!$I$150,(AA$39-5)/25*01_Supuestos!$I$150))</f>
        <v>0</v>
      </c>
      <c r="AB59" s="116" t="n">
        <f aca="false">01_Supuestos!$I$62*01_Supuestos!$I$30*12/1000000000000*IF(AB$39&lt;5,0,IF(AB$39&gt;=30,01_Supuestos!$I$150,(AB$39-5)/25*01_Supuestos!$I$150))</f>
        <v>0</v>
      </c>
      <c r="AC59" s="116" t="n">
        <f aca="false">01_Supuestos!$I$62*01_Supuestos!$I$30*12/1000000000000*IF(AC$39&lt;5,0,IF(AC$39&gt;=30,01_Supuestos!$I$150,(AC$39-5)/25*01_Supuestos!$I$150))</f>
        <v>0</v>
      </c>
      <c r="AD59" s="116" t="n">
        <f aca="false">01_Supuestos!$I$62*01_Supuestos!$I$30*12/1000000000000*IF(AD$39&lt;5,0,IF(AD$39&gt;=30,01_Supuestos!$I$150,(AD$39-5)/25*01_Supuestos!$I$150))</f>
        <v>0</v>
      </c>
      <c r="AE59" s="116" t="n">
        <f aca="false">01_Supuestos!$I$62*01_Supuestos!$I$30*12/1000000000000*IF(AE$39&lt;5,0,IF(AE$39&gt;=30,01_Supuestos!$I$150,(AE$39-5)/25*01_Supuestos!$I$150))</f>
        <v>0</v>
      </c>
      <c r="AF59" s="116" t="n">
        <f aca="false">01_Supuestos!$I$62*01_Supuestos!$I$30*12/1000000000000*IF(AF$39&lt;5,0,IF(AF$39&gt;=30,01_Supuestos!$I$150,(AF$39-5)/25*01_Supuestos!$I$150))</f>
        <v>0</v>
      </c>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row>
    <row r="60" customFormat="false" ht="15" hidden="false" customHeight="true" outlineLevel="0" collapsed="false">
      <c r="B60" s="135" t="s">
        <v>1073</v>
      </c>
      <c r="C60" s="116" t="n">
        <f aca="false">$C$30*(01_Supuestos!$I$147+C59)</f>
        <v>0</v>
      </c>
      <c r="D60" s="116" t="n">
        <f aca="false">$C$30*(01_Supuestos!$I$147+D59)</f>
        <v>0</v>
      </c>
      <c r="E60" s="116" t="n">
        <f aca="false">$C$30*(01_Supuestos!$I$147+E59)</f>
        <v>0</v>
      </c>
      <c r="F60" s="116" t="n">
        <f aca="false">$C$30*(01_Supuestos!$I$147+F59)</f>
        <v>0</v>
      </c>
      <c r="G60" s="116" t="n">
        <f aca="false">$C$30*(01_Supuestos!$I$147+G59)</f>
        <v>0</v>
      </c>
      <c r="H60" s="116" t="n">
        <f aca="false">$C$30*(01_Supuestos!$I$147+H59)</f>
        <v>0</v>
      </c>
      <c r="I60" s="116" t="n">
        <f aca="false">$C$30*(01_Supuestos!$I$147+I59)</f>
        <v>0</v>
      </c>
      <c r="J60" s="116" t="n">
        <f aca="false">$C$30*(01_Supuestos!$I$147+J59)</f>
        <v>0</v>
      </c>
      <c r="K60" s="116" t="n">
        <f aca="false">$C$30*(01_Supuestos!$I$147+K59)</f>
        <v>0</v>
      </c>
      <c r="L60" s="116" t="n">
        <f aca="false">$C$30*(01_Supuestos!$I$147+L59)</f>
        <v>0</v>
      </c>
      <c r="M60" s="116" t="n">
        <f aca="false">$C$30*(01_Supuestos!$I$147+M59)</f>
        <v>0</v>
      </c>
      <c r="N60" s="116" t="n">
        <f aca="false">$C$30*(01_Supuestos!$I$147+N59)</f>
        <v>0</v>
      </c>
      <c r="O60" s="116" t="n">
        <f aca="false">$C$30*(01_Supuestos!$I$147+O59)</f>
        <v>0</v>
      </c>
      <c r="P60" s="116" t="n">
        <f aca="false">$C$30*(01_Supuestos!$I$147+P59)</f>
        <v>0</v>
      </c>
      <c r="Q60" s="116" t="n">
        <f aca="false">$C$30*(01_Supuestos!$I$147+Q59)</f>
        <v>0</v>
      </c>
      <c r="R60" s="116" t="n">
        <f aca="false">$C$30*(01_Supuestos!$I$147+R59)</f>
        <v>0</v>
      </c>
      <c r="S60" s="116" t="n">
        <f aca="false">$C$30*(01_Supuestos!$I$147+S59)</f>
        <v>0</v>
      </c>
      <c r="T60" s="116" t="n">
        <f aca="false">$C$30*(01_Supuestos!$I$147+T59)</f>
        <v>0</v>
      </c>
      <c r="U60" s="116" t="n">
        <f aca="false">$C$30*(01_Supuestos!$I$147+U59)</f>
        <v>0</v>
      </c>
      <c r="V60" s="116" t="n">
        <f aca="false">$C$30*(01_Supuestos!$I$147+V59)</f>
        <v>0</v>
      </c>
      <c r="W60" s="116" t="n">
        <f aca="false">$C$30*(01_Supuestos!$I$147+W59)</f>
        <v>0</v>
      </c>
      <c r="X60" s="116" t="n">
        <f aca="false">$C$30*(01_Supuestos!$I$147+X59)</f>
        <v>0</v>
      </c>
      <c r="Y60" s="116" t="n">
        <f aca="false">$C$30*(01_Supuestos!$I$147+Y59)</f>
        <v>0</v>
      </c>
      <c r="Z60" s="116" t="n">
        <f aca="false">$C$30*(01_Supuestos!$I$147+Z59)</f>
        <v>0</v>
      </c>
      <c r="AA60" s="116" t="n">
        <f aca="false">$C$30*(01_Supuestos!$I$147+AA59)</f>
        <v>0</v>
      </c>
      <c r="AB60" s="116" t="n">
        <f aca="false">$C$30*(01_Supuestos!$I$147+AB59)</f>
        <v>0</v>
      </c>
      <c r="AC60" s="116" t="n">
        <f aca="false">$C$30*(01_Supuestos!$I$147+AC59)</f>
        <v>0</v>
      </c>
      <c r="AD60" s="116" t="n">
        <f aca="false">$C$30*(01_Supuestos!$I$147+AD59)</f>
        <v>0</v>
      </c>
      <c r="AE60" s="116" t="n">
        <f aca="false">$C$30*(01_Supuestos!$I$147+AE59)</f>
        <v>0</v>
      </c>
      <c r="AF60" s="116" t="n">
        <f aca="false">$C$30*(01_Supuestos!$I$147+AF59)</f>
        <v>0</v>
      </c>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row>
    <row r="61" customFormat="false" ht="15" hidden="false" customHeight="true" outlineLevel="0" collapsed="false">
      <c r="B61" s="132" t="s">
        <v>1074</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row>
    <row r="62" customFormat="false" ht="15" hidden="false" customHeight="true" outlineLevel="0" collapsed="false">
      <c r="B62" s="135" t="s">
        <v>1075</v>
      </c>
      <c r="C62" s="116" t="n">
        <f aca="false">IF($C$25="Verificado",0+IF(C$39=4,01_Supuestos!$I$88*01_Supuestos!$I$89/1000000000000,0)+C345-C63,0)</f>
        <v>0</v>
      </c>
      <c r="D62" s="116" t="n">
        <f aca="false">IF($C$25="Verificado",C62+IF(D$39=4,01_Supuestos!$I$88*01_Supuestos!$I$89/1000000000000,0)+D345-D63,0)</f>
        <v>0</v>
      </c>
      <c r="E62" s="116" t="n">
        <f aca="false">IF($C$25="Verificado",D62+IF(E$39=4,01_Supuestos!$I$88*01_Supuestos!$I$89/1000000000000,0)+E345-E63,0)</f>
        <v>0</v>
      </c>
      <c r="F62" s="116" t="n">
        <f aca="false">IF($C$25="Verificado",E62+IF(F$39=4,01_Supuestos!$I$88*01_Supuestos!$I$89/1000000000000,0)+F345-F63,0)</f>
        <v>27.686286</v>
      </c>
      <c r="G62" s="116" t="n">
        <f aca="false">IF($C$25="Verificado",F62+IF(G$39=4,01_Supuestos!$I$88*01_Supuestos!$I$89/1000000000000,0)+G345-G63,0)</f>
        <v>27.4364577</v>
      </c>
      <c r="H62" s="116" t="n">
        <f aca="false">IF($C$25="Verificado",G62+IF(H$39=4,01_Supuestos!$I$88*01_Supuestos!$I$89/1000000000000,0)+H345-H63,0)</f>
        <v>27.199120815</v>
      </c>
      <c r="I62" s="116" t="n">
        <f aca="false">IF($C$25="Verificado",H62+IF(I$39=4,01_Supuestos!$I$88*01_Supuestos!$I$89/1000000000000,0)+I345-I63,0)</f>
        <v>26.97365077425</v>
      </c>
      <c r="J62" s="116" t="n">
        <f aca="false">IF($C$25="Verificado",I62+IF(J$39=4,01_Supuestos!$I$88*01_Supuestos!$I$89/1000000000000,0)+J345-J63,0)</f>
        <v>26.7594542355375</v>
      </c>
      <c r="K62" s="116" t="n">
        <f aca="false">IF($C$25="Verificado",J62+IF(K$39=4,01_Supuestos!$I$88*01_Supuestos!$I$89/1000000000000,0)+K345-K63,0)</f>
        <v>26.5559675237606</v>
      </c>
      <c r="L62" s="116" t="n">
        <f aca="false">IF($C$25="Verificado",K62+IF(L$39=4,01_Supuestos!$I$88*01_Supuestos!$I$89/1000000000000,0)+L345-L63,0)</f>
        <v>26.3626551475726</v>
      </c>
      <c r="M62" s="116" t="n">
        <f aca="false">IF($C$25="Verificado",L62+IF(M$39=4,01_Supuestos!$I$88*01_Supuestos!$I$89/1000000000000,0)+M345-M63,0)</f>
        <v>26.179008390194</v>
      </c>
      <c r="N62" s="116" t="n">
        <f aca="false">IF($C$25="Verificado",M62+IF(N$39=4,01_Supuestos!$I$88*01_Supuestos!$I$89/1000000000000,0)+N345-N63,0)</f>
        <v>26.0045439706843</v>
      </c>
      <c r="O62" s="116" t="n">
        <f aca="false">IF($C$25="Verificado",N62+IF(O$39=4,01_Supuestos!$I$88*01_Supuestos!$I$89/1000000000000,0)+O345-O63,0)</f>
        <v>25.83880277215</v>
      </c>
      <c r="P62" s="116" t="n">
        <f aca="false">IF($C$25="Verificado",O62+IF(P$39=4,01_Supuestos!$I$88*01_Supuestos!$I$89/1000000000000,0)+P345-P63,0)</f>
        <v>25.6813486335425</v>
      </c>
      <c r="Q62" s="116" t="n">
        <f aca="false">IF($C$25="Verificado",P62+IF(Q$39=4,01_Supuestos!$I$88*01_Supuestos!$I$89/1000000000000,0)+Q345-Q63,0)</f>
        <v>25.5317672018654</v>
      </c>
      <c r="R62" s="116" t="n">
        <f aca="false">IF($C$25="Verificado",Q62+IF(R$39=4,01_Supuestos!$I$88*01_Supuestos!$I$89/1000000000000,0)+R345-R63,0)</f>
        <v>25.3896648417721</v>
      </c>
      <c r="S62" s="116" t="n">
        <f aca="false">IF($C$25="Verificado",R62+IF(S$39=4,01_Supuestos!$I$88*01_Supuestos!$I$89/1000000000000,0)+S345-S63,0)</f>
        <v>25.2546675996835</v>
      </c>
      <c r="T62" s="116" t="n">
        <f aca="false">IF($C$25="Verificado",S62+IF(T$39=4,01_Supuestos!$I$88*01_Supuestos!$I$89/1000000000000,0)+T345-T63,0)</f>
        <v>25.1264202196994</v>
      </c>
      <c r="U62" s="116" t="n">
        <f aca="false">IF($C$25="Verificado",T62+IF(U$39=4,01_Supuestos!$I$88*01_Supuestos!$I$89/1000000000000,0)+U345-U63,0)</f>
        <v>25.0045852087144</v>
      </c>
      <c r="V62" s="116" t="n">
        <f aca="false">IF($C$25="Verificado",U62+IF(V$39=4,01_Supuestos!$I$88*01_Supuestos!$I$89/1000000000000,0)+V345-V63,0)</f>
        <v>24.8888419482787</v>
      </c>
      <c r="W62" s="116" t="n">
        <f aca="false">IF($C$25="Verificado",V62+IF(W$39=4,01_Supuestos!$I$88*01_Supuestos!$I$89/1000000000000,0)+W345-W63,0)</f>
        <v>24.7788858508647</v>
      </c>
      <c r="X62" s="116" t="n">
        <f aca="false">IF($C$25="Verificado",W62+IF(X$39=4,01_Supuestos!$I$88*01_Supuestos!$I$89/1000000000000,0)+X345-X63,0)</f>
        <v>24.6744275583215</v>
      </c>
      <c r="Y62" s="116" t="n">
        <f aca="false">IF($C$25="Verificado",X62+IF(Y$39=4,01_Supuestos!$I$88*01_Supuestos!$I$89/1000000000000,0)+Y345-Y63,0)</f>
        <v>24.5751921804054</v>
      </c>
      <c r="Z62" s="116" t="n">
        <f aca="false">IF($C$25="Verificado",Y62+IF(Z$39=4,01_Supuestos!$I$88*01_Supuestos!$I$89/1000000000000,0)+Z345-Z63,0)</f>
        <v>24.4809185713851</v>
      </c>
      <c r="AA62" s="116" t="n">
        <f aca="false">IF($C$25="Verificado",Z62+IF(AA$39=4,01_Supuestos!$I$88*01_Supuestos!$I$89/1000000000000,0)+AA345-AA63,0)</f>
        <v>24.3913586428159</v>
      </c>
      <c r="AB62" s="116" t="n">
        <f aca="false">IF($C$25="Verificado",AA62+IF(AB$39=4,01_Supuestos!$I$88*01_Supuestos!$I$89/1000000000000,0)+AB345-AB63,0)</f>
        <v>24.3062767106751</v>
      </c>
      <c r="AC62" s="116" t="n">
        <f aca="false">IF($C$25="Verificado",AB62+IF(AC$39=4,01_Supuestos!$I$88*01_Supuestos!$I$89/1000000000000,0)+AC345-AC63,0)</f>
        <v>24.2254488751413</v>
      </c>
      <c r="AD62" s="116" t="n">
        <f aca="false">IF($C$25="Verificado",AC62+IF(AD$39=4,01_Supuestos!$I$88*01_Supuestos!$I$89/1000000000000,0)+AD345-AD63,0)</f>
        <v>24.1486624313843</v>
      </c>
      <c r="AE62" s="116" t="n">
        <f aca="false">IF($C$25="Verificado",AD62+IF(AE$39=4,01_Supuestos!$I$88*01_Supuestos!$I$89/1000000000000,0)+AE345-AE63,0)</f>
        <v>24.0757153098151</v>
      </c>
      <c r="AF62" s="116" t="n">
        <f aca="false">IF($C$25="Verificado",AE62+IF(AF$39=4,01_Supuestos!$I$88*01_Supuestos!$I$89/1000000000000,0)+AF345-AF63,0)</f>
        <v>24.0064155443243</v>
      </c>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row>
    <row r="63" customFormat="false" ht="15" hidden="false" customHeight="true" outlineLevel="0" collapsed="false">
      <c r="B63" s="135" t="s">
        <v>736</v>
      </c>
      <c r="C63" s="116" t="n">
        <f aca="false">IF(AND($C$25="Verificado",C$39&gt;4),0/01_Supuestos!$I$22,0)</f>
        <v>0</v>
      </c>
      <c r="D63" s="116" t="n">
        <f aca="false">IF(AND($C$25="Verificado",D$39&gt;4),C62/01_Supuestos!$I$22,0)</f>
        <v>0</v>
      </c>
      <c r="E63" s="116" t="n">
        <f aca="false">IF(AND($C$25="Verificado",E$39&gt;4),D62/01_Supuestos!$I$22,0)</f>
        <v>0</v>
      </c>
      <c r="F63" s="116" t="n">
        <f aca="false">IF(AND($C$25="Verificado",F$39&gt;4),E62/01_Supuestos!$I$22,0)</f>
        <v>0</v>
      </c>
      <c r="G63" s="116" t="n">
        <f aca="false">IF(AND($C$25="Verificado",G$39&gt;4),F62/01_Supuestos!$I$22,0)</f>
        <v>1.3843143</v>
      </c>
      <c r="H63" s="116" t="n">
        <f aca="false">IF(AND($C$25="Verificado",H$39&gt;4),G62/01_Supuestos!$I$22,0)</f>
        <v>1.371822885</v>
      </c>
      <c r="I63" s="116" t="n">
        <f aca="false">IF(AND($C$25="Verificado",I$39&gt;4),H62/01_Supuestos!$I$22,0)</f>
        <v>1.35995604075</v>
      </c>
      <c r="J63" s="116" t="n">
        <f aca="false">IF(AND($C$25="Verificado",J$39&gt;4),I62/01_Supuestos!$I$22,0)</f>
        <v>1.3486825387125</v>
      </c>
      <c r="K63" s="116" t="n">
        <f aca="false">IF(AND($C$25="Verificado",K$39&gt;4),J62/01_Supuestos!$I$22,0)</f>
        <v>1.33797271177688</v>
      </c>
      <c r="L63" s="116" t="n">
        <f aca="false">IF(AND($C$25="Verificado",L$39&gt;4),K62/01_Supuestos!$I$22,0)</f>
        <v>1.32779837618803</v>
      </c>
      <c r="M63" s="116" t="n">
        <f aca="false">IF(AND($C$25="Verificado",M$39&gt;4),L62/01_Supuestos!$I$22,0)</f>
        <v>1.31813275737863</v>
      </c>
      <c r="N63" s="116" t="n">
        <f aca="false">IF(AND($C$25="Verificado",N$39&gt;4),M62/01_Supuestos!$I$22,0)</f>
        <v>1.3089504195097</v>
      </c>
      <c r="O63" s="116" t="n">
        <f aca="false">IF(AND($C$25="Verificado",O$39&gt;4),N62/01_Supuestos!$I$22,0)</f>
        <v>1.30022719853421</v>
      </c>
      <c r="P63" s="116" t="n">
        <f aca="false">IF(AND($C$25="Verificado",P$39&gt;4),O62/01_Supuestos!$I$22,0)</f>
        <v>1.2919401386075</v>
      </c>
      <c r="Q63" s="116" t="n">
        <f aca="false">IF(AND($C$25="Verificado",Q$39&gt;4),P62/01_Supuestos!$I$22,0)</f>
        <v>1.28406743167713</v>
      </c>
      <c r="R63" s="116" t="n">
        <f aca="false">IF(AND($C$25="Verificado",R$39&gt;4),Q62/01_Supuestos!$I$22,0)</f>
        <v>1.27658836009327</v>
      </c>
      <c r="S63" s="116" t="n">
        <f aca="false">IF(AND($C$25="Verificado",S$39&gt;4),R62/01_Supuestos!$I$22,0)</f>
        <v>1.26948324208861</v>
      </c>
      <c r="T63" s="116" t="n">
        <f aca="false">IF(AND($C$25="Verificado",T$39&gt;4),S62/01_Supuestos!$I$22,0)</f>
        <v>1.26273337998418</v>
      </c>
      <c r="U63" s="116" t="n">
        <f aca="false">IF(AND($C$25="Verificado",U$39&gt;4),T62/01_Supuestos!$I$22,0)</f>
        <v>1.25632101098497</v>
      </c>
      <c r="V63" s="116" t="n">
        <f aca="false">IF(AND($C$25="Verificado",V$39&gt;4),U62/01_Supuestos!$I$22,0)</f>
        <v>1.25022926043572</v>
      </c>
      <c r="W63" s="116" t="n">
        <f aca="false">IF(AND($C$25="Verificado",W$39&gt;4),V62/01_Supuestos!$I$22,0)</f>
        <v>1.24444209741393</v>
      </c>
      <c r="X63" s="116" t="n">
        <f aca="false">IF(AND($C$25="Verificado",X$39&gt;4),W62/01_Supuestos!$I$22,0)</f>
        <v>1.23894429254324</v>
      </c>
      <c r="Y63" s="116" t="n">
        <f aca="false">IF(AND($C$25="Verificado",Y$39&gt;4),X62/01_Supuestos!$I$22,0)</f>
        <v>1.23372137791607</v>
      </c>
      <c r="Z63" s="116" t="n">
        <f aca="false">IF(AND($C$25="Verificado",Z$39&gt;4),Y62/01_Supuestos!$I$22,0)</f>
        <v>1.22875960902027</v>
      </c>
      <c r="AA63" s="116" t="n">
        <f aca="false">IF(AND($C$25="Verificado",AA$39&gt;4),Z62/01_Supuestos!$I$22,0)</f>
        <v>1.22404592856926</v>
      </c>
      <c r="AB63" s="116" t="n">
        <f aca="false">IF(AND($C$25="Verificado",AB$39&gt;4),AA62/01_Supuestos!$I$22,0)</f>
        <v>1.21956793214079</v>
      </c>
      <c r="AC63" s="116" t="n">
        <f aca="false">IF(AND($C$25="Verificado",AC$39&gt;4),AB62/01_Supuestos!$I$22,0)</f>
        <v>1.21531383553375</v>
      </c>
      <c r="AD63" s="116" t="n">
        <f aca="false">IF(AND($C$25="Verificado",AD$39&gt;4),AC62/01_Supuestos!$I$22,0)</f>
        <v>1.21127244375707</v>
      </c>
      <c r="AE63" s="116" t="n">
        <f aca="false">IF(AND($C$25="Verificado",AE$39&gt;4),AD62/01_Supuestos!$I$22,0)</f>
        <v>1.20743312156921</v>
      </c>
      <c r="AF63" s="116" t="n">
        <f aca="false">IF(AND($C$25="Verificado",AF$39&gt;4),AE62/01_Supuestos!$I$22,0)</f>
        <v>1.20378576549075</v>
      </c>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row>
    <row r="64" customFormat="false" ht="15" hidden="false" customHeight="true" outlineLevel="0" collapsed="false">
      <c r="B64" s="134" t="s">
        <v>1076</v>
      </c>
      <c r="C64" s="116" t="n">
        <f aca="false">C48+C50-C57</f>
        <v>11.440447555496</v>
      </c>
      <c r="D64" s="116" t="n">
        <f aca="false">D48+D50-D57</f>
        <v>18.433684727896</v>
      </c>
      <c r="E64" s="116" t="n">
        <f aca="false">E48+E50-E57</f>
        <v>24.380839607896</v>
      </c>
      <c r="F64" s="116" t="n">
        <f aca="false">F48+F50-F57</f>
        <v>40.7905342941664</v>
      </c>
      <c r="G64" s="116" t="n">
        <f aca="false">G48+G50-G57</f>
        <v>40.7905342941664</v>
      </c>
      <c r="H64" s="116" t="n">
        <f aca="false">H48+H50-H57</f>
        <v>29.3500867386704</v>
      </c>
      <c r="I64" s="116" t="n">
        <f aca="false">I48+I50-I57</f>
        <v>22.3568495662704</v>
      </c>
      <c r="J64" s="116" t="n">
        <f aca="false">J48+J50-J57</f>
        <v>16.4096946862704</v>
      </c>
      <c r="K64" s="116" t="n">
        <f aca="false">K48+K50-K57</f>
        <v>0</v>
      </c>
      <c r="L64" s="116" t="n">
        <f aca="false">L48+L50-L57</f>
        <v>0</v>
      </c>
      <c r="M64" s="116" t="n">
        <f aca="false">M48+M50-M57</f>
        <v>4.33152314191</v>
      </c>
      <c r="N64" s="116" t="n">
        <f aca="false">N48+N50-N57</f>
        <v>4.33152314191</v>
      </c>
      <c r="O64" s="116" t="n">
        <f aca="false">O48+O50-O57</f>
        <v>4.33152314191</v>
      </c>
      <c r="P64" s="116" t="n">
        <f aca="false">P48+P50-P57</f>
        <v>4.33152314191</v>
      </c>
      <c r="Q64" s="116" t="n">
        <f aca="false">Q48+Q50-Q57</f>
        <v>4.33152314191</v>
      </c>
      <c r="R64" s="116" t="n">
        <f aca="false">R48+R50-R57</f>
        <v>4.231423058158</v>
      </c>
      <c r="S64" s="116" t="n">
        <f aca="false">S48+S50-S57</f>
        <v>4.131322974406</v>
      </c>
      <c r="T64" s="116" t="n">
        <f aca="false">T48+T50-T57</f>
        <v>4.031222890654</v>
      </c>
      <c r="U64" s="116" t="n">
        <f aca="false">U48+U50-U57</f>
        <v>3.931122806902</v>
      </c>
      <c r="V64" s="116" t="n">
        <f aca="false">V48+V50-V57</f>
        <v>3.83102272315</v>
      </c>
      <c r="W64" s="116" t="n">
        <f aca="false">W48+W50-W57</f>
        <v>3.730922639398</v>
      </c>
      <c r="X64" s="116" t="n">
        <f aca="false">X48+X50-X57</f>
        <v>3.630822555646</v>
      </c>
      <c r="Y64" s="116" t="n">
        <f aca="false">Y48+Y50-Y57</f>
        <v>3.530722471894</v>
      </c>
      <c r="Z64" s="116" t="n">
        <f aca="false">Z48+Z50-Z57</f>
        <v>3.430622388142</v>
      </c>
      <c r="AA64" s="116" t="n">
        <f aca="false">AA48+AA50-AA57</f>
        <v>3.33052230439</v>
      </c>
      <c r="AB64" s="116" t="n">
        <f aca="false">AB48+AB50-AB57</f>
        <v>3.230422220638</v>
      </c>
      <c r="AC64" s="116" t="n">
        <f aca="false">AC48+AC50-AC57</f>
        <v>3.130322136886</v>
      </c>
      <c r="AD64" s="116" t="n">
        <f aca="false">AD48+AD50-AD57</f>
        <v>3.030222053134</v>
      </c>
      <c r="AE64" s="116" t="n">
        <f aca="false">AE48+AE50-AE57</f>
        <v>2.930121969382</v>
      </c>
      <c r="AF64" s="116" t="n">
        <f aca="false">AF48+AF50-AF57</f>
        <v>2.83002188563</v>
      </c>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row>
    <row r="65" customFormat="false" ht="15" hidden="false" customHeight="true" outlineLevel="0" collapsed="false">
      <c r="B65" s="134" t="s">
        <v>1077</v>
      </c>
      <c r="C65" s="116" t="n">
        <f aca="false">MIN(C58,C64)</f>
        <v>0.08</v>
      </c>
      <c r="D65" s="116" t="n">
        <f aca="false">MIN(D58,D64)</f>
        <v>0.082824</v>
      </c>
      <c r="E65" s="116" t="n">
        <f aca="false">MIN(E58,E64)</f>
        <v>0.0857476872</v>
      </c>
      <c r="F65" s="116" t="n">
        <f aca="false">MIN(F58,F64)</f>
        <v>0.08877458055816</v>
      </c>
      <c r="G65" s="116" t="n">
        <f aca="false">MIN(G58,G64)</f>
        <v>0.091908323251863</v>
      </c>
      <c r="H65" s="116" t="n">
        <f aca="false">MIN(H58,H64)</f>
        <v>0.0951526870626538</v>
      </c>
      <c r="I65" s="116" t="n">
        <f aca="false">MIN(I58,I64)</f>
        <v>0.0985115769159654</v>
      </c>
      <c r="J65" s="116" t="n">
        <f aca="false">MIN(J58,J64)</f>
        <v>0.101989035581099</v>
      </c>
      <c r="K65" s="116" t="n">
        <f aca="false">MIN(K58,K64)</f>
        <v>0</v>
      </c>
      <c r="L65" s="116" t="n">
        <f aca="false">MIN(L58,L64)</f>
        <v>0</v>
      </c>
      <c r="M65" s="116" t="n">
        <f aca="false">MIN(M58,M64)</f>
        <v>0.113175423190541</v>
      </c>
      <c r="N65" s="116" t="n">
        <f aca="false">MIN(N58,N64)</f>
        <v>0.117170515629168</v>
      </c>
      <c r="O65" s="116" t="n">
        <f aca="false">MIN(O58,O64)</f>
        <v>0.121306634830877</v>
      </c>
      <c r="P65" s="116" t="n">
        <f aca="false">MIN(P58,P64)</f>
        <v>0.125588759040407</v>
      </c>
      <c r="Q65" s="116" t="n">
        <f aca="false">MIN(Q58,Q64)</f>
        <v>0.130022042234533</v>
      </c>
      <c r="R65" s="116" t="n">
        <f aca="false">MIN(R58,R64)</f>
        <v>0.134611820325413</v>
      </c>
      <c r="S65" s="116" t="n">
        <f aca="false">MIN(S58,S64)</f>
        <v>0.1393636175829</v>
      </c>
      <c r="T65" s="116" t="n">
        <f aca="false">MIN(T58,T64)</f>
        <v>0.144283153283576</v>
      </c>
      <c r="U65" s="116" t="n">
        <f aca="false">MIN(U58,U64)</f>
        <v>0.149376348594486</v>
      </c>
      <c r="V65" s="116" t="n">
        <f aca="false">MIN(V58,V64)</f>
        <v>0.154649333699871</v>
      </c>
      <c r="W65" s="116" t="n">
        <f aca="false">MIN(W58,W64)</f>
        <v>0.160108455179477</v>
      </c>
      <c r="X65" s="116" t="n">
        <f aca="false">MIN(X58,X64)</f>
        <v>0.165760283647312</v>
      </c>
      <c r="Y65" s="116" t="n">
        <f aca="false">MIN(Y58,Y64)</f>
        <v>0.171611621660063</v>
      </c>
      <c r="Z65" s="116" t="n">
        <f aca="false">MIN(Z58,Z64)</f>
        <v>0.177669511904663</v>
      </c>
      <c r="AA65" s="116" t="n">
        <f aca="false">MIN(AA58,AA64)</f>
        <v>0.183941245674897</v>
      </c>
      <c r="AB65" s="116" t="n">
        <f aca="false">MIN(AB58,AB64)</f>
        <v>0.190434371647221</v>
      </c>
      <c r="AC65" s="116" t="n">
        <f aca="false">MIN(AC58,AC64)</f>
        <v>0.197156704966368</v>
      </c>
      <c r="AD65" s="116" t="n">
        <f aca="false">MIN(AD58,AD64)</f>
        <v>0.204116336651681</v>
      </c>
      <c r="AE65" s="116" t="n">
        <f aca="false">MIN(AE58,AE64)</f>
        <v>0.211321643335485</v>
      </c>
      <c r="AF65" s="116" t="n">
        <f aca="false">MIN(AF58,AF64)</f>
        <v>0.218781297345228</v>
      </c>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row>
    <row r="66" customFormat="false" ht="15" hidden="false" customHeight="true" outlineLevel="0" collapsed="false">
      <c r="B66" s="134" t="s">
        <v>1078</v>
      </c>
      <c r="C66" s="116" t="n">
        <f aca="false">C64-C65</f>
        <v>11.360447555496</v>
      </c>
      <c r="D66" s="116" t="n">
        <f aca="false">D64-D65</f>
        <v>18.350860727896</v>
      </c>
      <c r="E66" s="116" t="n">
        <f aca="false">E64-E65</f>
        <v>24.295091920696</v>
      </c>
      <c r="F66" s="116" t="n">
        <f aca="false">F64-F65</f>
        <v>40.7017597136082</v>
      </c>
      <c r="G66" s="116" t="n">
        <f aca="false">G64-G65</f>
        <v>40.6986259709145</v>
      </c>
      <c r="H66" s="116" t="n">
        <f aca="false">H64-H65</f>
        <v>29.2549340516077</v>
      </c>
      <c r="I66" s="116" t="n">
        <f aca="false">I64-I65</f>
        <v>22.2583379893544</v>
      </c>
      <c r="J66" s="116" t="n">
        <f aca="false">J64-J65</f>
        <v>16.3077056506893</v>
      </c>
      <c r="K66" s="116" t="n">
        <f aca="false">K64-K65</f>
        <v>0</v>
      </c>
      <c r="L66" s="116" t="n">
        <f aca="false">L64-L65</f>
        <v>0</v>
      </c>
      <c r="M66" s="116" t="n">
        <f aca="false">M64-M65</f>
        <v>4.21834771871946</v>
      </c>
      <c r="N66" s="116" t="n">
        <f aca="false">N64-N65</f>
        <v>4.21435262628083</v>
      </c>
      <c r="O66" s="116" t="n">
        <f aca="false">O64-O65</f>
        <v>4.21021650707912</v>
      </c>
      <c r="P66" s="116" t="n">
        <f aca="false">P64-P65</f>
        <v>4.20593438286959</v>
      </c>
      <c r="Q66" s="116" t="n">
        <f aca="false">Q64-Q65</f>
        <v>4.20150109967547</v>
      </c>
      <c r="R66" s="116" t="n">
        <f aca="false">R64-R65</f>
        <v>4.09681123783259</v>
      </c>
      <c r="S66" s="116" t="n">
        <f aca="false">S64-S65</f>
        <v>3.9919593568231</v>
      </c>
      <c r="T66" s="116" t="n">
        <f aca="false">T64-T65</f>
        <v>3.88693973737042</v>
      </c>
      <c r="U66" s="116" t="n">
        <f aca="false">U64-U65</f>
        <v>3.78174645830751</v>
      </c>
      <c r="V66" s="116" t="n">
        <f aca="false">V64-V65</f>
        <v>3.67637338945013</v>
      </c>
      <c r="W66" s="116" t="n">
        <f aca="false">W64-W65</f>
        <v>3.57081418421852</v>
      </c>
      <c r="X66" s="116" t="n">
        <f aca="false">X64-X65</f>
        <v>3.46506227199869</v>
      </c>
      <c r="Y66" s="116" t="n">
        <f aca="false">Y64-Y65</f>
        <v>3.35911085023394</v>
      </c>
      <c r="Z66" s="116" t="n">
        <f aca="false">Z64-Z65</f>
        <v>3.25295287623734</v>
      </c>
      <c r="AA66" s="116" t="n">
        <f aca="false">AA64-AA65</f>
        <v>3.1465810587151</v>
      </c>
      <c r="AB66" s="116" t="n">
        <f aca="false">AB64-AB65</f>
        <v>3.03998784899078</v>
      </c>
      <c r="AC66" s="116" t="n">
        <f aca="false">AC64-AC65</f>
        <v>2.93316543191963</v>
      </c>
      <c r="AD66" s="116" t="n">
        <f aca="false">AD64-AD65</f>
        <v>2.82610571648232</v>
      </c>
      <c r="AE66" s="116" t="n">
        <f aca="false">AE64-AE65</f>
        <v>2.71880032604652</v>
      </c>
      <c r="AF66" s="116" t="n">
        <f aca="false">AF64-AF65</f>
        <v>2.61124058828477</v>
      </c>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row>
    <row r="67" customFormat="false" ht="15" hidden="false" customHeight="true" outlineLevel="0" collapsed="false">
      <c r="B67" s="134" t="s">
        <v>1079</v>
      </c>
      <c r="C67" s="116" t="n">
        <f aca="false">0+C66-C63</f>
        <v>11.360447555496</v>
      </c>
      <c r="D67" s="116" t="n">
        <f aca="false">C67+D66-D63</f>
        <v>29.711308283392</v>
      </c>
      <c r="E67" s="116" t="n">
        <f aca="false">D67+E66-E63</f>
        <v>54.006400204088</v>
      </c>
      <c r="F67" s="116" t="n">
        <f aca="false">E67+F66-F63</f>
        <v>94.7081599176962</v>
      </c>
      <c r="G67" s="116" t="n">
        <f aca="false">F67+G66-G63</f>
        <v>134.022471588611</v>
      </c>
      <c r="H67" s="116" t="n">
        <f aca="false">G67+H66-H63</f>
        <v>161.905582755219</v>
      </c>
      <c r="I67" s="116" t="n">
        <f aca="false">H67+I66-I63</f>
        <v>182.803964703823</v>
      </c>
      <c r="J67" s="116" t="n">
        <f aca="false">I67+J66-J63</f>
        <v>197.7629878158</v>
      </c>
      <c r="K67" s="116" t="n">
        <f aca="false">J67+K66-K63</f>
        <v>196.425015104023</v>
      </c>
      <c r="L67" s="116" t="n">
        <f aca="false">K67+L66-L63</f>
        <v>195.097216727835</v>
      </c>
      <c r="M67" s="116" t="n">
        <f aca="false">L67+M66-M63</f>
        <v>197.997431689176</v>
      </c>
      <c r="N67" s="116" t="n">
        <f aca="false">M67+N66-N63</f>
        <v>200.902833895947</v>
      </c>
      <c r="O67" s="116" t="n">
        <f aca="false">N67+O66-O63</f>
        <v>203.812823204492</v>
      </c>
      <c r="P67" s="116" t="n">
        <f aca="false">O67+P66-P63</f>
        <v>206.726817448754</v>
      </c>
      <c r="Q67" s="116" t="n">
        <f aca="false">P67+Q66-Q63</f>
        <v>209.644251116752</v>
      </c>
      <c r="R67" s="116" t="n">
        <f aca="false">Q67+R66-R63</f>
        <v>212.464473994491</v>
      </c>
      <c r="S67" s="116" t="n">
        <f aca="false">R67+S66-S63</f>
        <v>215.186950109226</v>
      </c>
      <c r="T67" s="116" t="n">
        <f aca="false">S67+T66-T63</f>
        <v>217.811156466612</v>
      </c>
      <c r="U67" s="116" t="n">
        <f aca="false">T67+U66-U63</f>
        <v>220.336581913935</v>
      </c>
      <c r="V67" s="116" t="n">
        <f aca="false">U67+V66-V63</f>
        <v>222.762726042949</v>
      </c>
      <c r="W67" s="116" t="n">
        <f aca="false">V67+W66-W63</f>
        <v>225.089098129754</v>
      </c>
      <c r="X67" s="116" t="n">
        <f aca="false">W67+X66-X63</f>
        <v>227.315216109209</v>
      </c>
      <c r="Y67" s="116" t="n">
        <f aca="false">X67+Y66-Y63</f>
        <v>229.440605581527</v>
      </c>
      <c r="Z67" s="116" t="n">
        <f aca="false">Y67+Z66-Z63</f>
        <v>231.464798848744</v>
      </c>
      <c r="AA67" s="116" t="n">
        <f aca="false">Z67+AA66-AA63</f>
        <v>233.38733397889</v>
      </c>
      <c r="AB67" s="116" t="n">
        <f aca="false">AA67+AB66-AB63</f>
        <v>235.20775389574</v>
      </c>
      <c r="AC67" s="116" t="n">
        <f aca="false">AB67+AC66-AC63</f>
        <v>236.925605492126</v>
      </c>
      <c r="AD67" s="116" t="n">
        <f aca="false">AC67+AD66-AD63</f>
        <v>238.540438764851</v>
      </c>
      <c r="AE67" s="116" t="n">
        <f aca="false">AD67+AE66-AE63</f>
        <v>240.051805969328</v>
      </c>
      <c r="AF67" s="116" t="n">
        <f aca="false">AE67+AF66-AF63</f>
        <v>241.459260792122</v>
      </c>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row>
    <row r="68" customFormat="false" ht="15" hidden="false" customHeight="true" outlineLevel="0" collapsed="false">
      <c r="B68" s="134" t="s">
        <v>1080</v>
      </c>
      <c r="C68" s="116" t="n">
        <f aca="false">0+(01_Supuestos!$I$125-1)*C66</f>
        <v>3.86255216886864</v>
      </c>
      <c r="D68" s="116" t="n">
        <f aca="false">C68+(01_Supuestos!$I$125-1)*D66</f>
        <v>10.1018448163533</v>
      </c>
      <c r="E68" s="116" t="n">
        <f aca="false">D68+(01_Supuestos!$I$125-1)*E66</f>
        <v>18.3621760693899</v>
      </c>
      <c r="F68" s="116" t="n">
        <f aca="false">E68+(01_Supuestos!$I$125-1)*F66</f>
        <v>32.2007743720167</v>
      </c>
      <c r="G68" s="116" t="n">
        <f aca="false">F68+(01_Supuestos!$I$125-1)*G66</f>
        <v>46.0383072021277</v>
      </c>
      <c r="H68" s="116" t="n">
        <f aca="false">G68+(01_Supuestos!$I$125-1)*H66</f>
        <v>55.9849847796743</v>
      </c>
      <c r="I68" s="116" t="n">
        <f aca="false">H68+(01_Supuestos!$I$125-1)*I66</f>
        <v>63.5528196960548</v>
      </c>
      <c r="J68" s="116" t="n">
        <f aca="false">I68+(01_Supuestos!$I$125-1)*J66</f>
        <v>69.0974396172892</v>
      </c>
      <c r="K68" s="116" t="n">
        <f aca="false">J68+(01_Supuestos!$I$125-1)*K66</f>
        <v>69.0974396172892</v>
      </c>
      <c r="L68" s="116" t="n">
        <f aca="false">K68+(01_Supuestos!$I$125-1)*L66</f>
        <v>69.0974396172892</v>
      </c>
      <c r="M68" s="116" t="n">
        <f aca="false">L68+(01_Supuestos!$I$125-1)*M66</f>
        <v>70.5316778416538</v>
      </c>
      <c r="N68" s="116" t="n">
        <f aca="false">M68+(01_Supuestos!$I$125-1)*N66</f>
        <v>71.9645577345893</v>
      </c>
      <c r="O68" s="116" t="n">
        <f aca="false">N68+(01_Supuestos!$I$125-1)*O66</f>
        <v>73.3960313469962</v>
      </c>
      <c r="P68" s="116" t="n">
        <f aca="false">O68+(01_Supuestos!$I$125-1)*P66</f>
        <v>74.8260490371719</v>
      </c>
      <c r="Q68" s="116" t="n">
        <f aca="false">P68+(01_Supuestos!$I$125-1)*Q66</f>
        <v>76.2545594110615</v>
      </c>
      <c r="R68" s="116" t="n">
        <f aca="false">Q68+(01_Supuestos!$I$125-1)*R66</f>
        <v>77.6474752319246</v>
      </c>
      <c r="S68" s="116" t="n">
        <f aca="false">R68+(01_Supuestos!$I$125-1)*S66</f>
        <v>79.0047414132445</v>
      </c>
      <c r="T68" s="116" t="n">
        <f aca="false">S68+(01_Supuestos!$I$125-1)*T66</f>
        <v>80.3263009239504</v>
      </c>
      <c r="U68" s="116" t="n">
        <f aca="false">T68+(01_Supuestos!$I$125-1)*U66</f>
        <v>81.612094719775</v>
      </c>
      <c r="V68" s="116" t="n">
        <f aca="false">U68+(01_Supuestos!$I$125-1)*V66</f>
        <v>82.862061672188</v>
      </c>
      <c r="W68" s="116" t="n">
        <f aca="false">V68+(01_Supuestos!$I$125-1)*W66</f>
        <v>84.0761384948223</v>
      </c>
      <c r="X68" s="116" t="n">
        <f aca="false">W68+(01_Supuestos!$I$125-1)*X66</f>
        <v>85.2542596673019</v>
      </c>
      <c r="Y68" s="116" t="n">
        <f aca="false">X68+(01_Supuestos!$I$125-1)*Y66</f>
        <v>86.3963573563814</v>
      </c>
      <c r="Z68" s="116" t="n">
        <f aca="false">Y68+(01_Supuestos!$I$125-1)*Z66</f>
        <v>87.5023613343021</v>
      </c>
      <c r="AA68" s="116" t="n">
        <f aca="false">Z68+(01_Supuestos!$I$125-1)*AA66</f>
        <v>88.5721988942652</v>
      </c>
      <c r="AB68" s="116" t="n">
        <f aca="false">AA68+(01_Supuestos!$I$125-1)*AB66</f>
        <v>89.6057947629221</v>
      </c>
      <c r="AC68" s="116" t="n">
        <f aca="false">AB68+(01_Supuestos!$I$125-1)*AC66</f>
        <v>90.6030710097748</v>
      </c>
      <c r="AD68" s="116" t="n">
        <f aca="false">AC68+(01_Supuestos!$I$125-1)*AD66</f>
        <v>91.5639469533788</v>
      </c>
      <c r="AE68" s="116" t="n">
        <f aca="false">AD68+(01_Supuestos!$I$125-1)*AE66</f>
        <v>92.4883390642346</v>
      </c>
      <c r="AF68" s="116" t="n">
        <f aca="false">AE68+(01_Supuestos!$I$125-1)*AF66</f>
        <v>93.3761608642514</v>
      </c>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row>
    <row r="69" customFormat="false" ht="15" hidden="false" customHeight="true" outlineLevel="0" collapsed="false">
      <c r="B69" s="134" t="s">
        <v>1081</v>
      </c>
      <c r="C69" s="116" t="n">
        <f aca="false">0+C48+C49+C50+C51-C63+C245</f>
        <v>11.440447555496</v>
      </c>
      <c r="D69" s="116" t="n">
        <f aca="false">C69+D48+D49+D50+D51-D63+D245</f>
        <v>29.874132283392</v>
      </c>
      <c r="E69" s="116" t="n">
        <f aca="false">D69+E48+E49+E50+E51-E63+E245</f>
        <v>54.254971891288</v>
      </c>
      <c r="F69" s="116" t="n">
        <f aca="false">E69+F48+F49+F50+F51-F63+F245</f>
        <v>111.187509327364</v>
      </c>
      <c r="G69" s="116" t="n">
        <f aca="false">F69+G48+G49+G50+G51-G63+G245</f>
        <v>166.735732463441</v>
      </c>
      <c r="H69" s="116" t="n">
        <f aca="false">G69+H48+H49+H50+H51-H63+H245</f>
        <v>210.855999459021</v>
      </c>
      <c r="I69" s="116" t="n">
        <f aca="false">H69+I48+I49+I50+I51-I63+I245</f>
        <v>247.994896126452</v>
      </c>
      <c r="J69" s="116" t="n">
        <f aca="false">I69+J48+J49+J50+J51-J63+J245</f>
        <v>279.197911415919</v>
      </c>
      <c r="K69" s="116" t="n">
        <f aca="false">J69+K48+K49+K50+K51-K63+K245</f>
        <v>284.873860246053</v>
      </c>
      <c r="L69" s="116" t="n">
        <f aca="false">K69+L48+L49+L50+L51-L63+L245</f>
        <v>290.559983411775</v>
      </c>
      <c r="M69" s="116" t="n">
        <f aca="false">L69+M48+M49+M50+M51-M63+M245</f>
        <v>296.255772196306</v>
      </c>
      <c r="N69" s="116" t="n">
        <f aca="false">M69+N48+N49+N50+N51-N63+N245</f>
        <v>301.960743318706</v>
      </c>
      <c r="O69" s="116" t="n">
        <f aca="false">N69+O48+O49+O50+O51-O63+O245</f>
        <v>307.674437662082</v>
      </c>
      <c r="P69" s="116" t="n">
        <f aca="false">O69+P48+P49+P50+P51-P63+P245</f>
        <v>313.396419065385</v>
      </c>
      <c r="Q69" s="116" t="n">
        <f aca="false">P69+Q48+Q49+Q50+Q51-Q63+Q245</f>
        <v>319.126273175617</v>
      </c>
      <c r="R69" s="116" t="n">
        <f aca="false">Q69+R48+R49+R50+R51-R63+R245</f>
        <v>324.763506273682</v>
      </c>
      <c r="S69" s="116" t="n">
        <f aca="false">R69+S48+S49+S50+S51-S63+S245</f>
        <v>330.307744406</v>
      </c>
      <c r="T69" s="116" t="n">
        <f aca="false">S69+T48+T49+T50+T51-T63+T245</f>
        <v>335.758632316669</v>
      </c>
      <c r="U69" s="116" t="n">
        <f aca="false">T69+U48+U49+U50+U51-U63+U245</f>
        <v>341.115832512586</v>
      </c>
      <c r="V69" s="116" t="n">
        <f aca="false">U69+V48+V49+V50+V51-V63+V245</f>
        <v>346.379024375301</v>
      </c>
      <c r="W69" s="116" t="n">
        <f aca="false">V69+W48+W49+W50+W51-W63+W245</f>
        <v>351.547903317285</v>
      </c>
      <c r="X69" s="116" t="n">
        <f aca="false">W69+X48+X49+X50+X51-X63+X245</f>
        <v>356.622179980388</v>
      </c>
      <c r="Y69" s="116" t="n">
        <f aca="false">X69+Y48+Y49+Y50+Y51-Y63+Y245</f>
        <v>361.601579474366</v>
      </c>
      <c r="Z69" s="116" t="n">
        <f aca="false">Y69+Z48+Z49+Z50+Z51-Z63+Z245</f>
        <v>366.485840653487</v>
      </c>
      <c r="AA69" s="116" t="n">
        <f aca="false">Z69+AA48+AA49+AA50+AA51-AA63+AA245</f>
        <v>371.274715429308</v>
      </c>
      <c r="AB69" s="116" t="n">
        <f aca="false">AA69+AB48+AB49+AB50+AB51-AB63+AB245</f>
        <v>375.967968117805</v>
      </c>
      <c r="AC69" s="116" t="n">
        <f aca="false">AB69+AC48+AC49+AC50+AC51-AC63+AC245</f>
        <v>380.565374819157</v>
      </c>
      <c r="AD69" s="116" t="n">
        <f aca="false">AC69+AD48+AD49+AD50+AD51-AD63+AD245</f>
        <v>385.066722828534</v>
      </c>
      <c r="AE69" s="116" t="n">
        <f aca="false">AD69+AE48+AE49+AE50+AE51-AE63+AE245</f>
        <v>389.471810076347</v>
      </c>
      <c r="AF69" s="116" t="n">
        <f aca="false">AE69+AF48+AF49+AF50+AF51-AF63+AF245</f>
        <v>393.780444596486</v>
      </c>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row>
    <row r="70" customFormat="false" ht="15" hidden="false" customHeight="true" outlineLevel="0" collapsed="false">
      <c r="B70" s="134" t="s">
        <v>1082</v>
      </c>
      <c r="C70" s="116" t="n">
        <f aca="false">0+C49+C51+C57+C65+C245</f>
        <v>0.08</v>
      </c>
      <c r="D70" s="116" t="n">
        <f aca="false">C70+D49+D51+D57+D65+D245</f>
        <v>0.162824</v>
      </c>
      <c r="E70" s="116" t="n">
        <f aca="false">D70+E49+E51+E57+E65+E245</f>
        <v>0.2485716872</v>
      </c>
      <c r="F70" s="116" t="n">
        <f aca="false">E70+F49+F51+F57+F65+F245</f>
        <v>16.4793494096682</v>
      </c>
      <c r="G70" s="116" t="n">
        <f aca="false">F70+G49+G51+G57+G65+G245</f>
        <v>32.71326087483</v>
      </c>
      <c r="H70" s="116" t="n">
        <f aca="false">G70+H49+H51+H57+H65+H245</f>
        <v>48.9504167038027</v>
      </c>
      <c r="I70" s="116" t="n">
        <f aca="false">H70+I49+I51+I57+I65+I245</f>
        <v>65.1909314226286</v>
      </c>
      <c r="J70" s="116" t="n">
        <f aca="false">I70+J49+J51+J57+J65+J245</f>
        <v>81.4349236001197</v>
      </c>
      <c r="K70" s="116" t="n">
        <f aca="false">J70+K49+K51+K57+K65+K245</f>
        <v>88.4488451420297</v>
      </c>
      <c r="L70" s="116" t="n">
        <f aca="false">K70+L49+L51+L57+L65+L245</f>
        <v>95.4627666839397</v>
      </c>
      <c r="M70" s="116" t="n">
        <f aca="false">L70+M49+M51+M57+M65+M245</f>
        <v>98.2583405071303</v>
      </c>
      <c r="N70" s="116" t="n">
        <f aca="false">M70+N49+N51+N57+N65+N245</f>
        <v>101.057909422759</v>
      </c>
      <c r="O70" s="116" t="n">
        <f aca="false">N70+O49+O51+O57+O65+O245</f>
        <v>103.86161445759</v>
      </c>
      <c r="P70" s="116" t="n">
        <f aca="false">O70+P49+P51+P57+P65+P245</f>
        <v>106.669601616631</v>
      </c>
      <c r="Q70" s="116" t="n">
        <f aca="false">P70+Q49+Q51+Q57+Q65+Q245</f>
        <v>109.482022058865</v>
      </c>
      <c r="R70" s="116" t="n">
        <f aca="false">Q70+R49+R51+R57+R65+R245</f>
        <v>112.299032279191</v>
      </c>
      <c r="S70" s="116" t="n">
        <f aca="false">R70+S49+S51+S57+S65+S245</f>
        <v>115.120794296774</v>
      </c>
      <c r="T70" s="116" t="n">
        <f aca="false">S70+T49+T51+T57+T65+T245</f>
        <v>117.947475850057</v>
      </c>
      <c r="U70" s="116" t="n">
        <f aca="false">T70+U49+U51+U57+U65+U245</f>
        <v>120.779250598652</v>
      </c>
      <c r="V70" s="116" t="n">
        <f aca="false">U70+V49+V51+V57+V65+V245</f>
        <v>123.616298332351</v>
      </c>
      <c r="W70" s="116" t="n">
        <f aca="false">V70+W49+W51+W57+W65+W245</f>
        <v>126.458805187531</v>
      </c>
      <c r="X70" s="116" t="n">
        <f aca="false">W70+X49+X51+X57+X65+X245</f>
        <v>129.306963871178</v>
      </c>
      <c r="Y70" s="116" t="n">
        <f aca="false">X70+Y49+Y51+Y57+Y65+Y245</f>
        <v>132.160973892838</v>
      </c>
      <c r="Z70" s="116" t="n">
        <f aca="false">Y70+Z49+Z51+Z57+Z65+Z245</f>
        <v>135.021041804743</v>
      </c>
      <c r="AA70" s="116" t="n">
        <f aca="false">Z70+AA49+AA51+AA57+AA65+AA245</f>
        <v>137.887381450418</v>
      </c>
      <c r="AB70" s="116" t="n">
        <f aca="false">AA70+AB49+AB51+AB57+AB65+AB245</f>
        <v>140.760214222065</v>
      </c>
      <c r="AC70" s="116" t="n">
        <f aca="false">AB70+AC49+AC51+AC57+AC65+AC245</f>
        <v>143.639769327032</v>
      </c>
      <c r="AD70" s="116" t="n">
        <f aca="false">AC70+AD49+AD51+AD57+AD65+AD245</f>
        <v>146.526284063683</v>
      </c>
      <c r="AE70" s="116" t="n">
        <f aca="false">AD70+AE49+AE51+AE57+AE65+AE245</f>
        <v>149.420004107019</v>
      </c>
      <c r="AF70" s="116" t="n">
        <f aca="false">AE70+AF49+AF51+AF57+AF65+AF245</f>
        <v>152.321183804364</v>
      </c>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row>
    <row r="71" customFormat="false" ht="15" hidden="false" customHeight="true" outlineLevel="0" collapsed="false">
      <c r="B71" s="132" t="s">
        <v>1083</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row>
    <row r="72" customFormat="false" ht="15" hidden="false" customHeight="true" outlineLevel="0" collapsed="false">
      <c r="B72" s="135" t="s">
        <v>1358</v>
      </c>
      <c r="C72" s="116" t="n">
        <f aca="false">IF($C$173="Sí",(C83-C326)+C181,$C$15*0)</f>
        <v>5.99497779535458</v>
      </c>
      <c r="D72" s="116" t="n">
        <f aca="false">IF($C$173="Sí",(D83-D326)+D181,$C$15*C83)</f>
        <v>16.0734862299268</v>
      </c>
      <c r="E72" s="116" t="n">
        <f aca="false">IF($C$173="Sí",(E83-E326)+E181,$C$15*D83)</f>
        <v>28.864654462448</v>
      </c>
      <c r="F72" s="116" t="n">
        <f aca="false">IF($C$173="Sí",(F83-F326)+F181,$C$15*E83)</f>
        <v>42.8930996572912</v>
      </c>
      <c r="G72" s="116" t="n">
        <f aca="false">IF($C$173="Sí",(G83-G326)+G181,$C$15*F83)</f>
        <v>56.9630843514191</v>
      </c>
      <c r="H72" s="116" t="n">
        <f aca="false">IF($C$173="Sí",(H83-H326)+H181,$C$15*G83)</f>
        <v>70.936945789551</v>
      </c>
      <c r="I72" s="116" t="n">
        <f aca="false">IF($C$173="Sí",(I83-I326)+I181,$C$15*H83)</f>
        <v>85.1981880540369</v>
      </c>
      <c r="J72" s="116" t="n">
        <f aca="false">IF($C$173="Sí",(J83-J326)+J181,$C$15*I83)</f>
        <v>99.7900694141875</v>
      </c>
      <c r="K72" s="116" t="n">
        <f aca="false">IF($C$173="Sí",(K83-K326)+K181,$C$15*J83)</f>
        <v>114.267939734105</v>
      </c>
      <c r="L72" s="116" t="n">
        <f aca="false">IF($C$173="Sí",(L83-L326)+L181,$C$15*K83)</f>
        <v>129.359082913765</v>
      </c>
      <c r="M72" s="116" t="n">
        <f aca="false">IF($C$173="Sí",(M83-M326)+M181,$C$15*L83)</f>
        <v>143.282323728859</v>
      </c>
      <c r="N72" s="116" t="n">
        <f aca="false">IF($C$173="Sí",(N83-N326)+N181,$C$15*M83)</f>
        <v>153.018964586317</v>
      </c>
      <c r="O72" s="116" t="n">
        <f aca="false">IF($C$173="Sí",(O83-O326)+O181,$C$15*N83)</f>
        <v>158.518085860424</v>
      </c>
      <c r="P72" s="116" t="n">
        <f aca="false">IF($C$173="Sí",(P83-P326)+P181,$C$15*O83)</f>
        <v>162.719829864827</v>
      </c>
      <c r="Q72" s="116" t="n">
        <f aca="false">IF($C$173="Sí",(Q83-Q326)+Q181,$C$15*P83)</f>
        <v>166.444827922675</v>
      </c>
      <c r="R72" s="116" t="n">
        <f aca="false">IF($C$173="Sí",(R83-R326)+R181,$C$15*Q83)</f>
        <v>170.253151929042</v>
      </c>
      <c r="S72" s="116" t="n">
        <f aca="false">IF($C$173="Sí",(S83-S326)+S181,$C$15*R83)</f>
        <v>174.147749424445</v>
      </c>
      <c r="T72" s="116" t="n">
        <f aca="false">IF($C$173="Sí",(T83-T326)+T181,$C$15*S83)</f>
        <v>178.132950913121</v>
      </c>
      <c r="U72" s="116" t="n">
        <f aca="false">IF($C$173="Sí",(U83-U326)+U181,$C$15*T83)</f>
        <v>182.216117338374</v>
      </c>
      <c r="V72" s="116" t="n">
        <f aca="false">IF($C$173="Sí",(V83-V326)+V181,$C$15*U83)</f>
        <v>185.622323215121</v>
      </c>
      <c r="W72" s="116" t="n">
        <f aca="false">IF($C$173="Sí",(W83-W326)+W181,$C$15*V83)</f>
        <v>188.490223187355</v>
      </c>
      <c r="X72" s="116" t="n">
        <f aca="false">IF($C$173="Sí",(X83-X326)+X181,$C$15*W83)</f>
        <v>191.228469443745</v>
      </c>
      <c r="Y72" s="116" t="n">
        <f aca="false">IF($C$173="Sí",(Y83-Y326)+Y181,$C$15*X83)</f>
        <v>193.887289833222</v>
      </c>
      <c r="Z72" s="116" t="n">
        <f aca="false">IF($C$173="Sí",(Z83-Z326)+Z181,$C$15*Y83)</f>
        <v>196.48928524373</v>
      </c>
      <c r="AA72" s="116" t="n">
        <f aca="false">IF($C$173="Sí",(AA83-AA326)+AA181,$C$15*Z83)</f>
        <v>199.034303821335</v>
      </c>
      <c r="AB72" s="116" t="n">
        <f aca="false">IF($C$173="Sí",(AB83-AB326)+AB181,$C$15*AA83)</f>
        <v>201.522242432564</v>
      </c>
      <c r="AC72" s="116" t="n">
        <f aca="false">IF($C$173="Sí",(AC83-AC326)+AC181,$C$15*AB83)</f>
        <v>203.952981761542</v>
      </c>
      <c r="AD72" s="116" t="n">
        <f aca="false">IF($C$173="Sí",(AD83-AD326)+AD181,$C$15*AC83)</f>
        <v>206.326394313743</v>
      </c>
      <c r="AE72" s="116" t="n">
        <f aca="false">IF($C$173="Sí",(AE83-AE326)+AE181,$C$15*AD83)</f>
        <v>208.64235600789</v>
      </c>
      <c r="AF72" s="116" t="n">
        <f aca="false">IF($C$173="Sí",(AF83-AF326)+AF181,$C$15*AE83)</f>
        <v>210.900745900752</v>
      </c>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row>
    <row r="73" customFormat="false" ht="15" hidden="false" customHeight="true" outlineLevel="0" collapsed="false">
      <c r="B73" s="135" t="s">
        <v>1085</v>
      </c>
      <c r="C73" s="116" t="n">
        <f aca="false">C72-0</f>
        <v>5.99497779535458</v>
      </c>
      <c r="D73" s="116" t="n">
        <f aca="false">D72-C72</f>
        <v>10.0785084345722</v>
      </c>
      <c r="E73" s="116" t="n">
        <f aca="false">E72-D72</f>
        <v>12.7911682325212</v>
      </c>
      <c r="F73" s="116" t="n">
        <f aca="false">F72-E72</f>
        <v>14.0284451948432</v>
      </c>
      <c r="G73" s="116" t="n">
        <f aca="false">G72-F72</f>
        <v>14.0699846941278</v>
      </c>
      <c r="H73" s="116" t="n">
        <f aca="false">H72-G72</f>
        <v>13.9738614381319</v>
      </c>
      <c r="I73" s="116" t="n">
        <f aca="false">I72-H72</f>
        <v>14.2612422644859</v>
      </c>
      <c r="J73" s="116" t="n">
        <f aca="false">J72-I72</f>
        <v>14.5918813601507</v>
      </c>
      <c r="K73" s="116" t="n">
        <f aca="false">K72-J72</f>
        <v>14.4778703199171</v>
      </c>
      <c r="L73" s="116" t="n">
        <f aca="false">L72-K72</f>
        <v>15.0911431796604</v>
      </c>
      <c r="M73" s="116" t="n">
        <f aca="false">M72-L72</f>
        <v>13.9232408150934</v>
      </c>
      <c r="N73" s="116" t="n">
        <f aca="false">N72-M72</f>
        <v>9.73664085745816</v>
      </c>
      <c r="O73" s="116" t="n">
        <f aca="false">O72-N72</f>
        <v>5.49912127410775</v>
      </c>
      <c r="P73" s="116" t="n">
        <f aca="false">P72-O72</f>
        <v>4.2017440044028</v>
      </c>
      <c r="Q73" s="116" t="n">
        <f aca="false">Q72-P72</f>
        <v>3.7249980578475</v>
      </c>
      <c r="R73" s="116" t="n">
        <f aca="false">R72-Q72</f>
        <v>3.80832400636774</v>
      </c>
      <c r="S73" s="116" t="n">
        <f aca="false">S72-R72</f>
        <v>3.89459749540285</v>
      </c>
      <c r="T73" s="116" t="n">
        <f aca="false">T72-S72</f>
        <v>3.98520148867544</v>
      </c>
      <c r="U73" s="116" t="n">
        <f aca="false">U72-T72</f>
        <v>4.08316642525293</v>
      </c>
      <c r="V73" s="116" t="n">
        <f aca="false">V72-U72</f>
        <v>3.40620587674701</v>
      </c>
      <c r="W73" s="116" t="n">
        <f aca="false">W72-V72</f>
        <v>2.8678999722338</v>
      </c>
      <c r="X73" s="116" t="n">
        <f aca="false">X72-W72</f>
        <v>2.73824625639026</v>
      </c>
      <c r="Y73" s="116" t="n">
        <f aca="false">Y72-X72</f>
        <v>2.65882038947726</v>
      </c>
      <c r="Z73" s="116" t="n">
        <f aca="false">Z72-Y72</f>
        <v>2.60199541050798</v>
      </c>
      <c r="AA73" s="116" t="n">
        <f aca="false">AA72-Z72</f>
        <v>2.54501857760513</v>
      </c>
      <c r="AB73" s="116" t="n">
        <f aca="false">AB72-AA72</f>
        <v>2.48793861122914</v>
      </c>
      <c r="AC73" s="116" t="n">
        <f aca="false">AC72-AB72</f>
        <v>2.43073932897789</v>
      </c>
      <c r="AD73" s="116" t="n">
        <f aca="false">AD72-AC72</f>
        <v>2.37341255220105</v>
      </c>
      <c r="AE73" s="116" t="n">
        <f aca="false">AE72-AD72</f>
        <v>2.31596169414701</v>
      </c>
      <c r="AF73" s="116" t="n">
        <f aca="false">AF72-AE72</f>
        <v>2.25838989286191</v>
      </c>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row>
    <row r="74" customFormat="false" ht="15" hidden="false" customHeight="true" outlineLevel="0" collapsed="false">
      <c r="B74" s="135" t="s">
        <v>1086</v>
      </c>
      <c r="C74" s="116" t="n">
        <f aca="false">IF($C$17&gt;=1E+050,1E+099,$C$17*C41)</f>
        <v>0</v>
      </c>
      <c r="D74" s="116" t="n">
        <f aca="false">IF($C$17&gt;=1E+050,1E+099,$C$17*D41)</f>
        <v>0</v>
      </c>
      <c r="E74" s="116" t="n">
        <f aca="false">IF($C$17&gt;=1E+050,1E+099,$C$17*E41)</f>
        <v>0</v>
      </c>
      <c r="F74" s="116" t="n">
        <f aca="false">IF($C$17&gt;=1E+050,1E+099,$C$17*F41)</f>
        <v>0</v>
      </c>
      <c r="G74" s="116" t="n">
        <f aca="false">IF($C$17&gt;=1E+050,1E+099,$C$17*G41)</f>
        <v>0</v>
      </c>
      <c r="H74" s="116" t="n">
        <f aca="false">IF($C$17&gt;=1E+050,1E+099,$C$17*H41)</f>
        <v>0</v>
      </c>
      <c r="I74" s="116" t="n">
        <f aca="false">IF($C$17&gt;=1E+050,1E+099,$C$17*I41)</f>
        <v>0</v>
      </c>
      <c r="J74" s="116" t="n">
        <f aca="false">IF($C$17&gt;=1E+050,1E+099,$C$17*J41)</f>
        <v>0</v>
      </c>
      <c r="K74" s="116" t="n">
        <f aca="false">IF($C$17&gt;=1E+050,1E+099,$C$17*K41)</f>
        <v>0</v>
      </c>
      <c r="L74" s="116" t="n">
        <f aca="false">IF($C$17&gt;=1E+050,1E+099,$C$17*L41)</f>
        <v>0</v>
      </c>
      <c r="M74" s="116" t="n">
        <f aca="false">IF($C$17&gt;=1E+050,1E+099,$C$17*M41)</f>
        <v>0</v>
      </c>
      <c r="N74" s="116" t="n">
        <f aca="false">IF($C$17&gt;=1E+050,1E+099,$C$17*N41)</f>
        <v>0</v>
      </c>
      <c r="O74" s="116" t="n">
        <f aca="false">IF($C$17&gt;=1E+050,1E+099,$C$17*O41)</f>
        <v>0</v>
      </c>
      <c r="P74" s="116" t="n">
        <f aca="false">IF($C$17&gt;=1E+050,1E+099,$C$17*P41)</f>
        <v>0</v>
      </c>
      <c r="Q74" s="116" t="n">
        <f aca="false">IF($C$17&gt;=1E+050,1E+099,$C$17*Q41)</f>
        <v>0</v>
      </c>
      <c r="R74" s="116" t="n">
        <f aca="false">IF($C$17&gt;=1E+050,1E+099,$C$17*R41)</f>
        <v>0</v>
      </c>
      <c r="S74" s="116" t="n">
        <f aca="false">IF($C$17&gt;=1E+050,1E+099,$C$17*S41)</f>
        <v>0</v>
      </c>
      <c r="T74" s="116" t="n">
        <f aca="false">IF($C$17&gt;=1E+050,1E+099,$C$17*T41)</f>
        <v>0</v>
      </c>
      <c r="U74" s="116" t="n">
        <f aca="false">IF($C$17&gt;=1E+050,1E+099,$C$17*U41)</f>
        <v>0</v>
      </c>
      <c r="V74" s="116" t="n">
        <f aca="false">IF($C$17&gt;=1E+050,1E+099,$C$17*V41)</f>
        <v>0</v>
      </c>
      <c r="W74" s="116" t="n">
        <f aca="false">IF($C$17&gt;=1E+050,1E+099,$C$17*W41)</f>
        <v>0</v>
      </c>
      <c r="X74" s="116" t="n">
        <f aca="false">IF($C$17&gt;=1E+050,1E+099,$C$17*X41)</f>
        <v>0</v>
      </c>
      <c r="Y74" s="116" t="n">
        <f aca="false">IF($C$17&gt;=1E+050,1E+099,$C$17*Y41)</f>
        <v>0</v>
      </c>
      <c r="Z74" s="116" t="n">
        <f aca="false">IF($C$17&gt;=1E+050,1E+099,$C$17*Z41)</f>
        <v>0</v>
      </c>
      <c r="AA74" s="116" t="n">
        <f aca="false">IF($C$17&gt;=1E+050,1E+099,$C$17*AA41)</f>
        <v>0</v>
      </c>
      <c r="AB74" s="116" t="n">
        <f aca="false">IF($C$17&gt;=1E+050,1E+099,$C$17*AB41)</f>
        <v>0</v>
      </c>
      <c r="AC74" s="116" t="n">
        <f aca="false">IF($C$17&gt;=1E+050,1E+099,$C$17*AC41)</f>
        <v>0</v>
      </c>
      <c r="AD74" s="116" t="n">
        <f aca="false">IF($C$17&gt;=1E+050,1E+099,$C$17*AD41)</f>
        <v>0</v>
      </c>
      <c r="AE74" s="116" t="n">
        <f aca="false">IF($C$17&gt;=1E+050,1E+099,$C$17*AE41)</f>
        <v>0</v>
      </c>
      <c r="AF74" s="116" t="n">
        <f aca="false">IF($C$17&gt;=1E+050,1E+099,$C$17*AF41)</f>
        <v>0</v>
      </c>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row>
    <row r="75" customFormat="false" ht="15" hidden="false" customHeight="true" outlineLevel="0" collapsed="false">
      <c r="B75" s="135" t="s">
        <v>1087</v>
      </c>
      <c r="C75" s="116" t="n">
        <f aca="false">$C$19*0</f>
        <v>0</v>
      </c>
      <c r="D75" s="116" t="n">
        <f aca="false">$C$19*C81</f>
        <v>0.591335138619143</v>
      </c>
      <c r="E75" s="116" t="n">
        <f aca="false">$C$19*D81</f>
        <v>1.56352859909571</v>
      </c>
      <c r="F75" s="116" t="n">
        <f aca="false">$C$19*E81</f>
        <v>2.87438145983746</v>
      </c>
      <c r="G75" s="116" t="n">
        <f aca="false">$C$19*F81</f>
        <v>5.88201220350136</v>
      </c>
      <c r="H75" s="116" t="n">
        <f aca="false">$C$19*G81</f>
        <v>8.88961489631582</v>
      </c>
      <c r="I75" s="116" t="n">
        <f aca="false">$C$19*H81</f>
        <v>11.3755531699932</v>
      </c>
      <c r="J75" s="116" t="n">
        <f aca="false">$C$19*I81</f>
        <v>13.550262101845</v>
      </c>
      <c r="K75" s="116" t="n">
        <f aca="false">$C$19*J81</f>
        <v>15.4559000644048</v>
      </c>
      <c r="L75" s="116" t="n">
        <f aca="false">$C$19*K81</f>
        <v>16.085184703998</v>
      </c>
      <c r="M75" s="116" t="n">
        <f aca="false">$C$19*L81</f>
        <v>16.7149780603705</v>
      </c>
      <c r="N75" s="116" t="n">
        <f aca="false">$C$19*M81</f>
        <v>17.333113127961</v>
      </c>
      <c r="O75" s="116" t="n">
        <f aca="false">$C$19*N81</f>
        <v>17.9276752486722</v>
      </c>
      <c r="P75" s="116" t="n">
        <f aca="false">$C$19*O81</f>
        <v>18.4964942292469</v>
      </c>
      <c r="Q75" s="116" t="n">
        <f aca="false">$C$19*P81</f>
        <v>19.0039500025828</v>
      </c>
      <c r="R75" s="116" t="n">
        <f aca="false">$C$19*Q81</f>
        <v>19.4528889990641</v>
      </c>
      <c r="S75" s="116" t="n">
        <f aca="false">$C$19*R81</f>
        <v>19.8513554460247</v>
      </c>
      <c r="T75" s="116" t="n">
        <f aca="false">$C$19*S81</f>
        <v>20.2075437429869</v>
      </c>
      <c r="U75" s="116" t="n">
        <f aca="false">$C$19*T81</f>
        <v>20.5362324450537</v>
      </c>
      <c r="V75" s="116" t="n">
        <f aca="false">$C$19*U81</f>
        <v>20.8666657303619</v>
      </c>
      <c r="W75" s="116" t="n">
        <f aca="false">$C$19*V81</f>
        <v>21.1986484337722</v>
      </c>
      <c r="X75" s="116" t="n">
        <f aca="false">$C$19*W81</f>
        <v>21.5248146841372</v>
      </c>
      <c r="Y75" s="116" t="n">
        <f aca="false">$C$19*X81</f>
        <v>21.8449770269559</v>
      </c>
      <c r="Z75" s="116" t="n">
        <f aca="false">$C$19*Y81</f>
        <v>22.1589486317017</v>
      </c>
      <c r="AA75" s="116" t="n">
        <f aca="false">$C$19*Z81</f>
        <v>22.4665432521435</v>
      </c>
      <c r="AB75" s="116" t="n">
        <f aca="false">$C$19*AA81</f>
        <v>22.7675751883505</v>
      </c>
      <c r="AC75" s="116" t="n">
        <f aca="false">$C$19*AB81</f>
        <v>23.0620294204304</v>
      </c>
      <c r="AD75" s="116" t="n">
        <f aca="false">$C$19*AC81</f>
        <v>23.3498914034806</v>
      </c>
      <c r="AE75" s="116" t="n">
        <f aca="false">$C$19*AD81</f>
        <v>23.6311470340966</v>
      </c>
      <c r="AF75" s="116" t="n">
        <f aca="false">$C$19*AE81</f>
        <v>23.9057826182096</v>
      </c>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row>
    <row r="76" customFormat="false" ht="15" hidden="false" customHeight="true" outlineLevel="0" collapsed="false">
      <c r="B76" s="135" t="s">
        <v>1088</v>
      </c>
      <c r="C76" s="116" t="n">
        <f aca="false">(IF($C$173="Sí",(MAX(0,C74-0)+MAX(0,0+C53-C75))/C327,C73+MAX(0,C74-0)+MAX(0,0+C53-C75)))+IF($C$173="Sí",MAX(0,$C$226*(C70+0)*0.3/0.55-0)/C327,0)</f>
        <v>118.390804597701</v>
      </c>
      <c r="D76" s="116" t="n">
        <f aca="false">(IF($C$173="Sí",(MAX(0,D74-C96)+MAX(0,C276+D53-D75))/D327,D73+MAX(0,D74-C96)+MAX(0,C276+D53-D75)))+IF($C$173="Sí",MAX(0,$C$226*(D70+C121)*0.3/0.55-C227)/D327,0)</f>
        <v>295.174266869667</v>
      </c>
      <c r="E76" s="116" t="n">
        <f aca="false">(IF($C$173="Sí",(MAX(0,E74-D96)+MAX(0,D276+E53-E75))/E327,E73+MAX(0,E74-D96)+MAX(0,D276+E53-E75)))+IF($C$173="Sí",MAX(0,$C$226*(E70+D121)*0.3/0.55-D227)/E327,0)</f>
        <v>414.75522057597</v>
      </c>
      <c r="F76" s="116" t="n">
        <f aca="false">(IF($C$173="Sí",(MAX(0,F74-E96)+MAX(0,E276+F53-F75))/F327,F73+MAX(0,F74-E96)+MAX(0,E276+F53-F75)))+IF($C$173="Sí",MAX(0,$C$226*(F70+E121)*0.3/0.55-E227)/F327,0)</f>
        <v>535.782679950369</v>
      </c>
      <c r="G76" s="116" t="n">
        <f aca="false">(IF($C$173="Sí",(MAX(0,G74-F96)+MAX(0,F276+G53-G75))/G327,G73+MAX(0,G74-F96)+MAX(0,F276+G53-G75)))+IF($C$173="Sí",MAX(0,$C$226*(G70+F121)*0.3/0.55-F227)/G327,0)</f>
        <v>824.63663850743</v>
      </c>
      <c r="H76" s="116" t="n">
        <f aca="false">(IF($C$173="Sí",(MAX(0,H74-G96)+MAX(0,G276+H53-H75))/H327,H73+MAX(0,H74-G96)+MAX(0,G276+H53-H75)))+IF($C$173="Sí",MAX(0,$C$226*(H70+G121)*0.3/0.55-G227)/H327,0)</f>
        <v>891.04348498928</v>
      </c>
      <c r="I76" s="116" t="n">
        <f aca="false">(IF($C$173="Sí",(MAX(0,I74-H96)+MAX(0,H276+I53-I75))/I327,I73+MAX(0,I74-H96)+MAX(0,H276+I53-I75)))+IF($C$173="Sí",MAX(0,$C$226*(I70+H121)*0.3/0.55-H227)/I327,0)</f>
        <v>875.423966050242</v>
      </c>
      <c r="J76" s="116" t="n">
        <f aca="false">(IF($C$173="Sí",(MAX(0,J74-I96)+MAX(0,I276+J53-J75))/J327,J73+MAX(0,J74-I96)+MAX(0,I276+J53-J75)))+IF($C$173="Sí",MAX(0,$C$226*(J70+I121)*0.3/0.55-I227)/J327,0)</f>
        <v>890.907552410536</v>
      </c>
      <c r="K76" s="116" t="n">
        <f aca="false">(IF($C$173="Sí",(MAX(0,K74-J96)+MAX(0,J276+K53-K75))/K327,K73+MAX(0,K74-J96)+MAX(0,J276+K53-K75)))+IF($C$173="Sí",MAX(0,$C$226*(K70+J121)*0.3/0.55-J227)/K327,0)</f>
        <v>914.736078450683</v>
      </c>
      <c r="L76" s="116" t="n">
        <f aca="false">(IF($C$173="Sí",(MAX(0,L74-K96)+MAX(0,K276+L53-L75))/L327,L73+MAX(0,L74-K96)+MAX(0,K276+L53-L75)))+IF($C$173="Sí",MAX(0,$C$226*(L70+K121)*0.3/0.55-K227)/L327,0)</f>
        <v>868.550432068793</v>
      </c>
      <c r="M76" s="116" t="n">
        <f aca="false">(IF($C$173="Sí",(MAX(0,M74-L96)+MAX(0,L276+M53-M75))/M327,M73+MAX(0,M74-L96)+MAX(0,L276+M53-M75)))+IF($C$173="Sí",MAX(0,$C$226*(M70+L121)*0.3/0.55-L227)/M327,0)</f>
        <v>810.674499949197</v>
      </c>
      <c r="N76" s="116" t="n">
        <f aca="false">(IF($C$173="Sí",(MAX(0,N74-M96)+MAX(0,M276+N53-N75))/N327,N73+MAX(0,N74-M96)+MAX(0,M276+N53-N75)))+IF($C$173="Sí",MAX(0,$C$226*(N70+M121)*0.3/0.55-M227)/N327,0)</f>
        <v>678.151365248914</v>
      </c>
      <c r="O76" s="116" t="n">
        <f aca="false">(IF($C$173="Sí",(MAX(0,O74-N96)+MAX(0,N276+O53-O75))/O327,O73+MAX(0,O74-N96)+MAX(0,N276+O53-O75)))+IF($C$173="Sí",MAX(0,$C$226*(O70+N121)*0.3/0.55-N227)/O327,0)</f>
        <v>638.853268188325</v>
      </c>
      <c r="P76" s="116" t="n">
        <f aca="false">(IF($C$173="Sí",(MAX(0,P74-O96)+MAX(0,O276+P53-P75))/P327,P73+MAX(0,P74-O96)+MAX(0,O276+P53-P75)))+IF($C$173="Sí",MAX(0,$C$226*(P70+O121)*0.3/0.55-O227)/P327,0)</f>
        <v>677.647566055403</v>
      </c>
      <c r="Q76" s="116" t="n">
        <f aca="false">(IF($C$173="Sí",(MAX(0,Q74-P96)+MAX(0,P276+Q53-Q75))/Q327,Q73+MAX(0,Q74-P96)+MAX(0,P276+Q53-Q75)))+IF($C$173="Sí",MAX(0,$C$226*(Q70+P121)*0.3/0.55-P227)/Q327,0)</f>
        <v>681.30069209007</v>
      </c>
      <c r="R76" s="116" t="n">
        <f aca="false">(IF($C$173="Sí",(MAX(0,R74-Q96)+MAX(0,Q276+R53-R75))/R327,R73+MAX(0,R74-Q96)+MAX(0,Q276+R53-R75)))+IF($C$173="Sí",MAX(0,$C$226*(R70+Q121)*0.3/0.55-Q227)/R327,0)</f>
        <v>682.595287608985</v>
      </c>
      <c r="S76" s="116" t="n">
        <f aca="false">(IF($C$173="Sí",(MAX(0,S74-R96)+MAX(0,R276+S53-S75))/S327,S73+MAX(0,S74-R96)+MAX(0,R276+S53-S75)))+IF($C$173="Sí",MAX(0,$C$226*(S70+R121)*0.3/0.55-R227)/S327,0)</f>
        <v>684.397634889937</v>
      </c>
      <c r="T76" s="116" t="n">
        <f aca="false">(IF($C$173="Sí",(MAX(0,T74-S96)+MAX(0,S276+T53-T75))/T327,T73+MAX(0,T74-S96)+MAX(0,S276+T53-T75)))+IF($C$173="Sí",MAX(0,$C$226*(T70+S121)*0.3/0.55-S227)/T327,0)</f>
        <v>686.050722282444</v>
      </c>
      <c r="U76" s="116" t="n">
        <f aca="false">(IF($C$173="Sí",(MAX(0,U74-T96)+MAX(0,T276+U53-U75))/U327,U73+MAX(0,U74-T96)+MAX(0,T276+U53-U75)))+IF($C$173="Sí",MAX(0,$C$226*(U70+T121)*0.3/0.55-T227)/U327,0)</f>
        <v>687.409793001239</v>
      </c>
      <c r="V76" s="116" t="n">
        <f aca="false">(IF($C$173="Sí",(MAX(0,V74-U96)+MAX(0,U276+V53-V75))/V327,V73+MAX(0,V74-U96)+MAX(0,U276+V53-V75)))+IF($C$173="Sí",MAX(0,$C$226*(V70+U121)*0.3/0.55-U227)/V327,0)</f>
        <v>688.852712720715</v>
      </c>
      <c r="W76" s="116" t="n">
        <f aca="false">(IF($C$173="Sí",(MAX(0,W74-V96)+MAX(0,V276+W53-W75))/W327,W73+MAX(0,W74-V96)+MAX(0,V276+W53-W75)))+IF($C$173="Sí",MAX(0,$C$226*(W70+V121)*0.3/0.55-V227)/W327,0)</f>
        <v>686.676563047956</v>
      </c>
      <c r="X76" s="116" t="n">
        <f aca="false">(IF($C$173="Sí",(MAX(0,X74-W96)+MAX(0,W276+X53-X75))/X327,X73+MAX(0,X74-W96)+MAX(0,W276+X53-X75)))+IF($C$173="Sí",MAX(0,$C$226*(X70+W121)*0.3/0.55-W227)/X327,0)</f>
        <v>685.173249593197</v>
      </c>
      <c r="Y76" s="116" t="n">
        <f aca="false">(IF($C$173="Sí",(MAX(0,Y74-X96)+MAX(0,X276+Y53-Y75))/Y327,Y73+MAX(0,Y74-X96)+MAX(0,X276+Y53-Y75)))+IF($C$173="Sí",MAX(0,$C$226*(Y70+X121)*0.3/0.55-X227)/Y327,0)</f>
        <v>684.998350359097</v>
      </c>
      <c r="Z76" s="116" t="n">
        <f aca="false">(IF($C$173="Sí",(MAX(0,Z74-Y96)+MAX(0,Y276+Z53-Z75))/Z327,Z73+MAX(0,Z74-Y96)+MAX(0,Y276+Z53-Z75)))+IF($C$173="Sí",MAX(0,$C$226*(Z70+Y121)*0.3/0.55-Y227)/Z327,0)</f>
        <v>684.054631329718</v>
      </c>
      <c r="AA76" s="116" t="n">
        <f aca="false">(IF($C$173="Sí",(MAX(0,AA74-Z96)+MAX(0,Z276+AA53-AA75))/AA327,AA73+MAX(0,AA74-Z96)+MAX(0,Z276+AA53-AA75)))+IF($C$173="Sí",MAX(0,$C$226*(AA70+Z121)*0.3/0.55-Z227)/AA327,0)</f>
        <v>682.478595968355</v>
      </c>
      <c r="AB76" s="116" t="n">
        <f aca="false">(IF($C$173="Sí",(MAX(0,AB74-AA96)+MAX(0,AA276+AB53-AB75))/AB327,AB73+MAX(0,AB74-AA96)+MAX(0,AA276+AB53-AB75)))+IF($C$173="Sí",MAX(0,$C$226*(AB70+AA121)*0.3/0.55-AA227)/AB327,0)</f>
        <v>680.301007286391</v>
      </c>
      <c r="AC76" s="116" t="n">
        <f aca="false">(IF($C$173="Sí",(MAX(0,AC74-AB96)+MAX(0,AB276+AC53-AC75))/AC327,AC73+MAX(0,AC74-AB96)+MAX(0,AB276+AC53-AC75)))+IF($C$173="Sí",MAX(0,$C$226*(AC70+AB121)*0.3/0.55-AB227)/AC327,0)</f>
        <v>677.555480931872</v>
      </c>
      <c r="AD76" s="116" t="n">
        <f aca="false">(IF($C$173="Sí",(MAX(0,AD74-AC96)+MAX(0,AC276+AD53-AD75))/AD327,AD73+MAX(0,AD74-AC96)+MAX(0,AC276+AD53-AD75)))+IF($C$173="Sí",MAX(0,$C$226*(AD70+AC121)*0.3/0.55-AC227)/AD327,0)</f>
        <v>674.270376254083</v>
      </c>
      <c r="AE76" s="116" t="n">
        <f aca="false">(IF($C$173="Sí",(MAX(0,AE74-AD96)+MAX(0,AD276+AE53-AE75))/AE327,AE73+MAX(0,AE74-AD96)+MAX(0,AD276+AE53-AE75)))+IF($C$173="Sí",MAX(0,$C$226*(AE70+AD121)*0.3/0.55-AD227)/AE327,0)</f>
        <v>670.473212061414</v>
      </c>
      <c r="AF76" s="116" t="n">
        <f aca="false">(IF($C$173="Sí",(MAX(0,AF74-AE96)+MAX(0,AE276+AF53-AF75))/AF327,AF73+MAX(0,AF74-AE96)+MAX(0,AE276+AF53-AF75)))+IF($C$173="Sí",MAX(0,$C$226*(AF70+AE121)*0.3/0.55-AE227)/AF327,0)</f>
        <v>666.190829785618</v>
      </c>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row>
    <row r="77" customFormat="false" ht="15" hidden="false" customHeight="true" outlineLevel="0" collapsed="false">
      <c r="B77" s="132" t="s">
        <v>1089</v>
      </c>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row>
    <row r="78" customFormat="false" ht="15" hidden="false" customHeight="true" outlineLevel="0" collapsed="false">
      <c r="B78" s="134" t="s">
        <v>1090</v>
      </c>
      <c r="C78" s="116" t="n">
        <f aca="false">MIN(MIN(0+IF(C$39&lt;=01_Supuestos!$C$182,01_Supuestos!$C$181,$C$174)*C41,0+C76),IF(01_Supuestos!$C$179&gt;0,01_Supuestos!$C$179/(1-01_Supuestos!$C$179)*64_Inflacion!$C$5,1E+099))</f>
        <v>13</v>
      </c>
      <c r="D78" s="116" t="n">
        <f aca="false">MIN(MIN(C83+IF(D$39&lt;=01_Supuestos!$C$182,01_Supuestos!$C$181,$C$174)*D41,C83+D76),IF(01_Supuestos!$C$179&gt;0,01_Supuestos!$C$179/(1-01_Supuestos!$C$179)*64_Inflacion!$C$5*D41/$C$41,1E+099))</f>
        <v>20.1853498759641</v>
      </c>
      <c r="E78" s="116" t="n">
        <f aca="false">MIN(MIN(D83+IF(E$39&lt;=01_Supuestos!$C$182,01_Supuestos!$C$181,$C$174)*E41,D83+E76),IF(01_Supuestos!$C$179&gt;0,01_Supuestos!$C$179/(1-01_Supuestos!$C$179)*64_Inflacion!$C$5*E41/$C$41,1E+099))</f>
        <v>31.5940666948854</v>
      </c>
      <c r="F78" s="116" t="n">
        <f aca="false">MIN(MIN(E83+IF(F$39&lt;=01_Supuestos!$C$182,01_Supuestos!$C$181,$C$174)*F41,E83+F76),IF(01_Supuestos!$C$179&gt;0,01_Supuestos!$C$179/(1-01_Supuestos!$C$179)*64_Inflacion!$C$5*F41/$C$41,1E+099))</f>
        <v>45.5118558658854</v>
      </c>
      <c r="G78" s="116" t="n">
        <f aca="false">MIN(MIN(F83+IF(G$39&lt;=01_Supuestos!$C$182,01_Supuestos!$C$181,$C$174)*G41,F83+G76),IF(01_Supuestos!$C$179&gt;0,01_Supuestos!$C$179/(1-01_Supuestos!$C$179)*64_Inflacion!$C$5*G41/$C$41,1E+099))</f>
        <v>59.7497541878184</v>
      </c>
      <c r="H78" s="116" t="n">
        <f aca="false">MIN(MIN(G83+IF(H$39&lt;=01_Supuestos!$C$182,01_Supuestos!$C$181,$C$174)*H41,G83+H76),IF(01_Supuestos!$C$179&gt;0,01_Supuestos!$C$179/(1-01_Supuestos!$C$179)*64_Inflacion!$C$5*H41/$C$41,1E+099))</f>
        <v>74.3151241711558</v>
      </c>
      <c r="I78" s="116" t="n">
        <f aca="false">MIN(MIN(H83+IF(I$39&lt;=01_Supuestos!$C$182,01_Supuestos!$C$181,$C$174)*I41,H83+I76),IF(01_Supuestos!$C$179&gt;0,01_Supuestos!$C$179/(1-01_Supuestos!$C$179)*64_Inflacion!$C$5*I41/$C$41,1E+099))</f>
        <v>89.21549766411</v>
      </c>
      <c r="J78" s="116" t="n">
        <f aca="false">MIN(MIN(I83+IF(J$39&lt;=01_Supuestos!$C$182,01_Supuestos!$C$181,$C$174)*J41,I83+J76),IF(01_Supuestos!$C$179&gt;0,01_Supuestos!$C$179/(1-01_Supuestos!$C$179)*64_Inflacion!$C$5*J41/$C$41,1E+099))</f>
        <v>104.458579747402</v>
      </c>
      <c r="K78" s="116" t="n">
        <f aca="false">MIN(MIN(J83+IF(K$39&lt;=01_Supuestos!$C$182,01_Supuestos!$C$181,$C$174)*K41,J83+K76),IF(01_Supuestos!$C$179&gt;0,01_Supuestos!$C$179/(1-01_Supuestos!$C$179)*64_Inflacion!$C$5*K41/$C$41,1E+099))</f>
        <v>120.05225271861</v>
      </c>
      <c r="L78" s="116" t="n">
        <f aca="false">MIN(MIN(K83+IF(L$39&lt;=01_Supuestos!$C$182,01_Supuestos!$C$181,$C$174)*L41,K83+L76),IF(01_Supuestos!$C$179&gt;0,01_Supuestos!$C$179/(1-01_Supuestos!$C$179)*64_Inflacion!$C$5*L41/$C$41,1E+099))</f>
        <v>136.004580168156</v>
      </c>
      <c r="M78" s="116" t="n">
        <f aca="false">MIN(MIN(L83+IF(M$39&lt;=01_Supuestos!$C$182,01_Supuestos!$C$181,$C$174)*M41,L83+M76),IF(01_Supuestos!$C$179&gt;0,01_Supuestos!$C$179/(1-01_Supuestos!$C$179)*64_Inflacion!$C$5*M41/$C$41,1E+099))</f>
        <v>152.323811149041</v>
      </c>
      <c r="N78" s="116" t="n">
        <f aca="false">MIN(MIN(M83+IF(N$39&lt;=01_Supuestos!$C$182,01_Supuestos!$C$181,$C$174)*N41,M83+N76),IF(01_Supuestos!$C$179&gt;0,01_Supuestos!$C$179/(1-01_Supuestos!$C$179)*64_Inflacion!$C$5*N41/$C$41,1E+099))</f>
        <v>162.084126425925</v>
      </c>
      <c r="O78" s="116" t="n">
        <f aca="false">MIN(MIN(N83+IF(O$39&lt;=01_Supuestos!$C$182,01_Supuestos!$C$181,$C$174)*O41,N83+O76),IF(01_Supuestos!$C$179&gt;0,01_Supuestos!$C$179/(1-01_Supuestos!$C$179)*64_Inflacion!$C$5*O41/$C$41,1E+099))</f>
        <v>165.812061333721</v>
      </c>
      <c r="P78" s="116" t="n">
        <f aca="false">MIN(MIN(O83+IF(P$39&lt;=01_Supuestos!$C$182,01_Supuestos!$C$181,$C$174)*P41,O83+P76),IF(01_Supuestos!$C$179&gt;0,01_Supuestos!$C$179/(1-01_Supuestos!$C$179)*64_Inflacion!$C$5*P41/$C$41,1E+099))</f>
        <v>169.625738744397</v>
      </c>
      <c r="Q78" s="116" t="n">
        <f aca="false">MIN(MIN(P83+IF(Q$39&lt;=01_Supuestos!$C$182,01_Supuestos!$C$181,$C$174)*Q41,P83+Q76),IF(01_Supuestos!$C$179&gt;0,01_Supuestos!$C$179/(1-01_Supuestos!$C$179)*64_Inflacion!$C$5*Q41/$C$41,1E+099))</f>
        <v>173.527130735518</v>
      </c>
      <c r="R78" s="116" t="n">
        <f aca="false">MIN(MIN(Q83+IF(R$39&lt;=01_Supuestos!$C$182,01_Supuestos!$C$181,$C$174)*R41,Q83+R76),IF(01_Supuestos!$C$179&gt;0,01_Supuestos!$C$179/(1-01_Supuestos!$C$179)*64_Inflacion!$C$5*R41/$C$41,1E+099))</f>
        <v>177.518254742435</v>
      </c>
      <c r="S78" s="116" t="n">
        <f aca="false">MIN(MIN(R83+IF(S$39&lt;=01_Supuestos!$C$182,01_Supuestos!$C$181,$C$174)*S41,R83+S76),IF(01_Supuestos!$C$179&gt;0,01_Supuestos!$C$179/(1-01_Supuestos!$C$179)*64_Inflacion!$C$5*S41/$C$41,1E+099))</f>
        <v>181.601174601511</v>
      </c>
      <c r="T78" s="116" t="n">
        <f aca="false">MIN(MIN(S83+IF(T$39&lt;=01_Supuestos!$C$182,01_Supuestos!$C$181,$C$174)*T41,S83+T76),IF(01_Supuestos!$C$179&gt;0,01_Supuestos!$C$179/(1-01_Supuestos!$C$179)*64_Inflacion!$C$5*T41/$C$41,1E+099))</f>
        <v>185.778001617345</v>
      </c>
      <c r="U78" s="116" t="n">
        <f aca="false">MIN(MIN(T83+IF(U$39&lt;=01_Supuestos!$C$182,01_Supuestos!$C$181,$C$174)*U41,T83+U76),IF(01_Supuestos!$C$179&gt;0,01_Supuestos!$C$179/(1-01_Supuestos!$C$179)*64_Inflacion!$C$5*U41/$C$41,1E+099))</f>
        <v>190.050895654544</v>
      </c>
      <c r="V78" s="116" t="n">
        <f aca="false">MIN(MIN(U83+IF(V$39&lt;=01_Supuestos!$C$182,01_Supuestos!$C$181,$C$174)*V41,U83+V76),IF(01_Supuestos!$C$179&gt;0,01_Supuestos!$C$179/(1-01_Supuestos!$C$179)*64_Inflacion!$C$5*V41/$C$41,1E+099))</f>
        <v>194.422066254599</v>
      </c>
      <c r="W78" s="116" t="n">
        <f aca="false">MIN(MIN(V83+IF(W$39&lt;=01_Supuestos!$C$182,01_Supuestos!$C$181,$C$174)*W41,V83+W76),IF(01_Supuestos!$C$179&gt;0,01_Supuestos!$C$179/(1-01_Supuestos!$C$179)*64_Inflacion!$C$5*W41/$C$41,1E+099))</f>
        <v>198.893773778455</v>
      </c>
      <c r="X78" s="116" t="n">
        <f aca="false">MIN(MIN(W83+IF(X$39&lt;=01_Supuestos!$C$182,01_Supuestos!$C$181,$C$174)*X41,W83+X76),IF(01_Supuestos!$C$179&gt;0,01_Supuestos!$C$179/(1-01_Supuestos!$C$179)*64_Inflacion!$C$5*X41/$C$41,1E+099))</f>
        <v>203.468330575359</v>
      </c>
      <c r="Y78" s="116" t="n">
        <f aca="false">MIN(MIN(X83+IF(Y$39&lt;=01_Supuestos!$C$182,01_Supuestos!$C$181,$C$174)*Y41,X83+Y76),IF(01_Supuestos!$C$179&gt;0,01_Supuestos!$C$179/(1-01_Supuestos!$C$179)*64_Inflacion!$C$5*Y41/$C$41,1E+099))</f>
        <v>208.148102178592</v>
      </c>
      <c r="Z78" s="116" t="n">
        <f aca="false">MIN(MIN(Y83+IF(Z$39&lt;=01_Supuestos!$C$182,01_Supuestos!$C$181,$C$174)*Z41,Y83+Z76),IF(01_Supuestos!$C$179&gt;0,01_Supuestos!$C$179/(1-01_Supuestos!$C$179)*64_Inflacion!$C$5*Z41/$C$41,1E+099))</f>
        <v>212.9355085287</v>
      </c>
      <c r="AA78" s="116" t="n">
        <f aca="false">MIN(MIN(Z83+IF(AA$39&lt;=01_Supuestos!$C$182,01_Supuestos!$C$181,$C$174)*AA41,Z83+AA76),IF(01_Supuestos!$C$179&gt;0,01_Supuestos!$C$179/(1-01_Supuestos!$C$179)*64_Inflacion!$C$5*AA41/$C$41,1E+099))</f>
        <v>217.83302522486</v>
      </c>
      <c r="AB78" s="116" t="n">
        <f aca="false">MIN(MIN(AA83+IF(AB$39&lt;=01_Supuestos!$C$182,01_Supuestos!$C$181,$C$174)*AB41,AA83+AB76),IF(01_Supuestos!$C$179&gt;0,01_Supuestos!$C$179/(1-01_Supuestos!$C$179)*64_Inflacion!$C$5*AB41/$C$41,1E+099))</f>
        <v>222.843184805032</v>
      </c>
      <c r="AC78" s="116" t="n">
        <f aca="false">MIN(MIN(AB83+IF(AC$39&lt;=01_Supuestos!$C$182,01_Supuestos!$C$181,$C$174)*AC41,AB83+AC76),IF(01_Supuestos!$C$179&gt;0,01_Supuestos!$C$179/(1-01_Supuestos!$C$179)*64_Inflacion!$C$5*AC41/$C$41,1E+099))</f>
        <v>227.968578055547</v>
      </c>
      <c r="AD78" s="116" t="n">
        <f aca="false">MIN(MIN(AC83+IF(AD$39&lt;=01_Supuestos!$C$182,01_Supuestos!$C$181,$C$174)*AD41,AC83+AD76),IF(01_Supuestos!$C$179&gt;0,01_Supuestos!$C$179/(1-01_Supuestos!$C$179)*64_Inflacion!$C$5*AD41/$C$41,1E+099))</f>
        <v>233.211855350825</v>
      </c>
      <c r="AE78" s="116" t="n">
        <f aca="false">MIN(MIN(AD83+IF(AE$39&lt;=01_Supuestos!$C$182,01_Supuestos!$C$181,$C$174)*AE41,AD83+AE76),IF(01_Supuestos!$C$179&gt;0,01_Supuestos!$C$179/(1-01_Supuestos!$C$179)*64_Inflacion!$C$5*AE41/$C$41,1E+099))</f>
        <v>238.575728023894</v>
      </c>
      <c r="AF78" s="116" t="n">
        <f aca="false">MIN(MIN(AE83+IF(AF$39&lt;=01_Supuestos!$C$182,01_Supuestos!$C$181,$C$174)*AF41,AE83+AF76),IF(01_Supuestos!$C$179&gt;0,01_Supuestos!$C$179/(1-01_Supuestos!$C$179)*64_Inflacion!$C$5*AF41/$C$41,1E+099))</f>
        <v>242.358540091721</v>
      </c>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row>
    <row r="79" customFormat="false" ht="15" hidden="false" customHeight="true" outlineLevel="0" collapsed="false">
      <c r="B79" s="134" t="s">
        <v>1091</v>
      </c>
      <c r="C79" s="116" t="n">
        <f aca="false">MAX(0,MIN(C67,$C$9*(C69+C68+0),C78))</f>
        <v>6.88634987596409</v>
      </c>
      <c r="D79" s="116" t="n">
        <f aca="false">MAX(0,MIN(D67,$C$9*(D69+D68+C121),D78))</f>
        <v>17.9891896948854</v>
      </c>
      <c r="E79" s="116" t="n">
        <f aca="false">MAX(0,MIN(E67,$C$9*(E69+E68+D121),E78))</f>
        <v>31.5940666948854</v>
      </c>
      <c r="F79" s="116" t="n">
        <f aca="false">MAX(0,MIN(F67,$C$9*(F69+F68+E121),F78))</f>
        <v>45.5118558658854</v>
      </c>
      <c r="G79" s="116" t="n">
        <f aca="false">MAX(0,MIN(G67,$C$9*(G69+G68+F121),G78))</f>
        <v>59.7497541878184</v>
      </c>
      <c r="H79" s="116" t="n">
        <f aca="false">MAX(0,MIN(H67,$C$9*(H69+H68+G121),H78))</f>
        <v>74.3151241711558</v>
      </c>
      <c r="I79" s="116" t="n">
        <f aca="false">MAX(0,MIN(I67,$C$9*(I69+I68+H121),I78))</f>
        <v>89.21549766411</v>
      </c>
      <c r="J79" s="116" t="n">
        <f aca="false">MAX(0,MIN(J67,$C$9*(J69+J68+I121),J78))</f>
        <v>104.458579747402</v>
      </c>
      <c r="K79" s="116" t="n">
        <f aca="false">MAX(0,MIN(K67,$C$9*(K69+K68+J121),K78))</f>
        <v>120.05225271861</v>
      </c>
      <c r="L79" s="116" t="n">
        <f aca="false">MAX(0,MIN(L67,$C$9*(L69+L68+K121),L78))</f>
        <v>136.004580168156</v>
      </c>
      <c r="M79" s="116" t="n">
        <f aca="false">MAX(0,MIN(M67,$C$9*(M69+M68+L121),M78))</f>
        <v>152.323811149041</v>
      </c>
      <c r="N79" s="116" t="n">
        <f aca="false">MAX(0,MIN(N67,$C$9*(N69+N68+M121),N78))</f>
        <v>162.084126425925</v>
      </c>
      <c r="O79" s="116" t="n">
        <f aca="false">MAX(0,MIN(O67,$C$9*(O69+O68+N121),O78))</f>
        <v>165.812061333721</v>
      </c>
      <c r="P79" s="116" t="n">
        <f aca="false">MAX(0,MIN(P67,$C$9*(P69+P68+O121),P78))</f>
        <v>169.625738744397</v>
      </c>
      <c r="Q79" s="116" t="n">
        <f aca="false">MAX(0,MIN(Q67,$C$9*(Q69+Q68+P121),Q78))</f>
        <v>173.527130735518</v>
      </c>
      <c r="R79" s="116" t="n">
        <f aca="false">MAX(0,MIN(R67,$C$9*(R69+R68+Q121),R78))</f>
        <v>177.518254742435</v>
      </c>
      <c r="S79" s="116" t="n">
        <f aca="false">MAX(0,MIN(S67,$C$9*(S69+S68+R121),S78))</f>
        <v>181.601174601511</v>
      </c>
      <c r="T79" s="116" t="n">
        <f aca="false">MAX(0,MIN(T67,$C$9*(T69+T68+S121),T78))</f>
        <v>185.778001617345</v>
      </c>
      <c r="U79" s="116" t="n">
        <f aca="false">MAX(0,MIN(U67,$C$9*(U69+U68+T121),U78))</f>
        <v>190.050895654544</v>
      </c>
      <c r="V79" s="116" t="n">
        <f aca="false">MAX(0,MIN(V67,$C$9*(V69+V68+U121),V78))</f>
        <v>193.496613936469</v>
      </c>
      <c r="W79" s="116" t="n">
        <f aca="false">MAX(0,MIN(W67,$C$9*(W69+W68+V121),W78))</f>
        <v>196.368944030547</v>
      </c>
      <c r="X79" s="116" t="n">
        <f aca="false">MAX(0,MIN(X67,$C$9*(X69+X68+W121),X78))</f>
        <v>199.182523056559</v>
      </c>
      <c r="Y79" s="116" t="n">
        <f aca="false">MAX(0,MIN(Y67,$C$9*(Y69+Y68+X121),Y78))</f>
        <v>201.937196788935</v>
      </c>
      <c r="Z79" s="116" t="n">
        <f aca="false">MAX(0,MIN(Z67,$C$9*(Z69+Z68+Y121),Z78))</f>
        <v>204.632816109604</v>
      </c>
      <c r="AA79" s="116" t="n">
        <f aca="false">MAX(0,MIN(AA67,$C$9*(AA69+AA68+Z121),AA78))</f>
        <v>207.269236660707</v>
      </c>
      <c r="AB79" s="116" t="n">
        <f aca="false">MAX(0,MIN(AB67,$C$9*(AB69+AB68+AA121),AB78))</f>
        <v>209.846318511426</v>
      </c>
      <c r="AC79" s="116" t="n">
        <f aca="false">MAX(0,MIN(AC67,$C$9*(AC69+AC68+AB121),AC78))</f>
        <v>212.363925838119</v>
      </c>
      <c r="AD79" s="116" t="n">
        <f aca="false">MAX(0,MIN(AD67,$C$9*(AD69+AD68+AC121),AD78))</f>
        <v>214.82192661696</v>
      </c>
      <c r="AE79" s="116" t="n">
        <f aca="false">MAX(0,MIN(AE67,$C$9*(AE69+AE68+AD121),AE78))</f>
        <v>217.220192328361</v>
      </c>
      <c r="AF79" s="116" t="n">
        <f aca="false">MAX(0,MIN(AF67,$C$9*(AF69+AF68+AE121),AF78))</f>
        <v>219.558597672431</v>
      </c>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row>
    <row r="80" customFormat="false" ht="15" hidden="false" customHeight="true" outlineLevel="0" collapsed="false">
      <c r="B80" s="134" t="s">
        <v>1092</v>
      </c>
      <c r="C80" s="116" t="n">
        <f aca="false">IF($C$177&lt;=1,C68,SUMPRODUCT($C$189:C189,((C$39-$C$39:C$39+1)&gt;=$C$177)+((C$39-$C$39:C$39+1)&lt;$C$177)*(C$39-$C$39:C$39+1)/$C$177))</f>
        <v>0.386255216886864</v>
      </c>
      <c r="D80" s="116" t="n">
        <f aca="false">IF($C$177&lt;=1,D68,SUMPRODUCT($C$189:D189,((D$39-$C$39:D$39+1)&gt;=$C$177)+((D$39-$C$39:D$39+1)&lt;$C$177)*(D$39-$C$39:D$39+1)/$C$177))</f>
        <v>1.39643969852219</v>
      </c>
      <c r="E80" s="116" t="n">
        <f aca="false">IF($C$177&lt;=1,E68,SUMPRODUCT($C$189:E189,((E$39-$C$39:E$39+1)&gt;=$C$177)+((E$39-$C$39:E$39+1)&lt;$C$177)*(E$39-$C$39:E$39+1)/$C$177))</f>
        <v>3.23265730546119</v>
      </c>
      <c r="F80" s="116" t="n">
        <f aca="false">IF($C$177&lt;=1,F68,SUMPRODUCT($C$189:F189,((F$39-$C$39:F$39+1)&gt;=$C$177)+((F$39-$C$39:F$39+1)&lt;$C$177)*(F$39-$C$39:F$39+1)/$C$177))</f>
        <v>6.45273474266286</v>
      </c>
      <c r="G80" s="116" t="n">
        <f aca="false">IF($C$177&lt;=1,G68,SUMPRODUCT($C$189:G189,((G$39-$C$39:G$39+1)&gt;=$C$177)+((G$39-$C$39:G$39+1)&lt;$C$177)*(G$39-$C$39:G$39+1)/$C$177))</f>
        <v>11.0565654628756</v>
      </c>
      <c r="H80" s="116" t="n">
        <f aca="false">IF($C$177&lt;=1,H68,SUMPRODUCT($C$189:H189,((H$39-$C$39:H$39+1)&gt;=$C$177)+((H$39-$C$39:H$39+1)&lt;$C$177)*(H$39-$C$39:H$39+1)/$C$177))</f>
        <v>16.6550639408431</v>
      </c>
      <c r="I80" s="116" t="n">
        <f aca="false">IF($C$177&lt;=1,I68,SUMPRODUCT($C$189:I189,((I$39-$C$39:I$39+1)&gt;=$C$177)+((I$39-$C$39:I$39+1)&lt;$C$177)*(I$39-$C$39:I$39+1)/$C$177))</f>
        <v>23.0103459104485</v>
      </c>
      <c r="J80" s="116" t="n">
        <f aca="false">IF($C$177&lt;=1,J68,SUMPRODUCT($C$189:J189,((J$39-$C$39:J$39+1)&gt;=$C$177)+((J$39-$C$39:J$39+1)&lt;$C$177)*(J$39-$C$39:J$39+1)/$C$177))</f>
        <v>29.9200898721775</v>
      </c>
      <c r="K80" s="116" t="n">
        <f aca="false">IF($C$177&lt;=1,K68,SUMPRODUCT($C$189:K189,((K$39-$C$39:K$39+1)&gt;=$C$177)+((K$39-$C$39:K$39+1)&lt;$C$177)*(K$39-$C$39:K$39+1)/$C$177))</f>
        <v>36.8298338339064</v>
      </c>
      <c r="L80" s="116" t="n">
        <f aca="false">IF($C$177&lt;=1,L68,SUMPRODUCT($C$189:L189,((L$39-$C$39:L$39+1)&gt;=$C$177)+((L$39-$C$39:L$39+1)&lt;$C$177)*(L$39-$C$39:L$39+1)/$C$177))</f>
        <v>43.7395777956353</v>
      </c>
      <c r="M80" s="116" t="n">
        <f aca="false">IF($C$177&lt;=1,M68,SUMPRODUCT($C$189:M189,((M$39-$C$39:M$39+1)&gt;=$C$177)+((M$39-$C$39:M$39+1)&lt;$C$177)*(M$39-$C$39:M$39+1)/$C$177))</f>
        <v>50.4064903629138</v>
      </c>
      <c r="N80" s="116" t="n">
        <f aca="false">IF($C$177&lt;=1,N68,SUMPRODUCT($C$189:N189,((N$39-$C$39:N$39+1)&gt;=$C$177)+((N$39-$C$39:N$39+1)&lt;$C$177)*(N$39-$C$39:N$39+1)/$C$177))</f>
        <v>56.5927616547374</v>
      </c>
      <c r="O80" s="116" t="n">
        <f aca="false">IF($C$177&lt;=1,O68,SUMPRODUCT($C$189:O189,((O$39-$C$39:O$39+1)&gt;=$C$177)+((O$39-$C$39:O$39+1)&lt;$C$177)*(O$39-$C$39:O$39+1)/$C$177))</f>
        <v>62.096147182498</v>
      </c>
      <c r="P80" s="116" t="n">
        <f aca="false">IF($C$177&lt;=1,P68,SUMPRODUCT($C$189:P189,((P$39-$C$39:P$39+1)&gt;=$C$177)+((P$39-$C$39:P$39+1)&lt;$C$177)*(P$39-$C$39:P$39+1)/$C$177))</f>
        <v>66.3586746490136</v>
      </c>
      <c r="Q80" s="116" t="n">
        <f aca="false">IF($C$177&lt;=1,Q68,SUMPRODUCT($C$189:Q189,((Q$39-$C$39:Q$39+1)&gt;=$C$177)+((Q$39-$C$39:Q$39+1)&lt;$C$177)*(Q$39-$C$39:Q$39+1)/$C$177))</f>
        <v>69.3802998699069</v>
      </c>
      <c r="R80" s="116" t="n">
        <f aca="false">IF($C$177&lt;=1,R68,SUMPRODUCT($C$189:R189,((R$39-$C$39:R$39+1)&gt;=$C$177)+((R$39-$C$39:R$39+1)&lt;$C$177)*(R$39-$C$39:R$39+1)/$C$177))</f>
        <v>71.546548915132</v>
      </c>
      <c r="S80" s="116" t="n">
        <f aca="false">IF($C$177&lt;=1,S68,SUMPRODUCT($C$189:S189,((S$39-$C$39:S$39+1)&gt;=$C$177)+((S$39-$C$39:S$39+1)&lt;$C$177)*(S$39-$C$39:S$39+1)/$C$177))</f>
        <v>73.0917410868509</v>
      </c>
      <c r="T80" s="116" t="n">
        <f aca="false">IF($C$177&lt;=1,T68,SUMPRODUCT($C$189:T189,((T$39-$C$39:T$39+1)&gt;=$C$177)+((T$39-$C$39:T$39+1)&lt;$C$177)*(T$39-$C$39:T$39+1)/$C$177))</f>
        <v>74.2146272175171</v>
      </c>
      <c r="U80" s="116" t="n">
        <f aca="false">IF($C$177&lt;=1,U68,SUMPRODUCT($C$189:U189,((U$39-$C$39:U$39+1)&gt;=$C$177)+((U$39-$C$39:U$39+1)&lt;$C$177)*(U$39-$C$39:U$39+1)/$C$177))</f>
        <v>75.4660927277656</v>
      </c>
      <c r="V80" s="116" t="n">
        <f aca="false">IF($C$177&lt;=1,V68,SUMPRODUCT($C$189:V189,((V$39-$C$39:V$39+1)&gt;=$C$177)+((V$39-$C$39:V$39+1)&lt;$C$177)*(V$39-$C$39:V$39+1)/$C$177))</f>
        <v>76.8425549332555</v>
      </c>
      <c r="W80" s="116" t="n">
        <f aca="false">IF($C$177&lt;=1,W68,SUMPRODUCT($C$189:W189,((W$39-$C$39:W$39+1)&gt;=$C$177)+((W$39-$C$39:W$39+1)&lt;$C$177)*(W$39-$C$39:W$39+1)/$C$177))</f>
        <v>78.1970009985724</v>
      </c>
      <c r="X80" s="116" t="n">
        <f aca="false">IF($C$177&lt;=1,X68,SUMPRODUCT($C$189:X189,((X$39-$C$39:X$39+1)&gt;=$C$177)+((X$39-$C$39:X$39+1)&lt;$C$177)*(X$39-$C$39:X$39+1)/$C$177))</f>
        <v>79.5259711918436</v>
      </c>
      <c r="Y80" s="116" t="n">
        <f aca="false">IF($C$177&lt;=1,Y68,SUMPRODUCT($C$189:Y189,((Y$39-$C$39:Y$39+1)&gt;=$C$177)+((Y$39-$C$39:Y$39+1)&lt;$C$177)*(Y$39-$C$39:Y$39+1)/$C$177))</f>
        <v>80.8260037927821</v>
      </c>
      <c r="Z80" s="116" t="n">
        <f aca="false">IF($C$177&lt;=1,Z68,SUMPRODUCT($C$189:Z189,((Z$39-$C$39:Z$39+1)&gt;=$C$177)+((Z$39-$C$39:Z$39+1)&lt;$C$177)*(Z$39-$C$39:Z$39+1)/$C$177))</f>
        <v>82.0936350224952</v>
      </c>
      <c r="AA80" s="116" t="n">
        <f aca="false">IF($C$177&lt;=1,AA68,SUMPRODUCT($C$189:AA189,((AA$39-$C$39:AA$39+1)&gt;=$C$177)+((AA$39-$C$39:AA$39+1)&lt;$C$177)*(AA$39-$C$39:AA$39+1)/$C$177))</f>
        <v>83.3253989708155</v>
      </c>
      <c r="AB80" s="116" t="n">
        <f aca="false">IF($C$177&lt;=1,AB68,SUMPRODUCT($C$189:AB189,((AB$39-$C$39:AB$39+1)&gt;=$C$177)+((AB$39-$C$39:AB$39+1)&lt;$C$177)*(AB$39-$C$39:AB$39+1)/$C$177))</f>
        <v>84.5212309239153</v>
      </c>
      <c r="AC80" s="116" t="n">
        <f aca="false">IF($C$177&lt;=1,AC68,SUMPRODUCT($C$189:AC189,((AC$39-$C$39:AC$39+1)&gt;=$C$177)+((AC$39-$C$39:AC$39+1)&lt;$C$177)*(AC$39-$C$39:AC$39+1)/$C$177))</f>
        <v>85.6810638835683</v>
      </c>
      <c r="AD80" s="116" t="n">
        <f aca="false">IF($C$177&lt;=1,AD68,SUMPRODUCT($C$189:AD189,((AD$39-$C$39:AD$39+1)&gt;=$C$177)+((AD$39-$C$39:AD$39+1)&lt;$C$177)*(AD$39-$C$39:AD$39+1)/$C$177))</f>
        <v>86.8048284865111</v>
      </c>
      <c r="AE80" s="116" t="n">
        <f aca="false">IF($C$177&lt;=1,AE68,SUMPRODUCT($C$189:AE189,((AE$39-$C$39:AE$39+1)&gt;=$C$177)+((AE$39-$C$39:AE$39+1)&lt;$C$177)*(AE$39-$C$39:AE$39+1)/$C$177))</f>
        <v>87.8924529209571</v>
      </c>
      <c r="AF80" s="116" t="n">
        <f aca="false">IF($C$177&lt;=1,AF68,SUMPRODUCT($C$189:AF189,((AF$39-$C$39:AF$39+1)&gt;=$C$177)+((AF$39-$C$39:AF$39+1)&lt;$C$177)*(AF$39-$C$39:AF$39+1)/$C$177))</f>
        <v>88.9438628401634</v>
      </c>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row>
    <row r="81" customFormat="false" ht="15" hidden="false" customHeight="true" outlineLevel="0" collapsed="false">
      <c r="B81" s="134" t="s">
        <v>1093</v>
      </c>
      <c r="C81" s="116" t="n">
        <f aca="false">C69+C80+0</f>
        <v>11.8267027723829</v>
      </c>
      <c r="D81" s="116" t="n">
        <f aca="false">D69+D80+C121</f>
        <v>31.2705719819142</v>
      </c>
      <c r="E81" s="116" t="n">
        <f aca="false">E69+E80+D121</f>
        <v>57.4876291967492</v>
      </c>
      <c r="F81" s="116" t="n">
        <f aca="false">F69+F80+E121</f>
        <v>117.640244070027</v>
      </c>
      <c r="G81" s="116" t="n">
        <f aca="false">G69+G80+F121</f>
        <v>177.792297926316</v>
      </c>
      <c r="H81" s="116" t="n">
        <f aca="false">H69+H80+G121</f>
        <v>227.511063399864</v>
      </c>
      <c r="I81" s="116" t="n">
        <f aca="false">I69+I80+H121</f>
        <v>271.0052420369</v>
      </c>
      <c r="J81" s="116" t="n">
        <f aca="false">J69+J80+I121</f>
        <v>309.118001288097</v>
      </c>
      <c r="K81" s="116" t="n">
        <f aca="false">K69+K80+J121</f>
        <v>321.703694079959</v>
      </c>
      <c r="L81" s="116" t="n">
        <f aca="false">L69+L80+K121</f>
        <v>334.29956120741</v>
      </c>
      <c r="M81" s="116" t="n">
        <f aca="false">M69+M80+L121</f>
        <v>346.66226255922</v>
      </c>
      <c r="N81" s="116" t="n">
        <f aca="false">N69+N80+M121</f>
        <v>358.553504973444</v>
      </c>
      <c r="O81" s="116" t="n">
        <f aca="false">O69+O80+N121</f>
        <v>369.929884584937</v>
      </c>
      <c r="P81" s="116" t="n">
        <f aca="false">P69+P80+O121</f>
        <v>380.079000051655</v>
      </c>
      <c r="Q81" s="116" t="n">
        <f aca="false">Q69+Q80+P121</f>
        <v>389.057779981283</v>
      </c>
      <c r="R81" s="116" t="n">
        <f aca="false">R69+R80+Q121</f>
        <v>397.027108920493</v>
      </c>
      <c r="S81" s="116" t="n">
        <f aca="false">S69+S80+R121</f>
        <v>404.150874859737</v>
      </c>
      <c r="T81" s="116" t="n">
        <f aca="false">T69+T80+S121</f>
        <v>410.724648901073</v>
      </c>
      <c r="U81" s="116" t="n">
        <f aca="false">U69+U80+T121</f>
        <v>417.333314607239</v>
      </c>
      <c r="V81" s="116" t="n">
        <f aca="false">V69+V80+U121</f>
        <v>423.972968675443</v>
      </c>
      <c r="W81" s="116" t="n">
        <f aca="false">W69+W80+V121</f>
        <v>430.496293682744</v>
      </c>
      <c r="X81" s="116" t="n">
        <f aca="false">X69+X80+W121</f>
        <v>436.899540539118</v>
      </c>
      <c r="Y81" s="116" t="n">
        <f aca="false">Y69+Y80+X121</f>
        <v>443.178972634035</v>
      </c>
      <c r="Z81" s="116" t="n">
        <f aca="false">Z69+Z80+Y121</f>
        <v>449.330865042869</v>
      </c>
      <c r="AA81" s="116" t="n">
        <f aca="false">AA69+AA80+Z121</f>
        <v>455.35150376701</v>
      </c>
      <c r="AB81" s="116" t="n">
        <f aca="false">AB69+AB80+AA121</f>
        <v>461.240588408607</v>
      </c>
      <c r="AC81" s="116" t="n">
        <f aca="false">AC69+AC80+AB121</f>
        <v>466.997828069613</v>
      </c>
      <c r="AD81" s="116" t="n">
        <f aca="false">AD69+AD80+AC121</f>
        <v>472.622940681932</v>
      </c>
      <c r="AE81" s="116" t="n">
        <f aca="false">AE69+AE80+AD121</f>
        <v>478.115652364191</v>
      </c>
      <c r="AF81" s="116" t="n">
        <f aca="false">AF69+AF80+AE121</f>
        <v>483.475696803537</v>
      </c>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row>
    <row r="82" customFormat="false" ht="15" hidden="false" customHeight="true" outlineLevel="0" collapsed="false">
      <c r="B82" s="134" t="s">
        <v>1094</v>
      </c>
      <c r="C82" s="116" t="n">
        <f aca="false">MAX(0,MIN(C80,$C$9*C81-C79,C78-C79))</f>
        <v>0</v>
      </c>
      <c r="D82" s="116" t="n">
        <f aca="false">MAX(0,MIN(D80,$C$9*D81-D79,D78-D79))</f>
        <v>0</v>
      </c>
      <c r="E82" s="116" t="n">
        <f aca="false">MAX(0,MIN(E80,$C$9*E81-E79,E78-E79))</f>
        <v>0</v>
      </c>
      <c r="F82" s="116" t="n">
        <f aca="false">MAX(0,MIN(F80,$C$9*F81-F79,F78-F79))</f>
        <v>0</v>
      </c>
      <c r="G82" s="116" t="n">
        <f aca="false">MAX(0,MIN(G80,$C$9*G81-G79,G78-G79))</f>
        <v>0</v>
      </c>
      <c r="H82" s="116" t="n">
        <f aca="false">MAX(0,MIN(H80,$C$9*H81-H79,H78-H79))</f>
        <v>0</v>
      </c>
      <c r="I82" s="116" t="n">
        <f aca="false">MAX(0,MIN(I80,$C$9*I81-I79,I78-I79))</f>
        <v>0</v>
      </c>
      <c r="J82" s="116" t="n">
        <f aca="false">MAX(0,MIN(J80,$C$9*J81-J79,J78-J79))</f>
        <v>0</v>
      </c>
      <c r="K82" s="116" t="n">
        <f aca="false">MAX(0,MIN(K80,$C$9*K81-K79,K78-K79))</f>
        <v>0</v>
      </c>
      <c r="L82" s="116" t="n">
        <f aca="false">MAX(0,MIN(L80,$C$9*L81-L79,L78-L79))</f>
        <v>0</v>
      </c>
      <c r="M82" s="116" t="n">
        <f aca="false">MAX(0,MIN(M80,$C$9*M81-M79,M78-M79))</f>
        <v>0</v>
      </c>
      <c r="N82" s="116" t="n">
        <f aca="false">MAX(0,MIN(N80,$C$9*N81-N79,N78-N79))</f>
        <v>0</v>
      </c>
      <c r="O82" s="116" t="n">
        <f aca="false">MAX(0,MIN(O80,$C$9*O81-O79,O78-O79))</f>
        <v>0</v>
      </c>
      <c r="P82" s="116" t="n">
        <f aca="false">MAX(0,MIN(P80,$C$9*P81-P79,P78-P79))</f>
        <v>0</v>
      </c>
      <c r="Q82" s="116" t="n">
        <f aca="false">MAX(0,MIN(Q80,$C$9*Q81-Q79,Q78-Q79))</f>
        <v>0</v>
      </c>
      <c r="R82" s="116" t="n">
        <f aca="false">MAX(0,MIN(R80,$C$9*R81-R79,R78-R79))</f>
        <v>0</v>
      </c>
      <c r="S82" s="116" t="n">
        <f aca="false">MAX(0,MIN(S80,$C$9*S81-S79,S78-S79))</f>
        <v>0</v>
      </c>
      <c r="T82" s="116" t="n">
        <f aca="false">MAX(0,MIN(T80,$C$9*T81-T79,T78-T79))</f>
        <v>0</v>
      </c>
      <c r="U82" s="116" t="n">
        <f aca="false">MAX(0,MIN(U80,$C$9*U81-U79,U78-U79))</f>
        <v>0</v>
      </c>
      <c r="V82" s="116" t="n">
        <f aca="false">MAX(0,MIN(V80,$C$9*V81-V79,V78-V79))</f>
        <v>0</v>
      </c>
      <c r="W82" s="116" t="n">
        <f aca="false">MAX(0,MIN(W80,$C$9*W81-W79,W78-W79))</f>
        <v>0</v>
      </c>
      <c r="X82" s="116" t="n">
        <f aca="false">MAX(0,MIN(X80,$C$9*X81-X79,X78-X79))</f>
        <v>0</v>
      </c>
      <c r="Y82" s="116" t="n">
        <f aca="false">MAX(0,MIN(Y80,$C$9*Y81-Y79,Y78-Y79))</f>
        <v>0</v>
      </c>
      <c r="Z82" s="116" t="n">
        <f aca="false">MAX(0,MIN(Z80,$C$9*Z81-Z79,Z78-Z79))</f>
        <v>0</v>
      </c>
      <c r="AA82" s="116" t="n">
        <f aca="false">MAX(0,MIN(AA80,$C$9*AA81-AA79,AA78-AA79))</f>
        <v>0</v>
      </c>
      <c r="AB82" s="116" t="n">
        <f aca="false">MAX(0,MIN(AB80,$C$9*AB81-AB79,AB78-AB79))</f>
        <v>0</v>
      </c>
      <c r="AC82" s="116" t="n">
        <f aca="false">MAX(0,MIN(AC80,$C$9*AC81-AC79,AC78-AC79))</f>
        <v>0</v>
      </c>
      <c r="AD82" s="116" t="n">
        <f aca="false">MAX(0,MIN(AD80,$C$9*AD81-AD79,AD78-AD79))</f>
        <v>0</v>
      </c>
      <c r="AE82" s="116" t="n">
        <f aca="false">MAX(0,MIN(AE80,$C$9*AE81-AE79,AE78-AE79))</f>
        <v>0</v>
      </c>
      <c r="AF82" s="116" t="n">
        <f aca="false">MAX(0,MIN(AF80,$C$9*AF81-AF79,AF78-AF79))</f>
        <v>0</v>
      </c>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row>
    <row r="83" customFormat="false" ht="15" hidden="false" customHeight="true" outlineLevel="0" collapsed="false">
      <c r="B83" s="81" t="s">
        <v>1095</v>
      </c>
      <c r="C83" s="136" t="n">
        <f aca="false">C79+C82</f>
        <v>6.88634987596409</v>
      </c>
      <c r="D83" s="136" t="n">
        <f aca="false">D79+D82</f>
        <v>17.9891896948854</v>
      </c>
      <c r="E83" s="136" t="n">
        <f aca="false">E79+E82</f>
        <v>31.5940666948854</v>
      </c>
      <c r="F83" s="136" t="n">
        <f aca="false">F79+F82</f>
        <v>45.5118558658854</v>
      </c>
      <c r="G83" s="136" t="n">
        <f aca="false">G79+G82</f>
        <v>59.7497541878184</v>
      </c>
      <c r="H83" s="136" t="n">
        <f aca="false">H79+H82</f>
        <v>74.3151241711558</v>
      </c>
      <c r="I83" s="136" t="n">
        <f aca="false">I79+I82</f>
        <v>89.21549766411</v>
      </c>
      <c r="J83" s="136" t="n">
        <f aca="false">J79+J82</f>
        <v>104.458579747402</v>
      </c>
      <c r="K83" s="136" t="n">
        <f aca="false">K79+K82</f>
        <v>120.05225271861</v>
      </c>
      <c r="L83" s="136" t="n">
        <f aca="false">L79+L82</f>
        <v>136.004580168156</v>
      </c>
      <c r="M83" s="136" t="n">
        <f aca="false">M79+M82</f>
        <v>152.323811149041</v>
      </c>
      <c r="N83" s="136" t="n">
        <f aca="false">N79+N82</f>
        <v>162.084126425925</v>
      </c>
      <c r="O83" s="136" t="n">
        <f aca="false">O79+O82</f>
        <v>165.812061333721</v>
      </c>
      <c r="P83" s="136" t="n">
        <f aca="false">P79+P82</f>
        <v>169.625738744397</v>
      </c>
      <c r="Q83" s="136" t="n">
        <f aca="false">Q79+Q82</f>
        <v>173.527130735518</v>
      </c>
      <c r="R83" s="136" t="n">
        <f aca="false">R79+R82</f>
        <v>177.518254742435</v>
      </c>
      <c r="S83" s="136" t="n">
        <f aca="false">S79+S82</f>
        <v>181.601174601511</v>
      </c>
      <c r="T83" s="136" t="n">
        <f aca="false">T79+T82</f>
        <v>185.778001617345</v>
      </c>
      <c r="U83" s="136" t="n">
        <f aca="false">U79+U82</f>
        <v>190.050895654544</v>
      </c>
      <c r="V83" s="136" t="n">
        <f aca="false">V79+V82</f>
        <v>193.496613936469</v>
      </c>
      <c r="W83" s="136" t="n">
        <f aca="false">W79+W82</f>
        <v>196.368944030547</v>
      </c>
      <c r="X83" s="136" t="n">
        <f aca="false">X79+X82</f>
        <v>199.182523056559</v>
      </c>
      <c r="Y83" s="136" t="n">
        <f aca="false">Y79+Y82</f>
        <v>201.937196788935</v>
      </c>
      <c r="Z83" s="136" t="n">
        <f aca="false">Z79+Z82</f>
        <v>204.632816109604</v>
      </c>
      <c r="AA83" s="136" t="n">
        <f aca="false">AA79+AA82</f>
        <v>207.269236660707</v>
      </c>
      <c r="AB83" s="136" t="n">
        <f aca="false">AB79+AB82</f>
        <v>209.846318511426</v>
      </c>
      <c r="AC83" s="136" t="n">
        <f aca="false">AC79+AC82</f>
        <v>212.363925838119</v>
      </c>
      <c r="AD83" s="136" t="n">
        <f aca="false">AD79+AD82</f>
        <v>214.82192661696</v>
      </c>
      <c r="AE83" s="136" t="n">
        <f aca="false">AE79+AE82</f>
        <v>217.220192328361</v>
      </c>
      <c r="AF83" s="136" t="n">
        <f aca="false">AF79+AF82</f>
        <v>219.558597672431</v>
      </c>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row>
    <row r="84" customFormat="false" ht="15" hidden="false" customHeight="true" outlineLevel="0" collapsed="false">
      <c r="B84" s="134" t="s">
        <v>1096</v>
      </c>
      <c r="C84" s="116" t="n">
        <f aca="false">C67-C79+C80-C82</f>
        <v>4.86035289641877</v>
      </c>
      <c r="D84" s="116" t="n">
        <f aca="false">D67-D79+D80-D82</f>
        <v>13.1185582870288</v>
      </c>
      <c r="E84" s="116" t="n">
        <f aca="false">E67-E79+E80-E82</f>
        <v>25.6449908146638</v>
      </c>
      <c r="F84" s="116" t="n">
        <f aca="false">F67-F79+F80-F82</f>
        <v>55.6490387944737</v>
      </c>
      <c r="G84" s="116" t="n">
        <f aca="false">G67-G79+G80-G82</f>
        <v>85.3292828636681</v>
      </c>
      <c r="H84" s="116" t="n">
        <f aca="false">H67-H79+H80-H82</f>
        <v>104.245522524906</v>
      </c>
      <c r="I84" s="116" t="n">
        <f aca="false">I67-I79+I80-I82</f>
        <v>116.598812950161</v>
      </c>
      <c r="J84" s="116" t="n">
        <f aca="false">J67-J79+J80-J82</f>
        <v>123.224497940575</v>
      </c>
      <c r="K84" s="116" t="n">
        <f aca="false">K67-K79+K80-K82</f>
        <v>113.202596219319</v>
      </c>
      <c r="L84" s="116" t="n">
        <f aca="false">L67-L79+L80-L82</f>
        <v>102.832214355314</v>
      </c>
      <c r="M84" s="116" t="n">
        <f aca="false">M67-M79+M80-M82</f>
        <v>96.0801109030485</v>
      </c>
      <c r="N84" s="116" t="n">
        <f aca="false">N67-N79+N80-N82</f>
        <v>95.4114691247594</v>
      </c>
      <c r="O84" s="116" t="n">
        <f aca="false">O67-O79+O80-O82</f>
        <v>100.096909053269</v>
      </c>
      <c r="P84" s="116" t="n">
        <f aca="false">P67-P79+P80-P82</f>
        <v>103.459753353371</v>
      </c>
      <c r="Q84" s="116" t="n">
        <f aca="false">Q67-Q79+Q80-Q82</f>
        <v>105.497420251141</v>
      </c>
      <c r="R84" s="116" t="n">
        <f aca="false">R67-R79+R80-R82</f>
        <v>106.492768167189</v>
      </c>
      <c r="S84" s="116" t="n">
        <f aca="false">S67-S79+S80-S82</f>
        <v>106.677516594566</v>
      </c>
      <c r="T84" s="116" t="n">
        <f aca="false">T67-T79+T80-T82</f>
        <v>106.247782066784</v>
      </c>
      <c r="U84" s="116" t="n">
        <f aca="false">U67-U79+U80-U82</f>
        <v>105.751778987156</v>
      </c>
      <c r="V84" s="116" t="n">
        <f aca="false">V67-V79+V80-V82</f>
        <v>106.108667039736</v>
      </c>
      <c r="W84" s="116" t="n">
        <f aca="false">W67-W79+W80-W82</f>
        <v>106.917155097779</v>
      </c>
      <c r="X84" s="116" t="n">
        <f aca="false">X67-X79+X80-X82</f>
        <v>107.658664244493</v>
      </c>
      <c r="Y84" s="116" t="n">
        <f aca="false">Y67-Y79+Y80-Y82</f>
        <v>108.329412585374</v>
      </c>
      <c r="Z84" s="116" t="n">
        <f aca="false">Z67-Z79+Z80-Z82</f>
        <v>108.925617761635</v>
      </c>
      <c r="AA84" s="116" t="n">
        <f aca="false">AA67-AA79+AA80-AA82</f>
        <v>109.443496288998</v>
      </c>
      <c r="AB84" s="116" t="n">
        <f aca="false">AB67-AB79+AB80-AB82</f>
        <v>109.882666308229</v>
      </c>
      <c r="AC84" s="116" t="n">
        <f aca="false">AC67-AC79+AC80-AC82</f>
        <v>110.242743537576</v>
      </c>
      <c r="AD84" s="116" t="n">
        <f aca="false">AD67-AD79+AD80-AD82</f>
        <v>110.523340634402</v>
      </c>
      <c r="AE84" s="116" t="n">
        <f aca="false">AE67-AE79+AE80-AE82</f>
        <v>110.724066561925</v>
      </c>
      <c r="AF84" s="116" t="n">
        <f aca="false">AF67-AF79+AF80-AF82</f>
        <v>110.844525959855</v>
      </c>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row>
    <row r="85" customFormat="false" ht="15" hidden="false" customHeight="true" outlineLevel="0" collapsed="false">
      <c r="B85" s="134" t="s">
        <v>1097</v>
      </c>
      <c r="C85" s="116" t="n">
        <f aca="false">IF(AND($C$31&gt;0,C$39&gt;10),MIN(C83,MAX(01_Supuestos!$I$137*C81,0*(1-1/MAX(1,$C$31)))),MIN(IF(C$39&lt;=10,01_Supuestos!$I$136,01_Supuestos!$I$137)*C81,C83))</f>
        <v>1.41920433268594</v>
      </c>
      <c r="D85" s="116" t="n">
        <f aca="false">IF(AND($C$31&gt;0,D$39&gt;10),MIN(D83,MAX(01_Supuestos!$I$137*D81,C85*(1-1/MAX(1,$C$31)))),MIN(IF(D$39&lt;=10,01_Supuestos!$I$136,01_Supuestos!$I$137)*D81,D83))</f>
        <v>3.7524686378297</v>
      </c>
      <c r="E85" s="116" t="n">
        <f aca="false">IF(AND($C$31&gt;0,E$39&gt;10),MIN(E83,MAX(01_Supuestos!$I$137*E81,D85*(1-1/MAX(1,$C$31)))),MIN(IF(E$39&lt;=10,01_Supuestos!$I$136,01_Supuestos!$I$137)*E81,E83))</f>
        <v>6.8985155036099</v>
      </c>
      <c r="F85" s="116" t="n">
        <f aca="false">IF(AND($C$31&gt;0,F$39&gt;10),MIN(F83,MAX(01_Supuestos!$I$137*F81,E85*(1-1/MAX(1,$C$31)))),MIN(IF(F$39&lt;=10,01_Supuestos!$I$136,01_Supuestos!$I$137)*F81,F83))</f>
        <v>14.1168292884033</v>
      </c>
      <c r="G85" s="116" t="n">
        <f aca="false">IF(AND($C$31&gt;0,G$39&gt;10),MIN(G83,MAX(01_Supuestos!$I$137*G81,F85*(1-1/MAX(1,$C$31)))),MIN(IF(G$39&lt;=10,01_Supuestos!$I$136,01_Supuestos!$I$137)*G81,G83))</f>
        <v>21.335075751158</v>
      </c>
      <c r="H85" s="116" t="n">
        <f aca="false">IF(AND($C$31&gt;0,H$39&gt;10),MIN(H83,MAX(01_Supuestos!$I$137*H81,G85*(1-1/MAX(1,$C$31)))),MIN(IF(H$39&lt;=10,01_Supuestos!$I$136,01_Supuestos!$I$137)*H81,H83))</f>
        <v>27.3013276079837</v>
      </c>
      <c r="I85" s="116" t="n">
        <f aca="false">IF(AND($C$31&gt;0,I$39&gt;10),MIN(I83,MAX(01_Supuestos!$I$137*I81,H85*(1-1/MAX(1,$C$31)))),MIN(IF(I$39&lt;=10,01_Supuestos!$I$136,01_Supuestos!$I$137)*I81,I83))</f>
        <v>32.520629044428</v>
      </c>
      <c r="J85" s="116" t="n">
        <f aca="false">IF(AND($C$31&gt;0,J$39&gt;10),MIN(J83,MAX(01_Supuestos!$I$137*J81,I85*(1-1/MAX(1,$C$31)))),MIN(IF(J$39&lt;=10,01_Supuestos!$I$136,01_Supuestos!$I$137)*J81,J83))</f>
        <v>37.0941601545716</v>
      </c>
      <c r="K85" s="116" t="n">
        <f aca="false">IF(AND($C$31&gt;0,K$39&gt;10),MIN(K83,MAX(01_Supuestos!$I$137*K81,J85*(1-1/MAX(1,$C$31)))),MIN(IF(K$39&lt;=10,01_Supuestos!$I$136,01_Supuestos!$I$137)*K81,K83))</f>
        <v>38.6044432895951</v>
      </c>
      <c r="L85" s="116" t="n">
        <f aca="false">IF(AND($C$31&gt;0,L$39&gt;10),MIN(L83,MAX(01_Supuestos!$I$137*L81,K85*(1-1/MAX(1,$C$31)))),MIN(IF(L$39&lt;=10,01_Supuestos!$I$136,01_Supuestos!$I$137)*L81,L83))</f>
        <v>40.1159473448892</v>
      </c>
      <c r="M85" s="116" t="n">
        <f aca="false">IF(AND($C$31&gt;0,M$39&gt;10),MIN(M83,MAX(01_Supuestos!$I$137*M81,L85*(1-1/MAX(1,$C$31)))),MIN(IF(M$39&lt;=10,01_Supuestos!$I$136,01_Supuestos!$I$137)*M81,M83))</f>
        <v>32.0927578759113</v>
      </c>
      <c r="N85" s="116" t="n">
        <f aca="false">IF(AND($C$31&gt;0,N$39&gt;10),MIN(N83,MAX(01_Supuestos!$I$137*N81,M85*(1-1/MAX(1,$C$31)))),MIN(IF(N$39&lt;=10,01_Supuestos!$I$136,01_Supuestos!$I$137)*N81,N83))</f>
        <v>26.8915128730083</v>
      </c>
      <c r="O85" s="116" t="n">
        <f aca="false">IF(AND($C$31&gt;0,O$39&gt;10),MIN(O83,MAX(01_Supuestos!$I$137*O81,N85*(1-1/MAX(1,$C$31)))),MIN(IF(O$39&lt;=10,01_Supuestos!$I$136,01_Supuestos!$I$137)*O81,O83))</f>
        <v>27.7447413438703</v>
      </c>
      <c r="P85" s="116" t="n">
        <f aca="false">IF(AND($C$31&gt;0,P$39&gt;10),MIN(P83,MAX(01_Supuestos!$I$137*P81,O85*(1-1/MAX(1,$C$31)))),MIN(IF(P$39&lt;=10,01_Supuestos!$I$136,01_Supuestos!$I$137)*P81,P83))</f>
        <v>28.5059250038741</v>
      </c>
      <c r="Q85" s="116" t="n">
        <f aca="false">IF(AND($C$31&gt;0,Q$39&gt;10),MIN(Q83,MAX(01_Supuestos!$I$137*Q81,P85*(1-1/MAX(1,$C$31)))),MIN(IF(Q$39&lt;=10,01_Supuestos!$I$136,01_Supuestos!$I$137)*Q81,Q83))</f>
        <v>29.1793334985962</v>
      </c>
      <c r="R85" s="116" t="n">
        <f aca="false">IF(AND($C$31&gt;0,R$39&gt;10),MIN(R83,MAX(01_Supuestos!$I$137*R81,Q85*(1-1/MAX(1,$C$31)))),MIN(IF(R$39&lt;=10,01_Supuestos!$I$136,01_Supuestos!$I$137)*R81,R83))</f>
        <v>29.777033169037</v>
      </c>
      <c r="S85" s="116" t="n">
        <f aca="false">IF(AND($C$31&gt;0,S$39&gt;10),MIN(S83,MAX(01_Supuestos!$I$137*S81,R85*(1-1/MAX(1,$C$31)))),MIN(IF(S$39&lt;=10,01_Supuestos!$I$136,01_Supuestos!$I$137)*S81,S83))</f>
        <v>30.3113156144803</v>
      </c>
      <c r="T85" s="116" t="n">
        <f aca="false">IF(AND($C$31&gt;0,T$39&gt;10),MIN(T83,MAX(01_Supuestos!$I$137*T81,S85*(1-1/MAX(1,$C$31)))),MIN(IF(T$39&lt;=10,01_Supuestos!$I$136,01_Supuestos!$I$137)*T81,T83))</f>
        <v>30.8043486675805</v>
      </c>
      <c r="U85" s="116" t="n">
        <f aca="false">IF(AND($C$31&gt;0,U$39&gt;10),MIN(U83,MAX(01_Supuestos!$I$137*U81,T85*(1-1/MAX(1,$C$31)))),MIN(IF(U$39&lt;=10,01_Supuestos!$I$136,01_Supuestos!$I$137)*U81,U83))</f>
        <v>31.2999985955429</v>
      </c>
      <c r="V85" s="116" t="n">
        <f aca="false">IF(AND($C$31&gt;0,V$39&gt;10),MIN(V83,MAX(01_Supuestos!$I$137*V81,U85*(1-1/MAX(1,$C$31)))),MIN(IF(V$39&lt;=10,01_Supuestos!$I$136,01_Supuestos!$I$137)*V81,V83))</f>
        <v>31.7979726506582</v>
      </c>
      <c r="W85" s="116" t="n">
        <f aca="false">IF(AND($C$31&gt;0,W$39&gt;10),MIN(W83,MAX(01_Supuestos!$I$137*W81,V85*(1-1/MAX(1,$C$31)))),MIN(IF(W$39&lt;=10,01_Supuestos!$I$136,01_Supuestos!$I$137)*W81,W83))</f>
        <v>32.2872220262058</v>
      </c>
      <c r="X85" s="116" t="n">
        <f aca="false">IF(AND($C$31&gt;0,X$39&gt;10),MIN(X83,MAX(01_Supuestos!$I$137*X81,W85*(1-1/MAX(1,$C$31)))),MIN(IF(X$39&lt;=10,01_Supuestos!$I$136,01_Supuestos!$I$137)*X81,X83))</f>
        <v>32.7674655404339</v>
      </c>
      <c r="Y85" s="116" t="n">
        <f aca="false">IF(AND($C$31&gt;0,Y$39&gt;10),MIN(Y83,MAX(01_Supuestos!$I$137*Y81,X85*(1-1/MAX(1,$C$31)))),MIN(IF(Y$39&lt;=10,01_Supuestos!$I$136,01_Supuestos!$I$137)*Y81,Y83))</f>
        <v>33.2384229475526</v>
      </c>
      <c r="Z85" s="116" t="n">
        <f aca="false">IF(AND($C$31&gt;0,Z$39&gt;10),MIN(Z83,MAX(01_Supuestos!$I$137*Z81,Y85*(1-1/MAX(1,$C$31)))),MIN(IF(Z$39&lt;=10,01_Supuestos!$I$136,01_Supuestos!$I$137)*Z81,Z83))</f>
        <v>33.6998148782152</v>
      </c>
      <c r="AA85" s="116" t="n">
        <f aca="false">IF(AND($C$31&gt;0,AA$39&gt;10),MIN(AA83,MAX(01_Supuestos!$I$137*AA81,Z85*(1-1/MAX(1,$C$31)))),MIN(IF(AA$39&lt;=10,01_Supuestos!$I$136,01_Supuestos!$I$137)*AA81,AA83))</f>
        <v>34.1513627825258</v>
      </c>
      <c r="AB85" s="116" t="n">
        <f aca="false">IF(AND($C$31&gt;0,AB$39&gt;10),MIN(AB83,MAX(01_Supuestos!$I$137*AB81,AA85*(1-1/MAX(1,$C$31)))),MIN(IF(AB$39&lt;=10,01_Supuestos!$I$136,01_Supuestos!$I$137)*AB81,AB83))</f>
        <v>34.5930441306456</v>
      </c>
      <c r="AC85" s="116" t="n">
        <f aca="false">IF(AND($C$31&gt;0,AC$39&gt;10),MIN(AC83,MAX(01_Supuestos!$I$137*AC81,AB85*(1-1/MAX(1,$C$31)))),MIN(IF(AC$39&lt;=10,01_Supuestos!$I$136,01_Supuestos!$I$137)*AC81,AC83))</f>
        <v>35.0248371052209</v>
      </c>
      <c r="AD85" s="116" t="n">
        <f aca="false">IF(AND($C$31&gt;0,AD$39&gt;10),MIN(AD83,MAX(01_Supuestos!$I$137*AD81,AC85*(1-1/MAX(1,$C$31)))),MIN(IF(AD$39&lt;=10,01_Supuestos!$I$136,01_Supuestos!$I$137)*AD81,AD83))</f>
        <v>35.4467205511449</v>
      </c>
      <c r="AE85" s="116" t="n">
        <f aca="false">IF(AND($C$31&gt;0,AE$39&gt;10),MIN(AE83,MAX(01_Supuestos!$I$137*AE81,AD85*(1-1/MAX(1,$C$31)))),MIN(IF(AE$39&lt;=10,01_Supuestos!$I$136,01_Supuestos!$I$137)*AE81,AE83))</f>
        <v>35.8586739273143</v>
      </c>
      <c r="AF85" s="116" t="n">
        <f aca="false">IF(AND($C$31&gt;0,AF$39&gt;10),MIN(AF83,MAX(01_Supuestos!$I$137*AF81,AE85*(1-1/MAX(1,$C$31)))),MIN(IF(AF$39&lt;=10,01_Supuestos!$I$136,01_Supuestos!$I$137)*AF81,AF83))</f>
        <v>36.2606772602653</v>
      </c>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row>
    <row r="86" customFormat="false" ht="15" hidden="false" customHeight="true" outlineLevel="0" collapsed="false">
      <c r="B86" s="134" t="s">
        <v>1098</v>
      </c>
      <c r="C86" s="116" t="n">
        <f aca="false">01_Supuestos!$I$127*C83</f>
        <v>0.344317493798204</v>
      </c>
      <c r="D86" s="116" t="n">
        <f aca="false">01_Supuestos!$I$127*D83</f>
        <v>0.899459484744269</v>
      </c>
      <c r="E86" s="116" t="n">
        <f aca="false">01_Supuestos!$I$127*E83</f>
        <v>1.57970333474427</v>
      </c>
      <c r="F86" s="116" t="n">
        <f aca="false">01_Supuestos!$I$127*F83</f>
        <v>2.27559279329427</v>
      </c>
      <c r="G86" s="116" t="n">
        <f aca="false">01_Supuestos!$I$127*G83</f>
        <v>2.98748770939092</v>
      </c>
      <c r="H86" s="116" t="n">
        <f aca="false">01_Supuestos!$I$127*H83</f>
        <v>3.71575620855779</v>
      </c>
      <c r="I86" s="116" t="n">
        <f aca="false">01_Supuestos!$I$127*I83</f>
        <v>4.4607748832055</v>
      </c>
      <c r="J86" s="116" t="n">
        <f aca="false">01_Supuestos!$I$127*J83</f>
        <v>5.22292898737011</v>
      </c>
      <c r="K86" s="116" t="n">
        <f aca="false">01_Supuestos!$I$127*K83</f>
        <v>6.0026126359305</v>
      </c>
      <c r="L86" s="116" t="n">
        <f aca="false">01_Supuestos!$I$127*L83</f>
        <v>6.80022900840779</v>
      </c>
      <c r="M86" s="116" t="n">
        <f aca="false">01_Supuestos!$I$127*M83</f>
        <v>7.61619055745205</v>
      </c>
      <c r="N86" s="116" t="n">
        <f aca="false">01_Supuestos!$I$127*N83</f>
        <v>8.10420632129624</v>
      </c>
      <c r="O86" s="116" t="n">
        <f aca="false">01_Supuestos!$I$127*O83</f>
        <v>8.29060306668605</v>
      </c>
      <c r="P86" s="116" t="n">
        <f aca="false">01_Supuestos!$I$127*P83</f>
        <v>8.48128693721983</v>
      </c>
      <c r="Q86" s="116" t="n">
        <f aca="false">01_Supuestos!$I$127*Q83</f>
        <v>8.67635653677589</v>
      </c>
      <c r="R86" s="116" t="n">
        <f aca="false">01_Supuestos!$I$127*R83</f>
        <v>8.87591273712173</v>
      </c>
      <c r="S86" s="116" t="n">
        <f aca="false">01_Supuestos!$I$127*S83</f>
        <v>9.08005873007553</v>
      </c>
      <c r="T86" s="116" t="n">
        <f aca="false">01_Supuestos!$I$127*T83</f>
        <v>9.28890008086727</v>
      </c>
      <c r="U86" s="116" t="n">
        <f aca="false">01_Supuestos!$I$127*U83</f>
        <v>9.50254478272721</v>
      </c>
      <c r="V86" s="116" t="n">
        <f aca="false">01_Supuestos!$I$127*V83</f>
        <v>9.67483069682345</v>
      </c>
      <c r="W86" s="116" t="n">
        <f aca="false">01_Supuestos!$I$127*W83</f>
        <v>9.81844720152737</v>
      </c>
      <c r="X86" s="116" t="n">
        <f aca="false">01_Supuestos!$I$127*X83</f>
        <v>9.95912615282797</v>
      </c>
      <c r="Y86" s="116" t="n">
        <f aca="false">01_Supuestos!$I$127*Y83</f>
        <v>10.0968598394468</v>
      </c>
      <c r="Z86" s="116" t="n">
        <f aca="false">01_Supuestos!$I$127*Z83</f>
        <v>10.2316408054802</v>
      </c>
      <c r="AA86" s="116" t="n">
        <f aca="false">01_Supuestos!$I$127*AA83</f>
        <v>10.3634618330354</v>
      </c>
      <c r="AB86" s="116" t="n">
        <f aca="false">01_Supuestos!$I$127*AB83</f>
        <v>10.4923159255713</v>
      </c>
      <c r="AC86" s="116" t="n">
        <f aca="false">01_Supuestos!$I$127*AC83</f>
        <v>10.6181962919059</v>
      </c>
      <c r="AD86" s="116" t="n">
        <f aca="false">01_Supuestos!$I$127*AD83</f>
        <v>10.741096330848</v>
      </c>
      <c r="AE86" s="116" t="n">
        <f aca="false">01_Supuestos!$I$127*AE83</f>
        <v>10.861009616418</v>
      </c>
      <c r="AF86" s="116" t="n">
        <f aca="false">01_Supuestos!$I$127*AF83</f>
        <v>10.9779298836216</v>
      </c>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row>
    <row r="87" customFormat="false" ht="15" hidden="false" customHeight="true" outlineLevel="0" collapsed="false">
      <c r="B87" s="134" t="s">
        <v>1099</v>
      </c>
      <c r="C87" s="116" t="n">
        <f aca="false">C83-C85-C86</f>
        <v>5.12282804947994</v>
      </c>
      <c r="D87" s="116" t="n">
        <f aca="false">D83-D85-D86</f>
        <v>13.3372615723114</v>
      </c>
      <c r="E87" s="116" t="n">
        <f aca="false">E83-E85-E86</f>
        <v>23.1158478565312</v>
      </c>
      <c r="F87" s="116" t="n">
        <f aca="false">F83-F85-F86</f>
        <v>29.1194337841878</v>
      </c>
      <c r="G87" s="116" t="n">
        <f aca="false">G83-G85-G86</f>
        <v>35.4271907272695</v>
      </c>
      <c r="H87" s="116" t="n">
        <f aca="false">H83-H85-H86</f>
        <v>43.2980403546143</v>
      </c>
      <c r="I87" s="116" t="n">
        <f aca="false">I83-I85-I86</f>
        <v>52.2340937364765</v>
      </c>
      <c r="J87" s="116" t="n">
        <f aca="false">J83-J85-J86</f>
        <v>62.1414906054605</v>
      </c>
      <c r="K87" s="116" t="n">
        <f aca="false">K83-K85-K86</f>
        <v>75.4451967930845</v>
      </c>
      <c r="L87" s="116" t="n">
        <f aca="false">L83-L85-L86</f>
        <v>89.0884038148588</v>
      </c>
      <c r="M87" s="116" t="n">
        <f aca="false">M83-M85-M86</f>
        <v>112.614862715678</v>
      </c>
      <c r="N87" s="116" t="n">
        <f aca="false">N83-N85-N86</f>
        <v>127.08840723162</v>
      </c>
      <c r="O87" s="116" t="n">
        <f aca="false">O83-O85-O86</f>
        <v>129.776716923165</v>
      </c>
      <c r="P87" s="116" t="n">
        <f aca="false">P83-P85-P86</f>
        <v>132.638526803303</v>
      </c>
      <c r="Q87" s="116" t="n">
        <f aca="false">Q83-Q85-Q86</f>
        <v>135.671440700146</v>
      </c>
      <c r="R87" s="116" t="n">
        <f aca="false">R83-R85-R86</f>
        <v>138.865308836276</v>
      </c>
      <c r="S87" s="116" t="n">
        <f aca="false">S83-S85-S86</f>
        <v>142.209800256955</v>
      </c>
      <c r="T87" s="116" t="n">
        <f aca="false">T83-T85-T86</f>
        <v>145.684752868898</v>
      </c>
      <c r="U87" s="116" t="n">
        <f aca="false">U83-U85-U86</f>
        <v>149.248352276274</v>
      </c>
      <c r="V87" s="116" t="n">
        <f aca="false">V83-V85-V86</f>
        <v>152.023810588987</v>
      </c>
      <c r="W87" s="116" t="n">
        <f aca="false">W83-W85-W86</f>
        <v>154.263274802814</v>
      </c>
      <c r="X87" s="116" t="n">
        <f aca="false">X83-X85-X86</f>
        <v>156.455931363298</v>
      </c>
      <c r="Y87" s="116" t="n">
        <f aca="false">Y83-Y85-Y86</f>
        <v>158.601914001936</v>
      </c>
      <c r="Z87" s="116" t="n">
        <f aca="false">Z83-Z85-Z86</f>
        <v>160.701360425909</v>
      </c>
      <c r="AA87" s="116" t="n">
        <f aca="false">AA83-AA85-AA86</f>
        <v>162.754412045146</v>
      </c>
      <c r="AB87" s="116" t="n">
        <f aca="false">AB83-AB85-AB86</f>
        <v>164.76095845521</v>
      </c>
      <c r="AC87" s="116" t="n">
        <f aca="false">AC83-AC85-AC86</f>
        <v>166.720892440992</v>
      </c>
      <c r="AD87" s="116" t="n">
        <f aca="false">AD83-AD85-AD86</f>
        <v>168.634109734967</v>
      </c>
      <c r="AE87" s="116" t="n">
        <f aca="false">AE83-AE85-AE86</f>
        <v>170.500508784629</v>
      </c>
      <c r="AF87" s="116" t="n">
        <f aca="false">AF83-AF85-AF86</f>
        <v>172.319990528544</v>
      </c>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row>
    <row r="88" customFormat="false" ht="15" hidden="false" customHeight="true" outlineLevel="0" collapsed="false">
      <c r="B88" s="134" t="s">
        <v>1100</v>
      </c>
      <c r="C88" s="116" t="n">
        <f aca="false">C86/01_Supuestos!$I$131*01_Supuestos!$I$129*01_Supuestos!$I$130*01_Supuestos!$I$128</f>
        <v>0.019367859026149</v>
      </c>
      <c r="D88" s="116" t="n">
        <f aca="false">D86/01_Supuestos!$I$131*01_Supuestos!$I$129*01_Supuestos!$I$130*01_Supuestos!$I$128</f>
        <v>0.0505945960168651</v>
      </c>
      <c r="E88" s="116" t="n">
        <f aca="false">E86/01_Supuestos!$I$131*01_Supuestos!$I$129*01_Supuestos!$I$130*01_Supuestos!$I$128</f>
        <v>0.0888583125793651</v>
      </c>
      <c r="F88" s="116" t="n">
        <f aca="false">F86/01_Supuestos!$I$131*01_Supuestos!$I$129*01_Supuestos!$I$130*01_Supuestos!$I$128</f>
        <v>0.128002094622803</v>
      </c>
      <c r="G88" s="116" t="n">
        <f aca="false">G86/01_Supuestos!$I$131*01_Supuestos!$I$129*01_Supuestos!$I$130*01_Supuestos!$I$128</f>
        <v>0.168046183653239</v>
      </c>
      <c r="H88" s="116" t="n">
        <f aca="false">H86/01_Supuestos!$I$131*01_Supuestos!$I$129*01_Supuestos!$I$130*01_Supuestos!$I$128</f>
        <v>0.209011286731376</v>
      </c>
      <c r="I88" s="116" t="n">
        <f aca="false">I86/01_Supuestos!$I$131*01_Supuestos!$I$129*01_Supuestos!$I$130*01_Supuestos!$I$128</f>
        <v>0.250918587180309</v>
      </c>
      <c r="J88" s="116" t="n">
        <f aca="false">J86/01_Supuestos!$I$131*01_Supuestos!$I$129*01_Supuestos!$I$130*01_Supuestos!$I$128</f>
        <v>0.293789755539569</v>
      </c>
      <c r="K88" s="116" t="n">
        <f aca="false">K86/01_Supuestos!$I$131*01_Supuestos!$I$129*01_Supuestos!$I$130*01_Supuestos!$I$128</f>
        <v>0.337646960771091</v>
      </c>
      <c r="L88" s="116" t="n">
        <f aca="false">L86/01_Supuestos!$I$131*01_Supuestos!$I$129*01_Supuestos!$I$130*01_Supuestos!$I$128</f>
        <v>0.382512881722938</v>
      </c>
      <c r="M88" s="116" t="n">
        <f aca="false">M86/01_Supuestos!$I$131*01_Supuestos!$I$129*01_Supuestos!$I$130*01_Supuestos!$I$128</f>
        <v>0.428410718856678</v>
      </c>
      <c r="N88" s="116" t="n">
        <f aca="false">N86/01_Supuestos!$I$131*01_Supuestos!$I$129*01_Supuestos!$I$130*01_Supuestos!$I$128</f>
        <v>0.455861605572914</v>
      </c>
      <c r="O88" s="116" t="n">
        <f aca="false">O86/01_Supuestos!$I$131*01_Supuestos!$I$129*01_Supuestos!$I$130*01_Supuestos!$I$128</f>
        <v>0.46634642250109</v>
      </c>
      <c r="P88" s="116" t="n">
        <f aca="false">P86/01_Supuestos!$I$131*01_Supuestos!$I$129*01_Supuestos!$I$130*01_Supuestos!$I$128</f>
        <v>0.477072390218616</v>
      </c>
      <c r="Q88" s="116" t="n">
        <f aca="false">Q86/01_Supuestos!$I$131*01_Supuestos!$I$129*01_Supuestos!$I$130*01_Supuestos!$I$128</f>
        <v>0.488045055193644</v>
      </c>
      <c r="R88" s="116" t="n">
        <f aca="false">R86/01_Supuestos!$I$131*01_Supuestos!$I$129*01_Supuestos!$I$130*01_Supuestos!$I$128</f>
        <v>0.499270091463097</v>
      </c>
      <c r="S88" s="116" t="n">
        <f aca="false">S86/01_Supuestos!$I$131*01_Supuestos!$I$129*01_Supuestos!$I$130*01_Supuestos!$I$128</f>
        <v>0.510753303566749</v>
      </c>
      <c r="T88" s="116" t="n">
        <f aca="false">T86/01_Supuestos!$I$131*01_Supuestos!$I$129*01_Supuestos!$I$130*01_Supuestos!$I$128</f>
        <v>0.522500629548784</v>
      </c>
      <c r="U88" s="116" t="n">
        <f aca="false">U86/01_Supuestos!$I$131*01_Supuestos!$I$129*01_Supuestos!$I$130*01_Supuestos!$I$128</f>
        <v>0.534518144028406</v>
      </c>
      <c r="V88" s="116" t="n">
        <f aca="false">V86/01_Supuestos!$I$131*01_Supuestos!$I$129*01_Supuestos!$I$130*01_Supuestos!$I$128</f>
        <v>0.544209226696319</v>
      </c>
      <c r="W88" s="116" t="n">
        <f aca="false">W86/01_Supuestos!$I$131*01_Supuestos!$I$129*01_Supuestos!$I$130*01_Supuestos!$I$128</f>
        <v>0.552287655085915</v>
      </c>
      <c r="X88" s="116" t="n">
        <f aca="false">X86/01_Supuestos!$I$131*01_Supuestos!$I$129*01_Supuestos!$I$130*01_Supuestos!$I$128</f>
        <v>0.560200846096573</v>
      </c>
      <c r="Y88" s="116" t="n">
        <f aca="false">Y86/01_Supuestos!$I$131*01_Supuestos!$I$129*01_Supuestos!$I$130*01_Supuestos!$I$128</f>
        <v>0.56794836596888</v>
      </c>
      <c r="Z88" s="116" t="n">
        <f aca="false">Z86/01_Supuestos!$I$131*01_Supuestos!$I$129*01_Supuestos!$I$130*01_Supuestos!$I$128</f>
        <v>0.575529795308262</v>
      </c>
      <c r="AA88" s="116" t="n">
        <f aca="false">AA86/01_Supuestos!$I$131*01_Supuestos!$I$129*01_Supuestos!$I$130*01_Supuestos!$I$128</f>
        <v>0.582944728108239</v>
      </c>
      <c r="AB88" s="116" t="n">
        <f aca="false">AB86/01_Supuestos!$I$131*01_Supuestos!$I$129*01_Supuestos!$I$130*01_Supuestos!$I$128</f>
        <v>0.590192770813387</v>
      </c>
      <c r="AC88" s="116" t="n">
        <f aca="false">AC86/01_Supuestos!$I$131*01_Supuestos!$I$129*01_Supuestos!$I$130*01_Supuestos!$I$128</f>
        <v>0.597273541419709</v>
      </c>
      <c r="AD88" s="116" t="n">
        <f aca="false">AD86/01_Supuestos!$I$131*01_Supuestos!$I$129*01_Supuestos!$I$130*01_Supuestos!$I$128</f>
        <v>0.6041866686102</v>
      </c>
      <c r="AE88" s="116" t="n">
        <f aca="false">AE86/01_Supuestos!$I$131*01_Supuestos!$I$129*01_Supuestos!$I$130*01_Supuestos!$I$128</f>
        <v>0.610931790923515</v>
      </c>
      <c r="AF88" s="116" t="n">
        <f aca="false">AF86/01_Supuestos!$I$131*01_Supuestos!$I$129*01_Supuestos!$I$130*01_Supuestos!$I$128</f>
        <v>0.617508555953713</v>
      </c>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row>
    <row r="89" customFormat="false" ht="15" hidden="false" customHeight="true" outlineLevel="0" collapsed="false">
      <c r="B89" s="132" t="s">
        <v>1101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row>
    <row r="90" customFormat="false" ht="15" hidden="false" customHeight="true" outlineLevel="0" collapsed="false">
      <c r="B90" s="135" t="s">
        <v>1102</v>
      </c>
      <c r="C90" s="116" t="n">
        <f aca="false">C83-0-C73+C185-C228</f>
        <v>0.89137208060951</v>
      </c>
      <c r="D90" s="116" t="n">
        <f aca="false">D83-C83-D73+D185-D228</f>
        <v>1.02433138434909</v>
      </c>
      <c r="E90" s="116" t="n">
        <f aca="false">E83-D83-E73+E185-E228</f>
        <v>0.813708767478765</v>
      </c>
      <c r="F90" s="116" t="n">
        <f aca="false">F83-E83-F73+F185-F228</f>
        <v>-0.110656023843212</v>
      </c>
      <c r="G90" s="116" t="n">
        <f aca="false">G83-F83-G73+G185-G228</f>
        <v>0.167913627805149</v>
      </c>
      <c r="H90" s="116" t="n">
        <f aca="false">H83-G83-H73+H185-H228</f>
        <v>0.591508545205542</v>
      </c>
      <c r="I90" s="116" t="n">
        <f aca="false">I83-H83-I73+I185-I228</f>
        <v>0.639131228468315</v>
      </c>
      <c r="J90" s="116" t="n">
        <f aca="false">J83-I83-J73+J185-J228</f>
        <v>0.6512007231415</v>
      </c>
      <c r="K90" s="116" t="n">
        <f aca="false">K83-J83-K73+K185-K228</f>
        <v>1.11580265129076</v>
      </c>
      <c r="L90" s="116" t="n">
        <f aca="false">L83-K83-L73+L185-L228</f>
        <v>0.8611842698852</v>
      </c>
      <c r="M90" s="116" t="n">
        <f aca="false">M83-L83-M73+M185-M228</f>
        <v>2.39599016579177</v>
      </c>
      <c r="N90" s="116" t="n">
        <f aca="false">N83-M83-N73+N185-N228</f>
        <v>0.0236744194257028</v>
      </c>
      <c r="O90" s="116" t="n">
        <f aca="false">O83-N83-O73+O185-O228</f>
        <v>-1.7711863663115</v>
      </c>
      <c r="P90" s="116" t="n">
        <f aca="false">P83-O83-P73+P185-P228</f>
        <v>-0.388066593727189</v>
      </c>
      <c r="Q90" s="116" t="n">
        <f aca="false">Q83-P83-Q73+Q185-Q228</f>
        <v>0.176393933273573</v>
      </c>
      <c r="R90" s="116" t="n">
        <f aca="false">R83-Q83-R73+R185-R228</f>
        <v>0.182800000549122</v>
      </c>
      <c r="S90" s="116" t="n">
        <f aca="false">S83-R83-S73+S185-S228</f>
        <v>0.188322363673166</v>
      </c>
      <c r="T90" s="116" t="n">
        <f aca="false">T83-S83-T73+T185-T228</f>
        <v>0.191625527159289</v>
      </c>
      <c r="U90" s="116" t="n">
        <f aca="false">U83-T83-U73+U185-U228</f>
        <v>0.189727611945983</v>
      </c>
      <c r="V90" s="116" t="n">
        <f aca="false">V83-U83-V73+V185-V228</f>
        <v>0.0395124051777884</v>
      </c>
      <c r="W90" s="116" t="n">
        <f aca="false">W83-V83-W73+W185-W228</f>
        <v>0.00443012184447866</v>
      </c>
      <c r="X90" s="116" t="n">
        <f aca="false">X83-W83-X73+X185-X228</f>
        <v>0.0753327696217525</v>
      </c>
      <c r="Y90" s="116" t="n">
        <f aca="false">Y83-X83-Y73+Y185-Y228</f>
        <v>0.0958533428986357</v>
      </c>
      <c r="Z90" s="116" t="n">
        <f aca="false">Z83-Y83-Z73+Z185-Z228</f>
        <v>0.0936239101611136</v>
      </c>
      <c r="AA90" s="116" t="n">
        <f aca="false">AA83-Z83-AA73+AA185-AA228</f>
        <v>0.0914019734976534</v>
      </c>
      <c r="AB90" s="116" t="n">
        <f aca="false">AB83-AA83-AB73+AB185-AB228</f>
        <v>0.0891432394901699</v>
      </c>
      <c r="AC90" s="116" t="n">
        <f aca="false">AC83-AB83-AC73+AC185-AC228</f>
        <v>0.086867997714279</v>
      </c>
      <c r="AD90" s="116" t="n">
        <f aca="false">AD83-AC83-AD73+AD185-AD228</f>
        <v>0.0845882266404203</v>
      </c>
      <c r="AE90" s="116" t="n">
        <f aca="false">AE83-AD83-AE73+AE185-AE228</f>
        <v>0.082304017253847</v>
      </c>
      <c r="AF90" s="116" t="n">
        <f aca="false">AF83-AE83-AF73+AF185-AF228</f>
        <v>0.0800154512083395</v>
      </c>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row>
    <row r="91" customFormat="false" ht="15" hidden="false" customHeight="true" outlineLevel="0" collapsed="false">
      <c r="B91" s="135" t="s">
        <v>1103</v>
      </c>
      <c r="C91" s="116" t="n">
        <f aca="false">IF(C90&gt;0,IF($C$20="BC",MIN(C90,MAX(0,C74-0)),MIN(C90-MIN(C90,MAX(0,0+C53-C75)),MAX(0,C74-0))),0)</f>
        <v>0</v>
      </c>
      <c r="D91" s="116" t="n">
        <f aca="false">IF(D90&gt;0,IF($C$20="BC",MIN(D90,MAX(0,D74-C96)),MIN(D90-MIN(D90,MAX(0,C120+D53-D75)),MAX(0,D74-C96))),0)</f>
        <v>0</v>
      </c>
      <c r="E91" s="116" t="n">
        <f aca="false">IF(E90&gt;0,IF($C$20="BC",MIN(E90,MAX(0,E74-D96)),MIN(E90-MIN(E90,MAX(0,D120+E53-E75)),MAX(0,E74-D96))),0)</f>
        <v>0</v>
      </c>
      <c r="F91" s="116" t="n">
        <f aca="false">IF(F90&gt;0,IF($C$20="BC",MIN(F90,MAX(0,F74-E96)),MIN(F90-MIN(F90,MAX(0,E120+F53-F75)),MAX(0,F74-E96))),0)</f>
        <v>0</v>
      </c>
      <c r="G91" s="116" t="n">
        <f aca="false">IF(G90&gt;0,IF($C$20="BC",MIN(G90,MAX(0,G74-F96)),MIN(G90-MIN(G90,MAX(0,F120+G53-G75)),MAX(0,G74-F96))),0)</f>
        <v>0</v>
      </c>
      <c r="H91" s="116" t="n">
        <f aca="false">IF(H90&gt;0,IF($C$20="BC",MIN(H90,MAX(0,H74-G96)),MIN(H90-MIN(H90,MAX(0,G120+H53-H75)),MAX(0,H74-G96))),0)</f>
        <v>0</v>
      </c>
      <c r="I91" s="116" t="n">
        <f aca="false">IF(I90&gt;0,IF($C$20="BC",MIN(I90,MAX(0,I74-H96)),MIN(I90-MIN(I90,MAX(0,H120+I53-I75)),MAX(0,I74-H96))),0)</f>
        <v>0</v>
      </c>
      <c r="J91" s="116" t="n">
        <f aca="false">IF(J90&gt;0,IF($C$20="BC",MIN(J90,MAX(0,J74-I96)),MIN(J90-MIN(J90,MAX(0,I120+J53-J75)),MAX(0,J74-I96))),0)</f>
        <v>0</v>
      </c>
      <c r="K91" s="116" t="n">
        <f aca="false">IF(K90&gt;0,IF($C$20="BC",MIN(K90,MAX(0,K74-J96)),MIN(K90-MIN(K90,MAX(0,J120+K53-K75)),MAX(0,K74-J96))),0)</f>
        <v>0</v>
      </c>
      <c r="L91" s="116" t="n">
        <f aca="false">IF(L90&gt;0,IF($C$20="BC",MIN(L90,MAX(0,L74-K96)),MIN(L90-MIN(L90,MAX(0,K120+L53-L75)),MAX(0,L74-K96))),0)</f>
        <v>0</v>
      </c>
      <c r="M91" s="116" t="n">
        <f aca="false">IF(M90&gt;0,IF($C$20="BC",MIN(M90,MAX(0,M74-L96)),MIN(M90-MIN(M90,MAX(0,L120+M53-M75)),MAX(0,M74-L96))),0)</f>
        <v>0</v>
      </c>
      <c r="N91" s="116" t="n">
        <f aca="false">IF(N90&gt;0,IF($C$20="BC",MIN(N90,MAX(0,N74-M96)),MIN(N90-MIN(N90,MAX(0,M120+N53-N75)),MAX(0,N74-M96))),0)</f>
        <v>0</v>
      </c>
      <c r="O91" s="116" t="n">
        <f aca="false">IF(O90&gt;0,IF($C$20="BC",MIN(O90,MAX(0,O74-N96)),MIN(O90-MIN(O90,MAX(0,N120+O53-O75)),MAX(0,O74-N96))),0)</f>
        <v>0</v>
      </c>
      <c r="P91" s="116" t="n">
        <f aca="false">IF(P90&gt;0,IF($C$20="BC",MIN(P90,MAX(0,P74-O96)),MIN(P90-MIN(P90,MAX(0,O120+P53-P75)),MAX(0,P74-O96))),0)</f>
        <v>0</v>
      </c>
      <c r="Q91" s="116" t="n">
        <f aca="false">IF(Q90&gt;0,IF($C$20="BC",MIN(Q90,MAX(0,Q74-P96)),MIN(Q90-MIN(Q90,MAX(0,P120+Q53-Q75)),MAX(0,Q74-P96))),0)</f>
        <v>0</v>
      </c>
      <c r="R91" s="116" t="n">
        <f aca="false">IF(R90&gt;0,IF($C$20="BC",MIN(R90,MAX(0,R74-Q96)),MIN(R90-MIN(R90,MAX(0,Q120+R53-R75)),MAX(0,R74-Q96))),0)</f>
        <v>0</v>
      </c>
      <c r="S91" s="116" t="n">
        <f aca="false">IF(S90&gt;0,IF($C$20="BC",MIN(S90,MAX(0,S74-R96)),MIN(S90-MIN(S90,MAX(0,R120+S53-S75)),MAX(0,S74-R96))),0)</f>
        <v>0</v>
      </c>
      <c r="T91" s="116" t="n">
        <f aca="false">IF(T90&gt;0,IF($C$20="BC",MIN(T90,MAX(0,T74-S96)),MIN(T90-MIN(T90,MAX(0,S120+T53-T75)),MAX(0,T74-S96))),0)</f>
        <v>0</v>
      </c>
      <c r="U91" s="116" t="n">
        <f aca="false">IF(U90&gt;0,IF($C$20="BC",MIN(U90,MAX(0,U74-T96)),MIN(U90-MIN(U90,MAX(0,T120+U53-U75)),MAX(0,U74-T96))),0)</f>
        <v>0</v>
      </c>
      <c r="V91" s="116" t="n">
        <f aca="false">IF(V90&gt;0,IF($C$20="BC",MIN(V90,MAX(0,V74-U96)),MIN(V90-MIN(V90,MAX(0,U120+V53-V75)),MAX(0,V74-U96))),0)</f>
        <v>0</v>
      </c>
      <c r="W91" s="116" t="n">
        <f aca="false">IF(W90&gt;0,IF($C$20="BC",MIN(W90,MAX(0,W74-V96)),MIN(W90-MIN(W90,MAX(0,V120+W53-W75)),MAX(0,W74-V96))),0)</f>
        <v>0</v>
      </c>
      <c r="X91" s="116" t="n">
        <f aca="false">IF(X90&gt;0,IF($C$20="BC",MIN(X90,MAX(0,X74-W96)),MIN(X90-MIN(X90,MAX(0,W120+X53-X75)),MAX(0,X74-W96))),0)</f>
        <v>0</v>
      </c>
      <c r="Y91" s="116" t="n">
        <f aca="false">IF(Y90&gt;0,IF($C$20="BC",MIN(Y90,MAX(0,Y74-X96)),MIN(Y90-MIN(Y90,MAX(0,X120+Y53-Y75)),MAX(0,Y74-X96))),0)</f>
        <v>0</v>
      </c>
      <c r="Z91" s="116" t="n">
        <f aca="false">IF(Z90&gt;0,IF($C$20="BC",MIN(Z90,MAX(0,Z74-Y96)),MIN(Z90-MIN(Z90,MAX(0,Y120+Z53-Z75)),MAX(0,Z74-Y96))),0)</f>
        <v>0</v>
      </c>
      <c r="AA91" s="116" t="n">
        <f aca="false">IF(AA90&gt;0,IF($C$20="BC",MIN(AA90,MAX(0,AA74-Z96)),MIN(AA90-MIN(AA90,MAX(0,Z120+AA53-AA75)),MAX(0,AA74-Z96))),0)</f>
        <v>0</v>
      </c>
      <c r="AB91" s="116" t="n">
        <f aca="false">IF(AB90&gt;0,IF($C$20="BC",MIN(AB90,MAX(0,AB74-AA96)),MIN(AB90-MIN(AB90,MAX(0,AA120+AB53-AB75)),MAX(0,AB74-AA96))),0)</f>
        <v>0</v>
      </c>
      <c r="AC91" s="116" t="n">
        <f aca="false">IF(AC90&gt;0,IF($C$20="BC",MIN(AC90,MAX(0,AC74-AB96)),MIN(AC90-MIN(AC90,MAX(0,AB120+AC53-AC75)),MAX(0,AC74-AB96))),0)</f>
        <v>0</v>
      </c>
      <c r="AD91" s="116" t="n">
        <f aca="false">IF(AD90&gt;0,IF($C$20="BC",MIN(AD90,MAX(0,AD74-AC96)),MIN(AD90-MIN(AD90,MAX(0,AC120+AD53-AD75)),MAX(0,AD74-AC96))),0)</f>
        <v>0</v>
      </c>
      <c r="AE91" s="116" t="n">
        <f aca="false">IF(AE90&gt;0,IF($C$20="BC",MIN(AE90,MAX(0,AE74-AD96)),MIN(AE90-MIN(AE90,MAX(0,AD120+AE53-AE75)),MAX(0,AE74-AD96))),0)</f>
        <v>0</v>
      </c>
      <c r="AF91" s="116" t="n">
        <f aca="false">IF(AF90&gt;0,IF($C$20="BC",MIN(AF90,MAX(0,AF74-AE96)),MIN(AF90-MIN(AF90,MAX(0,AE120+AF53-AF75)),MAX(0,AF74-AE96))),0)</f>
        <v>0</v>
      </c>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row>
    <row r="92" customFormat="false" ht="15" hidden="false" customHeight="true" outlineLevel="0" collapsed="false">
      <c r="B92" s="135" t="s">
        <v>1104</v>
      </c>
      <c r="C92" s="116" t="n">
        <f aca="false">IF(C90&gt;0,IF($C$20="BC",MIN(C90-C91,MAX(0,0+C53-C75)),MIN(C90,MAX(0,0+C53-C75))),0)</f>
        <v>0.89137208060951</v>
      </c>
      <c r="D92" s="116" t="n">
        <f aca="false">IF(D90&gt;0,IF($C$20="BC",MIN(D90-D91,MAX(0,C276+D53-D75)),MIN(D90,MAX(0,C276+D53-D75))),0)</f>
        <v>1.02433138434909</v>
      </c>
      <c r="E92" s="116" t="n">
        <f aca="false">IF(E90&gt;0,IF($C$20="BC",MIN(E90-E91,MAX(0,D276+E53-E75)),MIN(E90,MAX(0,D276+E53-E75))),0)</f>
        <v>0.813708767478765</v>
      </c>
      <c r="F92" s="116" t="n">
        <f aca="false">IF(F90&gt;0,IF($C$20="BC",MIN(F90-F91,MAX(0,E276+F53-F75)),MIN(F90,MAX(0,E276+F53-F75))),0)</f>
        <v>0</v>
      </c>
      <c r="G92" s="116" t="n">
        <f aca="false">IF(G90&gt;0,IF($C$20="BC",MIN(G90-G91,MAX(0,F276+G53-G75)),MIN(G90,MAX(0,F276+G53-G75))),0)</f>
        <v>0.167913627805149</v>
      </c>
      <c r="H92" s="116" t="n">
        <f aca="false">IF(H90&gt;0,IF($C$20="BC",MIN(H90-H91,MAX(0,G276+H53-H75)),MIN(H90,MAX(0,G276+H53-H75))),0)</f>
        <v>0.591508545205542</v>
      </c>
      <c r="I92" s="116" t="n">
        <f aca="false">IF(I90&gt;0,IF($C$20="BC",MIN(I90-I91,MAX(0,H276+I53-I75)),MIN(I90,MAX(0,H276+I53-I75))),0)</f>
        <v>0.639131228468315</v>
      </c>
      <c r="J92" s="116" t="n">
        <f aca="false">IF(J90&gt;0,IF($C$20="BC",MIN(J90-J91,MAX(0,I276+J53-J75)),MIN(J90,MAX(0,I276+J53-J75))),0)</f>
        <v>0.6512007231415</v>
      </c>
      <c r="K92" s="116" t="n">
        <f aca="false">IF(K90&gt;0,IF($C$20="BC",MIN(K90-K91,MAX(0,J276+K53-K75)),MIN(K90,MAX(0,J276+K53-K75))),0)</f>
        <v>1.11580265129076</v>
      </c>
      <c r="L92" s="116" t="n">
        <f aca="false">IF(L90&gt;0,IF($C$20="BC",MIN(L90-L91,MAX(0,K276+L53-L75)),MIN(L90,MAX(0,K276+L53-L75))),0)</f>
        <v>0.8611842698852</v>
      </c>
      <c r="M92" s="116" t="n">
        <f aca="false">IF(M90&gt;0,IF($C$20="BC",MIN(M90-M91,MAX(0,L276+M53-M75)),MIN(M90,MAX(0,L276+M53-M75))),0)</f>
        <v>2.39599016579177</v>
      </c>
      <c r="N92" s="116" t="n">
        <f aca="false">IF(N90&gt;0,IF($C$20="BC",MIN(N90-N91,MAX(0,M276+N53-N75)),MIN(N90,MAX(0,M276+N53-N75))),0)</f>
        <v>0.0236744194257028</v>
      </c>
      <c r="O92" s="116" t="n">
        <f aca="false">IF(O90&gt;0,IF($C$20="BC",MIN(O90-O91,MAX(0,N276+O53-O75)),MIN(O90,MAX(0,N276+O53-O75))),0)</f>
        <v>0</v>
      </c>
      <c r="P92" s="116" t="n">
        <f aca="false">IF(P90&gt;0,IF($C$20="BC",MIN(P90-P91,MAX(0,O276+P53-P75)),MIN(P90,MAX(0,O276+P53-P75))),0)</f>
        <v>0</v>
      </c>
      <c r="Q92" s="116" t="n">
        <f aca="false">IF(Q90&gt;0,IF($C$20="BC",MIN(Q90-Q91,MAX(0,P276+Q53-Q75)),MIN(Q90,MAX(0,P276+Q53-Q75))),0)</f>
        <v>0.176393933273573</v>
      </c>
      <c r="R92" s="116" t="n">
        <f aca="false">IF(R90&gt;0,IF($C$20="BC",MIN(R90-R91,MAX(0,Q276+R53-R75)),MIN(R90,MAX(0,Q276+R53-R75))),0)</f>
        <v>0.182800000549122</v>
      </c>
      <c r="S92" s="116" t="n">
        <f aca="false">IF(S90&gt;0,IF($C$20="BC",MIN(S90-S91,MAX(0,R276+S53-S75)),MIN(S90,MAX(0,R276+S53-S75))),0)</f>
        <v>0.188322363673166</v>
      </c>
      <c r="T92" s="116" t="n">
        <f aca="false">IF(T90&gt;0,IF($C$20="BC",MIN(T90-T91,MAX(0,S276+T53-T75)),MIN(T90,MAX(0,S276+T53-T75))),0)</f>
        <v>0.191625527159289</v>
      </c>
      <c r="U92" s="116" t="n">
        <f aca="false">IF(U90&gt;0,IF($C$20="BC",MIN(U90-U91,MAX(0,T276+U53-U75)),MIN(U90,MAX(0,T276+U53-U75))),0)</f>
        <v>0.189727611945983</v>
      </c>
      <c r="V92" s="116" t="n">
        <f aca="false">IF(V90&gt;0,IF($C$20="BC",MIN(V90-V91,MAX(0,U276+V53-V75)),MIN(V90,MAX(0,U276+V53-V75))),0)</f>
        <v>0.0395124051777884</v>
      </c>
      <c r="W92" s="116" t="n">
        <f aca="false">IF(W90&gt;0,IF($C$20="BC",MIN(W90-W91,MAX(0,V276+W53-W75)),MIN(W90,MAX(0,V276+W53-W75))),0)</f>
        <v>0.00443012184447866</v>
      </c>
      <c r="X92" s="116" t="n">
        <f aca="false">IF(X90&gt;0,IF($C$20="BC",MIN(X90-X91,MAX(0,W276+X53-X75)),MIN(X90,MAX(0,W276+X53-X75))),0)</f>
        <v>0.0753327696217525</v>
      </c>
      <c r="Y92" s="116" t="n">
        <f aca="false">IF(Y90&gt;0,IF($C$20="BC",MIN(Y90-Y91,MAX(0,X276+Y53-Y75)),MIN(Y90,MAX(0,X276+Y53-Y75))),0)</f>
        <v>0.0958533428986357</v>
      </c>
      <c r="Z92" s="116" t="n">
        <f aca="false">IF(Z90&gt;0,IF($C$20="BC",MIN(Z90-Z91,MAX(0,Y276+Z53-Z75)),MIN(Z90,MAX(0,Y276+Z53-Z75))),0)</f>
        <v>0.0936239101611136</v>
      </c>
      <c r="AA92" s="116" t="n">
        <f aca="false">IF(AA90&gt;0,IF($C$20="BC",MIN(AA90-AA91,MAX(0,Z276+AA53-AA75)),MIN(AA90,MAX(0,Z276+AA53-AA75))),0)</f>
        <v>0.0914019734976534</v>
      </c>
      <c r="AB92" s="116" t="n">
        <f aca="false">IF(AB90&gt;0,IF($C$20="BC",MIN(AB90-AB91,MAX(0,AA276+AB53-AB75)),MIN(AB90,MAX(0,AA276+AB53-AB75))),0)</f>
        <v>0.0891432394901699</v>
      </c>
      <c r="AC92" s="116" t="n">
        <f aca="false">IF(AC90&gt;0,IF($C$20="BC",MIN(AC90-AC91,MAX(0,AB276+AC53-AC75)),MIN(AC90,MAX(0,AB276+AC53-AC75))),0)</f>
        <v>0.086867997714279</v>
      </c>
      <c r="AD92" s="116" t="n">
        <f aca="false">IF(AD90&gt;0,IF($C$20="BC",MIN(AD90-AD91,MAX(0,AC276+AD53-AD75)),MIN(AD90,MAX(0,AC276+AD53-AD75))),0)</f>
        <v>0.0845882266404203</v>
      </c>
      <c r="AE92" s="116" t="n">
        <f aca="false">IF(AE90&gt;0,IF($C$20="BC",MIN(AE90-AE91,MAX(0,AD276+AE53-AE75)),MIN(AE90,MAX(0,AD276+AE53-AE75))),0)</f>
        <v>0.082304017253847</v>
      </c>
      <c r="AF92" s="116" t="n">
        <f aca="false">IF(AF90&gt;0,IF($C$20="BC",MIN(AF90-AF91,MAX(0,AE276+AF53-AF75)),MIN(AF90,MAX(0,AE276+AF53-AF75))),0)</f>
        <v>0.0800154512083395</v>
      </c>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row>
    <row r="93" customFormat="false" ht="15" hidden="false" customHeight="true" outlineLevel="0" collapsed="false">
      <c r="B93" s="135" t="s">
        <v>1105</v>
      </c>
      <c r="C93" s="116" t="n">
        <f aca="false">IF(C90&lt;0,MIN(0,-C90),0)</f>
        <v>0</v>
      </c>
      <c r="D93" s="116" t="n">
        <f aca="false">IF(D90&lt;0,MIN(C96,-D90),0)</f>
        <v>0</v>
      </c>
      <c r="E93" s="116" t="n">
        <f aca="false">IF(E90&lt;0,MIN(D96,-E90),0)</f>
        <v>0</v>
      </c>
      <c r="F93" s="116" t="n">
        <f aca="false">IF(F90&lt;0,MIN(E96,-F90),0)</f>
        <v>0</v>
      </c>
      <c r="G93" s="116" t="n">
        <f aca="false">IF(G90&lt;0,MIN(F96,-G90),0)</f>
        <v>0</v>
      </c>
      <c r="H93" s="116" t="n">
        <f aca="false">IF(H90&lt;0,MIN(G96,-H90),0)</f>
        <v>0</v>
      </c>
      <c r="I93" s="116" t="n">
        <f aca="false">IF(I90&lt;0,MIN(H96,-I90),0)</f>
        <v>0</v>
      </c>
      <c r="J93" s="116" t="n">
        <f aca="false">IF(J90&lt;0,MIN(I96,-J90),0)</f>
        <v>0</v>
      </c>
      <c r="K93" s="116" t="n">
        <f aca="false">IF(K90&lt;0,MIN(J96,-K90),0)</f>
        <v>0</v>
      </c>
      <c r="L93" s="116" t="n">
        <f aca="false">IF(L90&lt;0,MIN(K96,-L90),0)</f>
        <v>0</v>
      </c>
      <c r="M93" s="116" t="n">
        <f aca="false">IF(M90&lt;0,MIN(L96,-M90),0)</f>
        <v>0</v>
      </c>
      <c r="N93" s="116" t="n">
        <f aca="false">IF(N90&lt;0,MIN(M96,-N90),0)</f>
        <v>0</v>
      </c>
      <c r="O93" s="116" t="n">
        <f aca="false">IF(O90&lt;0,MIN(N96,-O90),0)</f>
        <v>0</v>
      </c>
      <c r="P93" s="116" t="n">
        <f aca="false">IF(P90&lt;0,MIN(O96,-P90),0)</f>
        <v>0</v>
      </c>
      <c r="Q93" s="116" t="n">
        <f aca="false">IF(Q90&lt;0,MIN(P96,-Q90),0)</f>
        <v>0</v>
      </c>
      <c r="R93" s="116" t="n">
        <f aca="false">IF(R90&lt;0,MIN(Q96,-R90),0)</f>
        <v>0</v>
      </c>
      <c r="S93" s="116" t="n">
        <f aca="false">IF(S90&lt;0,MIN(R96,-S90),0)</f>
        <v>0</v>
      </c>
      <c r="T93" s="116" t="n">
        <f aca="false">IF(T90&lt;0,MIN(S96,-T90),0)</f>
        <v>0</v>
      </c>
      <c r="U93" s="116" t="n">
        <f aca="false">IF(U90&lt;0,MIN(T96,-U90),0)</f>
        <v>0</v>
      </c>
      <c r="V93" s="116" t="n">
        <f aca="false">IF(V90&lt;0,MIN(U96,-V90),0)</f>
        <v>0</v>
      </c>
      <c r="W93" s="116" t="n">
        <f aca="false">IF(W90&lt;0,MIN(V96,-W90),0)</f>
        <v>0</v>
      </c>
      <c r="X93" s="116" t="n">
        <f aca="false">IF(X90&lt;0,MIN(W96,-X90),0)</f>
        <v>0</v>
      </c>
      <c r="Y93" s="116" t="n">
        <f aca="false">IF(Y90&lt;0,MIN(X96,-Y90),0)</f>
        <v>0</v>
      </c>
      <c r="Z93" s="116" t="n">
        <f aca="false">IF(Z90&lt;0,MIN(Y96,-Z90),0)</f>
        <v>0</v>
      </c>
      <c r="AA93" s="116" t="n">
        <f aca="false">IF(AA90&lt;0,MIN(Z96,-AA90),0)</f>
        <v>0</v>
      </c>
      <c r="AB93" s="116" t="n">
        <f aca="false">IF(AB90&lt;0,MIN(AA96,-AB90),0)</f>
        <v>0</v>
      </c>
      <c r="AC93" s="116" t="n">
        <f aca="false">IF(AC90&lt;0,MIN(AB96,-AC90),0)</f>
        <v>0</v>
      </c>
      <c r="AD93" s="116" t="n">
        <f aca="false">IF(AD90&lt;0,MIN(AC96,-AD90),0)</f>
        <v>0</v>
      </c>
      <c r="AE93" s="116" t="n">
        <f aca="false">IF(AE90&lt;0,MIN(AD96,-AE90),0)</f>
        <v>0</v>
      </c>
      <c r="AF93" s="116" t="n">
        <f aca="false">IF(AF90&lt;0,MIN(AE96,-AF90),0)</f>
        <v>0</v>
      </c>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row>
    <row r="94" customFormat="false" ht="15" hidden="false" customHeight="true" outlineLevel="0" collapsed="false">
      <c r="B94" s="135" t="s">
        <v>1106</v>
      </c>
      <c r="C94" s="116" t="n">
        <f aca="false">IF(C90&lt;0,-C90-C93,0)</f>
        <v>0</v>
      </c>
      <c r="D94" s="116" t="n">
        <f aca="false">IF(D90&lt;0,-D90-D93,0)</f>
        <v>0</v>
      </c>
      <c r="E94" s="116" t="n">
        <f aca="false">IF(E90&lt;0,-E90-E93,0)</f>
        <v>0</v>
      </c>
      <c r="F94" s="116" t="n">
        <f aca="false">IF(F90&lt;0,-F90-F93,0)</f>
        <v>0.110656023843212</v>
      </c>
      <c r="G94" s="116" t="n">
        <f aca="false">IF(G90&lt;0,-G90-G93,0)</f>
        <v>0</v>
      </c>
      <c r="H94" s="116" t="n">
        <f aca="false">IF(H90&lt;0,-H90-H93,0)</f>
        <v>0</v>
      </c>
      <c r="I94" s="116" t="n">
        <f aca="false">IF(I90&lt;0,-I90-I93,0)</f>
        <v>0</v>
      </c>
      <c r="J94" s="116" t="n">
        <f aca="false">IF(J90&lt;0,-J90-J93,0)</f>
        <v>0</v>
      </c>
      <c r="K94" s="116" t="n">
        <f aca="false">IF(K90&lt;0,-K90-K93,0)</f>
        <v>0</v>
      </c>
      <c r="L94" s="116" t="n">
        <f aca="false">IF(L90&lt;0,-L90-L93,0)</f>
        <v>0</v>
      </c>
      <c r="M94" s="116" t="n">
        <f aca="false">IF(M90&lt;0,-M90-M93,0)</f>
        <v>0</v>
      </c>
      <c r="N94" s="116" t="n">
        <f aca="false">IF(N90&lt;0,-N90-N93,0)</f>
        <v>0</v>
      </c>
      <c r="O94" s="116" t="n">
        <f aca="false">IF(O90&lt;0,-O90-O93,0)</f>
        <v>1.7711863663115</v>
      </c>
      <c r="P94" s="116" t="n">
        <f aca="false">IF(P90&lt;0,-P90-P93,0)</f>
        <v>0.388066593727189</v>
      </c>
      <c r="Q94" s="116" t="n">
        <f aca="false">IF(Q90&lt;0,-Q90-Q93,0)</f>
        <v>0</v>
      </c>
      <c r="R94" s="116" t="n">
        <f aca="false">IF(R90&lt;0,-R90-R93,0)</f>
        <v>0</v>
      </c>
      <c r="S94" s="116" t="n">
        <f aca="false">IF(S90&lt;0,-S90-S93,0)</f>
        <v>0</v>
      </c>
      <c r="T94" s="116" t="n">
        <f aca="false">IF(T90&lt;0,-T90-T93,0)</f>
        <v>0</v>
      </c>
      <c r="U94" s="116" t="n">
        <f aca="false">IF(U90&lt;0,-U90-U93,0)</f>
        <v>0</v>
      </c>
      <c r="V94" s="116" t="n">
        <f aca="false">IF(V90&lt;0,-V90-V93,0)</f>
        <v>0</v>
      </c>
      <c r="W94" s="116" t="n">
        <f aca="false">IF(W90&lt;0,-W90-W93,0)</f>
        <v>0</v>
      </c>
      <c r="X94" s="116" t="n">
        <f aca="false">IF(X90&lt;0,-X90-X93,0)</f>
        <v>0</v>
      </c>
      <c r="Y94" s="116" t="n">
        <f aca="false">IF(Y90&lt;0,-Y90-Y93,0)</f>
        <v>0</v>
      </c>
      <c r="Z94" s="116" t="n">
        <f aca="false">IF(Z90&lt;0,-Z90-Z93,0)</f>
        <v>0</v>
      </c>
      <c r="AA94" s="116" t="n">
        <f aca="false">IF(AA90&lt;0,-AA90-AA93,0)</f>
        <v>0</v>
      </c>
      <c r="AB94" s="116" t="n">
        <f aca="false">IF(AB90&lt;0,-AB90-AB93,0)</f>
        <v>0</v>
      </c>
      <c r="AC94" s="116" t="n">
        <f aca="false">IF(AC90&lt;0,-AC90-AC93,0)</f>
        <v>0</v>
      </c>
      <c r="AD94" s="116" t="n">
        <f aca="false">IF(AD90&lt;0,-AD90-AD93,0)</f>
        <v>0</v>
      </c>
      <c r="AE94" s="116" t="n">
        <f aca="false">IF(AE90&lt;0,-AE90-AE93,0)</f>
        <v>0</v>
      </c>
      <c r="AF94" s="116" t="n">
        <f aca="false">IF(AF90&lt;0,-AF90-AF93,0)</f>
        <v>0</v>
      </c>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row>
    <row r="95" customFormat="false" ht="15" hidden="false" customHeight="true" outlineLevel="0" collapsed="false">
      <c r="B95" s="135" t="s">
        <v>1107</v>
      </c>
      <c r="C95" s="116" t="n">
        <f aca="false">IF($C$35="Sí",MIN(0+C91-C93,MAX(0,0-01_Supuestos!$I$138*0)),0)</f>
        <v>0</v>
      </c>
      <c r="D95" s="116" t="n">
        <f aca="false">IF($C$35="Sí",MIN(C96+D91-D93,MAX(0,C276-01_Supuestos!$I$138*C81)),0)</f>
        <v>0</v>
      </c>
      <c r="E95" s="116" t="n">
        <f aca="false">IF($C$35="Sí",MIN(D96+E91-E93,MAX(0,D276-01_Supuestos!$I$138*D81)),0)</f>
        <v>0</v>
      </c>
      <c r="F95" s="116" t="n">
        <f aca="false">IF($C$35="Sí",MIN(E96+F91-F93,MAX(0,E276-01_Supuestos!$I$138*E81)),0)</f>
        <v>0</v>
      </c>
      <c r="G95" s="116" t="n">
        <f aca="false">IF($C$35="Sí",MIN(F96+G91-G93,MAX(0,F276-01_Supuestos!$I$138*F81)),0)</f>
        <v>0</v>
      </c>
      <c r="H95" s="116" t="n">
        <f aca="false">IF($C$35="Sí",MIN(G96+H91-H93,MAX(0,G276-01_Supuestos!$I$138*G81)),0)</f>
        <v>0</v>
      </c>
      <c r="I95" s="116" t="n">
        <f aca="false">IF($C$35="Sí",MIN(H96+I91-I93,MAX(0,H276-01_Supuestos!$I$138*H81)),0)</f>
        <v>0</v>
      </c>
      <c r="J95" s="116" t="n">
        <f aca="false">IF($C$35="Sí",MIN(I96+J91-J93,MAX(0,I276-01_Supuestos!$I$138*I81)),0)</f>
        <v>0</v>
      </c>
      <c r="K95" s="116" t="n">
        <f aca="false">IF($C$35="Sí",MIN(J96+K91-K93,MAX(0,J276-01_Supuestos!$I$138*J81)),0)</f>
        <v>0</v>
      </c>
      <c r="L95" s="116" t="n">
        <f aca="false">IF($C$35="Sí",MIN(K96+L91-L93,MAX(0,K276-01_Supuestos!$I$138*K81)),0)</f>
        <v>0</v>
      </c>
      <c r="M95" s="116" t="n">
        <f aca="false">IF($C$35="Sí",MIN(L96+M91-M93,MAX(0,L276-01_Supuestos!$I$138*L81)),0)</f>
        <v>0</v>
      </c>
      <c r="N95" s="116" t="n">
        <f aca="false">IF($C$35="Sí",MIN(M96+N91-N93,MAX(0,M276-01_Supuestos!$I$138*M81)),0)</f>
        <v>0</v>
      </c>
      <c r="O95" s="116" t="n">
        <f aca="false">IF($C$35="Sí",MIN(N96+O91-O93,MAX(0,N276-01_Supuestos!$I$138*N81)),0)</f>
        <v>0</v>
      </c>
      <c r="P95" s="116" t="n">
        <f aca="false">IF($C$35="Sí",MIN(O96+P91-P93,MAX(0,O276-01_Supuestos!$I$138*O81)),0)</f>
        <v>0</v>
      </c>
      <c r="Q95" s="116" t="n">
        <f aca="false">IF($C$35="Sí",MIN(P96+Q91-Q93,MAX(0,P276-01_Supuestos!$I$138*P81)),0)</f>
        <v>0</v>
      </c>
      <c r="R95" s="116" t="n">
        <f aca="false">IF($C$35="Sí",MIN(Q96+R91-R93,MAX(0,Q276-01_Supuestos!$I$138*Q81)),0)</f>
        <v>0</v>
      </c>
      <c r="S95" s="116" t="n">
        <f aca="false">IF($C$35="Sí",MIN(R96+S91-S93,MAX(0,R276-01_Supuestos!$I$138*R81)),0)</f>
        <v>0</v>
      </c>
      <c r="T95" s="116" t="n">
        <f aca="false">IF($C$35="Sí",MIN(S96+T91-T93,MAX(0,S276-01_Supuestos!$I$138*S81)),0)</f>
        <v>0</v>
      </c>
      <c r="U95" s="116" t="n">
        <f aca="false">IF($C$35="Sí",MIN(T96+U91-U93,MAX(0,T276-01_Supuestos!$I$138*T81)),0)</f>
        <v>0</v>
      </c>
      <c r="V95" s="116" t="n">
        <f aca="false">IF($C$35="Sí",MIN(U96+V91-V93,MAX(0,U276-01_Supuestos!$I$138*U81)),0)</f>
        <v>0</v>
      </c>
      <c r="W95" s="116" t="n">
        <f aca="false">IF($C$35="Sí",MIN(V96+W91-W93,MAX(0,V276-01_Supuestos!$I$138*V81)),0)</f>
        <v>0</v>
      </c>
      <c r="X95" s="116" t="n">
        <f aca="false">IF($C$35="Sí",MIN(W96+X91-X93,MAX(0,W276-01_Supuestos!$I$138*W81)),0)</f>
        <v>0</v>
      </c>
      <c r="Y95" s="116" t="n">
        <f aca="false">IF($C$35="Sí",MIN(X96+Y91-Y93,MAX(0,X276-01_Supuestos!$I$138*X81)),0)</f>
        <v>0</v>
      </c>
      <c r="Z95" s="116" t="n">
        <f aca="false">IF($C$35="Sí",MIN(Y96+Z91-Z93,MAX(0,Y276-01_Supuestos!$I$138*Y81)),0)</f>
        <v>0</v>
      </c>
      <c r="AA95" s="116" t="n">
        <f aca="false">IF($C$35="Sí",MIN(Z96+AA91-AA93,MAX(0,Z276-01_Supuestos!$I$138*Z81)),0)</f>
        <v>0</v>
      </c>
      <c r="AB95" s="116" t="n">
        <f aca="false">IF($C$35="Sí",MIN(AA96+AB91-AB93,MAX(0,AA276-01_Supuestos!$I$138*AA81)),0)</f>
        <v>0</v>
      </c>
      <c r="AC95" s="116" t="n">
        <f aca="false">IF($C$35="Sí",MIN(AB96+AC91-AC93,MAX(0,AB276-01_Supuestos!$I$138*AB81)),0)</f>
        <v>0</v>
      </c>
      <c r="AD95" s="116" t="n">
        <f aca="false">IF($C$35="Sí",MIN(AC96+AD91-AD93,MAX(0,AC276-01_Supuestos!$I$138*AC81)),0)</f>
        <v>0</v>
      </c>
      <c r="AE95" s="116" t="n">
        <f aca="false">IF($C$35="Sí",MIN(AD96+AE91-AE93,MAX(0,AD276-01_Supuestos!$I$138*AD81)),0)</f>
        <v>0</v>
      </c>
      <c r="AF95" s="116" t="n">
        <f aca="false">IF($C$35="Sí",MIN(AE96+AF91-AF93,MAX(0,AE276-01_Supuestos!$I$138*AE81)),0)</f>
        <v>0</v>
      </c>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row>
    <row r="96" customFormat="false" ht="15" hidden="false" customHeight="true" outlineLevel="0" collapsed="false">
      <c r="B96" s="137" t="s">
        <v>1108</v>
      </c>
      <c r="C96" s="138" t="n">
        <f aca="false">0+C91-C93-C95</f>
        <v>0</v>
      </c>
      <c r="D96" s="138" t="n">
        <f aca="false">C96+D91-D93-D95</f>
        <v>0</v>
      </c>
      <c r="E96" s="138" t="n">
        <f aca="false">D96+E91-E93-E95</f>
        <v>0</v>
      </c>
      <c r="F96" s="138" t="n">
        <f aca="false">E96+F91-F93-F95</f>
        <v>0</v>
      </c>
      <c r="G96" s="138" t="n">
        <f aca="false">F96+G91-G93-G95</f>
        <v>0</v>
      </c>
      <c r="H96" s="138" t="n">
        <f aca="false">G96+H91-H93-H95</f>
        <v>0</v>
      </c>
      <c r="I96" s="138" t="n">
        <f aca="false">H96+I91-I93-I95</f>
        <v>0</v>
      </c>
      <c r="J96" s="138" t="n">
        <f aca="false">I96+J91-J93-J95</f>
        <v>0</v>
      </c>
      <c r="K96" s="138" t="n">
        <f aca="false">J96+K91-K93-K95</f>
        <v>0</v>
      </c>
      <c r="L96" s="138" t="n">
        <f aca="false">K96+L91-L93-L95</f>
        <v>0</v>
      </c>
      <c r="M96" s="138" t="n">
        <f aca="false">L96+M91-M93-M95</f>
        <v>0</v>
      </c>
      <c r="N96" s="138" t="n">
        <f aca="false">M96+N91-N93-N95</f>
        <v>0</v>
      </c>
      <c r="O96" s="138" t="n">
        <f aca="false">N96+O91-O93-O95</f>
        <v>0</v>
      </c>
      <c r="P96" s="138" t="n">
        <f aca="false">O96+P91-P93-P95</f>
        <v>0</v>
      </c>
      <c r="Q96" s="138" t="n">
        <f aca="false">P96+Q91-Q93-Q95</f>
        <v>0</v>
      </c>
      <c r="R96" s="138" t="n">
        <f aca="false">Q96+R91-R93-R95</f>
        <v>0</v>
      </c>
      <c r="S96" s="138" t="n">
        <f aca="false">R96+S91-S93-S95</f>
        <v>0</v>
      </c>
      <c r="T96" s="138" t="n">
        <f aca="false">S96+T91-T93-T95</f>
        <v>0</v>
      </c>
      <c r="U96" s="138" t="n">
        <f aca="false">T96+U91-U93-U95</f>
        <v>0</v>
      </c>
      <c r="V96" s="138" t="n">
        <f aca="false">U96+V91-V93-V95</f>
        <v>0</v>
      </c>
      <c r="W96" s="138" t="n">
        <f aca="false">V96+W91-W93-W95</f>
        <v>0</v>
      </c>
      <c r="X96" s="138" t="n">
        <f aca="false">W96+X91-X93-X95</f>
        <v>0</v>
      </c>
      <c r="Y96" s="138" t="n">
        <f aca="false">X96+Y91-Y93-Y95</f>
        <v>0</v>
      </c>
      <c r="Z96" s="138" t="n">
        <f aca="false">Y96+Z91-Z93-Z95</f>
        <v>0</v>
      </c>
      <c r="AA96" s="138" t="n">
        <f aca="false">Z96+AA91-AA93-AA95</f>
        <v>0</v>
      </c>
      <c r="AB96" s="138" t="n">
        <f aca="false">AA96+AB91-AB93-AB95</f>
        <v>0</v>
      </c>
      <c r="AC96" s="138" t="n">
        <f aca="false">AB96+AC91-AC93-AC95</f>
        <v>0</v>
      </c>
      <c r="AD96" s="138" t="n">
        <f aca="false">AC96+AD91-AD93-AD95</f>
        <v>0</v>
      </c>
      <c r="AE96" s="138" t="n">
        <f aca="false">AD96+AE91-AE93-AE95</f>
        <v>0</v>
      </c>
      <c r="AF96" s="138" t="n">
        <f aca="false">AE96+AF91-AF93-AF95</f>
        <v>0</v>
      </c>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row>
    <row r="97" customFormat="false" ht="15" hidden="false" customHeight="true" outlineLevel="0" collapsed="false">
      <c r="B97" s="135" t="s">
        <v>1109</v>
      </c>
      <c r="C97" s="116" t="n">
        <f aca="false">$C$18*0</f>
        <v>0</v>
      </c>
      <c r="D97" s="116" t="n">
        <f aca="false">$C$18*C96</f>
        <v>0</v>
      </c>
      <c r="E97" s="116" t="n">
        <f aca="false">$C$18*D96</f>
        <v>0</v>
      </c>
      <c r="F97" s="116" t="n">
        <f aca="false">$C$18*E96</f>
        <v>0</v>
      </c>
      <c r="G97" s="116" t="n">
        <f aca="false">$C$18*F96</f>
        <v>0</v>
      </c>
      <c r="H97" s="116" t="n">
        <f aca="false">$C$18*G96</f>
        <v>0</v>
      </c>
      <c r="I97" s="116" t="n">
        <f aca="false">$C$18*H96</f>
        <v>0</v>
      </c>
      <c r="J97" s="116" t="n">
        <f aca="false">$C$18*I96</f>
        <v>0</v>
      </c>
      <c r="K97" s="116" t="n">
        <f aca="false">$C$18*J96</f>
        <v>0</v>
      </c>
      <c r="L97" s="116" t="n">
        <f aca="false">$C$18*K96</f>
        <v>0</v>
      </c>
      <c r="M97" s="116" t="n">
        <f aca="false">$C$18*L96</f>
        <v>0</v>
      </c>
      <c r="N97" s="116" t="n">
        <f aca="false">$C$18*M96</f>
        <v>0</v>
      </c>
      <c r="O97" s="116" t="n">
        <f aca="false">$C$18*N96</f>
        <v>0</v>
      </c>
      <c r="P97" s="116" t="n">
        <f aca="false">$C$18*O96</f>
        <v>0</v>
      </c>
      <c r="Q97" s="116" t="n">
        <f aca="false">$C$18*P96</f>
        <v>0</v>
      </c>
      <c r="R97" s="116" t="n">
        <f aca="false">$C$18*Q96</f>
        <v>0</v>
      </c>
      <c r="S97" s="116" t="n">
        <f aca="false">$C$18*R96</f>
        <v>0</v>
      </c>
      <c r="T97" s="116" t="n">
        <f aca="false">$C$18*S96</f>
        <v>0</v>
      </c>
      <c r="U97" s="116" t="n">
        <f aca="false">$C$18*T96</f>
        <v>0</v>
      </c>
      <c r="V97" s="116" t="n">
        <f aca="false">$C$18*U96</f>
        <v>0</v>
      </c>
      <c r="W97" s="116" t="n">
        <f aca="false">$C$18*V96</f>
        <v>0</v>
      </c>
      <c r="X97" s="116" t="n">
        <f aca="false">$C$18*W96</f>
        <v>0</v>
      </c>
      <c r="Y97" s="116" t="n">
        <f aca="false">$C$18*X96</f>
        <v>0</v>
      </c>
      <c r="Z97" s="116" t="n">
        <f aca="false">$C$18*Y96</f>
        <v>0</v>
      </c>
      <c r="AA97" s="116" t="n">
        <f aca="false">$C$18*Z96</f>
        <v>0</v>
      </c>
      <c r="AB97" s="116" t="n">
        <f aca="false">$C$18*AA96</f>
        <v>0</v>
      </c>
      <c r="AC97" s="116" t="n">
        <f aca="false">$C$18*AB96</f>
        <v>0</v>
      </c>
      <c r="AD97" s="116" t="n">
        <f aca="false">$C$18*AC96</f>
        <v>0</v>
      </c>
      <c r="AE97" s="116" t="n">
        <f aca="false">$C$18*AD96</f>
        <v>0</v>
      </c>
      <c r="AF97" s="116" t="n">
        <f aca="false">$C$18*AE96</f>
        <v>0</v>
      </c>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row>
    <row r="98" customFormat="false" ht="15" hidden="false" customHeight="true" outlineLevel="0" collapsed="false">
      <c r="B98" s="135" t="s">
        <v>1110</v>
      </c>
      <c r="C98" s="116" t="n">
        <f aca="false">$C$16*0</f>
        <v>0</v>
      </c>
      <c r="D98" s="116" t="n">
        <f aca="false">$C$16*C72</f>
        <v>0</v>
      </c>
      <c r="E98" s="116" t="n">
        <f aca="false">$C$16*D72</f>
        <v>0</v>
      </c>
      <c r="F98" s="116" t="n">
        <f aca="false">$C$16*E72</f>
        <v>0</v>
      </c>
      <c r="G98" s="116" t="n">
        <f aca="false">$C$16*F72</f>
        <v>0</v>
      </c>
      <c r="H98" s="116" t="n">
        <f aca="false">$C$16*G72</f>
        <v>0</v>
      </c>
      <c r="I98" s="116" t="n">
        <f aca="false">$C$16*H72</f>
        <v>0</v>
      </c>
      <c r="J98" s="116" t="n">
        <f aca="false">$C$16*I72</f>
        <v>0</v>
      </c>
      <c r="K98" s="116" t="n">
        <f aca="false">$C$16*J72</f>
        <v>0</v>
      </c>
      <c r="L98" s="116" t="n">
        <f aca="false">$C$16*K72</f>
        <v>0</v>
      </c>
      <c r="M98" s="116" t="n">
        <f aca="false">$C$16*L72</f>
        <v>0</v>
      </c>
      <c r="N98" s="116" t="n">
        <f aca="false">$C$16*M72</f>
        <v>0</v>
      </c>
      <c r="O98" s="116" t="n">
        <f aca="false">$C$16*N72</f>
        <v>0</v>
      </c>
      <c r="P98" s="116" t="n">
        <f aca="false">$C$16*O72</f>
        <v>0</v>
      </c>
      <c r="Q98" s="116" t="n">
        <f aca="false">$C$16*P72</f>
        <v>0</v>
      </c>
      <c r="R98" s="116" t="n">
        <f aca="false">$C$16*Q72</f>
        <v>0</v>
      </c>
      <c r="S98" s="116" t="n">
        <f aca="false">$C$16*R72</f>
        <v>0</v>
      </c>
      <c r="T98" s="116" t="n">
        <f aca="false">$C$16*S72</f>
        <v>0</v>
      </c>
      <c r="U98" s="116" t="n">
        <f aca="false">$C$16*T72</f>
        <v>0</v>
      </c>
      <c r="V98" s="116" t="n">
        <f aca="false">$C$16*U72</f>
        <v>0</v>
      </c>
      <c r="W98" s="116" t="n">
        <f aca="false">$C$16*V72</f>
        <v>0</v>
      </c>
      <c r="X98" s="116" t="n">
        <f aca="false">$C$16*W72</f>
        <v>0</v>
      </c>
      <c r="Y98" s="116" t="n">
        <f aca="false">$C$16*X72</f>
        <v>0</v>
      </c>
      <c r="Z98" s="116" t="n">
        <f aca="false">$C$16*Y72</f>
        <v>0</v>
      </c>
      <c r="AA98" s="116" t="n">
        <f aca="false">$C$16*Z72</f>
        <v>0</v>
      </c>
      <c r="AB98" s="116" t="n">
        <f aca="false">$C$16*AA72</f>
        <v>0</v>
      </c>
      <c r="AC98" s="116" t="n">
        <f aca="false">$C$16*AB72</f>
        <v>0</v>
      </c>
      <c r="AD98" s="116" t="n">
        <f aca="false">$C$16*AC72</f>
        <v>0</v>
      </c>
      <c r="AE98" s="116" t="n">
        <f aca="false">$C$16*AD72</f>
        <v>0</v>
      </c>
      <c r="AF98" s="116" t="n">
        <f aca="false">$C$16*AE72</f>
        <v>0</v>
      </c>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row>
    <row r="99" customFormat="false" ht="15" hidden="false" customHeight="true" outlineLevel="0" collapsed="false">
      <c r="B99" s="132" t="s">
        <v>1111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row>
    <row r="100" customFormat="false" ht="15" hidden="false" customHeight="true" outlineLevel="0" collapsed="false">
      <c r="B100" s="135" t="s">
        <v>1112</v>
      </c>
      <c r="C100" s="116" t="n">
        <f aca="false">$C$21*$C$22*C81</f>
        <v>0.295667569309572</v>
      </c>
      <c r="D100" s="116" t="n">
        <f aca="false">$C$21*$C$22*D81</f>
        <v>0.781764299547855</v>
      </c>
      <c r="E100" s="116" t="n">
        <f aca="false">$C$21*$C$22*E81</f>
        <v>1.43719072991873</v>
      </c>
      <c r="F100" s="116" t="n">
        <f aca="false">$C$21*$C$22*F81</f>
        <v>2.94100610175068</v>
      </c>
      <c r="G100" s="116" t="n">
        <f aca="false">$C$21*$C$22*G81</f>
        <v>4.44480744815791</v>
      </c>
      <c r="H100" s="116" t="n">
        <f aca="false">$C$21*$C$22*H81</f>
        <v>5.68777658499661</v>
      </c>
      <c r="I100" s="116" t="n">
        <f aca="false">$C$21*$C$22*I81</f>
        <v>6.7751310509225</v>
      </c>
      <c r="J100" s="116" t="n">
        <f aca="false">$C$21*$C$22*J81</f>
        <v>7.72795003220242</v>
      </c>
      <c r="K100" s="116" t="n">
        <f aca="false">$C$21*$C$22*K81</f>
        <v>8.04259235199898</v>
      </c>
      <c r="L100" s="116" t="n">
        <f aca="false">$C$21*$C$22*L81</f>
        <v>8.35748903018525</v>
      </c>
      <c r="M100" s="116" t="n">
        <f aca="false">$C$21*$C$22*M81</f>
        <v>8.66655656398049</v>
      </c>
      <c r="N100" s="116" t="n">
        <f aca="false">$C$21*$C$22*N81</f>
        <v>8.96383762433609</v>
      </c>
      <c r="O100" s="116" t="n">
        <f aca="false">$C$21*$C$22*O81</f>
        <v>9.24824711462343</v>
      </c>
      <c r="P100" s="116" t="n">
        <f aca="false">$C$21*$C$22*P81</f>
        <v>9.50197500129138</v>
      </c>
      <c r="Q100" s="116" t="n">
        <f aca="false">$C$21*$C$22*Q81</f>
        <v>9.72644449953207</v>
      </c>
      <c r="R100" s="116" t="n">
        <f aca="false">$C$21*$C$22*R81</f>
        <v>9.92567772301234</v>
      </c>
      <c r="S100" s="116" t="n">
        <f aca="false">$C$21*$C$22*S81</f>
        <v>10.1037718714934</v>
      </c>
      <c r="T100" s="116" t="n">
        <f aca="false">$C$21*$C$22*T81</f>
        <v>10.2681162225268</v>
      </c>
      <c r="U100" s="116" t="n">
        <f aca="false">$C$21*$C$22*U81</f>
        <v>10.433332865181</v>
      </c>
      <c r="V100" s="116" t="n">
        <f aca="false">$C$21*$C$22*V81</f>
        <v>10.5993242168861</v>
      </c>
      <c r="W100" s="116" t="n">
        <f aca="false">$C$21*$C$22*W81</f>
        <v>10.7624073420686</v>
      </c>
      <c r="X100" s="116" t="n">
        <f aca="false">$C$21*$C$22*X81</f>
        <v>10.922488513478</v>
      </c>
      <c r="Y100" s="116" t="n">
        <f aca="false">$C$21*$C$22*Y81</f>
        <v>11.0794743158509</v>
      </c>
      <c r="Z100" s="116" t="n">
        <f aca="false">$C$21*$C$22*Z81</f>
        <v>11.2332716260717</v>
      </c>
      <c r="AA100" s="116" t="n">
        <f aca="false">$C$21*$C$22*AA81</f>
        <v>11.3837875941753</v>
      </c>
      <c r="AB100" s="116" t="n">
        <f aca="false">$C$21*$C$22*AB81</f>
        <v>11.5310147102152</v>
      </c>
      <c r="AC100" s="116" t="n">
        <f aca="false">$C$21*$C$22*AC81</f>
        <v>11.6749457017403</v>
      </c>
      <c r="AD100" s="116" t="n">
        <f aca="false">$C$21*$C$22*AD81</f>
        <v>11.8155735170483</v>
      </c>
      <c r="AE100" s="116" t="n">
        <f aca="false">$C$21*$C$22*AE81</f>
        <v>11.9528913091048</v>
      </c>
      <c r="AF100" s="116" t="n">
        <f aca="false">$C$21*$C$22*AF81</f>
        <v>12.0868924200884</v>
      </c>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row>
    <row r="101" customFormat="false" ht="15" hidden="false" customHeight="true" outlineLevel="0" collapsed="false">
      <c r="B101" s="135" t="s">
        <v>1113</v>
      </c>
      <c r="C101" s="116" t="n">
        <f aca="false">0*$C$23</f>
        <v>0</v>
      </c>
      <c r="D101" s="116" t="n">
        <f aca="false">C104*$C$23</f>
        <v>0</v>
      </c>
      <c r="E101" s="116" t="n">
        <f aca="false">D104*$C$23</f>
        <v>0</v>
      </c>
      <c r="F101" s="116" t="n">
        <f aca="false">E104*$C$23</f>
        <v>0</v>
      </c>
      <c r="G101" s="116" t="n">
        <f aca="false">F104*$C$23</f>
        <v>0</v>
      </c>
      <c r="H101" s="116" t="n">
        <f aca="false">G104*$C$23</f>
        <v>0</v>
      </c>
      <c r="I101" s="116" t="n">
        <f aca="false">H104*$C$23</f>
        <v>0</v>
      </c>
      <c r="J101" s="116" t="n">
        <f aca="false">I104*$C$23</f>
        <v>0</v>
      </c>
      <c r="K101" s="116" t="n">
        <f aca="false">J104*$C$23</f>
        <v>0</v>
      </c>
      <c r="L101" s="116" t="n">
        <f aca="false">K104*$C$23</f>
        <v>0</v>
      </c>
      <c r="M101" s="116" t="n">
        <f aca="false">L104*$C$23</f>
        <v>0</v>
      </c>
      <c r="N101" s="116" t="n">
        <f aca="false">M104*$C$23</f>
        <v>0</v>
      </c>
      <c r="O101" s="116" t="n">
        <f aca="false">N104*$C$23</f>
        <v>0</v>
      </c>
      <c r="P101" s="116" t="n">
        <f aca="false">O104*$C$23</f>
        <v>0</v>
      </c>
      <c r="Q101" s="116" t="n">
        <f aca="false">P104*$C$23</f>
        <v>0</v>
      </c>
      <c r="R101" s="116" t="n">
        <f aca="false">Q104*$C$23</f>
        <v>0</v>
      </c>
      <c r="S101" s="116" t="n">
        <f aca="false">R104*$C$23</f>
        <v>0</v>
      </c>
      <c r="T101" s="116" t="n">
        <f aca="false">S104*$C$23</f>
        <v>0</v>
      </c>
      <c r="U101" s="116" t="n">
        <f aca="false">T104*$C$23</f>
        <v>0</v>
      </c>
      <c r="V101" s="116" t="n">
        <f aca="false">U104*$C$23</f>
        <v>0</v>
      </c>
      <c r="W101" s="116" t="n">
        <f aca="false">V104*$C$23</f>
        <v>0</v>
      </c>
      <c r="X101" s="116" t="n">
        <f aca="false">W104*$C$23</f>
        <v>0</v>
      </c>
      <c r="Y101" s="116" t="n">
        <f aca="false">X104*$C$23</f>
        <v>0</v>
      </c>
      <c r="Z101" s="116" t="n">
        <f aca="false">Y104*$C$23</f>
        <v>0</v>
      </c>
      <c r="AA101" s="116" t="n">
        <f aca="false">Z104*$C$23</f>
        <v>0</v>
      </c>
      <c r="AB101" s="116" t="n">
        <f aca="false">AA104*$C$23</f>
        <v>0</v>
      </c>
      <c r="AC101" s="116" t="n">
        <f aca="false">AB104*$C$23</f>
        <v>0</v>
      </c>
      <c r="AD101" s="116" t="n">
        <f aca="false">AC104*$C$23</f>
        <v>0</v>
      </c>
      <c r="AE101" s="116" t="n">
        <f aca="false">AD104*$C$23</f>
        <v>0</v>
      </c>
      <c r="AF101" s="116" t="n">
        <f aca="false">AE104*$C$23</f>
        <v>0</v>
      </c>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row>
    <row r="102" customFormat="false" ht="15" hidden="false" customHeight="true" outlineLevel="0" collapsed="false">
      <c r="B102" s="135" t="s">
        <v>1114</v>
      </c>
      <c r="C102" s="116" t="n">
        <f aca="false">0*$C$24</f>
        <v>0</v>
      </c>
      <c r="D102" s="116" t="n">
        <f aca="false">C104*$C$24</f>
        <v>0</v>
      </c>
      <c r="E102" s="116" t="n">
        <f aca="false">D104*$C$24</f>
        <v>0.000781764299547855</v>
      </c>
      <c r="F102" s="116" t="n">
        <f aca="false">E104*$C$24</f>
        <v>0.00143719072991873</v>
      </c>
      <c r="G102" s="116" t="n">
        <f aca="false">F104*$C$24</f>
        <v>0.00294100610175068</v>
      </c>
      <c r="H102" s="116" t="n">
        <f aca="false">G104*$C$24</f>
        <v>0.00444480744815791</v>
      </c>
      <c r="I102" s="116" t="n">
        <f aca="false">H104*$C$24</f>
        <v>0.00568777658499661</v>
      </c>
      <c r="J102" s="116" t="n">
        <f aca="false">I104*$C$24</f>
        <v>0.0067751310509225</v>
      </c>
      <c r="K102" s="116" t="n">
        <f aca="false">J104*$C$24</f>
        <v>0.00772795003220242</v>
      </c>
      <c r="L102" s="116" t="n">
        <f aca="false">K104*$C$24</f>
        <v>0.00804259235199898</v>
      </c>
      <c r="M102" s="116" t="n">
        <f aca="false">L104*$C$24</f>
        <v>0.00835748903018525</v>
      </c>
      <c r="N102" s="116" t="n">
        <f aca="false">M104*$C$24</f>
        <v>0.0086665565639805</v>
      </c>
      <c r="O102" s="116" t="n">
        <f aca="false">N104*$C$24</f>
        <v>0.00896383762433609</v>
      </c>
      <c r="P102" s="116" t="n">
        <f aca="false">O104*$C$24</f>
        <v>0.00924824711462343</v>
      </c>
      <c r="Q102" s="116" t="n">
        <f aca="false">P104*$C$24</f>
        <v>0.00950197500129138</v>
      </c>
      <c r="R102" s="116" t="n">
        <f aca="false">Q104*$C$24</f>
        <v>0.00972644449953207</v>
      </c>
      <c r="S102" s="116" t="n">
        <f aca="false">R104*$C$24</f>
        <v>0.00992567772301234</v>
      </c>
      <c r="T102" s="116" t="n">
        <f aca="false">S104*$C$24</f>
        <v>0.0101037718714934</v>
      </c>
      <c r="U102" s="116" t="n">
        <f aca="false">T104*$C$24</f>
        <v>0.0102681162225268</v>
      </c>
      <c r="V102" s="116" t="n">
        <f aca="false">U104*$C$24</f>
        <v>0.010433332865181</v>
      </c>
      <c r="W102" s="116" t="n">
        <f aca="false">V104*$C$24</f>
        <v>0.0105993242168861</v>
      </c>
      <c r="X102" s="116" t="n">
        <f aca="false">W104*$C$24</f>
        <v>0.0107624073420686</v>
      </c>
      <c r="Y102" s="116" t="n">
        <f aca="false">X104*$C$24</f>
        <v>0.010922488513478</v>
      </c>
      <c r="Z102" s="116" t="n">
        <f aca="false">Y104*$C$24</f>
        <v>0.0110794743158509</v>
      </c>
      <c r="AA102" s="116" t="n">
        <f aca="false">Z104*$C$24</f>
        <v>0.0112332716260717</v>
      </c>
      <c r="AB102" s="116" t="n">
        <f aca="false">AA104*$C$24</f>
        <v>0.0113837875941753</v>
      </c>
      <c r="AC102" s="116" t="n">
        <f aca="false">AB104*$C$24</f>
        <v>0.0115310147102152</v>
      </c>
      <c r="AD102" s="116" t="n">
        <f aca="false">AC104*$C$24</f>
        <v>0.0116749457017403</v>
      </c>
      <c r="AE102" s="116" t="n">
        <f aca="false">AD104*$C$24</f>
        <v>0.0118155735170483</v>
      </c>
      <c r="AF102" s="116" t="n">
        <f aca="false">AE104*$C$24</f>
        <v>0.0119528913091048</v>
      </c>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row>
    <row r="103" customFormat="false" ht="15" hidden="false" customHeight="true" outlineLevel="0" collapsed="false">
      <c r="B103" s="135" t="s">
        <v>748</v>
      </c>
      <c r="C103" s="116" t="n">
        <f aca="false">MIN(MAX(0,C100-0-C101),MAX(0,0))</f>
        <v>0</v>
      </c>
      <c r="D103" s="116" t="n">
        <f aca="false">MIN(MAX(0,D100-C104-D101),MAX(0,C276))</f>
        <v>0.781764299547855</v>
      </c>
      <c r="E103" s="116" t="n">
        <f aca="false">MIN(MAX(0,E100-D104-E101),MAX(0,D276))</f>
        <v>0.655426430370875</v>
      </c>
      <c r="F103" s="116" t="n">
        <f aca="false">MIN(MAX(0,F100-E104-F101),MAX(0,E276))</f>
        <v>1.50381537183195</v>
      </c>
      <c r="G103" s="116" t="n">
        <f aca="false">MIN(MAX(0,G100-F104-G101),MAX(0,F276))</f>
        <v>1.50380134640723</v>
      </c>
      <c r="H103" s="116" t="n">
        <f aca="false">MIN(MAX(0,H100-G104-H101),MAX(0,G276))</f>
        <v>1.2429691368387</v>
      </c>
      <c r="I103" s="116" t="n">
        <f aca="false">MIN(MAX(0,I100-H104-I101),MAX(0,H276))</f>
        <v>1.0873544659259</v>
      </c>
      <c r="J103" s="116" t="n">
        <f aca="false">MIN(MAX(0,J100-I104-J101),MAX(0,I276))</f>
        <v>0.95281898127992</v>
      </c>
      <c r="K103" s="116" t="n">
        <f aca="false">MIN(MAX(0,K100-J104-K101),MAX(0,J276))</f>
        <v>0.314642319796551</v>
      </c>
      <c r="L103" s="116" t="n">
        <f aca="false">MIN(MAX(0,L100-K104-L101),MAX(0,K276))</f>
        <v>0.314896678186273</v>
      </c>
      <c r="M103" s="116" t="n">
        <f aca="false">MIN(MAX(0,M100-L104-M101),MAX(0,L276))</f>
        <v>0.309067533795247</v>
      </c>
      <c r="N103" s="116" t="n">
        <f aca="false">MIN(MAX(0,N100-M104-N101),MAX(0,M276))</f>
        <v>0.297281060355598</v>
      </c>
      <c r="O103" s="116" t="n">
        <f aca="false">MIN(MAX(0,O100-N104-O101),MAX(0,N276))</f>
        <v>0.284409490287336</v>
      </c>
      <c r="P103" s="116" t="n">
        <f aca="false">MIN(MAX(0,P100-O104-P101),MAX(0,O276))</f>
        <v>0.253727886667953</v>
      </c>
      <c r="Q103" s="116" t="n">
        <f aca="false">MIN(MAX(0,Q100-P104-Q101),MAX(0,P276))</f>
        <v>0.224469498240685</v>
      </c>
      <c r="R103" s="116" t="n">
        <f aca="false">MIN(MAX(0,R100-Q104-R101),MAX(0,Q276))</f>
        <v>0.199233223480269</v>
      </c>
      <c r="S103" s="116" t="n">
        <f aca="false">MIN(MAX(0,S100-R104-S101),MAX(0,R276))</f>
        <v>0.178094148481099</v>
      </c>
      <c r="T103" s="116" t="n">
        <f aca="false">MIN(MAX(0,T100-S104-T101),MAX(0,S276))</f>
        <v>0.1643443510334</v>
      </c>
      <c r="U103" s="116" t="n">
        <f aca="false">MIN(MAX(0,U100-T104-U101),MAX(0,T276))</f>
        <v>0.165216642654141</v>
      </c>
      <c r="V103" s="116" t="n">
        <f aca="false">MIN(MAX(0,V100-U104-V101),MAX(0,U276))</f>
        <v>0.165991351705104</v>
      </c>
      <c r="W103" s="116" t="n">
        <f aca="false">MIN(MAX(0,W100-V104-W101),MAX(0,V276))</f>
        <v>0.163083125182524</v>
      </c>
      <c r="X103" s="116" t="n">
        <f aca="false">MIN(MAX(0,X100-W104-X101),MAX(0,W276))</f>
        <v>0.160081171409349</v>
      </c>
      <c r="Y103" s="116" t="n">
        <f aca="false">MIN(MAX(0,Y100-X104-Y101),MAX(0,X276))</f>
        <v>0.156985802372912</v>
      </c>
      <c r="Z103" s="116" t="n">
        <f aca="false">MIN(MAX(0,Z100-Y104-Z101),MAX(0,Y276))</f>
        <v>0.15379731022087</v>
      </c>
      <c r="AA103" s="116" t="n">
        <f aca="false">MIN(MAX(0,AA100-Z104-AA101),MAX(0,Z276))</f>
        <v>0.150515968103528</v>
      </c>
      <c r="AB103" s="116" t="n">
        <f aca="false">MIN(MAX(0,AB100-AA104-AB101),MAX(0,AA276))</f>
        <v>0.147227116039923</v>
      </c>
      <c r="AC103" s="116" t="n">
        <f aca="false">MIN(MAX(0,AC100-AB104-AC101),MAX(0,AB276))</f>
        <v>0.143930991525131</v>
      </c>
      <c r="AD103" s="116" t="n">
        <f aca="false">MIN(MAX(0,AD100-AC104-AD101),MAX(0,AC276))</f>
        <v>0.140627815307996</v>
      </c>
      <c r="AE103" s="116" t="n">
        <f aca="false">MIN(MAX(0,AE100-AD104-AE101),MAX(0,AD276))</f>
        <v>0.137317792056468</v>
      </c>
      <c r="AF103" s="116" t="n">
        <f aca="false">MIN(MAX(0,AF100-AE104-AF101),MAX(0,AE276))</f>
        <v>0.13400111098364</v>
      </c>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row>
    <row r="104" customFormat="false" ht="15" hidden="false" customHeight="true" outlineLevel="0" collapsed="false">
      <c r="B104" s="137" t="s">
        <v>1115</v>
      </c>
      <c r="C104" s="136" t="n">
        <f aca="false">0+C101+C103</f>
        <v>0</v>
      </c>
      <c r="D104" s="136" t="n">
        <f aca="false">C104+D101+D103</f>
        <v>0.781764299547855</v>
      </c>
      <c r="E104" s="136" t="n">
        <f aca="false">D104+E101+E103</f>
        <v>1.43719072991873</v>
      </c>
      <c r="F104" s="136" t="n">
        <f aca="false">E104+F101+F103</f>
        <v>2.94100610175068</v>
      </c>
      <c r="G104" s="136" t="n">
        <f aca="false">F104+G101+G103</f>
        <v>4.44480744815791</v>
      </c>
      <c r="H104" s="136" t="n">
        <f aca="false">G104+H101+H103</f>
        <v>5.68777658499661</v>
      </c>
      <c r="I104" s="136" t="n">
        <f aca="false">H104+I101+I103</f>
        <v>6.7751310509225</v>
      </c>
      <c r="J104" s="136" t="n">
        <f aca="false">I104+J101+J103</f>
        <v>7.72795003220242</v>
      </c>
      <c r="K104" s="136" t="n">
        <f aca="false">J104+K101+K103</f>
        <v>8.04259235199898</v>
      </c>
      <c r="L104" s="136" t="n">
        <f aca="false">K104+L101+L103</f>
        <v>8.35748903018525</v>
      </c>
      <c r="M104" s="136" t="n">
        <f aca="false">L104+M101+M103</f>
        <v>8.66655656398049</v>
      </c>
      <c r="N104" s="136" t="n">
        <f aca="false">M104+N101+N103</f>
        <v>8.96383762433609</v>
      </c>
      <c r="O104" s="136" t="n">
        <f aca="false">N104+O101+O103</f>
        <v>9.24824711462343</v>
      </c>
      <c r="P104" s="136" t="n">
        <f aca="false">O104+P101+P103</f>
        <v>9.50197500129138</v>
      </c>
      <c r="Q104" s="136" t="n">
        <f aca="false">P104+Q101+Q103</f>
        <v>9.72644449953207</v>
      </c>
      <c r="R104" s="136" t="n">
        <f aca="false">Q104+R101+R103</f>
        <v>9.92567772301234</v>
      </c>
      <c r="S104" s="136" t="n">
        <f aca="false">R104+S101+S103</f>
        <v>10.1037718714934</v>
      </c>
      <c r="T104" s="136" t="n">
        <f aca="false">S104+T101+T103</f>
        <v>10.2681162225268</v>
      </c>
      <c r="U104" s="136" t="n">
        <f aca="false">T104+U101+U103</f>
        <v>10.433332865181</v>
      </c>
      <c r="V104" s="136" t="n">
        <f aca="false">U104+V101+V103</f>
        <v>10.5993242168861</v>
      </c>
      <c r="W104" s="136" t="n">
        <f aca="false">V104+W101+W103</f>
        <v>10.7624073420686</v>
      </c>
      <c r="X104" s="136" t="n">
        <f aca="false">W104+X101+X103</f>
        <v>10.922488513478</v>
      </c>
      <c r="Y104" s="136" t="n">
        <f aca="false">X104+Y101+Y103</f>
        <v>11.0794743158509</v>
      </c>
      <c r="Z104" s="136" t="n">
        <f aca="false">Y104+Z101+Z103</f>
        <v>11.2332716260717</v>
      </c>
      <c r="AA104" s="136" t="n">
        <f aca="false">Z104+AA101+AA103</f>
        <v>11.3837875941753</v>
      </c>
      <c r="AB104" s="136" t="n">
        <f aca="false">AA104+AB101+AB103</f>
        <v>11.5310147102152</v>
      </c>
      <c r="AC104" s="136" t="n">
        <f aca="false">AB104+AC101+AC103</f>
        <v>11.6749457017403</v>
      </c>
      <c r="AD104" s="136" t="n">
        <f aca="false">AC104+AD101+AD103</f>
        <v>11.8155735170483</v>
      </c>
      <c r="AE104" s="136" t="n">
        <f aca="false">AD104+AE101+AE103</f>
        <v>11.9528913091048</v>
      </c>
      <c r="AF104" s="136" t="n">
        <f aca="false">AE104+AF101+AF103</f>
        <v>12.0868924200884</v>
      </c>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row>
    <row r="105" customFormat="false" ht="15" hidden="false" customHeight="true" outlineLevel="0" collapsed="false">
      <c r="B105" s="135" t="s">
        <v>1116</v>
      </c>
      <c r="C105" s="139" t="n">
        <f aca="false">C104/($C$36*(1+$C$23)^(C$39-1))</f>
        <v>0</v>
      </c>
      <c r="D105" s="139" t="n">
        <f aca="false">D104/($C$36*(1+$C$23)^(D$39-1))</f>
        <v>6.08767078810544</v>
      </c>
      <c r="E105" s="139" t="n">
        <f aca="false">E104/($C$36*(1+$C$23)^(E$39-1))</f>
        <v>11.1915369229861</v>
      </c>
      <c r="F105" s="139" t="n">
        <f aca="false">F104/($C$36*(1+$C$23)^(F$39-1))</f>
        <v>22.9018860846197</v>
      </c>
      <c r="G105" s="139" t="n">
        <f aca="false">G104/($C$36*(1+$C$23)^(G$39-1))</f>
        <v>34.6121260289759</v>
      </c>
      <c r="H105" s="139" t="n">
        <f aca="false">H104/($C$36*(1+$C$23)^(H$39-1))</f>
        <v>44.2912414723722</v>
      </c>
      <c r="I105" s="139" t="n">
        <f aca="false">I104/($C$36*(1+$C$23)^(I$39-1))</f>
        <v>52.7585711040291</v>
      </c>
      <c r="J105" s="139" t="n">
        <f aca="false">J104/($C$36*(1+$C$23)^(J$39-1))</f>
        <v>60.1782604938425</v>
      </c>
      <c r="K105" s="139" t="n">
        <f aca="false">K104/($C$36*(1+$C$23)^(K$39-1))</f>
        <v>62.628409291933</v>
      </c>
      <c r="L105" s="139" t="n">
        <f aca="false">L104/($C$36*(1+$C$23)^(L$39-1))</f>
        <v>65.0805388022915</v>
      </c>
      <c r="M105" s="139" t="n">
        <f aca="false">M104/($C$36*(1+$C$23)^(M$39-1))</f>
        <v>67.4872762270182</v>
      </c>
      <c r="N105" s="139" t="n">
        <f aca="false">N104/($C$36*(1+$C$23)^(N$39-1))</f>
        <v>69.8022312947163</v>
      </c>
      <c r="O105" s="139" t="n">
        <f aca="false">O104/($C$36*(1+$C$23)^(O$39-1))</f>
        <v>72.0169542577418</v>
      </c>
      <c r="P105" s="139" t="n">
        <f aca="false">P104/($C$36*(1+$C$23)^(P$39-1))</f>
        <v>73.992756740267</v>
      </c>
      <c r="Q105" s="139" t="n">
        <f aca="false">Q104/($C$36*(1+$C$23)^(Q$39-1))</f>
        <v>75.7407214504115</v>
      </c>
      <c r="R105" s="139" t="n">
        <f aca="false">R104/($C$36*(1+$C$23)^(R$39-1))</f>
        <v>77.2921689586981</v>
      </c>
      <c r="S105" s="139" t="n">
        <f aca="false">S104/($C$36*(1+$C$23)^(S$39-1))</f>
        <v>78.6790045379999</v>
      </c>
      <c r="T105" s="139" t="n">
        <f aca="false">T104/($C$36*(1+$C$23)^(T$39-1))</f>
        <v>79.9587691749305</v>
      </c>
      <c r="U105" s="139" t="n">
        <f aca="false">U104/($C$36*(1+$C$23)^(U$39-1))</f>
        <v>81.2453264272586</v>
      </c>
      <c r="V105" s="139" t="n">
        <f aca="false">V104/($C$36*(1+$C$23)^(V$39-1))</f>
        <v>82.5379164105026</v>
      </c>
      <c r="W105" s="139" t="n">
        <f aca="false">W104/($C$36*(1+$C$23)^(W$39-1))</f>
        <v>83.8078597652717</v>
      </c>
      <c r="X105" s="139" t="n">
        <f aca="false">X104/($C$36*(1+$C$23)^(X$39-1))</f>
        <v>85.0544266288111</v>
      </c>
      <c r="Y105" s="139" t="n">
        <f aca="false">Y104/($C$36*(1+$C$23)^(Y$39-1))</f>
        <v>86.2768895678396</v>
      </c>
      <c r="Z105" s="139" t="n">
        <f aca="false">Z104/($C$36*(1+$C$23)^(Z$39-1))</f>
        <v>87.4745234240573</v>
      </c>
      <c r="AA105" s="139" t="n">
        <f aca="false">AA104/($C$36*(1+$C$23)^(AA$39-1))</f>
        <v>88.6466051662105</v>
      </c>
      <c r="AB105" s="139" t="n">
        <f aca="false">AB104/($C$36*(1+$C$23)^(AB$39-1))</f>
        <v>89.7930763136543</v>
      </c>
      <c r="AC105" s="139" t="n">
        <f aca="false">AC104/($C$36*(1+$C$23)^(AC$39-1))</f>
        <v>90.9138802351398</v>
      </c>
      <c r="AD105" s="139" t="n">
        <f aca="false">AD104/($C$36*(1+$C$23)^(AD$39-1))</f>
        <v>92.0089620184097</v>
      </c>
      <c r="AE105" s="139" t="n">
        <f aca="false">AE104/($C$36*(1+$C$23)^(AE$39-1))</f>
        <v>93.0782683449748</v>
      </c>
      <c r="AF105" s="139" t="n">
        <f aca="false">AF104/($C$36*(1+$C$23)^(AF$39-1))</f>
        <v>94.121747369766</v>
      </c>
      <c r="AG105" s="139"/>
      <c r="AH105" s="139"/>
      <c r="AI105" s="139"/>
      <c r="AJ105" s="139"/>
      <c r="AK105" s="139"/>
      <c r="AL105" s="139"/>
      <c r="AM105" s="139"/>
      <c r="AN105" s="139"/>
      <c r="AO105" s="139"/>
      <c r="AP105" s="139"/>
      <c r="AQ105" s="139"/>
      <c r="AR105" s="139"/>
      <c r="AS105" s="139"/>
      <c r="AT105" s="139"/>
      <c r="AU105" s="139"/>
      <c r="AV105" s="139"/>
      <c r="AW105" s="139"/>
      <c r="AX105" s="139"/>
      <c r="AY105" s="139"/>
      <c r="AZ105" s="139"/>
      <c r="BA105" s="139"/>
      <c r="BB105" s="139"/>
      <c r="BC105" s="139"/>
      <c r="BD105" s="139"/>
      <c r="BE105" s="139"/>
      <c r="BF105" s="139"/>
      <c r="BG105" s="139"/>
      <c r="BH105" s="139"/>
      <c r="BI105" s="139"/>
      <c r="BJ105" s="139"/>
      <c r="BK105" s="139"/>
      <c r="BL105" s="139"/>
      <c r="BM105" s="139"/>
      <c r="BN105" s="139"/>
      <c r="BO105" s="139"/>
      <c r="BP105" s="139"/>
      <c r="BQ105" s="139"/>
      <c r="BR105" s="139"/>
      <c r="BS105" s="139"/>
      <c r="BT105" s="139"/>
    </row>
    <row r="106" customFormat="false" ht="15" hidden="false" customHeight="true" outlineLevel="0" collapsed="false">
      <c r="B106" s="132" t="s">
        <v>1117</v>
      </c>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row>
    <row r="107" customFormat="false" ht="15" hidden="false" customHeight="true" outlineLevel="0" collapsed="false">
      <c r="B107" s="134" t="s">
        <v>1118</v>
      </c>
      <c r="C107" s="116" t="n">
        <f aca="false">C87*(1-$C$340)*$C$175+C85*01_Supuestos!$I$126+C55*C88</f>
        <v>0.276783749276414</v>
      </c>
      <c r="D107" s="116" t="n">
        <f aca="false">D87*(1-$C$340)*$C$175+D85*01_Supuestos!$I$126+D55*D88</f>
        <v>0.722925430248171</v>
      </c>
      <c r="E107" s="116" t="n">
        <f aca="false">E87*(1-$C$340)*$C$175+E85*01_Supuestos!$I$126+E55*E88</f>
        <v>1.26886809465487</v>
      </c>
      <c r="F107" s="116" t="n">
        <f aca="false">F87*(1-$C$340)*$C$175+F85*01_Supuestos!$I$126+F55*F88</f>
        <v>1.81708767719129</v>
      </c>
      <c r="G107" s="116" t="n">
        <f aca="false">G87*(1-$C$340)*$C$175+G85*01_Supuestos!$I$126+G55*G88</f>
        <v>2.3783431576715</v>
      </c>
      <c r="H107" s="116" t="n">
        <f aca="false">H87*(1-$C$340)*$C$175+H85*01_Supuestos!$I$126+H55*H88</f>
        <v>2.95615181088842</v>
      </c>
      <c r="I107" s="116" t="n">
        <f aca="false">I87*(1-$C$340)*$C$175+I85*01_Supuestos!$I$126+I55*I88</f>
        <v>3.54952239085696</v>
      </c>
      <c r="J107" s="116" t="n">
        <f aca="false">J87*(1-$C$340)*$C$175+J85*01_Supuestos!$I$126+J55*J88</f>
        <v>4.15850863681127</v>
      </c>
      <c r="K107" s="116" t="n">
        <f aca="false">K87*(1-$C$340)*$C$175+K85*01_Supuestos!$I$126+K55*K88</f>
        <v>4.78964445514252</v>
      </c>
      <c r="L107" s="116" t="n">
        <f aca="false">L87*(1-$C$340)*$C$175+L85*01_Supuestos!$I$126+L55*L88</f>
        <v>5.4353825323664</v>
      </c>
      <c r="M107" s="116" t="n">
        <f aca="false">M87*(1-$C$340)*$C$175+M85*01_Supuestos!$I$126+M55*M88</f>
        <v>6.12056609272851</v>
      </c>
      <c r="N107" s="116" t="n">
        <f aca="false">N87*(1-$C$340)*$C$175+N85*01_Supuestos!$I$126+N55*N88</f>
        <v>6.5314001713277</v>
      </c>
      <c r="O107" s="116" t="n">
        <f aca="false">O87*(1-$C$340)*$C$175+O85*01_Supuestos!$I$126+O55*O88</f>
        <v>6.68101913542404</v>
      </c>
      <c r="P107" s="116" t="n">
        <f aca="false">P87*(1-$C$340)*$C$175+P85*01_Supuestos!$I$126+P55*P88</f>
        <v>6.83436632519342</v>
      </c>
      <c r="Q107" s="116" t="n">
        <f aca="false">Q87*(1-$C$340)*$C$175+Q85*01_Supuestos!$I$126+Q55*Q88</f>
        <v>6.99151107606841</v>
      </c>
      <c r="R107" s="116" t="n">
        <f aca="false">R87*(1-$C$340)*$C$175+R85*01_Supuestos!$I$126+R55*R88</f>
        <v>7.15250453306805</v>
      </c>
      <c r="S107" s="116" t="n">
        <f aca="false">S87*(1-$C$340)*$C$175+S85*01_Supuestos!$I$126+S55*S88</f>
        <v>7.31739915187445</v>
      </c>
      <c r="T107" s="116" t="n">
        <f aca="false">T87*(1-$C$340)*$C$175+T85*01_Supuestos!$I$126+T55*T88</f>
        <v>7.48622393928707</v>
      </c>
      <c r="U107" s="116" t="n">
        <f aca="false">U87*(1-$C$340)*$C$175+U85*01_Supuestos!$I$126+U55*U88</f>
        <v>7.65895411462555</v>
      </c>
      <c r="V107" s="116" t="n">
        <f aca="false">V87*(1-$C$340)*$C$175+V85*01_Supuestos!$I$126+V55*V88</f>
        <v>7.79799344546915</v>
      </c>
      <c r="W107" s="116" t="n">
        <f aca="false">W87*(1-$C$340)*$C$175+W85*01_Supuestos!$I$126+W55*W88</f>
        <v>7.91370525491262</v>
      </c>
      <c r="X107" s="116" t="n">
        <f aca="false">X87*(1-$C$340)*$C$175+X85*01_Supuestos!$I$126+X55*X88</f>
        <v>8.02704770436259</v>
      </c>
      <c r="Y107" s="116" t="n">
        <f aca="false">Y87*(1-$C$340)*$C$175+Y85*01_Supuestos!$I$126+Y55*Y88</f>
        <v>8.1380152335614</v>
      </c>
      <c r="Z107" s="116" t="n">
        <f aca="false">Z87*(1-$C$340)*$C$175+Z85*01_Supuestos!$I$126+Z55*Z88</f>
        <v>8.24660248799038</v>
      </c>
      <c r="AA107" s="116" t="n">
        <f aca="false">AA87*(1-$C$340)*$C$175+AA85*01_Supuestos!$I$126+AA55*AA88</f>
        <v>8.35280430487372</v>
      </c>
      <c r="AB107" s="116" t="n">
        <f aca="false">AB87*(1-$C$340)*$C$175+AB85*01_Supuestos!$I$126+AB55*AB88</f>
        <v>8.45661504374543</v>
      </c>
      <c r="AC107" s="116" t="n">
        <f aca="false">AC87*(1-$C$340)*$C$175+AC85*01_Supuestos!$I$126+AC55*AC88</f>
        <v>8.55802922956383</v>
      </c>
      <c r="AD107" s="116" t="n">
        <f aca="false">AD87*(1-$C$340)*$C$175+AD85*01_Supuestos!$I$126+AD55*AD88</f>
        <v>8.65704154032437</v>
      </c>
      <c r="AE107" s="116" t="n">
        <f aca="false">AE87*(1-$C$340)*$C$175+AE85*01_Supuestos!$I$126+AE55*AE88</f>
        <v>8.75364679514656</v>
      </c>
      <c r="AF107" s="116" t="n">
        <f aca="false">AF87*(1-$C$340)*$C$175+AF85*01_Supuestos!$I$126+AF55*AF88</f>
        <v>8.84783994280611</v>
      </c>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row>
    <row r="108" customFormat="false" ht="15" hidden="false" customHeight="true" outlineLevel="0" collapsed="false">
      <c r="B108" s="134" t="s">
        <v>1119</v>
      </c>
      <c r="C108" s="116" t="n">
        <f aca="false">C330-C332</f>
        <v>0</v>
      </c>
      <c r="D108" s="116" t="n">
        <f aca="false">D330-D332</f>
        <v>0.0332983823216196</v>
      </c>
      <c r="E108" s="116" t="n">
        <f aca="false">E330-E332</f>
        <v>0.0866922002200241</v>
      </c>
      <c r="F108" s="116" t="n">
        <f aca="false">F330-F332</f>
        <v>0.150253011067453</v>
      </c>
      <c r="G108" s="116" t="n">
        <f aca="false">G330-G332</f>
        <v>0.189276319597221</v>
      </c>
      <c r="H108" s="116" t="n">
        <f aca="false">H330-H332</f>
        <v>0.230276739727252</v>
      </c>
      <c r="I108" s="116" t="n">
        <f aca="false">I330-I332</f>
        <v>0.281437262304993</v>
      </c>
      <c r="J108" s="116" t="n">
        <f aca="false">J330-J332</f>
        <v>0.339521609287097</v>
      </c>
      <c r="K108" s="116" t="n">
        <f aca="false">K330-K332</f>
        <v>0.403919688935493</v>
      </c>
      <c r="L108" s="116" t="n">
        <f aca="false">L330-L332</f>
        <v>0.490393779155049</v>
      </c>
      <c r="M108" s="116" t="n">
        <f aca="false">M330-M332</f>
        <v>0.579074624796582</v>
      </c>
      <c r="N108" s="116" t="n">
        <f aca="false">N330-N332</f>
        <v>0.731996607651904</v>
      </c>
      <c r="O108" s="116" t="n">
        <f aca="false">O330-O332</f>
        <v>0.826074647005532</v>
      </c>
      <c r="P108" s="116" t="n">
        <f aca="false">P330-P332</f>
        <v>0.84354866000057</v>
      </c>
      <c r="Q108" s="116" t="n">
        <f aca="false">Q330-Q332</f>
        <v>0.862150424221467</v>
      </c>
      <c r="R108" s="116" t="n">
        <f aca="false">R330-R332</f>
        <v>0.881864364550947</v>
      </c>
      <c r="S108" s="116" t="n">
        <f aca="false">S330-S332</f>
        <v>0.902624507435793</v>
      </c>
      <c r="T108" s="116" t="n">
        <f aca="false">T330-T332</f>
        <v>0.924363701670206</v>
      </c>
      <c r="U108" s="116" t="n">
        <f aca="false">U330-U332</f>
        <v>0.946950893647834</v>
      </c>
      <c r="V108" s="116" t="n">
        <f aca="false">V330-V332</f>
        <v>0.970114289795782</v>
      </c>
      <c r="W108" s="116" t="n">
        <f aca="false">W330-W332</f>
        <v>0.988154768828418</v>
      </c>
      <c r="X108" s="116" t="n">
        <f aca="false">X330-X332</f>
        <v>1.00271128621829</v>
      </c>
      <c r="Y108" s="116" t="n">
        <f aca="false">Y330-Y332</f>
        <v>1.01696355386143</v>
      </c>
      <c r="Z108" s="116" t="n">
        <f aca="false">Z330-Z332</f>
        <v>1.03091244101258</v>
      </c>
      <c r="AA108" s="116" t="n">
        <f aca="false">AA330-AA332</f>
        <v>1.04455884276841</v>
      </c>
      <c r="AB108" s="116" t="n">
        <f aca="false">AB330-AB332</f>
        <v>1.05790367829345</v>
      </c>
      <c r="AC108" s="116" t="n">
        <f aca="false">AC330-AC332</f>
        <v>1.07094622995886</v>
      </c>
      <c r="AD108" s="116" t="n">
        <f aca="false">AD330-AD332</f>
        <v>1.08368580086645</v>
      </c>
      <c r="AE108" s="116" t="n">
        <f aca="false">AE330-AE332</f>
        <v>1.09612171327729</v>
      </c>
      <c r="AF108" s="116" t="n">
        <f aca="false">AF330-AF332</f>
        <v>1.10825330710009</v>
      </c>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row>
    <row r="109" customFormat="false" ht="15" hidden="false" customHeight="true" outlineLevel="0" collapsed="false">
      <c r="B109" s="134" t="s">
        <v>733</v>
      </c>
      <c r="C109" s="116" t="n">
        <f aca="false">(C70+0)*(0.3*$C$5+0.25*01_Supuestos!$I$134)/0.55-0*$C$5</f>
        <v>0.00189090909090909</v>
      </c>
      <c r="D109" s="116" t="n">
        <f aca="false">(D70+C121)*(0.3*$C$5+0.25*01_Supuestos!$I$134)/0.55-C227*$C$5</f>
        <v>0.00384856727272727</v>
      </c>
      <c r="E109" s="116" t="n">
        <f aca="false">(E70+D121)*(0.3*$C$5+0.25*01_Supuestos!$I$134)/0.55-D227*$C$5</f>
        <v>0.00587533078836364</v>
      </c>
      <c r="F109" s="116" t="n">
        <f aca="false">(F70+E121)*(0.3*$C$5+0.25*01_Supuestos!$I$134)/0.55-E227*$C$5</f>
        <v>0.389511895137611</v>
      </c>
      <c r="G109" s="116" t="n">
        <f aca="false">(G70+F121)*(0.3*$C$5+0.25*01_Supuestos!$I$134)/0.55-F227*$C$5</f>
        <v>0.77322252976871</v>
      </c>
      <c r="H109" s="116" t="n">
        <f aca="false">(H70+G121)*(0.3*$C$5+0.25*01_Supuestos!$I$134)/0.55-G227*$C$5</f>
        <v>1.15700984936261</v>
      </c>
      <c r="I109" s="116" t="n">
        <f aca="false">(I70+H121)*(0.3*$C$5+0.25*01_Supuestos!$I$134)/0.55-H227*$C$5</f>
        <v>1.5408765608985</v>
      </c>
      <c r="J109" s="116" t="n">
        <f aca="false">(J70+I121)*(0.3*$C$5+0.25*01_Supuestos!$I$134)/0.55-I227*$C$5</f>
        <v>1.92482546691192</v>
      </c>
      <c r="K109" s="116" t="n">
        <f aca="false">(K70+J121)*(0.3*$C$5+0.25*01_Supuestos!$I$134)/0.55-J227*$C$5</f>
        <v>2.09060906699343</v>
      </c>
      <c r="L109" s="116" t="n">
        <f aca="false">(L70+K121)*(0.3*$C$5+0.25*01_Supuestos!$I$134)/0.55-K227*$C$5</f>
        <v>2.25639266707494</v>
      </c>
      <c r="M109" s="116" t="n">
        <f aca="false">(M70+L121)*(0.3*$C$5+0.25*01_Supuestos!$I$134)/0.55-L227*$C$5</f>
        <v>2.32246986653217</v>
      </c>
      <c r="N109" s="116" t="n">
        <f aca="false">(N70+M121)*(0.3*$C$5+0.25*01_Supuestos!$I$134)/0.55-M227*$C$5</f>
        <v>2.38864149544704</v>
      </c>
      <c r="O109" s="116" t="n">
        <f aca="false">(O70+N121)*(0.3*$C$5+0.25*01_Supuestos!$I$134)/0.55-N227*$C$5</f>
        <v>2.45867615376966</v>
      </c>
      <c r="P109" s="116" t="n">
        <f aca="false">(P70+O121)*(0.3*$C$5+0.25*01_Supuestos!$I$134)/0.55-O227*$C$5</f>
        <v>2.52893746072826</v>
      </c>
      <c r="Q109" s="116" t="n">
        <f aca="false">(Q70+P121)*(0.3*$C$5+0.25*01_Supuestos!$I$134)/0.55-P227*$C$5</f>
        <v>2.60078541260019</v>
      </c>
      <c r="R109" s="116" t="n">
        <f aca="false">(R70+Q121)*(0.3*$C$5+0.25*01_Supuestos!$I$134)/0.55-Q227*$C$5</f>
        <v>2.67128930571147</v>
      </c>
      <c r="S109" s="116" t="n">
        <f aca="false">(S70+R121)*(0.3*$C$5+0.25*01_Supuestos!$I$134)/0.55-R227*$C$5</f>
        <v>2.73879706841379</v>
      </c>
      <c r="T109" s="116" t="n">
        <f aca="false">(T70+S121)*(0.3*$C$5+0.25*01_Supuestos!$I$134)/0.55-S227*$C$5</f>
        <v>2.8056095414914</v>
      </c>
      <c r="U109" s="116" t="n">
        <f aca="false">(U70+T121)*(0.3*$C$5+0.25*01_Supuestos!$I$134)/0.55-T227*$C$5</f>
        <v>2.87254239918546</v>
      </c>
      <c r="V109" s="116" t="n">
        <f aca="false">(V70+U121)*(0.3*$C$5+0.25*01_Supuestos!$I$134)/0.55-U227*$C$5</f>
        <v>2.93959989107291</v>
      </c>
      <c r="W109" s="116" t="n">
        <f aca="false">(W70+V121)*(0.3*$C$5+0.25*01_Supuestos!$I$134)/0.55-V227*$C$5</f>
        <v>3.00678641674079</v>
      </c>
      <c r="X109" s="116" t="n">
        <f aca="false">(X70+W121)*(0.3*$C$5+0.25*01_Supuestos!$I$134)/0.55-W227*$C$5</f>
        <v>3.07410653108154</v>
      </c>
      <c r="Y109" s="116" t="n">
        <f aca="false">(Y70+X121)*(0.3*$C$5+0.25*01_Supuestos!$I$134)/0.55-X227*$C$5</f>
        <v>3.14156494977532</v>
      </c>
      <c r="Z109" s="116" t="n">
        <f aca="false">(Z70+Y121)*(0.3*$C$5+0.25*01_Supuestos!$I$134)/0.55-Y227*$C$5</f>
        <v>3.2091665549658</v>
      </c>
      <c r="AA109" s="116" t="n">
        <f aca="false">(AA70+Z121)*(0.3*$C$5+0.25*01_Supuestos!$I$134)/0.55-Z227*$C$5</f>
        <v>3.2769164011363</v>
      </c>
      <c r="AB109" s="116" t="n">
        <f aca="false">(AB70+AA121)*(0.3*$C$5+0.25*01_Supuestos!$I$134)/0.55-AA227*$C$5</f>
        <v>3.34481972119341</v>
      </c>
      <c r="AC109" s="116" t="n">
        <f aca="false">(AC70+AB121)*(0.3*$C$5+0.25*01_Supuestos!$I$134)/0.55-AB227*$C$5</f>
        <v>3.41288193276535</v>
      </c>
      <c r="AD109" s="116" t="n">
        <f aca="false">(AD70+AC121)*(0.3*$C$5+0.25*01_Supuestos!$I$134)/0.55-AC227*$C$5</f>
        <v>3.48110864472257</v>
      </c>
      <c r="AE109" s="116" t="n">
        <f aca="false">(AE70+AD121)*(0.3*$C$5+0.25*01_Supuestos!$I$134)/0.55-AD227*$C$5</f>
        <v>3.54950566392868</v>
      </c>
      <c r="AF109" s="116" t="n">
        <f aca="false">(AF70+AE121)*(0.3*$C$5+0.25*01_Supuestos!$I$134)/0.55-AE227*$C$5</f>
        <v>3.61807900222957</v>
      </c>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row>
    <row r="110" customFormat="false" ht="15" hidden="false" customHeight="true" outlineLevel="0" collapsed="false">
      <c r="B110" s="134" t="s">
        <v>734</v>
      </c>
      <c r="C110" s="116" t="n">
        <f aca="false">0</f>
        <v>0</v>
      </c>
      <c r="D110" s="116" t="n">
        <f aca="false">C120*$C$10</f>
        <v>0.716559348771894</v>
      </c>
      <c r="E110" s="116" t="n">
        <f aca="false">D120*$C$10</f>
        <v>1.40898486293053</v>
      </c>
      <c r="F110" s="116" t="n">
        <f aca="false">E120*$C$10</f>
        <v>2.11334431688344</v>
      </c>
      <c r="G110" s="116" t="n">
        <f aca="false">F120*$C$10</f>
        <v>2.62738213534214</v>
      </c>
      <c r="H110" s="116" t="n">
        <f aca="false">G120*$C$10</f>
        <v>3.08866171460583</v>
      </c>
      <c r="I110" s="116" t="n">
        <f aca="false">H120*$C$10</f>
        <v>3.5223135251609</v>
      </c>
      <c r="J110" s="116" t="n">
        <f aca="false">I120*$C$10</f>
        <v>3.95087578445822</v>
      </c>
      <c r="K110" s="116" t="n">
        <f aca="false">J120*$C$10</f>
        <v>4.38651852765217</v>
      </c>
      <c r="L110" s="116" t="n">
        <f aca="false">K120*$C$10</f>
        <v>4.873640327476</v>
      </c>
      <c r="M110" s="116" t="n">
        <f aca="false">L120*$C$10</f>
        <v>5.41236754780632</v>
      </c>
      <c r="N110" s="116" t="n">
        <f aca="false">M120*$C$10</f>
        <v>5.36530038771495</v>
      </c>
      <c r="O110" s="116" t="n">
        <f aca="false">N120*$C$10</f>
        <v>5.40320459125726</v>
      </c>
      <c r="P110" s="116" t="n">
        <f aca="false">O120*$C$10</f>
        <v>5.50560786838613</v>
      </c>
      <c r="Q110" s="116" t="n">
        <f aca="false">P120*$C$10</f>
        <v>5.56193496176293</v>
      </c>
      <c r="R110" s="116" t="n">
        <f aca="false">Q120*$C$10</f>
        <v>5.6008206112554</v>
      </c>
      <c r="S110" s="116" t="n">
        <f aca="false">R120*$C$10</f>
        <v>5.64168821474972</v>
      </c>
      <c r="T110" s="116" t="n">
        <f aca="false">S120*$C$10</f>
        <v>5.67975188418509</v>
      </c>
      <c r="U110" s="116" t="n">
        <f aca="false">T120*$C$10</f>
        <v>5.71269179500912</v>
      </c>
      <c r="V110" s="116" t="n">
        <f aca="false">U120*$C$10</f>
        <v>5.7406677537305</v>
      </c>
      <c r="W110" s="116" t="n">
        <f aca="false">V120*$C$10</f>
        <v>5.76805457493635</v>
      </c>
      <c r="X110" s="116" t="n">
        <f aca="false">W120*$C$10</f>
        <v>5.79083469508956</v>
      </c>
      <c r="Y110" s="116" t="n">
        <f aca="false">X120*$C$10</f>
        <v>5.8056950163659</v>
      </c>
      <c r="Z110" s="116" t="n">
        <f aca="false">Y120*$C$10</f>
        <v>5.81454965212844</v>
      </c>
      <c r="AA110" s="116" t="n">
        <f aca="false">Z120*$C$10</f>
        <v>5.81839590180023</v>
      </c>
      <c r="AB110" s="116" t="n">
        <f aca="false">AA120*$C$10</f>
        <v>5.81745433846511</v>
      </c>
      <c r="AC110" s="116" t="n">
        <f aca="false">AB120*$C$10</f>
        <v>5.81193754141756</v>
      </c>
      <c r="AD110" s="116" t="n">
        <f aca="false">AC120*$C$10</f>
        <v>5.80205161633772</v>
      </c>
      <c r="AE110" s="116" t="n">
        <f aca="false">AD120*$C$10</f>
        <v>5.7879972230864</v>
      </c>
      <c r="AF110" s="116" t="n">
        <f aca="false">AE120*$C$10</f>
        <v>5.7699707049653</v>
      </c>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row>
    <row r="111" customFormat="false" ht="15" hidden="false" customHeight="true" outlineLevel="0" collapsed="false">
      <c r="B111" s="81" t="s">
        <v>1120</v>
      </c>
      <c r="C111" s="136" t="n">
        <f aca="false">C69*01_Supuestos!$I$107-C218</f>
        <v>0.55357665388876</v>
      </c>
      <c r="D111" s="136" t="n">
        <f aca="false">D69*01_Supuestos!$I$107-D218</f>
        <v>1.42828368911724</v>
      </c>
      <c r="E111" s="136" t="n">
        <f aca="false">E69*01_Supuestos!$I$107-E218</f>
        <v>2.56406832333937</v>
      </c>
      <c r="F111" s="136" t="n">
        <f aca="false">F69*01_Supuestos!$I$107-F218</f>
        <v>5.25232231519187</v>
      </c>
      <c r="G111" s="136" t="n">
        <f aca="false">G69*01_Supuestos!$I$107-G218</f>
        <v>7.80108948551008</v>
      </c>
      <c r="H111" s="136" t="n">
        <f aca="false">H69*01_Supuestos!$I$107-H218</f>
        <v>9.73116546168079</v>
      </c>
      <c r="I111" s="136" t="n">
        <f aca="false">I69*01_Supuestos!$I$107-I218</f>
        <v>11.2792050011858</v>
      </c>
      <c r="J111" s="136" t="n">
        <f aca="false">J69*01_Supuestos!$I$107-J218</f>
        <v>12.5091975008267</v>
      </c>
      <c r="K111" s="136" t="n">
        <f aca="false">K69*01_Supuestos!$I$107-K218</f>
        <v>12.4841295794165</v>
      </c>
      <c r="L111" s="136" t="n">
        <f aca="false">L69*01_Supuestos!$I$107-L218</f>
        <v>12.4794900332596</v>
      </c>
      <c r="M111" s="136" t="n">
        <f aca="false">M69*01_Supuestos!$I$107-M218</f>
        <v>12.512414471571</v>
      </c>
      <c r="N111" s="136" t="n">
        <f aca="false">N69*01_Supuestos!$I$107-N218</f>
        <v>12.5917626576767</v>
      </c>
      <c r="O111" s="136" t="n">
        <f aca="false">O69*01_Supuestos!$I$107-O218</f>
        <v>12.7241359868209</v>
      </c>
      <c r="P111" s="136" t="n">
        <f aca="false">P69*01_Supuestos!$I$107-P218</f>
        <v>12.9472962336558</v>
      </c>
      <c r="Q111" s="136" t="n">
        <f aca="false">Q69*01_Supuestos!$I$107-Q218</f>
        <v>13.2553942813638</v>
      </c>
      <c r="R111" s="136" t="n">
        <f aca="false">R69*01_Supuestos!$I$107-R218</f>
        <v>13.6195072119713</v>
      </c>
      <c r="S111" s="136" t="n">
        <f aca="false">S69*01_Supuestos!$I$107-S218</f>
        <v>14.024429714961</v>
      </c>
      <c r="T111" s="136" t="n">
        <f aca="false">T69*01_Supuestos!$I$107-T218</f>
        <v>14.4576234701719</v>
      </c>
      <c r="U111" s="136" t="n">
        <f aca="false">U69*01_Supuestos!$I$107-U218</f>
        <v>14.8757720780868</v>
      </c>
      <c r="V111" s="136" t="n">
        <f aca="false">V69*01_Supuestos!$I$107-V218</f>
        <v>15.2795277045336</v>
      </c>
      <c r="W111" s="136" t="n">
        <f aca="false">W69*01_Supuestos!$I$107-W218</f>
        <v>15.669500222863</v>
      </c>
      <c r="X111" s="136" t="n">
        <f aca="false">X69*01_Supuestos!$I$107-X218</f>
        <v>16.0462599531352</v>
      </c>
      <c r="Y111" s="136" t="n">
        <f aca="false">Y69*01_Supuestos!$I$107-Y218</f>
        <v>16.4103402240666</v>
      </c>
      <c r="Z111" s="136" t="n">
        <f aca="false">Z69*01_Supuestos!$I$107-Z218</f>
        <v>16.7622397691973</v>
      </c>
      <c r="AA111" s="136" t="n">
        <f aca="false">AA69*01_Supuestos!$I$107-AA218</f>
        <v>17.1024249679981</v>
      </c>
      <c r="AB111" s="136" t="n">
        <f aca="false">AB69*01_Supuestos!$I$107-AB218</f>
        <v>17.4313319419445</v>
      </c>
      <c r="AC111" s="136" t="n">
        <f aca="false">AC69*01_Supuestos!$I$107-AC218</f>
        <v>17.7493685149341</v>
      </c>
      <c r="AD111" s="136" t="n">
        <f aca="false">AD69*01_Supuestos!$I$107-AD218</f>
        <v>18.056916046823</v>
      </c>
      <c r="AE111" s="136" t="n">
        <f aca="false">AE69*01_Supuestos!$I$107-AE218</f>
        <v>18.3543311482834</v>
      </c>
      <c r="AF111" s="136" t="n">
        <f aca="false">AF69*01_Supuestos!$I$107-AF218</f>
        <v>18.6419472846603</v>
      </c>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row>
    <row r="112" customFormat="false" ht="15" hidden="false" customHeight="true" outlineLevel="0" collapsed="false">
      <c r="B112" s="134" t="s">
        <v>1121</v>
      </c>
      <c r="C112" s="116" t="n">
        <f aca="false">C81*$C$7</f>
        <v>0.0236534055447657</v>
      </c>
      <c r="D112" s="116" t="n">
        <f aca="false">D81*$C$7</f>
        <v>0.0625411439638284</v>
      </c>
      <c r="E112" s="116" t="n">
        <f aca="false">E81*$C$7</f>
        <v>0.114975258393498</v>
      </c>
      <c r="F112" s="116" t="n">
        <f aca="false">F81*$C$7</f>
        <v>0.235280488140055</v>
      </c>
      <c r="G112" s="116" t="n">
        <f aca="false">G81*$C$7</f>
        <v>0.355584595852633</v>
      </c>
      <c r="H112" s="116" t="n">
        <f aca="false">H81*$C$7</f>
        <v>0.455022126799729</v>
      </c>
      <c r="I112" s="116" t="n">
        <f aca="false">I81*$C$7</f>
        <v>0.5420104840738</v>
      </c>
      <c r="J112" s="116" t="n">
        <f aca="false">J81*$C$7</f>
        <v>0.618236002576194</v>
      </c>
      <c r="K112" s="116" t="n">
        <f aca="false">K81*$C$7</f>
        <v>0.643407388159918</v>
      </c>
      <c r="L112" s="116" t="n">
        <f aca="false">L81*$C$7</f>
        <v>0.66859912241482</v>
      </c>
      <c r="M112" s="116" t="n">
        <f aca="false">M81*$C$7</f>
        <v>0.69332452511844</v>
      </c>
      <c r="N112" s="116" t="n">
        <f aca="false">N81*$C$7</f>
        <v>0.717107009946887</v>
      </c>
      <c r="O112" s="116" t="n">
        <f aca="false">O81*$C$7</f>
        <v>0.739859769169874</v>
      </c>
      <c r="P112" s="116" t="n">
        <f aca="false">P81*$C$7</f>
        <v>0.760158000103311</v>
      </c>
      <c r="Q112" s="116" t="n">
        <f aca="false">Q81*$C$7</f>
        <v>0.778115559962565</v>
      </c>
      <c r="R112" s="116" t="n">
        <f aca="false">R81*$C$7</f>
        <v>0.794054217840987</v>
      </c>
      <c r="S112" s="116" t="n">
        <f aca="false">S81*$C$7</f>
        <v>0.808301749719475</v>
      </c>
      <c r="T112" s="116" t="n">
        <f aca="false">T81*$C$7</f>
        <v>0.821449297802147</v>
      </c>
      <c r="U112" s="116" t="n">
        <f aca="false">U81*$C$7</f>
        <v>0.834666629214478</v>
      </c>
      <c r="V112" s="116" t="n">
        <f aca="false">V81*$C$7</f>
        <v>0.847945937350886</v>
      </c>
      <c r="W112" s="116" t="n">
        <f aca="false">W81*$C$7</f>
        <v>0.860992587365488</v>
      </c>
      <c r="X112" s="116" t="n">
        <f aca="false">X81*$C$7</f>
        <v>0.873799081078236</v>
      </c>
      <c r="Y112" s="116" t="n">
        <f aca="false">Y81*$C$7</f>
        <v>0.886357945268069</v>
      </c>
      <c r="Z112" s="116" t="n">
        <f aca="false">Z81*$C$7</f>
        <v>0.898661730085739</v>
      </c>
      <c r="AA112" s="116" t="n">
        <f aca="false">AA81*$C$7</f>
        <v>0.910703007534021</v>
      </c>
      <c r="AB112" s="116" t="n">
        <f aca="false">AB81*$C$7</f>
        <v>0.922481176817215</v>
      </c>
      <c r="AC112" s="116" t="n">
        <f aca="false">AC81*$C$7</f>
        <v>0.933995656139225</v>
      </c>
      <c r="AD112" s="116" t="n">
        <f aca="false">AD81*$C$7</f>
        <v>0.945245881363865</v>
      </c>
      <c r="AE112" s="116" t="n">
        <f aca="false">AE81*$C$7</f>
        <v>0.956231304728382</v>
      </c>
      <c r="AF112" s="116" t="n">
        <f aca="false">AF81*$C$7</f>
        <v>0.966951393607074</v>
      </c>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row>
    <row r="113" customFormat="false" ht="15" hidden="false" customHeight="true" outlineLevel="0" collapsed="false">
      <c r="B113" s="81" t="s">
        <v>1122</v>
      </c>
      <c r="C113" s="136" t="n">
        <f aca="false">C107+C109+C110-C111-C112-C108-C97-C98-C102+C184-C190-C229-C265-C268-C274</f>
        <v>-0.305503668764942</v>
      </c>
      <c r="D113" s="136" t="n">
        <f aca="false">D107+D109+D110-D111-D112-D108-D97-D98-D102+D184-D190-D229-D265-D268-D274</f>
        <v>-0.107068197284994</v>
      </c>
      <c r="E113" s="136" t="n">
        <f aca="false">E107+E109+E110-E111-E112-E108-E97-E98-E102+E184-E190-E229-E265-E268-E274</f>
        <v>-0.130477724924329</v>
      </c>
      <c r="F113" s="136" t="n">
        <f aca="false">F107+F109+F110-F111-F112-F108-F97-F98-F102+F184-F190-F229-F265-F268-F274</f>
        <v>-1.34079566574561</v>
      </c>
      <c r="G113" s="136" t="n">
        <f aca="false">G107+G109+G110-G111-G112-G108-G97-G98-G102+G184-G190-G229-G265-G268-G274</f>
        <v>-2.59842512645504</v>
      </c>
      <c r="H113" s="136" t="n">
        <f aca="false">H107+H109+H110-H111-H112-H108-H97-H98-H102+H184-H190-H229-H265-H268-H274</f>
        <v>-3.25455423369384</v>
      </c>
      <c r="I113" s="136" t="n">
        <f aca="false">I107+I109+I110-I111-I112-I108-I97-I98-I102+I184-I190-I229-I265-I268-I274</f>
        <v>-3.53822714126028</v>
      </c>
      <c r="J113" s="136" t="n">
        <f aca="false">J107+J109+J110-J111-J112-J108-J97-J98-J102+J184-J190-J229-J265-J268-J274</f>
        <v>-3.48941539026654</v>
      </c>
      <c r="K113" s="136" t="n">
        <f aca="false">K107+K109+K110-K111-K112-K108-K97-K98-K102+K184-K190-K229-K265-K268-K274</f>
        <v>-2.32954652662307</v>
      </c>
      <c r="L113" s="136" t="n">
        <f aca="false">L107+L109+L110-L111-L112-L108-L97-L98-L102+L184-L190-L229-L265-L268-L274</f>
        <v>-1.14578954172105</v>
      </c>
      <c r="M113" s="136" t="n">
        <f aca="false">M107+M109+M110-M111-M112-M108-M97-M98-M102+M184-M190-M229-M265-M268-M274</f>
        <v>-0.00940876531358433</v>
      </c>
      <c r="N113" s="136" t="n">
        <f aca="false">N107+N109+N110-N111-N112-N108-N97-N98-N102+N184-N190-N229-N265-N268-N274</f>
        <v>0.159299740357036</v>
      </c>
      <c r="O113" s="136" t="n">
        <f aca="false">O107+O109+O110-O111-O112-O108-O97-O98-O102+O184-O190-O229-O265-O268-O274</f>
        <v>0.16460659690008</v>
      </c>
      <c r="P113" s="136" t="n">
        <f aca="false">P107+P109+P110-P111-P112-P108-P97-P98-P102+P184-P190-P229-P265-P268-P274</f>
        <v>0.22730059850114</v>
      </c>
      <c r="Q113" s="136" t="n">
        <f aca="false">Q107+Q109+Q110-Q111-Q112-Q108-Q97-Q98-Q102+Q184-Q190-Q229-Q265-Q268-Q274</f>
        <v>0.165846795921055</v>
      </c>
      <c r="R113" s="136" t="n">
        <f aca="false">R107+R109+R110-R111-R112-R108-R97-R98-R102+R184-R190-R229-R265-R268-R274</f>
        <v>0.0343356352075942</v>
      </c>
      <c r="S113" s="136" t="n">
        <f aca="false">S107+S109+S110-S111-S112-S108-S97-S98-S102+S184-S190-S229-S265-S268-S274</f>
        <v>-0.134471089513496</v>
      </c>
      <c r="T113" s="136" t="n">
        <f aca="false">T107+T109+T110-T111-T112-T108-T97-T98-T102+T184-T190-T229-T265-T268-T274</f>
        <v>-0.331021352008727</v>
      </c>
      <c r="U113" s="136" t="n">
        <f aca="false">U107+U109+U110-U111-U112-U108-U97-U98-U102+U184-U190-U229-U265-U268-U274</f>
        <v>-0.514577467020734</v>
      </c>
      <c r="V113" s="136" t="n">
        <f aca="false">V107+V109+V110-V111-V112-V108-V97-V98-V102+V184-V190-V229-V265-V268-V274</f>
        <v>-0.722571335880419</v>
      </c>
      <c r="W113" s="136" t="n">
        <f aca="false">W107+W109+W110-W111-W112-W108-W97-W98-W102+W184-W190-W229-W265-W268-W274</f>
        <v>-0.934945768277695</v>
      </c>
      <c r="X113" s="136" t="n">
        <f aca="false">X107+X109+X110-X111-X112-X108-X97-X98-X102+X184-X190-X229-X265-X268-X274</f>
        <v>-1.13715803196198</v>
      </c>
      <c r="Y113" s="136" t="n">
        <f aca="false">Y107+Y109+Y110-Y111-Y112-Y108-Y97-Y98-Y102+Y184-Y190-Y229-Y265-Y268-Y274</f>
        <v>-1.33625265692358</v>
      </c>
      <c r="Z113" s="136" t="n">
        <f aca="false">Z107+Z109+Z110-Z111-Z112-Z108-Z97-Z98-Z102+Z184-Z190-Z229-Z265-Z268-Z274</f>
        <v>-1.53081936214869</v>
      </c>
      <c r="AA113" s="136" t="n">
        <f aca="false">AA107+AA109+AA110-AA111-AA112-AA108-AA97-AA98-AA102+AA184-AA190-AA229-AA265-AA268-AA274</f>
        <v>-1.72032063402706</v>
      </c>
      <c r="AB113" s="136" t="n">
        <f aca="false">AB107+AB109+AB110-AB111-AB112-AB108-AB97-AB98-AB102+AB184-AB190-AB229-AB265-AB268-AB274</f>
        <v>-1.90497260246163</v>
      </c>
      <c r="AC113" s="136" t="n">
        <f aca="false">AC107+AC109+AC110-AC111-AC112-AC108-AC97-AC98-AC102+AC184-AC190-AC229-AC265-AC268-AC274</f>
        <v>-2.08496920287644</v>
      </c>
      <c r="AD113" s="136" t="n">
        <f aca="false">AD107+AD109+AD110-AD111-AD112-AD108-AD97-AD98-AD102+AD184-AD190-AD229-AD265-AD268-AD274</f>
        <v>-2.26048407052723</v>
      </c>
      <c r="AE113" s="136" t="n">
        <f aca="false">AE107+AE109+AE110-AE111-AE112-AE108-AE97-AE98-AE102+AE184-AE190-AE229-AE265-AE268-AE274</f>
        <v>-2.43167123564839</v>
      </c>
      <c r="AF113" s="136" t="n">
        <f aca="false">AF107+AF109+AF110-AF111-AF112-AF108-AF97-AF98-AF102+AF184-AF190-AF229-AF265-AF268-AF274</f>
        <v>-2.59866559962594</v>
      </c>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row>
    <row r="114" customFormat="false" ht="15" hidden="false" customHeight="true" outlineLevel="0" collapsed="false">
      <c r="B114" s="134" t="s">
        <v>1123</v>
      </c>
      <c r="C114" s="116" t="n">
        <f aca="false">0+C53+C56-C57+(C58-C65)+C113-C92+C94-C95-C103+C60-C245</f>
        <v>20.4731242506256</v>
      </c>
      <c r="D114" s="116" t="n">
        <f aca="false">C120+D53+D56-D57+(D58-D65)+D113-D92+D94-D95-D103+D60-D245</f>
        <v>40.2567103694436</v>
      </c>
      <c r="E114" s="116" t="n">
        <f aca="false">D120+E53+E56-E57+(E58-E65)+E113-E92+E94-E95-E103+E60-E245</f>
        <v>60.3812661966697</v>
      </c>
      <c r="F114" s="116" t="n">
        <f aca="false">E120+F53+F56-F57+(F58-F65)+F113-F92+F94-F95-F103+F60-F245</f>
        <v>75.0680610097753</v>
      </c>
      <c r="G114" s="116" t="n">
        <f aca="false">F120+G53+G56-G57+(G58-G65)+G113-G92+G94-G95-G103+G60-G245</f>
        <v>88.2474775601667</v>
      </c>
      <c r="H114" s="116" t="n">
        <f aca="false">G120+H53+H56-H57+(H58-H65)+H113-H92+H94-H95-H103+H60-H245</f>
        <v>100.637529290312</v>
      </c>
      <c r="I114" s="116" t="n">
        <f aca="false">H120+I53+I56-I57+(I58-I65)+I113-I92+I94-I95-I103+I60-I245</f>
        <v>112.882165270235</v>
      </c>
      <c r="J114" s="116" t="n">
        <f aca="false">I120+J53+J56-J57+(J58-J65)+J113-J92+J94-J95-J103+J60-J245</f>
        <v>125.329100790062</v>
      </c>
      <c r="K114" s="116" t="n">
        <f aca="false">J120+K53+K56-K57+(K58-K65)+K113-K92+K94-K95-K103+K60-K245</f>
        <v>139.246866499314</v>
      </c>
      <c r="L114" s="116" t="n">
        <f aca="false">K120+L53+L56-L57+(L58-L65)+L113-L92+L94-L95-L103+L60-L245</f>
        <v>154.639072794466</v>
      </c>
      <c r="M114" s="116" t="n">
        <f aca="false">L120+M53+M56-M57+(M58-M65)+M113-M92+M94-M95-M103+M60-M245</f>
        <v>153.294296791856</v>
      </c>
      <c r="N114" s="116" t="n">
        <f aca="false">M120+N53+N56-N57+(N58-N65)+N113-N92+N94-N95-N103+N60-N245</f>
        <v>154.536573776279</v>
      </c>
      <c r="O114" s="116" t="n">
        <f aca="false">N120+O53+O56-O57+(O58-O65)+O113-O92+O94-O95-O103+O60-O245</f>
        <v>157.46768855079</v>
      </c>
      <c r="P114" s="116" t="n">
        <f aca="false">O120+P53+P56-P57+(P58-P65)+P113-P92+P94-P95-P103+P60-P245</f>
        <v>159.139728077442</v>
      </c>
      <c r="Q114" s="116" t="n">
        <f aca="false">P120+Q53+Q56-Q57+(Q58-Q65)+Q113-Q92+Q94-Q95-Q103+Q60-Q245</f>
        <v>160.18929283179</v>
      </c>
      <c r="R114" s="116" t="n">
        <f aca="false">Q120+R53+R56-R57+(R58-R65)+R113-R92+R94-R95-R103+R60-R245</f>
        <v>161.2254274852</v>
      </c>
      <c r="S114" s="116" t="n">
        <f aca="false">R120+S53+S56-S57+(S58-S65)+S113-S92+S94-S95-S103+S60-S245</f>
        <v>162.278625262431</v>
      </c>
      <c r="T114" s="116" t="n">
        <f aca="false">S120+T53+T56-T57+(T58-T65)+T113-T92+T94-T95-T103+T60-T245</f>
        <v>163.219765571689</v>
      </c>
      <c r="U114" s="116" t="n">
        <f aca="false">T120+U53+U56-U57+(U58-U65)+U113-U92+U94-U95-U103+U60-U245</f>
        <v>164.019078678014</v>
      </c>
      <c r="V114" s="116" t="n">
        <f aca="false">U120+V53+V56-V57+(V58-V65)+V113-V92+V94-V95-V103+V60-V245</f>
        <v>164.801559283896</v>
      </c>
      <c r="W114" s="116" t="n">
        <f aca="false">V120+W53+W56-W57+(W58-W65)+W113-W92+W94-W95-W103+W60-W245</f>
        <v>165.452419859702</v>
      </c>
      <c r="X114" s="116" t="n">
        <f aca="false">W120+X53+X56-X57+(X58-X65)+X113-X92+X94-X95-X103+X60-X245</f>
        <v>165.877000467597</v>
      </c>
      <c r="Y114" s="116" t="n">
        <f aca="false">X120+Y53+Y56-Y57+(Y58-Y65)+Y113-Y92+Y94-Y95-Y103+Y60-Y245</f>
        <v>166.129990060813</v>
      </c>
      <c r="Z114" s="116" t="n">
        <f aca="false">Y120+Z53+Z56-Z57+(Z58-Z65)+Z113-Z92+Z94-Z95-Z103+Z60-Z245</f>
        <v>166.239882908578</v>
      </c>
      <c r="AA114" s="116" t="n">
        <f aca="false">Z120+AA53+AA56-AA57+(AA58-AA65)+AA113-AA92+AA94-AA95-AA103+AA60-AA245</f>
        <v>166.212981099003</v>
      </c>
      <c r="AB114" s="116" t="n">
        <f aca="false">AA120+AB53+AB56-AB57+(AB58-AB65)+AB113-AB92+AB94-AB95-AB103+AB60-AB245</f>
        <v>166.055358326216</v>
      </c>
      <c r="AC114" s="116" t="n">
        <f aca="false">AB120+AC53+AC56-AC57+(AC58-AC65)+AC113-AC92+AC94-AC95-AC103+AC60-AC245</f>
        <v>165.772903323935</v>
      </c>
      <c r="AD114" s="116" t="n">
        <f aca="false">AC120+AD53+AD56-AD57+(AD58-AD65)+AD113-AD92+AD94-AD95-AD103+AD60-AD245</f>
        <v>165.37134923104</v>
      </c>
      <c r="AE114" s="116" t="n">
        <f aca="false">AD120+AE53+AE56-AE57+(AE58-AE65)+AE113-AE92+AE94-AE95-AE103+AE60-AE245</f>
        <v>164.856305856152</v>
      </c>
      <c r="AF114" s="116" t="n">
        <f aca="false">AE120+AF53+AF56-AF57+(AF58-AF65)+AF113-AF92+AF94-AF95-AF103+AF60-AF245</f>
        <v>164.233279606156</v>
      </c>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row>
    <row r="115" customFormat="false" ht="15" hidden="false" customHeight="true" outlineLevel="0" collapsed="false">
      <c r="B115" s="134" t="s">
        <v>751</v>
      </c>
      <c r="C115" s="116" t="n">
        <f aca="false">IF(C113&gt;0,MIN(C113,01_Supuestos!$I$106*C81),0)</f>
        <v>0</v>
      </c>
      <c r="D115" s="116" t="n">
        <f aca="false">IF(D113&gt;0,MIN(D113,01_Supuestos!$I$106*D81),0)</f>
        <v>0</v>
      </c>
      <c r="E115" s="116" t="n">
        <f aca="false">IF(E113&gt;0,MIN(E113,01_Supuestos!$I$106*E81),0)</f>
        <v>0</v>
      </c>
      <c r="F115" s="116" t="n">
        <f aca="false">IF(F113&gt;0,MIN(F113,01_Supuestos!$I$106*F81),0)</f>
        <v>0</v>
      </c>
      <c r="G115" s="116" t="n">
        <f aca="false">IF(G113&gt;0,MIN(G113,01_Supuestos!$I$106*G81),0)</f>
        <v>0</v>
      </c>
      <c r="H115" s="116" t="n">
        <f aca="false">IF(H113&gt;0,MIN(H113,01_Supuestos!$I$106*H81),0)</f>
        <v>0</v>
      </c>
      <c r="I115" s="116" t="n">
        <f aca="false">IF(I113&gt;0,MIN(I113,01_Supuestos!$I$106*I81),0)</f>
        <v>0</v>
      </c>
      <c r="J115" s="116" t="n">
        <f aca="false">IF(J113&gt;0,MIN(J113,01_Supuestos!$I$106*J81),0)</f>
        <v>0</v>
      </c>
      <c r="K115" s="116" t="n">
        <f aca="false">IF(K113&gt;0,MIN(K113,01_Supuestos!$I$106*K81),0)</f>
        <v>0</v>
      </c>
      <c r="L115" s="116" t="n">
        <f aca="false">IF(L113&gt;0,MIN(L113,01_Supuestos!$I$106*L81),0)</f>
        <v>0</v>
      </c>
      <c r="M115" s="116" t="n">
        <f aca="false">IF(M113&gt;0,MIN(M113,01_Supuestos!$I$106*M81),0)</f>
        <v>0</v>
      </c>
      <c r="N115" s="116" t="n">
        <f aca="false">IF(N113&gt;0,MIN(N113,01_Supuestos!$I$106*N81),0)</f>
        <v>0.159299740357036</v>
      </c>
      <c r="O115" s="116" t="n">
        <f aca="false">IF(O113&gt;0,MIN(O113,01_Supuestos!$I$106*O81),0)</f>
        <v>0.16460659690008</v>
      </c>
      <c r="P115" s="116" t="n">
        <f aca="false">IF(P113&gt;0,MIN(P113,01_Supuestos!$I$106*P81),0)</f>
        <v>0.22730059850114</v>
      </c>
      <c r="Q115" s="116" t="n">
        <f aca="false">IF(Q113&gt;0,MIN(Q113,01_Supuestos!$I$106*Q81),0)</f>
        <v>0.165846795921055</v>
      </c>
      <c r="R115" s="116" t="n">
        <f aca="false">IF(R113&gt;0,MIN(R113,01_Supuestos!$I$106*R81),0)</f>
        <v>0.0343356352075942</v>
      </c>
      <c r="S115" s="116" t="n">
        <f aca="false">IF(S113&gt;0,MIN(S113,01_Supuestos!$I$106*S81),0)</f>
        <v>0</v>
      </c>
      <c r="T115" s="116" t="n">
        <f aca="false">IF(T113&gt;0,MIN(T113,01_Supuestos!$I$106*T81),0)</f>
        <v>0</v>
      </c>
      <c r="U115" s="116" t="n">
        <f aca="false">IF(U113&gt;0,MIN(U113,01_Supuestos!$I$106*U81),0)</f>
        <v>0</v>
      </c>
      <c r="V115" s="116" t="n">
        <f aca="false">IF(V113&gt;0,MIN(V113,01_Supuestos!$I$106*V81),0)</f>
        <v>0</v>
      </c>
      <c r="W115" s="116" t="n">
        <f aca="false">IF(W113&gt;0,MIN(W113,01_Supuestos!$I$106*W81),0)</f>
        <v>0</v>
      </c>
      <c r="X115" s="116" t="n">
        <f aca="false">IF(X113&gt;0,MIN(X113,01_Supuestos!$I$106*X81),0)</f>
        <v>0</v>
      </c>
      <c r="Y115" s="116" t="n">
        <f aca="false">IF(Y113&gt;0,MIN(Y113,01_Supuestos!$I$106*Y81),0)</f>
        <v>0</v>
      </c>
      <c r="Z115" s="116" t="n">
        <f aca="false">IF(Z113&gt;0,MIN(Z113,01_Supuestos!$I$106*Z81),0)</f>
        <v>0</v>
      </c>
      <c r="AA115" s="116" t="n">
        <f aca="false">IF(AA113&gt;0,MIN(AA113,01_Supuestos!$I$106*AA81),0)</f>
        <v>0</v>
      </c>
      <c r="AB115" s="116" t="n">
        <f aca="false">IF(AB113&gt;0,MIN(AB113,01_Supuestos!$I$106*AB81),0)</f>
        <v>0</v>
      </c>
      <c r="AC115" s="116" t="n">
        <f aca="false">IF(AC113&gt;0,MIN(AC113,01_Supuestos!$I$106*AC81),0)</f>
        <v>0</v>
      </c>
      <c r="AD115" s="116" t="n">
        <f aca="false">IF(AD113&gt;0,MIN(AD113,01_Supuestos!$I$106*AD81),0)</f>
        <v>0</v>
      </c>
      <c r="AE115" s="116" t="n">
        <f aca="false">IF(AE113&gt;0,MIN(AE113,01_Supuestos!$I$106*AE81),0)</f>
        <v>0</v>
      </c>
      <c r="AF115" s="116" t="n">
        <f aca="false">IF(AF113&gt;0,MIN(AF113,01_Supuestos!$I$106*AF81),0)</f>
        <v>0</v>
      </c>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row>
    <row r="116" customFormat="false" ht="15" hidden="false" customHeight="true" outlineLevel="0" collapsed="false">
      <c r="B116" s="134" t="s">
        <v>1124</v>
      </c>
      <c r="C116" s="116" t="n">
        <f aca="false">MAX(0,-(C114-C115))</f>
        <v>0</v>
      </c>
      <c r="D116" s="116" t="n">
        <f aca="false">MAX(0,-(D114-D115))</f>
        <v>0</v>
      </c>
      <c r="E116" s="116" t="n">
        <f aca="false">MAX(0,-(E114-E115))</f>
        <v>0</v>
      </c>
      <c r="F116" s="116" t="n">
        <f aca="false">MAX(0,-(F114-F115))</f>
        <v>0</v>
      </c>
      <c r="G116" s="116" t="n">
        <f aca="false">MAX(0,-(G114-G115))</f>
        <v>0</v>
      </c>
      <c r="H116" s="116" t="n">
        <f aca="false">MAX(0,-(H114-H115))</f>
        <v>0</v>
      </c>
      <c r="I116" s="116" t="n">
        <f aca="false">MAX(0,-(I114-I115))</f>
        <v>0</v>
      </c>
      <c r="J116" s="116" t="n">
        <f aca="false">MAX(0,-(J114-J115))</f>
        <v>0</v>
      </c>
      <c r="K116" s="116" t="n">
        <f aca="false">MAX(0,-(K114-K115))</f>
        <v>0</v>
      </c>
      <c r="L116" s="116" t="n">
        <f aca="false">MAX(0,-(L114-L115))</f>
        <v>0</v>
      </c>
      <c r="M116" s="116" t="n">
        <f aca="false">MAX(0,-(M114-M115))</f>
        <v>0</v>
      </c>
      <c r="N116" s="116" t="n">
        <f aca="false">MAX(0,-(N114-N115))</f>
        <v>0</v>
      </c>
      <c r="O116" s="116" t="n">
        <f aca="false">MAX(0,-(O114-O115))</f>
        <v>0</v>
      </c>
      <c r="P116" s="116" t="n">
        <f aca="false">MAX(0,-(P114-P115))</f>
        <v>0</v>
      </c>
      <c r="Q116" s="116" t="n">
        <f aca="false">MAX(0,-(Q114-Q115))</f>
        <v>0</v>
      </c>
      <c r="R116" s="116" t="n">
        <f aca="false">MAX(0,-(R114-R115))</f>
        <v>0</v>
      </c>
      <c r="S116" s="116" t="n">
        <f aca="false">MAX(0,-(S114-S115))</f>
        <v>0</v>
      </c>
      <c r="T116" s="116" t="n">
        <f aca="false">MAX(0,-(T114-T115))</f>
        <v>0</v>
      </c>
      <c r="U116" s="116" t="n">
        <f aca="false">MAX(0,-(U114-U115))</f>
        <v>0</v>
      </c>
      <c r="V116" s="116" t="n">
        <f aca="false">MAX(0,-(V114-V115))</f>
        <v>0</v>
      </c>
      <c r="W116" s="116" t="n">
        <f aca="false">MAX(0,-(W114-W115))</f>
        <v>0</v>
      </c>
      <c r="X116" s="116" t="n">
        <f aca="false">MAX(0,-(X114-X115))</f>
        <v>0</v>
      </c>
      <c r="Y116" s="116" t="n">
        <f aca="false">MAX(0,-(Y114-Y115))</f>
        <v>0</v>
      </c>
      <c r="Z116" s="116" t="n">
        <f aca="false">MAX(0,-(Z114-Z115))</f>
        <v>0</v>
      </c>
      <c r="AA116" s="116" t="n">
        <f aca="false">MAX(0,-(AA114-AA115))</f>
        <v>0</v>
      </c>
      <c r="AB116" s="116" t="n">
        <f aca="false">MAX(0,-(AB114-AB115))</f>
        <v>0</v>
      </c>
      <c r="AC116" s="116" t="n">
        <f aca="false">MAX(0,-(AC114-AC115))</f>
        <v>0</v>
      </c>
      <c r="AD116" s="116" t="n">
        <f aca="false">MAX(0,-(AD114-AD115))</f>
        <v>0</v>
      </c>
      <c r="AE116" s="116" t="n">
        <f aca="false">MAX(0,-(AE114-AE115))</f>
        <v>0</v>
      </c>
      <c r="AF116" s="116" t="n">
        <f aca="false">MAX(0,-(AF114-AF115))</f>
        <v>0</v>
      </c>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row>
    <row r="117" customFormat="false" ht="15" hidden="false" customHeight="true" outlineLevel="0" collapsed="false">
      <c r="B117" s="132" t="s">
        <v>1125</v>
      </c>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row>
    <row r="118" customFormat="false" ht="15" hidden="false" customHeight="true" outlineLevel="0" collapsed="false">
      <c r="B118" s="81" t="s">
        <v>1126</v>
      </c>
      <c r="C118" s="138" t="n">
        <f aca="false">IF($C$12="Apoyo",C116,0)</f>
        <v>0</v>
      </c>
      <c r="D118" s="138" t="n">
        <f aca="false">IF($C$12="Apoyo",D116,0)</f>
        <v>0</v>
      </c>
      <c r="E118" s="138" t="n">
        <f aca="false">IF($C$12="Apoyo",E116,0)</f>
        <v>0</v>
      </c>
      <c r="F118" s="138" t="n">
        <f aca="false">IF($C$12="Apoyo",F116,0)</f>
        <v>0</v>
      </c>
      <c r="G118" s="138" t="n">
        <f aca="false">IF($C$12="Apoyo",G116,0)</f>
        <v>0</v>
      </c>
      <c r="H118" s="138" t="n">
        <f aca="false">IF($C$12="Apoyo",H116,0)</f>
        <v>0</v>
      </c>
      <c r="I118" s="138" t="n">
        <f aca="false">IF($C$12="Apoyo",I116,0)</f>
        <v>0</v>
      </c>
      <c r="J118" s="138" t="n">
        <f aca="false">IF($C$12="Apoyo",J116,0)</f>
        <v>0</v>
      </c>
      <c r="K118" s="138" t="n">
        <f aca="false">IF($C$12="Apoyo",K116,0)</f>
        <v>0</v>
      </c>
      <c r="L118" s="138" t="n">
        <f aca="false">IF($C$12="Apoyo",L116,0)</f>
        <v>0</v>
      </c>
      <c r="M118" s="138" t="n">
        <f aca="false">IF($C$12="Apoyo",M116,0)</f>
        <v>0</v>
      </c>
      <c r="N118" s="138" t="n">
        <f aca="false">IF($C$12="Apoyo",N116,0)</f>
        <v>0</v>
      </c>
      <c r="O118" s="138" t="n">
        <f aca="false">IF($C$12="Apoyo",O116,0)</f>
        <v>0</v>
      </c>
      <c r="P118" s="138" t="n">
        <f aca="false">IF($C$12="Apoyo",P116,0)</f>
        <v>0</v>
      </c>
      <c r="Q118" s="138" t="n">
        <f aca="false">IF($C$12="Apoyo",Q116,0)</f>
        <v>0</v>
      </c>
      <c r="R118" s="138" t="n">
        <f aca="false">IF($C$12="Apoyo",R116,0)</f>
        <v>0</v>
      </c>
      <c r="S118" s="138" t="n">
        <f aca="false">IF($C$12="Apoyo",S116,0)</f>
        <v>0</v>
      </c>
      <c r="T118" s="138" t="n">
        <f aca="false">IF($C$12="Apoyo",T116,0)</f>
        <v>0</v>
      </c>
      <c r="U118" s="138" t="n">
        <f aca="false">IF($C$12="Apoyo",U116,0)</f>
        <v>0</v>
      </c>
      <c r="V118" s="138" t="n">
        <f aca="false">IF($C$12="Apoyo",V116,0)</f>
        <v>0</v>
      </c>
      <c r="W118" s="138" t="n">
        <f aca="false">IF($C$12="Apoyo",W116,0)</f>
        <v>0</v>
      </c>
      <c r="X118" s="138" t="n">
        <f aca="false">IF($C$12="Apoyo",X116,0)</f>
        <v>0</v>
      </c>
      <c r="Y118" s="138" t="n">
        <f aca="false">IF($C$12="Apoyo",Y116,0)</f>
        <v>0</v>
      </c>
      <c r="Z118" s="138" t="n">
        <f aca="false">IF($C$12="Apoyo",Z116,0)</f>
        <v>0</v>
      </c>
      <c r="AA118" s="138" t="n">
        <f aca="false">IF($C$12="Apoyo",AA116,0)</f>
        <v>0</v>
      </c>
      <c r="AB118" s="138" t="n">
        <f aca="false">IF($C$12="Apoyo",AB116,0)</f>
        <v>0</v>
      </c>
      <c r="AC118" s="138" t="n">
        <f aca="false">IF($C$12="Apoyo",AC116,0)</f>
        <v>0</v>
      </c>
      <c r="AD118" s="138" t="n">
        <f aca="false">IF($C$12="Apoyo",AD116,0)</f>
        <v>0</v>
      </c>
      <c r="AE118" s="138" t="n">
        <f aca="false">IF($C$12="Apoyo",AE116,0)</f>
        <v>0</v>
      </c>
      <c r="AF118" s="138" t="n">
        <f aca="false">IF($C$12="Apoyo",AF116,0)</f>
        <v>0</v>
      </c>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row>
    <row r="119" customFormat="false" ht="15" hidden="false" customHeight="true" outlineLevel="0" collapsed="false">
      <c r="B119" s="134" t="s">
        <v>1127</v>
      </c>
      <c r="C119" s="116" t="n">
        <f aca="false">IF($C$12="Reducir",MIN(C116,C111),0)</f>
        <v>0</v>
      </c>
      <c r="D119" s="116" t="n">
        <f aca="false">IF($C$12="Reducir",MIN(D116,D111),0)</f>
        <v>0</v>
      </c>
      <c r="E119" s="116" t="n">
        <f aca="false">IF($C$12="Reducir",MIN(E116,E111),0)</f>
        <v>0</v>
      </c>
      <c r="F119" s="116" t="n">
        <f aca="false">IF($C$12="Reducir",MIN(F116,F111),0)</f>
        <v>0</v>
      </c>
      <c r="G119" s="116" t="n">
        <f aca="false">IF($C$12="Reducir",MIN(G116,G111),0)</f>
        <v>0</v>
      </c>
      <c r="H119" s="116" t="n">
        <f aca="false">IF($C$12="Reducir",MIN(H116,H111),0)</f>
        <v>0</v>
      </c>
      <c r="I119" s="116" t="n">
        <f aca="false">IF($C$12="Reducir",MIN(I116,I111),0)</f>
        <v>0</v>
      </c>
      <c r="J119" s="116" t="n">
        <f aca="false">IF($C$12="Reducir",MIN(J116,J111),0)</f>
        <v>0</v>
      </c>
      <c r="K119" s="116" t="n">
        <f aca="false">IF($C$12="Reducir",MIN(K116,K111),0)</f>
        <v>0</v>
      </c>
      <c r="L119" s="116" t="n">
        <f aca="false">IF($C$12="Reducir",MIN(L116,L111),0)</f>
        <v>0</v>
      </c>
      <c r="M119" s="116" t="n">
        <f aca="false">IF($C$12="Reducir",MIN(M116,M111),0)</f>
        <v>0</v>
      </c>
      <c r="N119" s="116" t="n">
        <f aca="false">IF($C$12="Reducir",MIN(N116,N111),0)</f>
        <v>0</v>
      </c>
      <c r="O119" s="116" t="n">
        <f aca="false">IF($C$12="Reducir",MIN(O116,O111),0)</f>
        <v>0</v>
      </c>
      <c r="P119" s="116" t="n">
        <f aca="false">IF($C$12="Reducir",MIN(P116,P111),0)</f>
        <v>0</v>
      </c>
      <c r="Q119" s="116" t="n">
        <f aca="false">IF($C$12="Reducir",MIN(Q116,Q111),0)</f>
        <v>0</v>
      </c>
      <c r="R119" s="116" t="n">
        <f aca="false">IF($C$12="Reducir",MIN(R116,R111),0)</f>
        <v>0</v>
      </c>
      <c r="S119" s="116" t="n">
        <f aca="false">IF($C$12="Reducir",MIN(S116,S111),0)</f>
        <v>0</v>
      </c>
      <c r="T119" s="116" t="n">
        <f aca="false">IF($C$12="Reducir",MIN(T116,T111),0)</f>
        <v>0</v>
      </c>
      <c r="U119" s="116" t="n">
        <f aca="false">IF($C$12="Reducir",MIN(U116,U111),0)</f>
        <v>0</v>
      </c>
      <c r="V119" s="116" t="n">
        <f aca="false">IF($C$12="Reducir",MIN(V116,V111),0)</f>
        <v>0</v>
      </c>
      <c r="W119" s="116" t="n">
        <f aca="false">IF($C$12="Reducir",MIN(W116,W111),0)</f>
        <v>0</v>
      </c>
      <c r="X119" s="116" t="n">
        <f aca="false">IF($C$12="Reducir",MIN(X116,X111),0)</f>
        <v>0</v>
      </c>
      <c r="Y119" s="116" t="n">
        <f aca="false">IF($C$12="Reducir",MIN(Y116,Y111),0)</f>
        <v>0</v>
      </c>
      <c r="Z119" s="116" t="n">
        <f aca="false">IF($C$12="Reducir",MIN(Z116,Z111),0)</f>
        <v>0</v>
      </c>
      <c r="AA119" s="116" t="n">
        <f aca="false">IF($C$12="Reducir",MIN(AA116,AA111),0)</f>
        <v>0</v>
      </c>
      <c r="AB119" s="116" t="n">
        <f aca="false">IF($C$12="Reducir",MIN(AB116,AB111),0)</f>
        <v>0</v>
      </c>
      <c r="AC119" s="116" t="n">
        <f aca="false">IF($C$12="Reducir",MIN(AC116,AC111),0)</f>
        <v>0</v>
      </c>
      <c r="AD119" s="116" t="n">
        <f aca="false">IF($C$12="Reducir",MIN(AD116,AD111),0)</f>
        <v>0</v>
      </c>
      <c r="AE119" s="116" t="n">
        <f aca="false">IF($C$12="Reducir",MIN(AE116,AE111),0)</f>
        <v>0</v>
      </c>
      <c r="AF119" s="116" t="n">
        <f aca="false">IF($C$12="Reducir",MIN(AF116,AF111),0)</f>
        <v>0</v>
      </c>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row>
    <row r="120" customFormat="false" ht="15" hidden="false" customHeight="true" outlineLevel="0" collapsed="false">
      <c r="B120" s="81" t="s">
        <v>1128</v>
      </c>
      <c r="C120" s="136" t="n">
        <f aca="false">C114-C115+C118+C119</f>
        <v>20.4731242506256</v>
      </c>
      <c r="D120" s="136" t="n">
        <f aca="false">D114-D115+D118+D119</f>
        <v>40.2567103694436</v>
      </c>
      <c r="E120" s="136" t="n">
        <f aca="false">E114-E115+E118+E119</f>
        <v>60.3812661966697</v>
      </c>
      <c r="F120" s="136" t="n">
        <f aca="false">F114-F115+F118+F119</f>
        <v>75.0680610097753</v>
      </c>
      <c r="G120" s="136" t="n">
        <f aca="false">G114-G115+G118+G119</f>
        <v>88.2474775601667</v>
      </c>
      <c r="H120" s="136" t="n">
        <f aca="false">H114-H115+H118+H119</f>
        <v>100.637529290312</v>
      </c>
      <c r="I120" s="136" t="n">
        <f aca="false">I114-I115+I118+I119</f>
        <v>112.882165270235</v>
      </c>
      <c r="J120" s="136" t="n">
        <f aca="false">J114-J115+J118+J119</f>
        <v>125.329100790062</v>
      </c>
      <c r="K120" s="136" t="n">
        <f aca="false">K114-K115+K118+K119</f>
        <v>139.246866499314</v>
      </c>
      <c r="L120" s="136" t="n">
        <f aca="false">L114-L115+L118+L119</f>
        <v>154.639072794466</v>
      </c>
      <c r="M120" s="136" t="n">
        <f aca="false">M114-M115+M118+M119</f>
        <v>153.294296791856</v>
      </c>
      <c r="N120" s="136" t="n">
        <f aca="false">N114-N115+N118+N119</f>
        <v>154.377274035922</v>
      </c>
      <c r="O120" s="136" t="n">
        <f aca="false">O114-O115+O118+O119</f>
        <v>157.303081953889</v>
      </c>
      <c r="P120" s="136" t="n">
        <f aca="false">P114-P115+P118+P119</f>
        <v>158.912427478941</v>
      </c>
      <c r="Q120" s="136" t="n">
        <f aca="false">Q114-Q115+Q118+Q119</f>
        <v>160.023446035868</v>
      </c>
      <c r="R120" s="136" t="n">
        <f aca="false">R114-R115+R118+R119</f>
        <v>161.191091849992</v>
      </c>
      <c r="S120" s="136" t="n">
        <f aca="false">S114-S115+S118+S119</f>
        <v>162.278625262431</v>
      </c>
      <c r="T120" s="136" t="n">
        <f aca="false">T114-T115+T118+T119</f>
        <v>163.219765571689</v>
      </c>
      <c r="U120" s="136" t="n">
        <f aca="false">U114-U115+U118+U119</f>
        <v>164.019078678014</v>
      </c>
      <c r="V120" s="136" t="n">
        <f aca="false">V114-V115+V118+V119</f>
        <v>164.801559283896</v>
      </c>
      <c r="W120" s="136" t="n">
        <f aca="false">W114-W115+W118+W119</f>
        <v>165.452419859702</v>
      </c>
      <c r="X120" s="136" t="n">
        <f aca="false">X114-X115+X118+X119</f>
        <v>165.877000467597</v>
      </c>
      <c r="Y120" s="136" t="n">
        <f aca="false">Y114-Y115+Y118+Y119</f>
        <v>166.129990060813</v>
      </c>
      <c r="Z120" s="136" t="n">
        <f aca="false">Z114-Z115+Z118+Z119</f>
        <v>166.239882908578</v>
      </c>
      <c r="AA120" s="136" t="n">
        <f aca="false">AA114-AA115+AA118+AA119</f>
        <v>166.212981099003</v>
      </c>
      <c r="AB120" s="136" t="n">
        <f aca="false">AB114-AB115+AB118+AB119</f>
        <v>166.055358326216</v>
      </c>
      <c r="AC120" s="136" t="n">
        <f aca="false">AC114-AC115+AC118+AC119</f>
        <v>165.772903323935</v>
      </c>
      <c r="AD120" s="136" t="n">
        <f aca="false">AD114-AD115+AD118+AD119</f>
        <v>165.37134923104</v>
      </c>
      <c r="AE120" s="136" t="n">
        <f aca="false">AE114-AE115+AE118+AE119</f>
        <v>164.856305856152</v>
      </c>
      <c r="AF120" s="136" t="n">
        <f aca="false">AF114-AF115+AF118+AF119</f>
        <v>164.233279606156</v>
      </c>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row>
    <row r="121" customFormat="false" ht="15" hidden="false" customHeight="true" outlineLevel="0" collapsed="false">
      <c r="B121" s="134" t="s">
        <v>1129</v>
      </c>
      <c r="C121" s="116" t="n">
        <f aca="false">0+C115</f>
        <v>0</v>
      </c>
      <c r="D121" s="116" t="n">
        <f aca="false">C121+D115</f>
        <v>0</v>
      </c>
      <c r="E121" s="116" t="n">
        <f aca="false">D121+E115</f>
        <v>0</v>
      </c>
      <c r="F121" s="116" t="n">
        <f aca="false">E121+F115</f>
        <v>0</v>
      </c>
      <c r="G121" s="116" t="n">
        <f aca="false">F121+G115</f>
        <v>0</v>
      </c>
      <c r="H121" s="116" t="n">
        <f aca="false">G121+H115</f>
        <v>0</v>
      </c>
      <c r="I121" s="116" t="n">
        <f aca="false">H121+I115</f>
        <v>0</v>
      </c>
      <c r="J121" s="116" t="n">
        <f aca="false">I121+J115</f>
        <v>0</v>
      </c>
      <c r="K121" s="116" t="n">
        <f aca="false">J121+K115</f>
        <v>0</v>
      </c>
      <c r="L121" s="116" t="n">
        <f aca="false">K121+L115</f>
        <v>0</v>
      </c>
      <c r="M121" s="116" t="n">
        <f aca="false">L121+M115</f>
        <v>0</v>
      </c>
      <c r="N121" s="116" t="n">
        <f aca="false">M121+N115</f>
        <v>0.159299740357036</v>
      </c>
      <c r="O121" s="116" t="n">
        <f aca="false">N121+O115</f>
        <v>0.323906337257116</v>
      </c>
      <c r="P121" s="116" t="n">
        <f aca="false">O121+P115</f>
        <v>0.551206935758257</v>
      </c>
      <c r="Q121" s="116" t="n">
        <f aca="false">P121+Q115</f>
        <v>0.717053731679312</v>
      </c>
      <c r="R121" s="116" t="n">
        <f aca="false">Q121+R115</f>
        <v>0.751389366886906</v>
      </c>
      <c r="S121" s="116" t="n">
        <f aca="false">R121+S115</f>
        <v>0.751389366886906</v>
      </c>
      <c r="T121" s="116" t="n">
        <f aca="false">S121+T115</f>
        <v>0.751389366886906</v>
      </c>
      <c r="U121" s="116" t="n">
        <f aca="false">T121+U115</f>
        <v>0.751389366886906</v>
      </c>
      <c r="V121" s="116" t="n">
        <f aca="false">U121+V115</f>
        <v>0.751389366886906</v>
      </c>
      <c r="W121" s="116" t="n">
        <f aca="false">V121+W115</f>
        <v>0.751389366886906</v>
      </c>
      <c r="X121" s="116" t="n">
        <f aca="false">W121+X115</f>
        <v>0.751389366886906</v>
      </c>
      <c r="Y121" s="116" t="n">
        <f aca="false">X121+Y115</f>
        <v>0.751389366886906</v>
      </c>
      <c r="Z121" s="116" t="n">
        <f aca="false">Y121+Z115</f>
        <v>0.751389366886906</v>
      </c>
      <c r="AA121" s="116" t="n">
        <f aca="false">Z121+AA115</f>
        <v>0.751389366886906</v>
      </c>
      <c r="AB121" s="116" t="n">
        <f aca="false">AA121+AB115</f>
        <v>0.751389366886906</v>
      </c>
      <c r="AC121" s="116" t="n">
        <f aca="false">AB121+AC115</f>
        <v>0.751389366886906</v>
      </c>
      <c r="AD121" s="116" t="n">
        <f aca="false">AC121+AD115</f>
        <v>0.751389366886906</v>
      </c>
      <c r="AE121" s="116" t="n">
        <f aca="false">AD121+AE115</f>
        <v>0.751389366886906</v>
      </c>
      <c r="AF121" s="116" t="n">
        <f aca="false">AE121+AF115</f>
        <v>0.751389366886906</v>
      </c>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row>
    <row r="122" customFormat="false" ht="15" hidden="false" customHeight="true" outlineLevel="0" collapsed="false">
      <c r="B122" s="134" t="s">
        <v>1130</v>
      </c>
      <c r="C122" s="87" t="n">
        <f aca="false">C276/(C81+C115)</f>
        <v>1.70882277048631</v>
      </c>
      <c r="D122" s="87" t="n">
        <f aca="false">D276/(D81+D115)</f>
        <v>1.26403338544301</v>
      </c>
      <c r="E122" s="87" t="n">
        <f aca="false">E276/(E81+E115)</f>
        <v>1.02719526668934</v>
      </c>
      <c r="F122" s="87" t="n">
        <f aca="false">F276/(F81+F115)</f>
        <v>0.638115481680656</v>
      </c>
      <c r="G122" s="87" t="n">
        <f aca="false">G276/(G81+G115)</f>
        <v>0.496351521350715</v>
      </c>
      <c r="H122" s="87" t="n">
        <f aca="false">H276/(H81+H115)</f>
        <v>0.44234125491047</v>
      </c>
      <c r="I122" s="87" t="n">
        <f aca="false">I276/(I81+I115)</f>
        <v>0.416531298146863</v>
      </c>
      <c r="J122" s="87" t="n">
        <f aca="false">J276/(J81+J115)</f>
        <v>0.405440965158336</v>
      </c>
      <c r="K122" s="87" t="n">
        <f aca="false">K276/(K81+K115)</f>
        <v>0.432841988021141</v>
      </c>
      <c r="L122" s="87" t="n">
        <f aca="false">L276/(L81+L115)</f>
        <v>0.462576355876589</v>
      </c>
      <c r="M122" s="87" t="n">
        <f aca="false">M276/(M81+M115)</f>
        <v>0.442200704686362</v>
      </c>
      <c r="N122" s="87" t="n">
        <f aca="false">N276/(N81+N115)</f>
        <v>0.430364547925998</v>
      </c>
      <c r="O122" s="87" t="n">
        <f aca="false">O276/(O81+O115)</f>
        <v>0.425034918654334</v>
      </c>
      <c r="P122" s="87" t="n">
        <f aca="false">P276/(P81+P115)</f>
        <v>0.417853785770234</v>
      </c>
      <c r="Q122" s="87" t="n">
        <f aca="false">Q276/(Q81+Q115)</f>
        <v>0.411134974926555</v>
      </c>
      <c r="R122" s="87" t="n">
        <f aca="false">R276/(R81+R115)</f>
        <v>0.405960070060088</v>
      </c>
      <c r="S122" s="87" t="n">
        <f aca="false">S276/(S81+S115)</f>
        <v>0.401529813139093</v>
      </c>
      <c r="T122" s="87" t="n">
        <f aca="false">T276/(T81+T115)</f>
        <v>0.397394619505785</v>
      </c>
      <c r="U122" s="87" t="n">
        <f aca="false">U276/(U81+U115)</f>
        <v>0.393016979323532</v>
      </c>
      <c r="V122" s="87" t="n">
        <f aca="false">V276/(V81+V115)</f>
        <v>0.388707704169823</v>
      </c>
      <c r="W122" s="87" t="n">
        <f aca="false">W276/(W81+W115)</f>
        <v>0.384329487355894</v>
      </c>
      <c r="X122" s="87" t="n">
        <f aca="false">X276/(X81+X115)</f>
        <v>0.379668516618056</v>
      </c>
      <c r="Y122" s="87" t="n">
        <f aca="false">Y276/(Y81+Y115)</f>
        <v>0.374859820341698</v>
      </c>
      <c r="Z122" s="87" t="n">
        <f aca="false">Z276/(Z81+Z115)</f>
        <v>0.369972098161379</v>
      </c>
      <c r="AA122" s="87" t="n">
        <f aca="false">AA276/(AA81+AA115)</f>
        <v>0.365021263186712</v>
      </c>
      <c r="AB122" s="87" t="n">
        <f aca="false">AB276/(AB81+AB115)</f>
        <v>0.360018962986643</v>
      </c>
      <c r="AC122" s="87" t="n">
        <f aca="false">AC276/(AC81+AC115)</f>
        <v>0.354975747979762</v>
      </c>
      <c r="AD122" s="87" t="n">
        <f aca="false">AD276/(AD81+AD115)</f>
        <v>0.349901232031672</v>
      </c>
      <c r="AE122" s="87" t="n">
        <f aca="false">AE276/(AE81+AE115)</f>
        <v>0.344804243577821</v>
      </c>
      <c r="AF122" s="87" t="n">
        <f aca="false">AF276/(AF81+AF115)</f>
        <v>0.339692937394726</v>
      </c>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row>
    <row r="123" customFormat="false" ht="15" hidden="false" customHeight="true" outlineLevel="0" collapsed="false">
      <c r="B123" s="134" t="s">
        <v>1131</v>
      </c>
      <c r="C123" s="116" t="str">
        <f aca="false">IF(C122&gt;=01_Supuestos!$I$138,"Verde",IF(C122&gt;=0.1,"Amarillo","Rojo"))</f>
        <v>Verde</v>
      </c>
      <c r="D123" s="116" t="str">
        <f aca="false">IF(D122&gt;=01_Supuestos!$I$138,"Verde",IF(D122&gt;=0.1,"Amarillo","Rojo"))</f>
        <v>Verde</v>
      </c>
      <c r="E123" s="116" t="str">
        <f aca="false">IF(E122&gt;=01_Supuestos!$I$138,"Verde",IF(E122&gt;=0.1,"Amarillo","Rojo"))</f>
        <v>Verde</v>
      </c>
      <c r="F123" s="116" t="str">
        <f aca="false">IF(F122&gt;=01_Supuestos!$I$138,"Verde",IF(F122&gt;=0.1,"Amarillo","Rojo"))</f>
        <v>Verde</v>
      </c>
      <c r="G123" s="116" t="str">
        <f aca="false">IF(G122&gt;=01_Supuestos!$I$138,"Verde",IF(G122&gt;=0.1,"Amarillo","Rojo"))</f>
        <v>Verde</v>
      </c>
      <c r="H123" s="116" t="str">
        <f aca="false">IF(H122&gt;=01_Supuestos!$I$138,"Verde",IF(H122&gt;=0.1,"Amarillo","Rojo"))</f>
        <v>Verde</v>
      </c>
      <c r="I123" s="116" t="str">
        <f aca="false">IF(I122&gt;=01_Supuestos!$I$138,"Verde",IF(I122&gt;=0.1,"Amarillo","Rojo"))</f>
        <v>Verde</v>
      </c>
      <c r="J123" s="116" t="str">
        <f aca="false">IF(J122&gt;=01_Supuestos!$I$138,"Verde",IF(J122&gt;=0.1,"Amarillo","Rojo"))</f>
        <v>Verde</v>
      </c>
      <c r="K123" s="116" t="str">
        <f aca="false">IF(K122&gt;=01_Supuestos!$I$138,"Verde",IF(K122&gt;=0.1,"Amarillo","Rojo"))</f>
        <v>Verde</v>
      </c>
      <c r="L123" s="116" t="str">
        <f aca="false">IF(L122&gt;=01_Supuestos!$I$138,"Verde",IF(L122&gt;=0.1,"Amarillo","Rojo"))</f>
        <v>Verde</v>
      </c>
      <c r="M123" s="116" t="str">
        <f aca="false">IF(M122&gt;=01_Supuestos!$I$138,"Verde",IF(M122&gt;=0.1,"Amarillo","Rojo"))</f>
        <v>Verde</v>
      </c>
      <c r="N123" s="116" t="str">
        <f aca="false">IF(N122&gt;=01_Supuestos!$I$138,"Verde",IF(N122&gt;=0.1,"Amarillo","Rojo"))</f>
        <v>Verde</v>
      </c>
      <c r="O123" s="116" t="str">
        <f aca="false">IF(O122&gt;=01_Supuestos!$I$138,"Verde",IF(O122&gt;=0.1,"Amarillo","Rojo"))</f>
        <v>Verde</v>
      </c>
      <c r="P123" s="116" t="str">
        <f aca="false">IF(P122&gt;=01_Supuestos!$I$138,"Verde",IF(P122&gt;=0.1,"Amarillo","Rojo"))</f>
        <v>Verde</v>
      </c>
      <c r="Q123" s="116" t="str">
        <f aca="false">IF(Q122&gt;=01_Supuestos!$I$138,"Verde",IF(Q122&gt;=0.1,"Amarillo","Rojo"))</f>
        <v>Verde</v>
      </c>
      <c r="R123" s="116" t="str">
        <f aca="false">IF(R122&gt;=01_Supuestos!$I$138,"Verde",IF(R122&gt;=0.1,"Amarillo","Rojo"))</f>
        <v>Verde</v>
      </c>
      <c r="S123" s="116" t="str">
        <f aca="false">IF(S122&gt;=01_Supuestos!$I$138,"Verde",IF(S122&gt;=0.1,"Amarillo","Rojo"))</f>
        <v>Verde</v>
      </c>
      <c r="T123" s="116" t="str">
        <f aca="false">IF(T122&gt;=01_Supuestos!$I$138,"Verde",IF(T122&gt;=0.1,"Amarillo","Rojo"))</f>
        <v>Verde</v>
      </c>
      <c r="U123" s="116" t="str">
        <f aca="false">IF(U122&gt;=01_Supuestos!$I$138,"Verde",IF(U122&gt;=0.1,"Amarillo","Rojo"))</f>
        <v>Verde</v>
      </c>
      <c r="V123" s="116" t="str">
        <f aca="false">IF(V122&gt;=01_Supuestos!$I$138,"Verde",IF(V122&gt;=0.1,"Amarillo","Rojo"))</f>
        <v>Verde</v>
      </c>
      <c r="W123" s="116" t="str">
        <f aca="false">IF(W122&gt;=01_Supuestos!$I$138,"Verde",IF(W122&gt;=0.1,"Amarillo","Rojo"))</f>
        <v>Verde</v>
      </c>
      <c r="X123" s="116" t="str">
        <f aca="false">IF(X122&gt;=01_Supuestos!$I$138,"Verde",IF(X122&gt;=0.1,"Amarillo","Rojo"))</f>
        <v>Verde</v>
      </c>
      <c r="Y123" s="116" t="str">
        <f aca="false">IF(Y122&gt;=01_Supuestos!$I$138,"Verde",IF(Y122&gt;=0.1,"Amarillo","Rojo"))</f>
        <v>Verde</v>
      </c>
      <c r="Z123" s="116" t="str">
        <f aca="false">IF(Z122&gt;=01_Supuestos!$I$138,"Verde",IF(Z122&gt;=0.1,"Amarillo","Rojo"))</f>
        <v>Verde</v>
      </c>
      <c r="AA123" s="116" t="str">
        <f aca="false">IF(AA122&gt;=01_Supuestos!$I$138,"Verde",IF(AA122&gt;=0.1,"Amarillo","Rojo"))</f>
        <v>Verde</v>
      </c>
      <c r="AB123" s="116" t="str">
        <f aca="false">IF(AB122&gt;=01_Supuestos!$I$138,"Verde",IF(AB122&gt;=0.1,"Amarillo","Rojo"))</f>
        <v>Verde</v>
      </c>
      <c r="AC123" s="116" t="str">
        <f aca="false">IF(AC122&gt;=01_Supuestos!$I$138,"Verde",IF(AC122&gt;=0.1,"Amarillo","Rojo"))</f>
        <v>Verde</v>
      </c>
      <c r="AD123" s="116" t="str">
        <f aca="false">IF(AD122&gt;=01_Supuestos!$I$138,"Verde",IF(AD122&gt;=0.1,"Amarillo","Rojo"))</f>
        <v>Verde</v>
      </c>
      <c r="AE123" s="116" t="str">
        <f aca="false">IF(AE122&gt;=01_Supuestos!$I$138,"Verde",IF(AE122&gt;=0.1,"Amarillo","Rojo"))</f>
        <v>Verde</v>
      </c>
      <c r="AF123" s="116" t="str">
        <f aca="false">IF(AF122&gt;=01_Supuestos!$I$138,"Verde",IF(AF122&gt;=0.1,"Amarillo","Rojo"))</f>
        <v>Verde</v>
      </c>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row>
    <row r="124" customFormat="false" ht="15" hidden="false" customHeight="true" outlineLevel="0" collapsed="false">
      <c r="B124" s="81" t="s">
        <v>1132</v>
      </c>
      <c r="C124" s="136" t="n">
        <f aca="false">0+C118</f>
        <v>0</v>
      </c>
      <c r="D124" s="136" t="n">
        <f aca="false">C124+D118</f>
        <v>0</v>
      </c>
      <c r="E124" s="136" t="n">
        <f aca="false">D124+E118</f>
        <v>0</v>
      </c>
      <c r="F124" s="136" t="n">
        <f aca="false">E124+F118</f>
        <v>0</v>
      </c>
      <c r="G124" s="136" t="n">
        <f aca="false">F124+G118</f>
        <v>0</v>
      </c>
      <c r="H124" s="136" t="n">
        <f aca="false">G124+H118</f>
        <v>0</v>
      </c>
      <c r="I124" s="136" t="n">
        <f aca="false">H124+I118</f>
        <v>0</v>
      </c>
      <c r="J124" s="136" t="n">
        <f aca="false">I124+J118</f>
        <v>0</v>
      </c>
      <c r="K124" s="136" t="n">
        <f aca="false">J124+K118</f>
        <v>0</v>
      </c>
      <c r="L124" s="136" t="n">
        <f aca="false">K124+L118</f>
        <v>0</v>
      </c>
      <c r="M124" s="136" t="n">
        <f aca="false">L124+M118</f>
        <v>0</v>
      </c>
      <c r="N124" s="136" t="n">
        <f aca="false">M124+N118</f>
        <v>0</v>
      </c>
      <c r="O124" s="136" t="n">
        <f aca="false">N124+O118</f>
        <v>0</v>
      </c>
      <c r="P124" s="136" t="n">
        <f aca="false">O124+P118</f>
        <v>0</v>
      </c>
      <c r="Q124" s="136" t="n">
        <f aca="false">P124+Q118</f>
        <v>0</v>
      </c>
      <c r="R124" s="136" t="n">
        <f aca="false">Q124+R118</f>
        <v>0</v>
      </c>
      <c r="S124" s="136" t="n">
        <f aca="false">R124+S118</f>
        <v>0</v>
      </c>
      <c r="T124" s="136" t="n">
        <f aca="false">S124+T118</f>
        <v>0</v>
      </c>
      <c r="U124" s="136" t="n">
        <f aca="false">T124+U118</f>
        <v>0</v>
      </c>
      <c r="V124" s="136" t="n">
        <f aca="false">U124+V118</f>
        <v>0</v>
      </c>
      <c r="W124" s="136" t="n">
        <f aca="false">V124+W118</f>
        <v>0</v>
      </c>
      <c r="X124" s="136" t="n">
        <f aca="false">W124+X118</f>
        <v>0</v>
      </c>
      <c r="Y124" s="136" t="n">
        <f aca="false">X124+Y118</f>
        <v>0</v>
      </c>
      <c r="Z124" s="136" t="n">
        <f aca="false">Y124+Z118</f>
        <v>0</v>
      </c>
      <c r="AA124" s="136" t="n">
        <f aca="false">Z124+AA118</f>
        <v>0</v>
      </c>
      <c r="AB124" s="136" t="n">
        <f aca="false">AA124+AB118</f>
        <v>0</v>
      </c>
      <c r="AC124" s="136" t="n">
        <f aca="false">AB124+AC118</f>
        <v>0</v>
      </c>
      <c r="AD124" s="136" t="n">
        <f aca="false">AC124+AD118</f>
        <v>0</v>
      </c>
      <c r="AE124" s="136" t="n">
        <f aca="false">AD124+AE118</f>
        <v>0</v>
      </c>
      <c r="AF124" s="136" t="n">
        <f aca="false">AE124+AF118</f>
        <v>0</v>
      </c>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row>
    <row r="125" customFormat="false" ht="15" hidden="false" customHeight="true" outlineLevel="0" collapsed="false">
      <c r="B125" s="134" t="s">
        <v>1133</v>
      </c>
      <c r="C125" s="139" t="n">
        <f aca="false">IF(C118&gt;0.000001,C$39,999)</f>
        <v>999</v>
      </c>
      <c r="D125" s="139" t="n">
        <f aca="false">IF(D118&gt;0.000001,D$39,999)</f>
        <v>999</v>
      </c>
      <c r="E125" s="139" t="n">
        <f aca="false">IF(E118&gt;0.000001,E$39,999)</f>
        <v>999</v>
      </c>
      <c r="F125" s="139" t="n">
        <f aca="false">IF(F118&gt;0.000001,F$39,999)</f>
        <v>999</v>
      </c>
      <c r="G125" s="139" t="n">
        <f aca="false">IF(G118&gt;0.000001,G$39,999)</f>
        <v>999</v>
      </c>
      <c r="H125" s="139" t="n">
        <f aca="false">IF(H118&gt;0.000001,H$39,999)</f>
        <v>999</v>
      </c>
      <c r="I125" s="139" t="n">
        <f aca="false">IF(I118&gt;0.000001,I$39,999)</f>
        <v>999</v>
      </c>
      <c r="J125" s="139" t="n">
        <f aca="false">IF(J118&gt;0.000001,J$39,999)</f>
        <v>999</v>
      </c>
      <c r="K125" s="139" t="n">
        <f aca="false">IF(K118&gt;0.000001,K$39,999)</f>
        <v>999</v>
      </c>
      <c r="L125" s="139" t="n">
        <f aca="false">IF(L118&gt;0.000001,L$39,999)</f>
        <v>999</v>
      </c>
      <c r="M125" s="139" t="n">
        <f aca="false">IF(M118&gt;0.000001,M$39,999)</f>
        <v>999</v>
      </c>
      <c r="N125" s="139" t="n">
        <f aca="false">IF(N118&gt;0.000001,N$39,999)</f>
        <v>999</v>
      </c>
      <c r="O125" s="139" t="n">
        <f aca="false">IF(O118&gt;0.000001,O$39,999)</f>
        <v>999</v>
      </c>
      <c r="P125" s="139" t="n">
        <f aca="false">IF(P118&gt;0.000001,P$39,999)</f>
        <v>999</v>
      </c>
      <c r="Q125" s="139" t="n">
        <f aca="false">IF(Q118&gt;0.000001,Q$39,999)</f>
        <v>999</v>
      </c>
      <c r="R125" s="139" t="n">
        <f aca="false">IF(R118&gt;0.000001,R$39,999)</f>
        <v>999</v>
      </c>
      <c r="S125" s="139" t="n">
        <f aca="false">IF(S118&gt;0.000001,S$39,999)</f>
        <v>999</v>
      </c>
      <c r="T125" s="139" t="n">
        <f aca="false">IF(T118&gt;0.000001,T$39,999)</f>
        <v>999</v>
      </c>
      <c r="U125" s="139" t="n">
        <f aca="false">IF(U118&gt;0.000001,U$39,999)</f>
        <v>999</v>
      </c>
      <c r="V125" s="139" t="n">
        <f aca="false">IF(V118&gt;0.000001,V$39,999)</f>
        <v>999</v>
      </c>
      <c r="W125" s="139" t="n">
        <f aca="false">IF(W118&gt;0.000001,W$39,999)</f>
        <v>999</v>
      </c>
      <c r="X125" s="139" t="n">
        <f aca="false">IF(X118&gt;0.000001,X$39,999)</f>
        <v>999</v>
      </c>
      <c r="Y125" s="139" t="n">
        <f aca="false">IF(Y118&gt;0.000001,Y$39,999)</f>
        <v>999</v>
      </c>
      <c r="Z125" s="139" t="n">
        <f aca="false">IF(Z118&gt;0.000001,Z$39,999)</f>
        <v>999</v>
      </c>
      <c r="AA125" s="139" t="n">
        <f aca="false">IF(AA118&gt;0.000001,AA$39,999)</f>
        <v>999</v>
      </c>
      <c r="AB125" s="139" t="n">
        <f aca="false">IF(AB118&gt;0.000001,AB$39,999)</f>
        <v>999</v>
      </c>
      <c r="AC125" s="139" t="n">
        <f aca="false">IF(AC118&gt;0.000001,AC$39,999)</f>
        <v>999</v>
      </c>
      <c r="AD125" s="139" t="n">
        <f aca="false">IF(AD118&gt;0.000001,AD$39,999)</f>
        <v>999</v>
      </c>
      <c r="AE125" s="139" t="n">
        <f aca="false">IF(AE118&gt;0.000001,AE$39,999)</f>
        <v>999</v>
      </c>
      <c r="AF125" s="139" t="n">
        <f aca="false">IF(AF118&gt;0.000001,AF$39,999)</f>
        <v>999</v>
      </c>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39"/>
      <c r="BG125" s="139"/>
      <c r="BH125" s="139"/>
      <c r="BI125" s="139"/>
      <c r="BJ125" s="139"/>
      <c r="BK125" s="139"/>
      <c r="BL125" s="139"/>
      <c r="BM125" s="139"/>
      <c r="BN125" s="139"/>
      <c r="BO125" s="139"/>
      <c r="BP125" s="139"/>
      <c r="BQ125" s="139"/>
      <c r="BR125" s="139"/>
      <c r="BS125" s="139"/>
      <c r="BT125" s="139"/>
    </row>
    <row r="126" customFormat="false" ht="15" hidden="false" customHeight="true" outlineLevel="0" collapsed="false">
      <c r="B126" s="132" t="s">
        <v>1134</v>
      </c>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c r="BP126" s="133"/>
      <c r="BQ126" s="133"/>
      <c r="BR126" s="133"/>
      <c r="BS126" s="133"/>
      <c r="BT126" s="133"/>
    </row>
    <row r="127" customFormat="false" ht="15" hidden="false" customHeight="true" outlineLevel="0" collapsed="false">
      <c r="B127" s="135" t="s">
        <v>1135</v>
      </c>
      <c r="C127" s="116" t="n">
        <f aca="false">MAX(0,-C113)</f>
        <v>0.305503668764942</v>
      </c>
      <c r="D127" s="116" t="n">
        <f aca="false">MAX(0,-D113)</f>
        <v>0.107068197284994</v>
      </c>
      <c r="E127" s="116" t="n">
        <f aca="false">MAX(0,-E113)</f>
        <v>0.130477724924329</v>
      </c>
      <c r="F127" s="116" t="n">
        <f aca="false">MAX(0,-F113)</f>
        <v>1.34079566574561</v>
      </c>
      <c r="G127" s="116" t="n">
        <f aca="false">MAX(0,-G113)</f>
        <v>2.59842512645504</v>
      </c>
      <c r="H127" s="116" t="n">
        <f aca="false">MAX(0,-H113)</f>
        <v>3.25455423369384</v>
      </c>
      <c r="I127" s="116" t="n">
        <f aca="false">MAX(0,-I113)</f>
        <v>3.53822714126028</v>
      </c>
      <c r="J127" s="116" t="n">
        <f aca="false">MAX(0,-J113)</f>
        <v>3.48941539026654</v>
      </c>
      <c r="K127" s="116" t="n">
        <f aca="false">MAX(0,-K113)</f>
        <v>2.32954652662307</v>
      </c>
      <c r="L127" s="116" t="n">
        <f aca="false">MAX(0,-L113)</f>
        <v>1.14578954172105</v>
      </c>
      <c r="M127" s="116" t="n">
        <f aca="false">MAX(0,-M113)</f>
        <v>0.00940876531358433</v>
      </c>
      <c r="N127" s="116" t="n">
        <f aca="false">MAX(0,-N113)</f>
        <v>0</v>
      </c>
      <c r="O127" s="116" t="n">
        <f aca="false">MAX(0,-O113)</f>
        <v>0</v>
      </c>
      <c r="P127" s="116" t="n">
        <f aca="false">MAX(0,-P113)</f>
        <v>0</v>
      </c>
      <c r="Q127" s="116" t="n">
        <f aca="false">MAX(0,-Q113)</f>
        <v>0</v>
      </c>
      <c r="R127" s="116" t="n">
        <f aca="false">MAX(0,-R113)</f>
        <v>0</v>
      </c>
      <c r="S127" s="116" t="n">
        <f aca="false">MAX(0,-S113)</f>
        <v>0.134471089513496</v>
      </c>
      <c r="T127" s="116" t="n">
        <f aca="false">MAX(0,-T113)</f>
        <v>0.331021352008727</v>
      </c>
      <c r="U127" s="116" t="n">
        <f aca="false">MAX(0,-U113)</f>
        <v>0.514577467020734</v>
      </c>
      <c r="V127" s="116" t="n">
        <f aca="false">MAX(0,-V113)</f>
        <v>0.722571335880419</v>
      </c>
      <c r="W127" s="116" t="n">
        <f aca="false">MAX(0,-W113)</f>
        <v>0.934945768277695</v>
      </c>
      <c r="X127" s="116" t="n">
        <f aca="false">MAX(0,-X113)</f>
        <v>1.13715803196198</v>
      </c>
      <c r="Y127" s="116" t="n">
        <f aca="false">MAX(0,-Y113)</f>
        <v>1.33625265692358</v>
      </c>
      <c r="Z127" s="116" t="n">
        <f aca="false">MAX(0,-Z113)</f>
        <v>1.53081936214869</v>
      </c>
      <c r="AA127" s="116" t="n">
        <f aca="false">MAX(0,-AA113)</f>
        <v>1.72032063402706</v>
      </c>
      <c r="AB127" s="116" t="n">
        <f aca="false">MAX(0,-AB113)</f>
        <v>1.90497260246163</v>
      </c>
      <c r="AC127" s="116" t="n">
        <f aca="false">MAX(0,-AC113)</f>
        <v>2.08496920287644</v>
      </c>
      <c r="AD127" s="116" t="n">
        <f aca="false">MAX(0,-AD113)</f>
        <v>2.26048407052723</v>
      </c>
      <c r="AE127" s="116" t="n">
        <f aca="false">MAX(0,-AE113)</f>
        <v>2.43167123564839</v>
      </c>
      <c r="AF127" s="116" t="n">
        <f aca="false">MAX(0,-AF113)</f>
        <v>2.59866559962594</v>
      </c>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row>
    <row r="128" customFormat="false" ht="15" hidden="false" customHeight="true" outlineLevel="0" collapsed="false">
      <c r="B128" s="135" t="s">
        <v>1136</v>
      </c>
      <c r="C128" s="116" t="n">
        <f aca="false">IF(AVERAGE(D127:H127)&gt;0,C120/AVERAGE(D127:H127),99)</f>
        <v>13.7748890093689</v>
      </c>
      <c r="D128" s="116" t="n">
        <f aca="false">IF(AVERAGE(E127:I127)&gt;0,D120/AVERAGE(E127:I127),99)</f>
        <v>18.5301656571069</v>
      </c>
      <c r="E128" s="116" t="n">
        <f aca="false">IF(AVERAGE(F127:J127)&gt;0,E120/AVERAGE(F127:J127),99)</f>
        <v>21.2289899909311</v>
      </c>
      <c r="F128" s="116" t="n">
        <f aca="false">IF(AVERAGE(G127:K127)&gt;0,F120/AVERAGE(G127:K127),99)</f>
        <v>24.6769328732297</v>
      </c>
      <c r="G128" s="116" t="n">
        <f aca="false">IF(AVERAGE(H127:L127)&gt;0,G120/AVERAGE(H127:L127),99)</f>
        <v>32.0724212065356</v>
      </c>
      <c r="H128" s="116" t="n">
        <f aca="false">IF(AVERAGE(I127:M127)&gt;0,H120/AVERAGE(I127:M127),99)</f>
        <v>47.8661629344102</v>
      </c>
      <c r="I128" s="116" t="n">
        <f aca="false">IF(AVERAGE(J127:N127)&gt;0,I120/AVERAGE(J127:N127),99)</f>
        <v>80.9288585620693</v>
      </c>
      <c r="J128" s="116" t="n">
        <f aca="false">IF(AVERAGE(K127:O127)&gt;0,J120/AVERAGE(K127:O127),99)</f>
        <v>179.825362792076</v>
      </c>
      <c r="K128" s="116" t="n">
        <f aca="false">IF(AVERAGE(L127:P127)&gt;0,K120/AVERAGE(L127:P127),99)</f>
        <v>602.696808207579</v>
      </c>
      <c r="L128" s="116" t="n">
        <f aca="false">IF(AVERAGE(M127:Q127)&gt;0,L120/AVERAGE(M127:Q127),99)</f>
        <v>82178.1964160585</v>
      </c>
      <c r="M128" s="116" t="n">
        <f aca="false">IF(AVERAGE(N127:R127)&gt;0,M120/AVERAGE(N127:R127),99)</f>
        <v>99</v>
      </c>
      <c r="N128" s="116" t="n">
        <f aca="false">IF(AVERAGE(O127:S127)&gt;0,N120/AVERAGE(O127:S127),99)</f>
        <v>5740.16595665451</v>
      </c>
      <c r="O128" s="116" t="n">
        <f aca="false">IF(AVERAGE(P127:T127)&gt;0,O120/AVERAGE(P127:T127),99)</f>
        <v>1689.6416345611</v>
      </c>
      <c r="P128" s="116" t="n">
        <f aca="false">IF(AVERAGE(Q127:U127)&gt;0,P120/AVERAGE(Q127:U127),99)</f>
        <v>810.719858317003</v>
      </c>
      <c r="Q128" s="116" t="n">
        <f aca="false">IF(AVERAGE(R127:V127)&gt;0,Q120/AVERAGE(R127:V127),99)</f>
        <v>469.927081115854</v>
      </c>
      <c r="R128" s="116" t="n">
        <f aca="false">IF(AVERAGE(S127:W127)&gt;0,R120/AVERAGE(S127:W127),99)</f>
        <v>305.565448786695</v>
      </c>
      <c r="S128" s="116" t="n">
        <f aca="false">IF(AVERAGE(T127:X127)&gt;0,S120/AVERAGE(T127:X127),99)</f>
        <v>222.893424041439</v>
      </c>
      <c r="T128" s="116" t="n">
        <f aca="false">IF(AVERAGE(U127:Y127)&gt;0,T120/AVERAGE(U127:Y127),99)</f>
        <v>175.674933547946</v>
      </c>
      <c r="U128" s="116" t="n">
        <f aca="false">IF(AVERAGE(V127:Z127)&gt;0,U120/AVERAGE(V127:Z127),99)</f>
        <v>144.848466544107</v>
      </c>
      <c r="V128" s="116" t="n">
        <f aca="false">IF(AVERAGE(W127:AA127)&gt;0,V120/AVERAGE(W127:AA127),99)</f>
        <v>123.734249607766</v>
      </c>
      <c r="W128" s="116" t="n">
        <f aca="false">IF(AVERAGE(X127:AB127)&gt;0,W120/AVERAGE(X127:AB127),99)</f>
        <v>108.429067993198</v>
      </c>
      <c r="X128" s="116" t="n">
        <f aca="false">IF(AVERAGE(Y127:AC127)&gt;0,X120/AVERAGE(Y127:AC127),99)</f>
        <v>96.6949588309608</v>
      </c>
      <c r="Y128" s="116" t="n">
        <f aca="false">IF(AVERAGE(Z127:AD127)&gt;0,Y120/AVERAGE(Z127:AD127),99)</f>
        <v>87.4224271546969</v>
      </c>
      <c r="Z128" s="116" t="n">
        <f aca="false">IF(AVERAGE(AA127:AE127)&gt;0,Z120/AVERAGE(AA127:AE127),99)</f>
        <v>79.9044448007487</v>
      </c>
      <c r="AA128" s="116" t="n">
        <f aca="false">IF(AVERAGE(AB127:AF127)&gt;0,AA120/AVERAGE(AB127:AF127),99)</f>
        <v>73.6709854444813</v>
      </c>
      <c r="AB128" s="116" t="n">
        <f aca="false">IF(AVERAGE(AC127:AF127)&gt;0,AB120/AVERAGE(AC127:AF127),99)</f>
        <v>70.844315583609</v>
      </c>
      <c r="AC128" s="116" t="n">
        <f aca="false">IF(AVERAGE(AD127:AF127)&gt;0,AC120/AVERAGE(AD127:AF127),99)</f>
        <v>68.2116206662094</v>
      </c>
      <c r="AD128" s="116" t="n">
        <f aca="false">IF(AVERAGE(AE127:AF127)&gt;0,AD120/AVERAGE(AE127:AF127),99)</f>
        <v>65.7496126587004</v>
      </c>
      <c r="AE128" s="116" t="n">
        <f aca="false">IF(AVERAGE(AF127:AF127)&gt;0,AE120/AVERAGE(AF127:AF127),99)</f>
        <v>63.4388302519114</v>
      </c>
      <c r="AF128" s="116" t="n">
        <f aca="false">IF(AF127&gt;0,AF120/AF127,99)</f>
        <v>63.1990817247883</v>
      </c>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row>
    <row r="129" customFormat="false" ht="15" hidden="false" customHeight="true" outlineLevel="0" collapsed="false">
      <c r="B129" s="134" t="s">
        <v>1137</v>
      </c>
      <c r="C129" s="87" t="n">
        <f aca="false">C83/C41</f>
        <v>0.0211887688491203</v>
      </c>
      <c r="D129" s="87" t="n">
        <f aca="false">D83/D41</f>
        <v>0.0541068943375754</v>
      </c>
      <c r="E129" s="87" t="n">
        <f aca="false">E83/E41</f>
        <v>0.0928904147972389</v>
      </c>
      <c r="F129" s="87" t="n">
        <f aca="false">F83/F41</f>
        <v>0.130801969498767</v>
      </c>
      <c r="G129" s="87" t="n">
        <f aca="false">G83/G41</f>
        <v>0.167861162755393</v>
      </c>
      <c r="H129" s="87" t="n">
        <f aca="false">H83/H41</f>
        <v>0.204087158118664</v>
      </c>
      <c r="I129" s="87" t="n">
        <f aca="false">I83/I41</f>
        <v>0.239498688288039</v>
      </c>
      <c r="J129" s="87" t="n">
        <f aca="false">J83/J41</f>
        <v>0.274114064797692</v>
      </c>
      <c r="K129" s="87" t="n">
        <f aca="false">K83/K41</f>
        <v>0.307951187485525</v>
      </c>
      <c r="L129" s="87" t="n">
        <f aca="false">L83/L41</f>
        <v>0.341027553749291</v>
      </c>
      <c r="M129" s="87" t="n">
        <f aca="false">M83/M41</f>
        <v>0.373360267594615</v>
      </c>
      <c r="N129" s="87" t="n">
        <f aca="false">N83/N41</f>
        <v>0.388351648351648</v>
      </c>
      <c r="O129" s="87" t="n">
        <f aca="false">O83/O41</f>
        <v>0.388351648351648</v>
      </c>
      <c r="P129" s="87" t="n">
        <f aca="false">P83/P41</f>
        <v>0.388351648351648</v>
      </c>
      <c r="Q129" s="87" t="n">
        <f aca="false">Q83/Q41</f>
        <v>0.388351648351648</v>
      </c>
      <c r="R129" s="87" t="n">
        <f aca="false">R83/R41</f>
        <v>0.388351648351648</v>
      </c>
      <c r="S129" s="87" t="n">
        <f aca="false">S83/S41</f>
        <v>0.388351648351648</v>
      </c>
      <c r="T129" s="87" t="n">
        <f aca="false">T83/T41</f>
        <v>0.388351648351648</v>
      </c>
      <c r="U129" s="87" t="n">
        <f aca="false">U83/U41</f>
        <v>0.388351648351648</v>
      </c>
      <c r="V129" s="87" t="n">
        <f aca="false">V83/V41</f>
        <v>0.386503087948294</v>
      </c>
      <c r="W129" s="87" t="n">
        <f aca="false">W83/W41</f>
        <v>0.383421771584871</v>
      </c>
      <c r="X129" s="87" t="n">
        <f aca="false">X83/X41</f>
        <v>0.380171503511726</v>
      </c>
      <c r="Y129" s="87" t="n">
        <f aca="false">Y83/Y41</f>
        <v>0.376763671711055</v>
      </c>
      <c r="Z129" s="87" t="n">
        <f aca="false">Z83/Z41</f>
        <v>0.373209203068607</v>
      </c>
      <c r="AA129" s="87" t="n">
        <f aca="false">AA83/AA41</f>
        <v>0.369518577941447</v>
      </c>
      <c r="AB129" s="87" t="n">
        <f aca="false">AB83/AB41</f>
        <v>0.365701844396712</v>
      </c>
      <c r="AC129" s="87" t="n">
        <f aca="false">AC83/AC41</f>
        <v>0.361768632120718</v>
      </c>
      <c r="AD129" s="87" t="n">
        <f aca="false">AD83/AD41</f>
        <v>0.357728165998565</v>
      </c>
      <c r="AE129" s="87" t="n">
        <f aca="false">AE83/AE41</f>
        <v>0.353589279365135</v>
      </c>
      <c r="AF129" s="87" t="n">
        <f aca="false">AF83/AF41</f>
        <v>0.349360426929008</v>
      </c>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row>
    <row r="130" customFormat="false" ht="15" hidden="false" customHeight="true" outlineLevel="0" collapsed="false">
      <c r="B130" s="135" t="s">
        <v>1138</v>
      </c>
      <c r="C130" s="87" t="n">
        <f aca="false">C96/C41</f>
        <v>0</v>
      </c>
      <c r="D130" s="87" t="n">
        <f aca="false">D96/D41</f>
        <v>0</v>
      </c>
      <c r="E130" s="87" t="n">
        <f aca="false">E96/E41</f>
        <v>0</v>
      </c>
      <c r="F130" s="87" t="n">
        <f aca="false">F96/F41</f>
        <v>0</v>
      </c>
      <c r="G130" s="87" t="n">
        <f aca="false">G96/G41</f>
        <v>0</v>
      </c>
      <c r="H130" s="87" t="n">
        <f aca="false">H96/H41</f>
        <v>0</v>
      </c>
      <c r="I130" s="87" t="n">
        <f aca="false">I96/I41</f>
        <v>0</v>
      </c>
      <c r="J130" s="87" t="n">
        <f aca="false">J96/J41</f>
        <v>0</v>
      </c>
      <c r="K130" s="87" t="n">
        <f aca="false">K96/K41</f>
        <v>0</v>
      </c>
      <c r="L130" s="87" t="n">
        <f aca="false">L96/L41</f>
        <v>0</v>
      </c>
      <c r="M130" s="87" t="n">
        <f aca="false">M96/M41</f>
        <v>0</v>
      </c>
      <c r="N130" s="87" t="n">
        <f aca="false">N96/N41</f>
        <v>0</v>
      </c>
      <c r="O130" s="87" t="n">
        <f aca="false">O96/O41</f>
        <v>0</v>
      </c>
      <c r="P130" s="87" t="n">
        <f aca="false">P96/P41</f>
        <v>0</v>
      </c>
      <c r="Q130" s="87" t="n">
        <f aca="false">Q96/Q41</f>
        <v>0</v>
      </c>
      <c r="R130" s="87" t="n">
        <f aca="false">R96/R41</f>
        <v>0</v>
      </c>
      <c r="S130" s="87" t="n">
        <f aca="false">S96/S41</f>
        <v>0</v>
      </c>
      <c r="T130" s="87" t="n">
        <f aca="false">T96/T41</f>
        <v>0</v>
      </c>
      <c r="U130" s="87" t="n">
        <f aca="false">U96/U41</f>
        <v>0</v>
      </c>
      <c r="V130" s="87" t="n">
        <f aca="false">V96/V41</f>
        <v>0</v>
      </c>
      <c r="W130" s="87" t="n">
        <f aca="false">W96/W41</f>
        <v>0</v>
      </c>
      <c r="X130" s="87" t="n">
        <f aca="false">X96/X41</f>
        <v>0</v>
      </c>
      <c r="Y130" s="87" t="n">
        <f aca="false">Y96/Y41</f>
        <v>0</v>
      </c>
      <c r="Z130" s="87" t="n">
        <f aca="false">Z96/Z41</f>
        <v>0</v>
      </c>
      <c r="AA130" s="87" t="n">
        <f aca="false">AA96/AA41</f>
        <v>0</v>
      </c>
      <c r="AB130" s="87" t="n">
        <f aca="false">AB96/AB41</f>
        <v>0</v>
      </c>
      <c r="AC130" s="87" t="n">
        <f aca="false">AC96/AC41</f>
        <v>0</v>
      </c>
      <c r="AD130" s="87" t="n">
        <f aca="false">AD96/AD41</f>
        <v>0</v>
      </c>
      <c r="AE130" s="87" t="n">
        <f aca="false">AE96/AE41</f>
        <v>0</v>
      </c>
      <c r="AF130" s="87" t="n">
        <f aca="false">AF96/AF41</f>
        <v>0</v>
      </c>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row>
    <row r="131" customFormat="false" ht="15" hidden="false" customHeight="true" outlineLevel="0" collapsed="false">
      <c r="B131" s="135" t="s">
        <v>1139</v>
      </c>
      <c r="C131" s="87" t="n">
        <f aca="false">C118/C41</f>
        <v>0</v>
      </c>
      <c r="D131" s="87" t="n">
        <f aca="false">D118/D41</f>
        <v>0</v>
      </c>
      <c r="E131" s="87" t="n">
        <f aca="false">E118/E41</f>
        <v>0</v>
      </c>
      <c r="F131" s="87" t="n">
        <f aca="false">F118/F41</f>
        <v>0</v>
      </c>
      <c r="G131" s="87" t="n">
        <f aca="false">G118/G41</f>
        <v>0</v>
      </c>
      <c r="H131" s="87" t="n">
        <f aca="false">H118/H41</f>
        <v>0</v>
      </c>
      <c r="I131" s="87" t="n">
        <f aca="false">I118/I41</f>
        <v>0</v>
      </c>
      <c r="J131" s="87" t="n">
        <f aca="false">J118/J41</f>
        <v>0</v>
      </c>
      <c r="K131" s="87" t="n">
        <f aca="false">K118/K41</f>
        <v>0</v>
      </c>
      <c r="L131" s="87" t="n">
        <f aca="false">L118/L41</f>
        <v>0</v>
      </c>
      <c r="M131" s="87" t="n">
        <f aca="false">M118/M41</f>
        <v>0</v>
      </c>
      <c r="N131" s="87" t="n">
        <f aca="false">N118/N41</f>
        <v>0</v>
      </c>
      <c r="O131" s="87" t="n">
        <f aca="false">O118/O41</f>
        <v>0</v>
      </c>
      <c r="P131" s="87" t="n">
        <f aca="false">P118/P41</f>
        <v>0</v>
      </c>
      <c r="Q131" s="87" t="n">
        <f aca="false">Q118/Q41</f>
        <v>0</v>
      </c>
      <c r="R131" s="87" t="n">
        <f aca="false">R118/R41</f>
        <v>0</v>
      </c>
      <c r="S131" s="87" t="n">
        <f aca="false">S118/S41</f>
        <v>0</v>
      </c>
      <c r="T131" s="87" t="n">
        <f aca="false">T118/T41</f>
        <v>0</v>
      </c>
      <c r="U131" s="87" t="n">
        <f aca="false">U118/U41</f>
        <v>0</v>
      </c>
      <c r="V131" s="87" t="n">
        <f aca="false">V118/V41</f>
        <v>0</v>
      </c>
      <c r="W131" s="87" t="n">
        <f aca="false">W118/W41</f>
        <v>0</v>
      </c>
      <c r="X131" s="87" t="n">
        <f aca="false">X118/X41</f>
        <v>0</v>
      </c>
      <c r="Y131" s="87" t="n">
        <f aca="false">Y118/Y41</f>
        <v>0</v>
      </c>
      <c r="Z131" s="87" t="n">
        <f aca="false">Z118/Z41</f>
        <v>0</v>
      </c>
      <c r="AA131" s="87" t="n">
        <f aca="false">AA118/AA41</f>
        <v>0</v>
      </c>
      <c r="AB131" s="87" t="n">
        <f aca="false">AB118/AB41</f>
        <v>0</v>
      </c>
      <c r="AC131" s="87" t="n">
        <f aca="false">AC118/AC41</f>
        <v>0</v>
      </c>
      <c r="AD131" s="87" t="n">
        <f aca="false">AD118/AD41</f>
        <v>0</v>
      </c>
      <c r="AE131" s="87" t="n">
        <f aca="false">AE118/AE41</f>
        <v>0</v>
      </c>
      <c r="AF131" s="87" t="n">
        <f aca="false">AF118/AF41</f>
        <v>0</v>
      </c>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row>
    <row r="132" customFormat="false" ht="15" hidden="false" customHeight="true" outlineLevel="0" collapsed="false">
      <c r="B132" s="132" t="s">
        <v>1140</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c r="BP132" s="133"/>
      <c r="BQ132" s="133"/>
      <c r="BR132" s="133"/>
      <c r="BS132" s="133"/>
      <c r="BT132" s="133"/>
    </row>
    <row r="133" customFormat="false" ht="15" hidden="false" customHeight="true" outlineLevel="0" collapsed="false">
      <c r="B133" s="134" t="s">
        <v>1141</v>
      </c>
      <c r="C133" s="116" t="n">
        <f aca="false">-C53</f>
        <v>-20.6</v>
      </c>
      <c r="D133" s="116" t="n">
        <f aca="false">-D53</f>
        <v>-20.6</v>
      </c>
      <c r="E133" s="116" t="n">
        <f aca="false">-E53</f>
        <v>-20.6</v>
      </c>
      <c r="F133" s="116" t="n">
        <f aca="false">-F53</f>
        <v>-20.6</v>
      </c>
      <c r="G133" s="116" t="n">
        <f aca="false">-G53</f>
        <v>-20.6</v>
      </c>
      <c r="H133" s="116" t="n">
        <f aca="false">-H53</f>
        <v>-20.6</v>
      </c>
      <c r="I133" s="116" t="n">
        <f aca="false">-I53</f>
        <v>-20.6</v>
      </c>
      <c r="J133" s="116" t="n">
        <f aca="false">-J53</f>
        <v>-20.6</v>
      </c>
      <c r="K133" s="116" t="n">
        <f aca="false">-K53</f>
        <v>-20.6</v>
      </c>
      <c r="L133" s="116" t="n">
        <f aca="false">-L53</f>
        <v>-20.6</v>
      </c>
      <c r="M133" s="116" t="n">
        <f aca="false">-M53</f>
        <v>-0</v>
      </c>
      <c r="N133" s="116" t="n">
        <f aca="false">-N53</f>
        <v>-0</v>
      </c>
      <c r="O133" s="116" t="n">
        <f aca="false">-O53</f>
        <v>-0</v>
      </c>
      <c r="P133" s="116" t="n">
        <f aca="false">-P53</f>
        <v>-0</v>
      </c>
      <c r="Q133" s="116" t="n">
        <f aca="false">-Q53</f>
        <v>-0</v>
      </c>
      <c r="R133" s="116" t="n">
        <f aca="false">-R53</f>
        <v>-0</v>
      </c>
      <c r="S133" s="116" t="n">
        <f aca="false">-S53</f>
        <v>-0</v>
      </c>
      <c r="T133" s="116" t="n">
        <f aca="false">-T53</f>
        <v>-0</v>
      </c>
      <c r="U133" s="116" t="n">
        <f aca="false">-U53</f>
        <v>-0</v>
      </c>
      <c r="V133" s="116" t="n">
        <f aca="false">-V53</f>
        <v>-0</v>
      </c>
      <c r="W133" s="116" t="n">
        <f aca="false">-W53</f>
        <v>-0</v>
      </c>
      <c r="X133" s="116" t="n">
        <f aca="false">-X53</f>
        <v>-0</v>
      </c>
      <c r="Y133" s="116" t="n">
        <f aca="false">-Y53</f>
        <v>-0</v>
      </c>
      <c r="Z133" s="116" t="n">
        <f aca="false">-Z53</f>
        <v>-0</v>
      </c>
      <c r="AA133" s="116" t="n">
        <f aca="false">-AA53</f>
        <v>-0</v>
      </c>
      <c r="AB133" s="116" t="n">
        <f aca="false">-AB53</f>
        <v>-0</v>
      </c>
      <c r="AC133" s="116" t="n">
        <f aca="false">-AC53</f>
        <v>-0</v>
      </c>
      <c r="AD133" s="116" t="n">
        <f aca="false">-AD53</f>
        <v>-0</v>
      </c>
      <c r="AE133" s="116" t="n">
        <f aca="false">-AE53</f>
        <v>-0</v>
      </c>
      <c r="AF133" s="116" t="n">
        <f aca="false">-AF53</f>
        <v>-0</v>
      </c>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row>
    <row r="134" customFormat="false" ht="15" hidden="false" customHeight="true" outlineLevel="0" collapsed="false">
      <c r="B134" s="134" t="s">
        <v>1142</v>
      </c>
      <c r="C134" s="116" t="n">
        <f aca="false">-C56</f>
        <v>-1.07</v>
      </c>
      <c r="D134" s="116" t="n">
        <f aca="false">-D56</f>
        <v>-1.09675</v>
      </c>
      <c r="E134" s="116" t="n">
        <f aca="false">-E56</f>
        <v>-1.12416875</v>
      </c>
      <c r="F134" s="116" t="n">
        <f aca="false">-F56</f>
        <v>-1.15227296875</v>
      </c>
      <c r="G134" s="116" t="n">
        <f aca="false">-G56</f>
        <v>-1.18107979296875</v>
      </c>
      <c r="H134" s="116" t="n">
        <f aca="false">-H56</f>
        <v>-1.21060678779297</v>
      </c>
      <c r="I134" s="116" t="n">
        <f aca="false">-I56</f>
        <v>-1.24087195748779</v>
      </c>
      <c r="J134" s="116" t="n">
        <f aca="false">-J56</f>
        <v>-1.27189375642499</v>
      </c>
      <c r="K134" s="116" t="n">
        <f aca="false">-K56</f>
        <v>-1.30369110033561</v>
      </c>
      <c r="L134" s="116" t="n">
        <f aca="false">-L56</f>
        <v>-1.336283377844</v>
      </c>
      <c r="M134" s="116" t="n">
        <f aca="false">-M56</f>
        <v>-1.3696904622901</v>
      </c>
      <c r="N134" s="116" t="n">
        <f aca="false">-N56</f>
        <v>-1.40393272384735</v>
      </c>
      <c r="O134" s="116" t="n">
        <f aca="false">-O56</f>
        <v>-1.43903104194354</v>
      </c>
      <c r="P134" s="116" t="n">
        <f aca="false">-P56</f>
        <v>-1.47500681799213</v>
      </c>
      <c r="Q134" s="116" t="n">
        <f aca="false">-Q56</f>
        <v>-1.51188198844193</v>
      </c>
      <c r="R134" s="116" t="n">
        <f aca="false">-R56</f>
        <v>-1.54967903815298</v>
      </c>
      <c r="S134" s="116" t="n">
        <f aca="false">-S56</f>
        <v>-1.5884210141068</v>
      </c>
      <c r="T134" s="116" t="n">
        <f aca="false">-T56</f>
        <v>-1.62813153945947</v>
      </c>
      <c r="U134" s="116" t="n">
        <f aca="false">-U56</f>
        <v>-1.66883482794596</v>
      </c>
      <c r="V134" s="116" t="n">
        <f aca="false">-V56</f>
        <v>-1.71055569864461</v>
      </c>
      <c r="W134" s="116" t="n">
        <f aca="false">-W56</f>
        <v>-1.75331959111072</v>
      </c>
      <c r="X134" s="116" t="n">
        <f aca="false">-X56</f>
        <v>-1.79715258088849</v>
      </c>
      <c r="Y134" s="116" t="n">
        <f aca="false">-Y56</f>
        <v>-1.8420813954107</v>
      </c>
      <c r="Z134" s="116" t="n">
        <f aca="false">-Z56</f>
        <v>-1.88813343029597</v>
      </c>
      <c r="AA134" s="116" t="n">
        <f aca="false">-AA56</f>
        <v>-1.93533676605337</v>
      </c>
      <c r="AB134" s="116" t="n">
        <f aca="false">-AB56</f>
        <v>-1.9837201852047</v>
      </c>
      <c r="AC134" s="116" t="n">
        <f aca="false">-AC56</f>
        <v>-2.03331318983482</v>
      </c>
      <c r="AD134" s="116" t="n">
        <f aca="false">-AD56</f>
        <v>-2.08414601958069</v>
      </c>
      <c r="AE134" s="116" t="n">
        <f aca="false">-AE56</f>
        <v>-2.13624967007021</v>
      </c>
      <c r="AF134" s="116" t="n">
        <f aca="false">-AF56</f>
        <v>-2.18965591182196</v>
      </c>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row>
    <row r="135" customFormat="false" ht="15" hidden="false" customHeight="true" outlineLevel="0" collapsed="false">
      <c r="B135" s="134" t="s">
        <v>1143</v>
      </c>
      <c r="C135" s="116" t="n">
        <f aca="false">01_Supuestos!$I$147</f>
        <v>2.8387</v>
      </c>
      <c r="D135" s="116" t="n">
        <f aca="false">01_Supuestos!$I$147</f>
        <v>2.8387</v>
      </c>
      <c r="E135" s="116" t="n">
        <f aca="false">01_Supuestos!$I$147</f>
        <v>2.8387</v>
      </c>
      <c r="F135" s="116" t="n">
        <f aca="false">01_Supuestos!$I$147</f>
        <v>2.8387</v>
      </c>
      <c r="G135" s="116" t="n">
        <f aca="false">01_Supuestos!$I$147</f>
        <v>2.8387</v>
      </c>
      <c r="H135" s="116" t="n">
        <f aca="false">01_Supuestos!$I$147</f>
        <v>2.8387</v>
      </c>
      <c r="I135" s="116" t="n">
        <f aca="false">01_Supuestos!$I$147</f>
        <v>2.8387</v>
      </c>
      <c r="J135" s="116" t="n">
        <f aca="false">01_Supuestos!$I$147</f>
        <v>2.8387</v>
      </c>
      <c r="K135" s="116" t="n">
        <f aca="false">01_Supuestos!$I$147</f>
        <v>2.8387</v>
      </c>
      <c r="L135" s="116" t="n">
        <f aca="false">01_Supuestos!$I$147</f>
        <v>2.8387</v>
      </c>
      <c r="M135" s="116" t="n">
        <f aca="false">01_Supuestos!$I$147</f>
        <v>2.8387</v>
      </c>
      <c r="N135" s="116" t="n">
        <f aca="false">01_Supuestos!$I$147</f>
        <v>2.8387</v>
      </c>
      <c r="O135" s="116" t="n">
        <f aca="false">01_Supuestos!$I$147</f>
        <v>2.8387</v>
      </c>
      <c r="P135" s="116" t="n">
        <f aca="false">01_Supuestos!$I$147</f>
        <v>2.8387</v>
      </c>
      <c r="Q135" s="116" t="n">
        <f aca="false">01_Supuestos!$I$147</f>
        <v>2.8387</v>
      </c>
      <c r="R135" s="116" t="n">
        <f aca="false">01_Supuestos!$I$147</f>
        <v>2.8387</v>
      </c>
      <c r="S135" s="116" t="n">
        <f aca="false">01_Supuestos!$I$147</f>
        <v>2.8387</v>
      </c>
      <c r="T135" s="116" t="n">
        <f aca="false">01_Supuestos!$I$147</f>
        <v>2.8387</v>
      </c>
      <c r="U135" s="116" t="n">
        <f aca="false">01_Supuestos!$I$147</f>
        <v>2.8387</v>
      </c>
      <c r="V135" s="116" t="n">
        <f aca="false">01_Supuestos!$I$147</f>
        <v>2.8387</v>
      </c>
      <c r="W135" s="116" t="n">
        <f aca="false">01_Supuestos!$I$147</f>
        <v>2.8387</v>
      </c>
      <c r="X135" s="116" t="n">
        <f aca="false">01_Supuestos!$I$147</f>
        <v>2.8387</v>
      </c>
      <c r="Y135" s="116" t="n">
        <f aca="false">01_Supuestos!$I$147</f>
        <v>2.8387</v>
      </c>
      <c r="Z135" s="116" t="n">
        <f aca="false">01_Supuestos!$I$147</f>
        <v>2.8387</v>
      </c>
      <c r="AA135" s="116" t="n">
        <f aca="false">01_Supuestos!$I$147</f>
        <v>2.8387</v>
      </c>
      <c r="AB135" s="116" t="n">
        <f aca="false">01_Supuestos!$I$147</f>
        <v>2.8387</v>
      </c>
      <c r="AC135" s="116" t="n">
        <f aca="false">01_Supuestos!$I$147</f>
        <v>2.8387</v>
      </c>
      <c r="AD135" s="116" t="n">
        <f aca="false">01_Supuestos!$I$147</f>
        <v>2.8387</v>
      </c>
      <c r="AE135" s="116" t="n">
        <f aca="false">01_Supuestos!$I$147</f>
        <v>2.8387</v>
      </c>
      <c r="AF135" s="116" t="n">
        <f aca="false">01_Supuestos!$I$147</f>
        <v>2.8387</v>
      </c>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row>
    <row r="136" customFormat="false" ht="15" hidden="false" customHeight="true" outlineLevel="0" collapsed="false">
      <c r="B136" s="134" t="s">
        <v>1144</v>
      </c>
      <c r="C136" s="116" t="n">
        <f aca="false">01_Supuestos!$C$152*MAX(0,C111-01_Supuestos!$C$153-01_Supuestos!$C$154-C59-0.05*SUM($C$51:C51))</f>
        <v>0</v>
      </c>
      <c r="D136" s="116" t="n">
        <f aca="false">01_Supuestos!$C$152*MAX(0,D111-01_Supuestos!$C$153-01_Supuestos!$C$154-D59-0.05*SUM($C$51:D51))</f>
        <v>0</v>
      </c>
      <c r="E136" s="116" t="n">
        <f aca="false">01_Supuestos!$C$152*MAX(0,E111-01_Supuestos!$C$153-01_Supuestos!$C$154-E59-0.05*SUM($C$51:E51))</f>
        <v>0</v>
      </c>
      <c r="F136" s="116" t="n">
        <f aca="false">01_Supuestos!$C$152*MAX(0,F111-01_Supuestos!$C$153-01_Supuestos!$C$154-F59-0.05*SUM($C$51:F51))</f>
        <v>0</v>
      </c>
      <c r="G136" s="116" t="n">
        <f aca="false">01_Supuestos!$C$152*MAX(0,G111-01_Supuestos!$C$153-01_Supuestos!$C$154-G59-0.05*SUM($C$51:G51))</f>
        <v>0.237284964551008</v>
      </c>
      <c r="H136" s="116" t="n">
        <f aca="false">01_Supuestos!$C$152*MAX(0,H111-01_Supuestos!$C$153-01_Supuestos!$C$154-H59-0.05*SUM($C$51:H51))</f>
        <v>0.416880570168078</v>
      </c>
      <c r="I136" s="116" t="n">
        <f aca="false">01_Supuestos!$C$152*MAX(0,I111-01_Supuestos!$C$153-01_Supuestos!$C$154-I59-0.05*SUM($C$51:I51))</f>
        <v>0.558272532118583</v>
      </c>
      <c r="J136" s="116" t="n">
        <f aca="false">01_Supuestos!$C$152*MAX(0,J111-01_Supuestos!$C$153-01_Supuestos!$C$154-J59-0.05*SUM($C$51:J51))</f>
        <v>0.667859790082665</v>
      </c>
      <c r="K136" s="116" t="n">
        <f aca="false">01_Supuestos!$C$152*MAX(0,K111-01_Supuestos!$C$153-01_Supuestos!$C$154-K59-0.05*SUM($C$51:K51))</f>
        <v>0.651941005941652</v>
      </c>
      <c r="L136" s="116" t="n">
        <f aca="false">01_Supuestos!$C$152*MAX(0,L111-01_Supuestos!$C$153-01_Supuestos!$C$154-L59-0.05*SUM($C$51:L51))</f>
        <v>0.638065059325964</v>
      </c>
      <c r="M136" s="116" t="n">
        <f aca="false">01_Supuestos!$C$152*MAX(0,M111-01_Supuestos!$C$153-01_Supuestos!$C$154-M59-0.05*SUM($C$51:M51))</f>
        <v>0.627945511157095</v>
      </c>
      <c r="N136" s="116" t="n">
        <f aca="false">01_Supuestos!$C$152*MAX(0,N111-01_Supuestos!$C$153-01_Supuestos!$C$154-N59-0.05*SUM($C$51:N51))</f>
        <v>0.622468337767672</v>
      </c>
      <c r="O136" s="116" t="n">
        <f aca="false">01_Supuestos!$C$152*MAX(0,O111-01_Supuestos!$C$153-01_Supuestos!$C$154-O59-0.05*SUM($C$51:O51))</f>
        <v>0.622293678682093</v>
      </c>
      <c r="P136" s="116" t="n">
        <f aca="false">01_Supuestos!$C$152*MAX(0,P111-01_Supuestos!$C$153-01_Supuestos!$C$154-P59-0.05*SUM($C$51:P51))</f>
        <v>0.631197711365576</v>
      </c>
      <c r="Q136" s="116" t="n">
        <f aca="false">01_Supuestos!$C$152*MAX(0,Q111-01_Supuestos!$C$153-01_Supuestos!$C$154-Q59-0.05*SUM($C$51:Q51))</f>
        <v>0.648595524136382</v>
      </c>
      <c r="R136" s="116" t="n">
        <f aca="false">01_Supuestos!$C$152*MAX(0,R111-01_Supuestos!$C$153-01_Supuestos!$C$154-R59-0.05*SUM($C$51:R51))</f>
        <v>0.671594825197134</v>
      </c>
      <c r="S136" s="116" t="n">
        <f aca="false">01_Supuestos!$C$152*MAX(0,S111-01_Supuestos!$C$153-01_Supuestos!$C$154-S59-0.05*SUM($C$51:S51))</f>
        <v>0.698675083496096</v>
      </c>
      <c r="T136" s="116" t="n">
        <f aca="false">01_Supuestos!$C$152*MAX(0,T111-01_Supuestos!$C$153-01_Supuestos!$C$154-T59-0.05*SUM($C$51:T51))</f>
        <v>0.728582467017188</v>
      </c>
      <c r="U136" s="116" t="n">
        <f aca="false">01_Supuestos!$C$152*MAX(0,U111-01_Supuestos!$C$153-01_Supuestos!$C$154-U59-0.05*SUM($C$51:U51))</f>
        <v>0.756985335808683</v>
      </c>
      <c r="V136" s="116" t="n">
        <f aca="false">01_Supuestos!$C$152*MAX(0,V111-01_Supuestos!$C$153-01_Supuestos!$C$154-V59-0.05*SUM($C$51:V51))</f>
        <v>0.783948906453357</v>
      </c>
      <c r="W136" s="116" t="n">
        <f aca="false">01_Supuestos!$C$152*MAX(0,W111-01_Supuestos!$C$153-01_Supuestos!$C$154-W59-0.05*SUM($C$51:W51))</f>
        <v>0.809534166286298</v>
      </c>
      <c r="X136" s="116" t="n">
        <f aca="false">01_Supuestos!$C$152*MAX(0,X111-01_Supuestos!$C$153-01_Supuestos!$C$154-X59-0.05*SUM($C$51:X51))</f>
        <v>0.83379814731352</v>
      </c>
      <c r="Y136" s="116" t="n">
        <f aca="false">01_Supuestos!$C$152*MAX(0,Y111-01_Supuestos!$C$153-01_Supuestos!$C$154-Y59-0.05*SUM($C$51:Y51))</f>
        <v>0.856794182406661</v>
      </c>
      <c r="Z136" s="116" t="n">
        <f aca="false">01_Supuestos!$C$152*MAX(0,Z111-01_Supuestos!$C$153-01_Supuestos!$C$154-Z59-0.05*SUM($C$51:Z51))</f>
        <v>0.878572144919727</v>
      </c>
      <c r="AA136" s="116" t="n">
        <f aca="false">01_Supuestos!$C$152*MAX(0,AA111-01_Supuestos!$C$153-01_Supuestos!$C$154-AA59-0.05*SUM($C$51:AA51))</f>
        <v>0.899178672799813</v>
      </c>
      <c r="AB136" s="116" t="n">
        <f aca="false">01_Supuestos!$C$152*MAX(0,AB111-01_Supuestos!$C$153-01_Supuestos!$C$154-AB59-0.05*SUM($C$51:AB51))</f>
        <v>0.918657378194447</v>
      </c>
      <c r="AC136" s="116" t="n">
        <f aca="false">01_Supuestos!$C$152*MAX(0,AC111-01_Supuestos!$C$153-01_Supuestos!$C$154-AC59-0.05*SUM($C$51:AC51))</f>
        <v>0.93704904349341</v>
      </c>
      <c r="AD136" s="116" t="n">
        <f aca="false">01_Supuestos!$C$152*MAX(0,AD111-01_Supuestos!$C$153-01_Supuestos!$C$154-AD59-0.05*SUM($C$51:AD51))</f>
        <v>0.954391804682297</v>
      </c>
      <c r="AE136" s="116" t="n">
        <f aca="false">01_Supuestos!$C$152*MAX(0,AE111-01_Supuestos!$C$153-01_Supuestos!$C$154-AE59-0.05*SUM($C$51:AE51))</f>
        <v>0.970721322828337</v>
      </c>
      <c r="AF136" s="116" t="n">
        <f aca="false">01_Supuestos!$C$152*MAX(0,AF111-01_Supuestos!$C$153-01_Supuestos!$C$154-AF59-0.05*SUM($C$51:AF51))</f>
        <v>0.986070944466028</v>
      </c>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row>
    <row r="137" customFormat="false" ht="15" hidden="false" customHeight="true" outlineLevel="0" collapsed="false">
      <c r="B137" s="134" t="s">
        <v>1145</v>
      </c>
      <c r="C137" s="116" t="n">
        <f aca="false">(IF(C$39&gt;=2,01_Supuestos!$I$65*75_Bonos_AFJ!$J$33*0.97^(C$39-2),0)+IF(C$39&gt;=4,(01_Supuestos!$I$85*75_Bonos_AFJ!$J$34+01_Supuestos!$I$87*75_Bonos_AFJ!$J$35)*0.97^(C$39-4)+01_Supuestos!$I$21*75_Bonos_AFJ!$J$35*(1-0.97^(C$39-3))/0.03,0))/1000000000000</f>
        <v>0</v>
      </c>
      <c r="D137" s="116" t="n">
        <f aca="false">(IF(D$39&gt;=2,01_Supuestos!$I$65*75_Bonos_AFJ!$J$33*0.97^(D$39-2),0)+IF(D$39&gt;=4,(01_Supuestos!$I$85*75_Bonos_AFJ!$J$34+01_Supuestos!$I$87*75_Bonos_AFJ!$J$35)*0.97^(D$39-4)+01_Supuestos!$I$21*75_Bonos_AFJ!$J$35*(1-0.97^(D$39-3))/0.03,0))/1000000000000</f>
        <v>0.0680368931</v>
      </c>
      <c r="E137" s="116" t="n">
        <f aca="false">(IF(E$39&gt;=2,01_Supuestos!$I$65*75_Bonos_AFJ!$J$33*0.97^(E$39-2),0)+IF(E$39&gt;=4,(01_Supuestos!$I$85*75_Bonos_AFJ!$J$34+01_Supuestos!$I$87*75_Bonos_AFJ!$J$35)*0.97^(E$39-4)+01_Supuestos!$I$21*75_Bonos_AFJ!$J$35*(1-0.97^(E$39-3))/0.03,0))/1000000000000</f>
        <v>0.065995786307</v>
      </c>
      <c r="F137" s="116" t="n">
        <f aca="false">(IF(F$39&gt;=2,01_Supuestos!$I$65*75_Bonos_AFJ!$J$33*0.97^(F$39-2),0)+IF(F$39&gt;=4,(01_Supuestos!$I$85*75_Bonos_AFJ!$J$34+01_Supuestos!$I$87*75_Bonos_AFJ!$J$35)*0.97^(F$39-4)+01_Supuestos!$I$21*75_Bonos_AFJ!$J$35*(1-0.97^(F$39-3))/0.03,0))/1000000000000</f>
        <v>0.20542203572539</v>
      </c>
      <c r="G137" s="116" t="n">
        <f aca="false">(IF(G$39&gt;=2,01_Supuestos!$I$65*75_Bonos_AFJ!$J$33*0.97^(G$39-2),0)+IF(G$39&gt;=4,(01_Supuestos!$I$85*75_Bonos_AFJ!$J$34+01_Supuestos!$I$87*75_Bonos_AFJ!$J$35)*0.97^(G$39-4)+01_Supuestos!$I$21*75_Bonos_AFJ!$J$35*(1-0.97^(G$39-3))/0.03,0))/1000000000000</f>
        <v>0.208136869653628</v>
      </c>
      <c r="H137" s="116" t="n">
        <f aca="false">(IF(H$39&gt;=2,01_Supuestos!$I$65*75_Bonos_AFJ!$J$33*0.97^(H$39-2),0)+IF(H$39&gt;=4,(01_Supuestos!$I$85*75_Bonos_AFJ!$J$34+01_Supuestos!$I$87*75_Bonos_AFJ!$J$35)*0.97^(H$39-4)+01_Supuestos!$I$21*75_Bonos_AFJ!$J$35*(1-0.97^(H$39-3))/0.03,0))/1000000000000</f>
        <v>0.210770258564019</v>
      </c>
      <c r="I137" s="116" t="n">
        <f aca="false">(IF(I$39&gt;=2,01_Supuestos!$I$65*75_Bonos_AFJ!$J$33*0.97^(I$39-2),0)+IF(I$39&gt;=4,(01_Supuestos!$I$85*75_Bonos_AFJ!$J$34+01_Supuestos!$I$87*75_Bonos_AFJ!$J$35)*0.97^(I$39-4)+01_Supuestos!$I$21*75_Bonos_AFJ!$J$35*(1-0.97^(I$39-3))/0.03,0))/1000000000000</f>
        <v>0.213324645807099</v>
      </c>
      <c r="J137" s="116" t="n">
        <f aca="false">(IF(J$39&gt;=2,01_Supuestos!$I$65*75_Bonos_AFJ!$J$33*0.97^(J$39-2),0)+IF(J$39&gt;=4,(01_Supuestos!$I$85*75_Bonos_AFJ!$J$34+01_Supuestos!$I$87*75_Bonos_AFJ!$J$35)*0.97^(J$39-4)+01_Supuestos!$I$21*75_Bonos_AFJ!$J$35*(1-0.97^(J$39-3))/0.03,0))/1000000000000</f>
        <v>0.215802401432886</v>
      </c>
      <c r="K137" s="116" t="n">
        <f aca="false">(IF(K$39&gt;=2,01_Supuestos!$I$65*75_Bonos_AFJ!$J$33*0.97^(K$39-2),0)+IF(K$39&gt;=4,(01_Supuestos!$I$85*75_Bonos_AFJ!$J$34+01_Supuestos!$I$87*75_Bonos_AFJ!$J$35)*0.97^(K$39-4)+01_Supuestos!$I$21*75_Bonos_AFJ!$J$35*(1-0.97^(K$39-3))/0.03,0))/1000000000000</f>
        <v>0.218205824389899</v>
      </c>
      <c r="L137" s="116" t="n">
        <f aca="false">(IF(L$39&gt;=2,01_Supuestos!$I$65*75_Bonos_AFJ!$J$33*0.97^(L$39-2),0)+IF(L$39&gt;=4,(01_Supuestos!$I$85*75_Bonos_AFJ!$J$34+01_Supuestos!$I$87*75_Bonos_AFJ!$J$35)*0.97^(L$39-4)+01_Supuestos!$I$21*75_Bonos_AFJ!$J$35*(1-0.97^(L$39-3))/0.03,0))/1000000000000</f>
        <v>0.220537144658202</v>
      </c>
      <c r="M137" s="116" t="n">
        <f aca="false">(IF(M$39&gt;=2,01_Supuestos!$I$65*75_Bonos_AFJ!$J$33*0.97^(M$39-2),0)+IF(M$39&gt;=4,(01_Supuestos!$I$85*75_Bonos_AFJ!$J$34+01_Supuestos!$I$87*75_Bonos_AFJ!$J$35)*0.97^(M$39-4)+01_Supuestos!$I$21*75_Bonos_AFJ!$J$35*(1-0.97^(M$39-3))/0.03,0))/1000000000000</f>
        <v>0.222798525318456</v>
      </c>
      <c r="N137" s="116" t="n">
        <f aca="false">(IF(N$39&gt;=2,01_Supuestos!$I$65*75_Bonos_AFJ!$J$33*0.97^(N$39-2),0)+IF(N$39&gt;=4,(01_Supuestos!$I$85*75_Bonos_AFJ!$J$34+01_Supuestos!$I$87*75_Bonos_AFJ!$J$35)*0.97^(N$39-4)+01_Supuestos!$I$21*75_Bonos_AFJ!$J$35*(1-0.97^(N$39-3))/0.03,0))/1000000000000</f>
        <v>0.224992064558903</v>
      </c>
      <c r="O137" s="116" t="n">
        <f aca="false">(IF(O$39&gt;=2,01_Supuestos!$I$65*75_Bonos_AFJ!$J$33*0.97^(O$39-2),0)+IF(O$39&gt;=4,(01_Supuestos!$I$85*75_Bonos_AFJ!$J$34+01_Supuestos!$I$87*75_Bonos_AFJ!$J$35)*0.97^(O$39-4)+01_Supuestos!$I$21*75_Bonos_AFJ!$J$35*(1-0.97^(O$39-3))/0.03,0))/1000000000000</f>
        <v>0.227119797622136</v>
      </c>
      <c r="P137" s="116" t="n">
        <f aca="false">(IF(P$39&gt;=2,01_Supuestos!$I$65*75_Bonos_AFJ!$J$33*0.97^(P$39-2),0)+IF(P$39&gt;=4,(01_Supuestos!$I$85*75_Bonos_AFJ!$J$34+01_Supuestos!$I$87*75_Bonos_AFJ!$J$35)*0.97^(P$39-4)+01_Supuestos!$I$21*75_Bonos_AFJ!$J$35*(1-0.97^(P$39-3))/0.03,0))/1000000000000</f>
        <v>0.229183698693471</v>
      </c>
      <c r="Q137" s="116" t="n">
        <f aca="false">(IF(Q$39&gt;=2,01_Supuestos!$I$65*75_Bonos_AFJ!$J$33*0.97^(Q$39-2),0)+IF(Q$39&gt;=4,(01_Supuestos!$I$85*75_Bonos_AFJ!$J$34+01_Supuestos!$I$87*75_Bonos_AFJ!$J$35)*0.97^(Q$39-4)+01_Supuestos!$I$21*75_Bonos_AFJ!$J$35*(1-0.97^(Q$39-3))/0.03,0))/1000000000000</f>
        <v>0.231185682732667</v>
      </c>
      <c r="R137" s="116" t="n">
        <f aca="false">(IF(R$39&gt;=2,01_Supuestos!$I$65*75_Bonos_AFJ!$J$33*0.97^(R$39-2),0)+IF(R$39&gt;=4,(01_Supuestos!$I$85*75_Bonos_AFJ!$J$34+01_Supuestos!$I$87*75_Bonos_AFJ!$J$35)*0.97^(R$39-4)+01_Supuestos!$I$21*75_Bonos_AFJ!$J$35*(1-0.97^(R$39-3))/0.03,0))/1000000000000</f>
        <v>0.233127607250687</v>
      </c>
      <c r="S137" s="116" t="n">
        <f aca="false">(IF(S$39&gt;=2,01_Supuestos!$I$65*75_Bonos_AFJ!$J$33*0.97^(S$39-2),0)+IF(S$39&gt;=4,(01_Supuestos!$I$85*75_Bonos_AFJ!$J$34+01_Supuestos!$I$87*75_Bonos_AFJ!$J$35)*0.97^(S$39-4)+01_Supuestos!$I$21*75_Bonos_AFJ!$J$35*(1-0.97^(S$39-3))/0.03,0))/1000000000000</f>
        <v>0.235011274033167</v>
      </c>
      <c r="T137" s="116" t="n">
        <f aca="false">(IF(T$39&gt;=2,01_Supuestos!$I$65*75_Bonos_AFJ!$J$33*0.97^(T$39-2),0)+IF(T$39&gt;=4,(01_Supuestos!$I$85*75_Bonos_AFJ!$J$34+01_Supuestos!$I$87*75_Bonos_AFJ!$J$35)*0.97^(T$39-4)+01_Supuestos!$I$21*75_Bonos_AFJ!$J$35*(1-0.97^(T$39-3))/0.03,0))/1000000000000</f>
        <v>0.236838430812172</v>
      </c>
      <c r="U137" s="116" t="n">
        <f aca="false">(IF(U$39&gt;=2,01_Supuestos!$I$65*75_Bonos_AFJ!$J$33*0.97^(U$39-2),0)+IF(U$39&gt;=4,(01_Supuestos!$I$85*75_Bonos_AFJ!$J$34+01_Supuestos!$I$87*75_Bonos_AFJ!$J$35)*0.97^(U$39-4)+01_Supuestos!$I$21*75_Bonos_AFJ!$J$35*(1-0.97^(U$39-3))/0.03,0))/1000000000000</f>
        <v>0.238610772887807</v>
      </c>
      <c r="V137" s="116" t="n">
        <f aca="false">(IF(V$39&gt;=2,01_Supuestos!$I$65*75_Bonos_AFJ!$J$33*0.97^(V$39-2),0)+IF(V$39&gt;=4,(01_Supuestos!$I$85*75_Bonos_AFJ!$J$34+01_Supuestos!$I$87*75_Bonos_AFJ!$J$35)*0.97^(V$39-4)+01_Supuestos!$I$21*75_Bonos_AFJ!$J$35*(1-0.97^(V$39-3))/0.03,0))/1000000000000</f>
        <v>0.240329944701172</v>
      </c>
      <c r="W137" s="116" t="n">
        <f aca="false">(IF(W$39&gt;=2,01_Supuestos!$I$65*75_Bonos_AFJ!$J$33*0.97^(W$39-2),0)+IF(W$39&gt;=4,(01_Supuestos!$I$85*75_Bonos_AFJ!$J$34+01_Supuestos!$I$87*75_Bonos_AFJ!$J$35)*0.97^(W$39-4)+01_Supuestos!$I$21*75_Bonos_AFJ!$J$35*(1-0.97^(W$39-3))/0.03,0))/1000000000000</f>
        <v>0.241997541360137</v>
      </c>
      <c r="X137" s="116" t="n">
        <f aca="false">(IF(X$39&gt;=2,01_Supuestos!$I$65*75_Bonos_AFJ!$J$33*0.97^(X$39-2),0)+IF(X$39&gt;=4,(01_Supuestos!$I$85*75_Bonos_AFJ!$J$34+01_Supuestos!$I$87*75_Bonos_AFJ!$J$35)*0.97^(X$39-4)+01_Supuestos!$I$21*75_Bonos_AFJ!$J$35*(1-0.97^(X$39-3))/0.03,0))/1000000000000</f>
        <v>0.243615110119333</v>
      </c>
      <c r="Y137" s="116" t="n">
        <f aca="false">(IF(Y$39&gt;=2,01_Supuestos!$I$65*75_Bonos_AFJ!$J$33*0.97^(Y$39-2),0)+IF(Y$39&gt;=4,(01_Supuestos!$I$85*75_Bonos_AFJ!$J$34+01_Supuestos!$I$87*75_Bonos_AFJ!$J$35)*0.97^(Y$39-4)+01_Supuestos!$I$21*75_Bonos_AFJ!$J$35*(1-0.97^(Y$39-3))/0.03,0))/1000000000000</f>
        <v>0.245184151815753</v>
      </c>
      <c r="Z137" s="116" t="n">
        <f aca="false">(IF(Z$39&gt;=2,01_Supuestos!$I$65*75_Bonos_AFJ!$J$33*0.97^(Z$39-2),0)+IF(Z$39&gt;=4,(01_Supuestos!$I$85*75_Bonos_AFJ!$J$34+01_Supuestos!$I$87*75_Bonos_AFJ!$J$35)*0.97^(Z$39-4)+01_Supuestos!$I$21*75_Bonos_AFJ!$J$35*(1-0.97^(Z$39-3))/0.03,0))/1000000000000</f>
        <v>0.246706122261281</v>
      </c>
      <c r="AA137" s="116" t="n">
        <f aca="false">(IF(AA$39&gt;=2,01_Supuestos!$I$65*75_Bonos_AFJ!$J$33*0.97^(AA$39-2),0)+IF(AA$39&gt;=4,(01_Supuestos!$I$85*75_Bonos_AFJ!$J$34+01_Supuestos!$I$87*75_Bonos_AFJ!$J$35)*0.97^(AA$39-4)+01_Supuestos!$I$21*75_Bonos_AFJ!$J$35*(1-0.97^(AA$39-3))/0.03,0))/1000000000000</f>
        <v>0.248182433593442</v>
      </c>
      <c r="AB137" s="116" t="n">
        <f aca="false">(IF(AB$39&gt;=2,01_Supuestos!$I$65*75_Bonos_AFJ!$J$33*0.97^(AB$39-2),0)+IF(AB$39&gt;=4,(01_Supuestos!$I$85*75_Bonos_AFJ!$J$34+01_Supuestos!$I$87*75_Bonos_AFJ!$J$35)*0.97^(AB$39-4)+01_Supuestos!$I$21*75_Bonos_AFJ!$J$35*(1-0.97^(AB$39-3))/0.03,0))/1000000000000</f>
        <v>0.249614455585639</v>
      </c>
      <c r="AC137" s="116" t="n">
        <f aca="false">(IF(AC$39&gt;=2,01_Supuestos!$I$65*75_Bonos_AFJ!$J$33*0.97^(AC$39-2),0)+IF(AC$39&gt;=4,(01_Supuestos!$I$85*75_Bonos_AFJ!$J$34+01_Supuestos!$I$87*75_Bonos_AFJ!$J$35)*0.97^(AC$39-4)+01_Supuestos!$I$21*75_Bonos_AFJ!$J$35*(1-0.97^(AC$39-3))/0.03,0))/1000000000000</f>
        <v>0.25100351691807</v>
      </c>
      <c r="AD137" s="116" t="n">
        <f aca="false">(IF(AD$39&gt;=2,01_Supuestos!$I$65*75_Bonos_AFJ!$J$33*0.97^(AD$39-2),0)+IF(AD$39&gt;=4,(01_Supuestos!$I$85*75_Bonos_AFJ!$J$34+01_Supuestos!$I$87*75_Bonos_AFJ!$J$35)*0.97^(AD$39-4)+01_Supuestos!$I$21*75_Bonos_AFJ!$J$35*(1-0.97^(AD$39-3))/0.03,0))/1000000000000</f>
        <v>0.252350906410528</v>
      </c>
      <c r="AE137" s="116" t="n">
        <f aca="false">(IF(AE$39&gt;=2,01_Supuestos!$I$65*75_Bonos_AFJ!$J$33*0.97^(AE$39-2),0)+IF(AE$39&gt;=4,(01_Supuestos!$I$85*75_Bonos_AFJ!$J$34+01_Supuestos!$I$87*75_Bonos_AFJ!$J$35)*0.97^(AE$39-4)+01_Supuestos!$I$21*75_Bonos_AFJ!$J$35*(1-0.97^(AE$39-3))/0.03,0))/1000000000000</f>
        <v>0.253657874218212</v>
      </c>
      <c r="AF137" s="116" t="n">
        <f aca="false">(IF(AF$39&gt;=2,01_Supuestos!$I$65*75_Bonos_AFJ!$J$33*0.97^(AF$39-2),0)+IF(AF$39&gt;=4,(01_Supuestos!$I$85*75_Bonos_AFJ!$J$34+01_Supuestos!$I$87*75_Bonos_AFJ!$J$35)*0.97^(AF$39-4)+01_Supuestos!$I$21*75_Bonos_AFJ!$J$35*(1-0.97^(AF$39-3))/0.03,0))/1000000000000</f>
        <v>0.254925632991665</v>
      </c>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row>
    <row r="138" customFormat="false" ht="15" hidden="false" customHeight="true" outlineLevel="0" collapsed="false">
      <c r="B138" s="134" t="s">
        <v>1146</v>
      </c>
      <c r="C138" s="116" t="n">
        <f aca="false">C59</f>
        <v>0</v>
      </c>
      <c r="D138" s="116" t="n">
        <f aca="false">D59</f>
        <v>0</v>
      </c>
      <c r="E138" s="116" t="n">
        <f aca="false">E59</f>
        <v>0</v>
      </c>
      <c r="F138" s="116" t="n">
        <f aca="false">F59</f>
        <v>0</v>
      </c>
      <c r="G138" s="116" t="n">
        <f aca="false">G59</f>
        <v>0</v>
      </c>
      <c r="H138" s="116" t="n">
        <f aca="false">H59</f>
        <v>0</v>
      </c>
      <c r="I138" s="116" t="n">
        <f aca="false">I59</f>
        <v>0</v>
      </c>
      <c r="J138" s="116" t="n">
        <f aca="false">J59</f>
        <v>0</v>
      </c>
      <c r="K138" s="116" t="n">
        <f aca="false">K59</f>
        <v>0</v>
      </c>
      <c r="L138" s="116" t="n">
        <f aca="false">L59</f>
        <v>0</v>
      </c>
      <c r="M138" s="116" t="n">
        <f aca="false">M59</f>
        <v>0</v>
      </c>
      <c r="N138" s="116" t="n">
        <f aca="false">N59</f>
        <v>0</v>
      </c>
      <c r="O138" s="116" t="n">
        <f aca="false">O59</f>
        <v>0</v>
      </c>
      <c r="P138" s="116" t="n">
        <f aca="false">P59</f>
        <v>0</v>
      </c>
      <c r="Q138" s="116" t="n">
        <f aca="false">Q59</f>
        <v>0</v>
      </c>
      <c r="R138" s="116" t="n">
        <f aca="false">R59</f>
        <v>0</v>
      </c>
      <c r="S138" s="116" t="n">
        <f aca="false">S59</f>
        <v>0</v>
      </c>
      <c r="T138" s="116" t="n">
        <f aca="false">T59</f>
        <v>0</v>
      </c>
      <c r="U138" s="116" t="n">
        <f aca="false">U59</f>
        <v>0</v>
      </c>
      <c r="V138" s="116" t="n">
        <f aca="false">V59</f>
        <v>0</v>
      </c>
      <c r="W138" s="116" t="n">
        <f aca="false">W59</f>
        <v>0</v>
      </c>
      <c r="X138" s="116" t="n">
        <f aca="false">X59</f>
        <v>0</v>
      </c>
      <c r="Y138" s="116" t="n">
        <f aca="false">Y59</f>
        <v>0</v>
      </c>
      <c r="Z138" s="116" t="n">
        <f aca="false">Z59</f>
        <v>0</v>
      </c>
      <c r="AA138" s="116" t="n">
        <f aca="false">AA59</f>
        <v>0</v>
      </c>
      <c r="AB138" s="116" t="n">
        <f aca="false">AB59</f>
        <v>0</v>
      </c>
      <c r="AC138" s="116" t="n">
        <f aca="false">AC59</f>
        <v>0</v>
      </c>
      <c r="AD138" s="116" t="n">
        <f aca="false">AD59</f>
        <v>0</v>
      </c>
      <c r="AE138" s="116" t="n">
        <f aca="false">AE59</f>
        <v>0</v>
      </c>
      <c r="AF138" s="116" t="n">
        <f aca="false">AF59</f>
        <v>0</v>
      </c>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row>
    <row r="139" customFormat="false" ht="15" hidden="false" customHeight="true" outlineLevel="0" collapsed="false">
      <c r="B139" s="134" t="s">
        <v>1147</v>
      </c>
      <c r="C139" s="116" t="n">
        <f aca="false">(1-C55)*C88</f>
        <v>0.0174310731235341</v>
      </c>
      <c r="D139" s="116" t="n">
        <f aca="false">(1-D55)*D88</f>
        <v>0.0455351364151786</v>
      </c>
      <c r="E139" s="116" t="n">
        <f aca="false">(1-E55)*E88</f>
        <v>0.0799724813214286</v>
      </c>
      <c r="F139" s="116" t="n">
        <f aca="false">(1-F55)*F88</f>
        <v>0.115201885160522</v>
      </c>
      <c r="G139" s="116" t="n">
        <f aca="false">(1-G55)*G88</f>
        <v>0.151241565287915</v>
      </c>
      <c r="H139" s="116" t="n">
        <f aca="false">(1-H55)*H88</f>
        <v>0.188110158058238</v>
      </c>
      <c r="I139" s="116" t="n">
        <f aca="false">(1-I55)*I88</f>
        <v>0.225826728462279</v>
      </c>
      <c r="J139" s="116" t="n">
        <f aca="false">(1-J55)*J88</f>
        <v>0.264410779985612</v>
      </c>
      <c r="K139" s="116" t="n">
        <f aca="false">(1-K55)*K88</f>
        <v>0.303882264693982</v>
      </c>
      <c r="L139" s="116" t="n">
        <f aca="false">(1-L55)*L88</f>
        <v>0.344261593550644</v>
      </c>
      <c r="M139" s="116" t="n">
        <f aca="false">(1-M55)*M88</f>
        <v>0.38556964697101</v>
      </c>
      <c r="N139" s="116" t="n">
        <f aca="false">(1-N55)*N88</f>
        <v>0.410275445015622</v>
      </c>
      <c r="O139" s="116" t="n">
        <f aca="false">(1-O55)*O88</f>
        <v>0.419711780250981</v>
      </c>
      <c r="P139" s="116" t="n">
        <f aca="false">(1-P55)*P88</f>
        <v>0.429365151196754</v>
      </c>
      <c r="Q139" s="116" t="n">
        <f aca="false">(1-Q55)*Q88</f>
        <v>0.439240549674279</v>
      </c>
      <c r="R139" s="116" t="n">
        <f aca="false">(1-R55)*R88</f>
        <v>0.449343082316788</v>
      </c>
      <c r="S139" s="116" t="n">
        <f aca="false">(1-S55)*S88</f>
        <v>0.459677973210074</v>
      </c>
      <c r="T139" s="116" t="n">
        <f aca="false">(1-T55)*T88</f>
        <v>0.470250566593905</v>
      </c>
      <c r="U139" s="116" t="n">
        <f aca="false">(1-U55)*U88</f>
        <v>0.481066329625565</v>
      </c>
      <c r="V139" s="116" t="n">
        <f aca="false">(1-V55)*V88</f>
        <v>0.489788304026687</v>
      </c>
      <c r="W139" s="116" t="n">
        <f aca="false">(1-W55)*W88</f>
        <v>0.497058889577323</v>
      </c>
      <c r="X139" s="116" t="n">
        <f aca="false">(1-X55)*X88</f>
        <v>0.504180761486916</v>
      </c>
      <c r="Y139" s="116" t="n">
        <f aca="false">(1-Y55)*Y88</f>
        <v>0.511153529371992</v>
      </c>
      <c r="Z139" s="116" t="n">
        <f aca="false">(1-Z55)*Z88</f>
        <v>0.517976815777436</v>
      </c>
      <c r="AA139" s="116" t="n">
        <f aca="false">(1-AA55)*AA88</f>
        <v>0.524650255297415</v>
      </c>
      <c r="AB139" s="116" t="n">
        <f aca="false">(1-AB55)*AB88</f>
        <v>0.531173493732048</v>
      </c>
      <c r="AC139" s="116" t="n">
        <f aca="false">(1-AC55)*AC88</f>
        <v>0.537546187277738</v>
      </c>
      <c r="AD139" s="116" t="n">
        <f aca="false">(1-AD55)*AD88</f>
        <v>0.54376800174918</v>
      </c>
      <c r="AE139" s="116" t="n">
        <f aca="false">(1-AE55)*AE88</f>
        <v>0.549838611831164</v>
      </c>
      <c r="AF139" s="116" t="n">
        <f aca="false">(1-AF55)*AF88</f>
        <v>0.555757700358341</v>
      </c>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row>
    <row r="140" customFormat="false" ht="15" hidden="false" customHeight="true" outlineLevel="0" collapsed="false">
      <c r="B140" s="135" t="s">
        <v>1148</v>
      </c>
      <c r="C140" s="116" t="n">
        <f aca="false">SUM(C133:C139)</f>
        <v>-18.8138689268765</v>
      </c>
      <c r="D140" s="116" t="n">
        <f aca="false">SUM(D133:D139)</f>
        <v>-18.7444779704848</v>
      </c>
      <c r="E140" s="116" t="n">
        <f aca="false">SUM(E133:E139)</f>
        <v>-18.7395004823716</v>
      </c>
      <c r="F140" s="116" t="n">
        <f aca="false">SUM(F133:F139)</f>
        <v>-18.5929490478641</v>
      </c>
      <c r="G140" s="116" t="n">
        <f aca="false">SUM(G133:G139)</f>
        <v>-18.3457163934762</v>
      </c>
      <c r="H140" s="116" t="n">
        <f aca="false">SUM(H133:H139)</f>
        <v>-18.1561458010026</v>
      </c>
      <c r="I140" s="116" t="n">
        <f aca="false">SUM(I133:I139)</f>
        <v>-18.0047480510998</v>
      </c>
      <c r="J140" s="116" t="n">
        <f aca="false">SUM(J133:J139)</f>
        <v>-17.8851207849238</v>
      </c>
      <c r="K140" s="116" t="n">
        <f aca="false">SUM(K133:K139)</f>
        <v>-17.8909620053101</v>
      </c>
      <c r="L140" s="116" t="n">
        <f aca="false">SUM(L133:L139)</f>
        <v>-17.8947195803092</v>
      </c>
      <c r="M140" s="116" t="n">
        <f aca="false">SUM(M133:M139)</f>
        <v>2.70532322115646</v>
      </c>
      <c r="N140" s="116" t="n">
        <f aca="false">SUM(N133:N139)</f>
        <v>2.69250312349484</v>
      </c>
      <c r="O140" s="116" t="n">
        <f aca="false">SUM(O133:O139)</f>
        <v>2.66879421461167</v>
      </c>
      <c r="P140" s="116" t="n">
        <f aca="false">SUM(P133:P139)</f>
        <v>2.65343974326367</v>
      </c>
      <c r="Q140" s="116" t="n">
        <f aca="false">SUM(Q133:Q139)</f>
        <v>2.6458397681014</v>
      </c>
      <c r="R140" s="116" t="n">
        <f aca="false">SUM(R133:R139)</f>
        <v>2.64308647661163</v>
      </c>
      <c r="S140" s="116" t="n">
        <f aca="false">SUM(S133:S139)</f>
        <v>2.64364331663254</v>
      </c>
      <c r="T140" s="116" t="n">
        <f aca="false">SUM(T133:T139)</f>
        <v>2.64623992496379</v>
      </c>
      <c r="U140" s="116" t="n">
        <f aca="false">SUM(U133:U139)</f>
        <v>2.6465276103761</v>
      </c>
      <c r="V140" s="116" t="n">
        <f aca="false">SUM(V133:V139)</f>
        <v>2.64221145653661</v>
      </c>
      <c r="W140" s="116" t="n">
        <f aca="false">SUM(W133:W139)</f>
        <v>2.63397100611304</v>
      </c>
      <c r="X140" s="116" t="n">
        <f aca="false">SUM(X133:X139)</f>
        <v>2.62314143803128</v>
      </c>
      <c r="Y140" s="116" t="n">
        <f aca="false">SUM(Y133:Y139)</f>
        <v>2.6097504681837</v>
      </c>
      <c r="Z140" s="116" t="n">
        <f aca="false">SUM(Z133:Z139)</f>
        <v>2.59382165266247</v>
      </c>
      <c r="AA140" s="116" t="n">
        <f aca="false">SUM(AA133:AA139)</f>
        <v>2.5753745956373</v>
      </c>
      <c r="AB140" s="116" t="n">
        <f aca="false">SUM(AB133:AB139)</f>
        <v>2.55442514230743</v>
      </c>
      <c r="AC140" s="116" t="n">
        <f aca="false">SUM(AC133:AC139)</f>
        <v>2.5309855578544</v>
      </c>
      <c r="AD140" s="116" t="n">
        <f aca="false">SUM(AD133:AD139)</f>
        <v>2.50506469326131</v>
      </c>
      <c r="AE140" s="116" t="n">
        <f aca="false">SUM(AE133:AE139)</f>
        <v>2.4766681388075</v>
      </c>
      <c r="AF140" s="116" t="n">
        <f aca="false">SUM(AF133:AF139)</f>
        <v>2.44579836599407</v>
      </c>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row>
    <row r="141" customFormat="false" ht="15" hidden="false" customHeight="true" outlineLevel="0" collapsed="false">
      <c r="B141" s="135" t="s">
        <v>1149</v>
      </c>
      <c r="C141" s="116" t="n">
        <f aca="false">-C85*01_Supuestos!$I$126</f>
        <v>-0.0567681733074377</v>
      </c>
      <c r="D141" s="116" t="n">
        <f aca="false">-D85*01_Supuestos!$I$126</f>
        <v>-0.150098745513188</v>
      </c>
      <c r="E141" s="116" t="n">
        <f aca="false">-E85*01_Supuestos!$I$126</f>
        <v>-0.275940620144396</v>
      </c>
      <c r="F141" s="116" t="n">
        <f aca="false">-F85*01_Supuestos!$I$126</f>
        <v>-0.564673171536131</v>
      </c>
      <c r="G141" s="116" t="n">
        <f aca="false">-G85*01_Supuestos!$I$126</f>
        <v>-0.853403030046319</v>
      </c>
      <c r="H141" s="116" t="n">
        <f aca="false">-H85*01_Supuestos!$I$126</f>
        <v>-1.09205310431935</v>
      </c>
      <c r="I141" s="116" t="n">
        <f aca="false">-I85*01_Supuestos!$I$126</f>
        <v>-1.30082516177712</v>
      </c>
      <c r="J141" s="116" t="n">
        <f aca="false">-J85*01_Supuestos!$I$126</f>
        <v>-1.48376640618287</v>
      </c>
      <c r="K141" s="116" t="n">
        <f aca="false">-K85*01_Supuestos!$I$126</f>
        <v>-1.5441777315838</v>
      </c>
      <c r="L141" s="116" t="n">
        <f aca="false">-L85*01_Supuestos!$I$126</f>
        <v>-1.60463789379557</v>
      </c>
      <c r="M141" s="116" t="n">
        <f aca="false">-M85*01_Supuestos!$I$126</f>
        <v>-1.28371031503645</v>
      </c>
      <c r="N141" s="116" t="n">
        <f aca="false">-N85*01_Supuestos!$I$126</f>
        <v>-1.07566051492033</v>
      </c>
      <c r="O141" s="116" t="n">
        <f aca="false">-O85*01_Supuestos!$I$126</f>
        <v>-1.10978965375481</v>
      </c>
      <c r="P141" s="116" t="n">
        <f aca="false">-P85*01_Supuestos!$I$126</f>
        <v>-1.14023700015497</v>
      </c>
      <c r="Q141" s="116" t="n">
        <f aca="false">-Q85*01_Supuestos!$I$126</f>
        <v>-1.16717333994385</v>
      </c>
      <c r="R141" s="116" t="n">
        <f aca="false">-R85*01_Supuestos!$I$126</f>
        <v>-1.19108132676148</v>
      </c>
      <c r="S141" s="116" t="n">
        <f aca="false">-S85*01_Supuestos!$I$126</f>
        <v>-1.21245262457921</v>
      </c>
      <c r="T141" s="116" t="n">
        <f aca="false">-T85*01_Supuestos!$I$126</f>
        <v>-1.23217394670322</v>
      </c>
      <c r="U141" s="116" t="n">
        <f aca="false">-U85*01_Supuestos!$I$126</f>
        <v>-1.25199994382172</v>
      </c>
      <c r="V141" s="116" t="n">
        <f aca="false">-V85*01_Supuestos!$I$126</f>
        <v>-1.27191890602633</v>
      </c>
      <c r="W141" s="116" t="n">
        <f aca="false">-W85*01_Supuestos!$I$126</f>
        <v>-1.29148888104823</v>
      </c>
      <c r="X141" s="116" t="n">
        <f aca="false">-X85*01_Supuestos!$I$126</f>
        <v>-1.31069862161735</v>
      </c>
      <c r="Y141" s="116" t="n">
        <f aca="false">-Y85*01_Supuestos!$I$126</f>
        <v>-1.3295369179021</v>
      </c>
      <c r="Z141" s="116" t="n">
        <f aca="false">-Z85*01_Supuestos!$I$126</f>
        <v>-1.34799259512861</v>
      </c>
      <c r="AA141" s="116" t="n">
        <f aca="false">-AA85*01_Supuestos!$I$126</f>
        <v>-1.36605451130103</v>
      </c>
      <c r="AB141" s="116" t="n">
        <f aca="false">-AB85*01_Supuestos!$I$126</f>
        <v>-1.38372176522582</v>
      </c>
      <c r="AC141" s="116" t="n">
        <f aca="false">-AC85*01_Supuestos!$I$126</f>
        <v>-1.40099348420884</v>
      </c>
      <c r="AD141" s="116" t="n">
        <f aca="false">-AD85*01_Supuestos!$I$126</f>
        <v>-1.4178688220458</v>
      </c>
      <c r="AE141" s="116" t="n">
        <f aca="false">-AE85*01_Supuestos!$I$126</f>
        <v>-1.43434695709257</v>
      </c>
      <c r="AF141" s="116" t="n">
        <f aca="false">-AF85*01_Supuestos!$I$126</f>
        <v>-1.45042709041061</v>
      </c>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row>
    <row r="142" customFormat="false" ht="15" hidden="false" customHeight="true" outlineLevel="0" collapsed="false">
      <c r="B142" s="135" t="s">
        <v>1150</v>
      </c>
      <c r="C142" s="116" t="n">
        <f aca="false">C85*01_Supuestos!$I$101</f>
        <v>0.0383185169825205</v>
      </c>
      <c r="D142" s="116" t="n">
        <f aca="false">D85*01_Supuestos!$I$101</f>
        <v>0.101316653221402</v>
      </c>
      <c r="E142" s="116" t="n">
        <f aca="false">E85*01_Supuestos!$I$101</f>
        <v>0.186259918597467</v>
      </c>
      <c r="F142" s="116" t="n">
        <f aca="false">F85*01_Supuestos!$I$101</f>
        <v>0.381154390786888</v>
      </c>
      <c r="G142" s="116" t="n">
        <f aca="false">G85*01_Supuestos!$I$101</f>
        <v>0.576047045281265</v>
      </c>
      <c r="H142" s="116" t="n">
        <f aca="false">H85*01_Supuestos!$I$101</f>
        <v>0.73713584541556</v>
      </c>
      <c r="I142" s="116" t="n">
        <f aca="false">I85*01_Supuestos!$I$101</f>
        <v>0.878056984199556</v>
      </c>
      <c r="J142" s="116" t="n">
        <f aca="false">J85*01_Supuestos!$I$101</f>
        <v>1.00154232417343</v>
      </c>
      <c r="K142" s="116" t="n">
        <f aca="false">K85*01_Supuestos!$I$101</f>
        <v>1.04231996881907</v>
      </c>
      <c r="L142" s="116" t="n">
        <f aca="false">L85*01_Supuestos!$I$101</f>
        <v>1.08313057831201</v>
      </c>
      <c r="M142" s="116" t="n">
        <f aca="false">M85*01_Supuestos!$I$101</f>
        <v>0.866504462649606</v>
      </c>
      <c r="N142" s="116" t="n">
        <f aca="false">N85*01_Supuestos!$I$101</f>
        <v>0.726070847571223</v>
      </c>
      <c r="O142" s="116" t="n">
        <f aca="false">O85*01_Supuestos!$I$101</f>
        <v>0.749108016284498</v>
      </c>
      <c r="P142" s="116" t="n">
        <f aca="false">P85*01_Supuestos!$I$101</f>
        <v>0.769659975104602</v>
      </c>
      <c r="Q142" s="116" t="n">
        <f aca="false">Q85*01_Supuestos!$I$101</f>
        <v>0.787842004462097</v>
      </c>
      <c r="R142" s="116" t="n">
        <f aca="false">R85*01_Supuestos!$I$101</f>
        <v>0.803979895563999</v>
      </c>
      <c r="S142" s="116" t="n">
        <f aca="false">S85*01_Supuestos!$I$101</f>
        <v>0.818405521590968</v>
      </c>
      <c r="T142" s="116" t="n">
        <f aca="false">T85*01_Supuestos!$I$101</f>
        <v>0.831717414024673</v>
      </c>
      <c r="U142" s="116" t="n">
        <f aca="false">U85*01_Supuestos!$I$101</f>
        <v>0.845099962079659</v>
      </c>
      <c r="V142" s="116" t="n">
        <f aca="false">V85*01_Supuestos!$I$101</f>
        <v>0.858545261567772</v>
      </c>
      <c r="W142" s="116" t="n">
        <f aca="false">W85*01_Supuestos!$I$101</f>
        <v>0.871754994707557</v>
      </c>
      <c r="X142" s="116" t="n">
        <f aca="false">X85*01_Supuestos!$I$101</f>
        <v>0.884721569591714</v>
      </c>
      <c r="Y142" s="116" t="n">
        <f aca="false">Y85*01_Supuestos!$I$101</f>
        <v>0.89743741958392</v>
      </c>
      <c r="Z142" s="116" t="n">
        <f aca="false">Z85*01_Supuestos!$I$101</f>
        <v>0.90989500171181</v>
      </c>
      <c r="AA142" s="116" t="n">
        <f aca="false">AA85*01_Supuestos!$I$101</f>
        <v>0.922086795128196</v>
      </c>
      <c r="AB142" s="116" t="n">
        <f aca="false">AB85*01_Supuestos!$I$101</f>
        <v>0.93401219152743</v>
      </c>
      <c r="AC142" s="116" t="n">
        <f aca="false">AC85*01_Supuestos!$I$101</f>
        <v>0.945670601840966</v>
      </c>
      <c r="AD142" s="116" t="n">
        <f aca="false">AD85*01_Supuestos!$I$101</f>
        <v>0.957061454880913</v>
      </c>
      <c r="AE142" s="116" t="n">
        <f aca="false">AE85*01_Supuestos!$I$101</f>
        <v>0.968184196037487</v>
      </c>
      <c r="AF142" s="116" t="n">
        <f aca="false">AF85*01_Supuestos!$I$101</f>
        <v>0.979038286027162</v>
      </c>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row>
    <row r="143" customFormat="false" ht="15" hidden="false" customHeight="true" outlineLevel="0" collapsed="false">
      <c r="B143" s="135" t="s">
        <v>1151</v>
      </c>
      <c r="C143" s="116" t="n">
        <f aca="false">C41*((1+$C$14)^C$39-1)</f>
        <v>0</v>
      </c>
      <c r="D143" s="116" t="n">
        <f aca="false">D41*((1+$C$14)^D$39-1)</f>
        <v>0</v>
      </c>
      <c r="E143" s="116" t="n">
        <f aca="false">E41*((1+$C$14)^E$39-1)</f>
        <v>0</v>
      </c>
      <c r="F143" s="116" t="n">
        <f aca="false">F41*((1+$C$14)^F$39-1)</f>
        <v>0</v>
      </c>
      <c r="G143" s="116" t="n">
        <f aca="false">G41*((1+$C$14)^G$39-1)</f>
        <v>0</v>
      </c>
      <c r="H143" s="116" t="n">
        <f aca="false">H41*((1+$C$14)^H$39-1)</f>
        <v>0</v>
      </c>
      <c r="I143" s="116" t="n">
        <f aca="false">I41*((1+$C$14)^I$39-1)</f>
        <v>0</v>
      </c>
      <c r="J143" s="116" t="n">
        <f aca="false">J41*((1+$C$14)^J$39-1)</f>
        <v>0</v>
      </c>
      <c r="K143" s="116" t="n">
        <f aca="false">K41*((1+$C$14)^K$39-1)</f>
        <v>0</v>
      </c>
      <c r="L143" s="116" t="n">
        <f aca="false">L41*((1+$C$14)^L$39-1)</f>
        <v>0</v>
      </c>
      <c r="M143" s="116" t="n">
        <f aca="false">M41*((1+$C$14)^M$39-1)</f>
        <v>0</v>
      </c>
      <c r="N143" s="116" t="n">
        <f aca="false">N41*((1+$C$14)^N$39-1)</f>
        <v>0</v>
      </c>
      <c r="O143" s="116" t="n">
        <f aca="false">O41*((1+$C$14)^O$39-1)</f>
        <v>0</v>
      </c>
      <c r="P143" s="116" t="n">
        <f aca="false">P41*((1+$C$14)^P$39-1)</f>
        <v>0</v>
      </c>
      <c r="Q143" s="116" t="n">
        <f aca="false">Q41*((1+$C$14)^Q$39-1)</f>
        <v>0</v>
      </c>
      <c r="R143" s="116" t="n">
        <f aca="false">R41*((1+$C$14)^R$39-1)</f>
        <v>0</v>
      </c>
      <c r="S143" s="116" t="n">
        <f aca="false">S41*((1+$C$14)^S$39-1)</f>
        <v>0</v>
      </c>
      <c r="T143" s="116" t="n">
        <f aca="false">T41*((1+$C$14)^T$39-1)</f>
        <v>0</v>
      </c>
      <c r="U143" s="116" t="n">
        <f aca="false">U41*((1+$C$14)^U$39-1)</f>
        <v>0</v>
      </c>
      <c r="V143" s="116" t="n">
        <f aca="false">V41*((1+$C$14)^V$39-1)</f>
        <v>0</v>
      </c>
      <c r="W143" s="116" t="n">
        <f aca="false">W41*((1+$C$14)^W$39-1)</f>
        <v>0</v>
      </c>
      <c r="X143" s="116" t="n">
        <f aca="false">X41*((1+$C$14)^X$39-1)</f>
        <v>0</v>
      </c>
      <c r="Y143" s="116" t="n">
        <f aca="false">Y41*((1+$C$14)^Y$39-1)</f>
        <v>0</v>
      </c>
      <c r="Z143" s="116" t="n">
        <f aca="false">Z41*((1+$C$14)^Z$39-1)</f>
        <v>0</v>
      </c>
      <c r="AA143" s="116" t="n">
        <f aca="false">AA41*((1+$C$14)^AA$39-1)</f>
        <v>0</v>
      </c>
      <c r="AB143" s="116" t="n">
        <f aca="false">AB41*((1+$C$14)^AB$39-1)</f>
        <v>0</v>
      </c>
      <c r="AC143" s="116" t="n">
        <f aca="false">AC41*((1+$C$14)^AC$39-1)</f>
        <v>0</v>
      </c>
      <c r="AD143" s="116" t="n">
        <f aca="false">AD41*((1+$C$14)^AD$39-1)</f>
        <v>0</v>
      </c>
      <c r="AE143" s="116" t="n">
        <f aca="false">AE41*((1+$C$14)^AE$39-1)</f>
        <v>0</v>
      </c>
      <c r="AF143" s="116" t="n">
        <f aca="false">AF41*((1+$C$14)^AF$39-1)</f>
        <v>0</v>
      </c>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row>
    <row r="144" customFormat="false" ht="15" hidden="false" customHeight="true" outlineLevel="0" collapsed="false">
      <c r="B144" s="135" t="s">
        <v>1152</v>
      </c>
      <c r="C144" s="116" t="n">
        <f aca="false">$C$33*C143</f>
        <v>0</v>
      </c>
      <c r="D144" s="116" t="n">
        <f aca="false">$C$33*D143</f>
        <v>0</v>
      </c>
      <c r="E144" s="116" t="n">
        <f aca="false">$C$33*E143</f>
        <v>0</v>
      </c>
      <c r="F144" s="116" t="n">
        <f aca="false">$C$33*F143</f>
        <v>0</v>
      </c>
      <c r="G144" s="116" t="n">
        <f aca="false">$C$33*G143</f>
        <v>0</v>
      </c>
      <c r="H144" s="116" t="n">
        <f aca="false">$C$33*H143</f>
        <v>0</v>
      </c>
      <c r="I144" s="116" t="n">
        <f aca="false">$C$33*I143</f>
        <v>0</v>
      </c>
      <c r="J144" s="116" t="n">
        <f aca="false">$C$33*J143</f>
        <v>0</v>
      </c>
      <c r="K144" s="116" t="n">
        <f aca="false">$C$33*K143</f>
        <v>0</v>
      </c>
      <c r="L144" s="116" t="n">
        <f aca="false">$C$33*L143</f>
        <v>0</v>
      </c>
      <c r="M144" s="116" t="n">
        <f aca="false">$C$33*M143</f>
        <v>0</v>
      </c>
      <c r="N144" s="116" t="n">
        <f aca="false">$C$33*N143</f>
        <v>0</v>
      </c>
      <c r="O144" s="116" t="n">
        <f aca="false">$C$33*O143</f>
        <v>0</v>
      </c>
      <c r="P144" s="116" t="n">
        <f aca="false">$C$33*P143</f>
        <v>0</v>
      </c>
      <c r="Q144" s="116" t="n">
        <f aca="false">$C$33*Q143</f>
        <v>0</v>
      </c>
      <c r="R144" s="116" t="n">
        <f aca="false">$C$33*R143</f>
        <v>0</v>
      </c>
      <c r="S144" s="116" t="n">
        <f aca="false">$C$33*S143</f>
        <v>0</v>
      </c>
      <c r="T144" s="116" t="n">
        <f aca="false">$C$33*T143</f>
        <v>0</v>
      </c>
      <c r="U144" s="116" t="n">
        <f aca="false">$C$33*U143</f>
        <v>0</v>
      </c>
      <c r="V144" s="116" t="n">
        <f aca="false">$C$33*V143</f>
        <v>0</v>
      </c>
      <c r="W144" s="116" t="n">
        <f aca="false">$C$33*W143</f>
        <v>0</v>
      </c>
      <c r="X144" s="116" t="n">
        <f aca="false">$C$33*X143</f>
        <v>0</v>
      </c>
      <c r="Y144" s="116" t="n">
        <f aca="false">$C$33*Y143</f>
        <v>0</v>
      </c>
      <c r="Z144" s="116" t="n">
        <f aca="false">$C$33*Z143</f>
        <v>0</v>
      </c>
      <c r="AA144" s="116" t="n">
        <f aca="false">$C$33*AA143</f>
        <v>0</v>
      </c>
      <c r="AB144" s="116" t="n">
        <f aca="false">$C$33*AB143</f>
        <v>0</v>
      </c>
      <c r="AC144" s="116" t="n">
        <f aca="false">$C$33*AC143</f>
        <v>0</v>
      </c>
      <c r="AD144" s="116" t="n">
        <f aca="false">$C$33*AD143</f>
        <v>0</v>
      </c>
      <c r="AE144" s="116" t="n">
        <f aca="false">$C$33*AE143</f>
        <v>0</v>
      </c>
      <c r="AF144" s="116" t="n">
        <f aca="false">$C$33*AF143</f>
        <v>0</v>
      </c>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row>
    <row r="145" customFormat="false" ht="15" hidden="false" customHeight="true" outlineLevel="0" collapsed="false">
      <c r="B145" s="135" t="s">
        <v>1153</v>
      </c>
      <c r="C145" s="116" t="n">
        <f aca="false">$C$34</f>
        <v>0</v>
      </c>
      <c r="D145" s="116" t="n">
        <f aca="false">$C$34</f>
        <v>0</v>
      </c>
      <c r="E145" s="116" t="n">
        <f aca="false">$C$34</f>
        <v>0</v>
      </c>
      <c r="F145" s="116" t="n">
        <f aca="false">$C$34</f>
        <v>0</v>
      </c>
      <c r="G145" s="116" t="n">
        <f aca="false">$C$34</f>
        <v>0</v>
      </c>
      <c r="H145" s="116" t="n">
        <f aca="false">$C$34</f>
        <v>0</v>
      </c>
      <c r="I145" s="116" t="n">
        <f aca="false">$C$34</f>
        <v>0</v>
      </c>
      <c r="J145" s="116" t="n">
        <f aca="false">$C$34</f>
        <v>0</v>
      </c>
      <c r="K145" s="116" t="n">
        <f aca="false">$C$34</f>
        <v>0</v>
      </c>
      <c r="L145" s="116" t="n">
        <f aca="false">$C$34</f>
        <v>0</v>
      </c>
      <c r="M145" s="116" t="n">
        <f aca="false">$C$34</f>
        <v>0</v>
      </c>
      <c r="N145" s="116" t="n">
        <f aca="false">$C$34</f>
        <v>0</v>
      </c>
      <c r="O145" s="116" t="n">
        <f aca="false">$C$34</f>
        <v>0</v>
      </c>
      <c r="P145" s="116" t="n">
        <f aca="false">$C$34</f>
        <v>0</v>
      </c>
      <c r="Q145" s="116" t="n">
        <f aca="false">$C$34</f>
        <v>0</v>
      </c>
      <c r="R145" s="116" t="n">
        <f aca="false">$C$34</f>
        <v>0</v>
      </c>
      <c r="S145" s="116" t="n">
        <f aca="false">$C$34</f>
        <v>0</v>
      </c>
      <c r="T145" s="116" t="n">
        <f aca="false">$C$34</f>
        <v>0</v>
      </c>
      <c r="U145" s="116" t="n">
        <f aca="false">$C$34</f>
        <v>0</v>
      </c>
      <c r="V145" s="116" t="n">
        <f aca="false">$C$34</f>
        <v>0</v>
      </c>
      <c r="W145" s="116" t="n">
        <f aca="false">$C$34</f>
        <v>0</v>
      </c>
      <c r="X145" s="116" t="n">
        <f aca="false">$C$34</f>
        <v>0</v>
      </c>
      <c r="Y145" s="116" t="n">
        <f aca="false">$C$34</f>
        <v>0</v>
      </c>
      <c r="Z145" s="116" t="n">
        <f aca="false">$C$34</f>
        <v>0</v>
      </c>
      <c r="AA145" s="116" t="n">
        <f aca="false">$C$34</f>
        <v>0</v>
      </c>
      <c r="AB145" s="116" t="n">
        <f aca="false">$C$34</f>
        <v>0</v>
      </c>
      <c r="AC145" s="116" t="n">
        <f aca="false">$C$34</f>
        <v>0</v>
      </c>
      <c r="AD145" s="116" t="n">
        <f aca="false">$C$34</f>
        <v>0</v>
      </c>
      <c r="AE145" s="116" t="n">
        <f aca="false">$C$34</f>
        <v>0</v>
      </c>
      <c r="AF145" s="116" t="n">
        <f aca="false">$C$34</f>
        <v>0</v>
      </c>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row>
    <row r="146" customFormat="false" ht="15" hidden="false" customHeight="true" outlineLevel="0" collapsed="false">
      <c r="B146" s="135" t="s">
        <v>1154</v>
      </c>
      <c r="C146" s="116" t="n">
        <f aca="false">IF($C$32="Sí",-C118,0)</f>
        <v>-0</v>
      </c>
      <c r="D146" s="116" t="n">
        <f aca="false">IF($C$32="Sí",-D118,0)</f>
        <v>-0</v>
      </c>
      <c r="E146" s="116" t="n">
        <f aca="false">IF($C$32="Sí",-E118,0)</f>
        <v>-0</v>
      </c>
      <c r="F146" s="116" t="n">
        <f aca="false">IF($C$32="Sí",-F118,0)</f>
        <v>-0</v>
      </c>
      <c r="G146" s="116" t="n">
        <f aca="false">IF($C$32="Sí",-G118,0)</f>
        <v>-0</v>
      </c>
      <c r="H146" s="116" t="n">
        <f aca="false">IF($C$32="Sí",-H118,0)</f>
        <v>-0</v>
      </c>
      <c r="I146" s="116" t="n">
        <f aca="false">IF($C$32="Sí",-I118,0)</f>
        <v>-0</v>
      </c>
      <c r="J146" s="116" t="n">
        <f aca="false">IF($C$32="Sí",-J118,0)</f>
        <v>-0</v>
      </c>
      <c r="K146" s="116" t="n">
        <f aca="false">IF($C$32="Sí",-K118,0)</f>
        <v>-0</v>
      </c>
      <c r="L146" s="116" t="n">
        <f aca="false">IF($C$32="Sí",-L118,0)</f>
        <v>-0</v>
      </c>
      <c r="M146" s="116" t="n">
        <f aca="false">IF($C$32="Sí",-M118,0)</f>
        <v>-0</v>
      </c>
      <c r="N146" s="116" t="n">
        <f aca="false">IF($C$32="Sí",-N118,0)</f>
        <v>-0</v>
      </c>
      <c r="O146" s="116" t="n">
        <f aca="false">IF($C$32="Sí",-O118,0)</f>
        <v>-0</v>
      </c>
      <c r="P146" s="116" t="n">
        <f aca="false">IF($C$32="Sí",-P118,0)</f>
        <v>-0</v>
      </c>
      <c r="Q146" s="116" t="n">
        <f aca="false">IF($C$32="Sí",-Q118,0)</f>
        <v>-0</v>
      </c>
      <c r="R146" s="116" t="n">
        <f aca="false">IF($C$32="Sí",-R118,0)</f>
        <v>-0</v>
      </c>
      <c r="S146" s="116" t="n">
        <f aca="false">IF($C$32="Sí",-S118,0)</f>
        <v>-0</v>
      </c>
      <c r="T146" s="116" t="n">
        <f aca="false">IF($C$32="Sí",-T118,0)</f>
        <v>-0</v>
      </c>
      <c r="U146" s="116" t="n">
        <f aca="false">IF($C$32="Sí",-U118,0)</f>
        <v>-0</v>
      </c>
      <c r="V146" s="116" t="n">
        <f aca="false">IF($C$32="Sí",-V118,0)</f>
        <v>-0</v>
      </c>
      <c r="W146" s="116" t="n">
        <f aca="false">IF($C$32="Sí",-W118,0)</f>
        <v>-0</v>
      </c>
      <c r="X146" s="116" t="n">
        <f aca="false">IF($C$32="Sí",-X118,0)</f>
        <v>-0</v>
      </c>
      <c r="Y146" s="116" t="n">
        <f aca="false">IF($C$32="Sí",-Y118,0)</f>
        <v>-0</v>
      </c>
      <c r="Z146" s="116" t="n">
        <f aca="false">IF($C$32="Sí",-Z118,0)</f>
        <v>-0</v>
      </c>
      <c r="AA146" s="116" t="n">
        <f aca="false">IF($C$32="Sí",-AA118,0)</f>
        <v>-0</v>
      </c>
      <c r="AB146" s="116" t="n">
        <f aca="false">IF($C$32="Sí",-AB118,0)</f>
        <v>-0</v>
      </c>
      <c r="AC146" s="116" t="n">
        <f aca="false">IF($C$32="Sí",-AC118,0)</f>
        <v>-0</v>
      </c>
      <c r="AD146" s="116" t="n">
        <f aca="false">IF($C$32="Sí",-AD118,0)</f>
        <v>-0</v>
      </c>
      <c r="AE146" s="116" t="n">
        <f aca="false">IF($C$32="Sí",-AE118,0)</f>
        <v>-0</v>
      </c>
      <c r="AF146" s="116" t="n">
        <f aca="false">IF($C$32="Sí",-AF118,0)</f>
        <v>-0</v>
      </c>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row>
    <row r="147" customFormat="false" ht="15" hidden="false" customHeight="true" outlineLevel="0" collapsed="false">
      <c r="B147" s="135" t="s">
        <v>1155</v>
      </c>
      <c r="C147" s="116" t="n">
        <f aca="false">-C60</f>
        <v>-0</v>
      </c>
      <c r="D147" s="116" t="n">
        <f aca="false">-D60</f>
        <v>-0</v>
      </c>
      <c r="E147" s="116" t="n">
        <f aca="false">-E60</f>
        <v>-0</v>
      </c>
      <c r="F147" s="116" t="n">
        <f aca="false">-F60</f>
        <v>-0</v>
      </c>
      <c r="G147" s="116" t="n">
        <f aca="false">-G60</f>
        <v>-0</v>
      </c>
      <c r="H147" s="116" t="n">
        <f aca="false">-H60</f>
        <v>-0</v>
      </c>
      <c r="I147" s="116" t="n">
        <f aca="false">-I60</f>
        <v>-0</v>
      </c>
      <c r="J147" s="116" t="n">
        <f aca="false">-J60</f>
        <v>-0</v>
      </c>
      <c r="K147" s="116" t="n">
        <f aca="false">-K60</f>
        <v>-0</v>
      </c>
      <c r="L147" s="116" t="n">
        <f aca="false">-L60</f>
        <v>-0</v>
      </c>
      <c r="M147" s="116" t="n">
        <f aca="false">-M60</f>
        <v>-0</v>
      </c>
      <c r="N147" s="116" t="n">
        <f aca="false">-N60</f>
        <v>-0</v>
      </c>
      <c r="O147" s="116" t="n">
        <f aca="false">-O60</f>
        <v>-0</v>
      </c>
      <c r="P147" s="116" t="n">
        <f aca="false">-P60</f>
        <v>-0</v>
      </c>
      <c r="Q147" s="116" t="n">
        <f aca="false">-Q60</f>
        <v>-0</v>
      </c>
      <c r="R147" s="116" t="n">
        <f aca="false">-R60</f>
        <v>-0</v>
      </c>
      <c r="S147" s="116" t="n">
        <f aca="false">-S60</f>
        <v>-0</v>
      </c>
      <c r="T147" s="116" t="n">
        <f aca="false">-T60</f>
        <v>-0</v>
      </c>
      <c r="U147" s="116" t="n">
        <f aca="false">-U60</f>
        <v>-0</v>
      </c>
      <c r="V147" s="116" t="n">
        <f aca="false">-V60</f>
        <v>-0</v>
      </c>
      <c r="W147" s="116" t="n">
        <f aca="false">-W60</f>
        <v>-0</v>
      </c>
      <c r="X147" s="116" t="n">
        <f aca="false">-X60</f>
        <v>-0</v>
      </c>
      <c r="Y147" s="116" t="n">
        <f aca="false">-Y60</f>
        <v>-0</v>
      </c>
      <c r="Z147" s="116" t="n">
        <f aca="false">-Z60</f>
        <v>-0</v>
      </c>
      <c r="AA147" s="116" t="n">
        <f aca="false">-AA60</f>
        <v>-0</v>
      </c>
      <c r="AB147" s="116" t="n">
        <f aca="false">-AB60</f>
        <v>-0</v>
      </c>
      <c r="AC147" s="116" t="n">
        <f aca="false">-AC60</f>
        <v>-0</v>
      </c>
      <c r="AD147" s="116" t="n">
        <f aca="false">-AD60</f>
        <v>-0</v>
      </c>
      <c r="AE147" s="116" t="n">
        <f aca="false">-AE60</f>
        <v>-0</v>
      </c>
      <c r="AF147" s="116" t="n">
        <f aca="false">-AF60</f>
        <v>-0</v>
      </c>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row>
    <row r="148" customFormat="false" ht="15" hidden="false" customHeight="true" outlineLevel="0" collapsed="false">
      <c r="B148" s="81" t="s">
        <v>1156</v>
      </c>
      <c r="C148" s="136" t="n">
        <f aca="false">C140+C141+C142+C144+C145+C146+C147</f>
        <v>-18.8323185832014</v>
      </c>
      <c r="D148" s="136" t="n">
        <f aca="false">D140+D141+D142+D144+D145+D146+D147</f>
        <v>-18.7932600627766</v>
      </c>
      <c r="E148" s="136" t="n">
        <f aca="false">E140+E141+E142+E144+E145+E146+E147</f>
        <v>-18.8291811839185</v>
      </c>
      <c r="F148" s="136" t="n">
        <f aca="false">F140+F141+F142+F144+F145+F146+F147</f>
        <v>-18.7764678286133</v>
      </c>
      <c r="G148" s="136" t="n">
        <f aca="false">G140+G141+G142+G144+G145+G146+G147</f>
        <v>-18.6230723782413</v>
      </c>
      <c r="H148" s="136" t="n">
        <f aca="false">H140+H141+H142+H144+H145+H146+H147</f>
        <v>-18.5110630599064</v>
      </c>
      <c r="I148" s="136" t="n">
        <f aca="false">I140+I141+I142+I144+I145+I146+I147</f>
        <v>-18.4275162286774</v>
      </c>
      <c r="J148" s="136" t="n">
        <f aca="false">J140+J141+J142+J144+J145+J146+J147</f>
        <v>-18.3673448669333</v>
      </c>
      <c r="K148" s="136" t="n">
        <f aca="false">K140+K141+K142+K144+K145+K146+K147</f>
        <v>-18.3928197680748</v>
      </c>
      <c r="L148" s="136" t="n">
        <f aca="false">L140+L141+L142+L144+L145+L146+L147</f>
        <v>-18.4162268957928</v>
      </c>
      <c r="M148" s="136" t="n">
        <f aca="false">M140+M141+M142+M144+M145+M146+M147</f>
        <v>2.28811736876961</v>
      </c>
      <c r="N148" s="136" t="n">
        <f aca="false">N140+N141+N142+N144+N145+N146+N147</f>
        <v>2.34291345614573</v>
      </c>
      <c r="O148" s="136" t="n">
        <f aca="false">O140+O141+O142+O144+O145+O146+O147</f>
        <v>2.30811257714136</v>
      </c>
      <c r="P148" s="136" t="n">
        <f aca="false">P140+P141+P142+P144+P145+P146+P147</f>
        <v>2.28286271821331</v>
      </c>
      <c r="Q148" s="136" t="n">
        <f aca="false">Q140+Q141+Q142+Q144+Q145+Q146+Q147</f>
        <v>2.26650843261965</v>
      </c>
      <c r="R148" s="136" t="n">
        <f aca="false">R140+R141+R142+R144+R145+R146+R147</f>
        <v>2.25598504541415</v>
      </c>
      <c r="S148" s="136" t="n">
        <f aca="false">S140+S141+S142+S144+S145+S146+S147</f>
        <v>2.24959621364429</v>
      </c>
      <c r="T148" s="136" t="n">
        <f aca="false">T140+T141+T142+T144+T145+T146+T147</f>
        <v>2.24578339228525</v>
      </c>
      <c r="U148" s="136" t="n">
        <f aca="false">U140+U141+U142+U144+U145+U146+U147</f>
        <v>2.23962762863404</v>
      </c>
      <c r="V148" s="136" t="n">
        <f aca="false">V140+V141+V142+V144+V145+V146+V147</f>
        <v>2.22883781207805</v>
      </c>
      <c r="W148" s="136" t="n">
        <f aca="false">W140+W141+W142+W144+W145+W146+W147</f>
        <v>2.21423711977236</v>
      </c>
      <c r="X148" s="136" t="n">
        <f aca="false">X140+X141+X142+X144+X145+X146+X147</f>
        <v>2.19716438600564</v>
      </c>
      <c r="Y148" s="136" t="n">
        <f aca="false">Y140+Y141+Y142+Y144+Y145+Y146+Y147</f>
        <v>2.17765096986552</v>
      </c>
      <c r="Z148" s="136" t="n">
        <f aca="false">Z140+Z141+Z142+Z144+Z145+Z146+Z147</f>
        <v>2.15572405924568</v>
      </c>
      <c r="AA148" s="136" t="n">
        <f aca="false">AA140+AA141+AA142+AA144+AA145+AA146+AA147</f>
        <v>2.13140687946447</v>
      </c>
      <c r="AB148" s="136" t="n">
        <f aca="false">AB140+AB141+AB142+AB144+AB145+AB146+AB147</f>
        <v>2.10471556860904</v>
      </c>
      <c r="AC148" s="136" t="n">
        <f aca="false">AC140+AC141+AC142+AC144+AC145+AC146+AC147</f>
        <v>2.07566267548653</v>
      </c>
      <c r="AD148" s="136" t="n">
        <f aca="false">AD140+AD141+AD142+AD144+AD145+AD146+AD147</f>
        <v>2.04425732609643</v>
      </c>
      <c r="AE148" s="136" t="n">
        <f aca="false">AE140+AE141+AE142+AE144+AE145+AE146+AE147</f>
        <v>2.01050537775242</v>
      </c>
      <c r="AF148" s="136" t="n">
        <f aca="false">AF140+AF141+AF142+AF144+AF145+AF146+AF147</f>
        <v>1.97440956161062</v>
      </c>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row>
    <row r="149" customFormat="false" ht="15" hidden="false" customHeight="true" outlineLevel="0" collapsed="false">
      <c r="B149" s="81" t="s">
        <v>1157</v>
      </c>
      <c r="C149" s="138" t="n">
        <f aca="false">0+C148</f>
        <v>-18.8323185832014</v>
      </c>
      <c r="D149" s="138" t="n">
        <f aca="false">C149+D148</f>
        <v>-37.625578645978</v>
      </c>
      <c r="E149" s="138" t="n">
        <f aca="false">D149+E148</f>
        <v>-56.4547598298965</v>
      </c>
      <c r="F149" s="138" t="n">
        <f aca="false">E149+F148</f>
        <v>-75.2312276585098</v>
      </c>
      <c r="G149" s="138" t="n">
        <f aca="false">F149+G148</f>
        <v>-93.8543000367511</v>
      </c>
      <c r="H149" s="138" t="n">
        <f aca="false">G149+H148</f>
        <v>-112.365363096658</v>
      </c>
      <c r="I149" s="138" t="n">
        <f aca="false">H149+I148</f>
        <v>-130.792879325335</v>
      </c>
      <c r="J149" s="138" t="n">
        <f aca="false">I149+J148</f>
        <v>-149.160224192268</v>
      </c>
      <c r="K149" s="138" t="n">
        <f aca="false">J149+K148</f>
        <v>-167.553043960343</v>
      </c>
      <c r="L149" s="138" t="n">
        <f aca="false">K149+L148</f>
        <v>-185.969270856136</v>
      </c>
      <c r="M149" s="138" t="n">
        <f aca="false">L149+M148</f>
        <v>-183.681153487366</v>
      </c>
      <c r="N149" s="138" t="n">
        <f aca="false">M149+N148</f>
        <v>-181.33824003122</v>
      </c>
      <c r="O149" s="138" t="n">
        <f aca="false">N149+O148</f>
        <v>-179.030127454079</v>
      </c>
      <c r="P149" s="138" t="n">
        <f aca="false">O149+P148</f>
        <v>-176.747264735866</v>
      </c>
      <c r="Q149" s="138" t="n">
        <f aca="false">P149+Q148</f>
        <v>-174.480756303246</v>
      </c>
      <c r="R149" s="138" t="n">
        <f aca="false">Q149+R148</f>
        <v>-172.224771257832</v>
      </c>
      <c r="S149" s="138" t="n">
        <f aca="false">R149+S148</f>
        <v>-169.975175044188</v>
      </c>
      <c r="T149" s="138" t="n">
        <f aca="false">S149+T148</f>
        <v>-167.729391651902</v>
      </c>
      <c r="U149" s="138" t="n">
        <f aca="false">T149+U148</f>
        <v>-165.489764023268</v>
      </c>
      <c r="V149" s="138" t="n">
        <f aca="false">U149+V148</f>
        <v>-163.26092621119</v>
      </c>
      <c r="W149" s="138" t="n">
        <f aca="false">V149+W148</f>
        <v>-161.046689091418</v>
      </c>
      <c r="X149" s="138" t="n">
        <f aca="false">W149+X148</f>
        <v>-158.849524705412</v>
      </c>
      <c r="Y149" s="138" t="n">
        <f aca="false">X149+Y148</f>
        <v>-156.671873735547</v>
      </c>
      <c r="Z149" s="138" t="n">
        <f aca="false">Y149+Z148</f>
        <v>-154.516149676301</v>
      </c>
      <c r="AA149" s="138" t="n">
        <f aca="false">Z149+AA148</f>
        <v>-152.384742796837</v>
      </c>
      <c r="AB149" s="138" t="n">
        <f aca="false">AA149+AB148</f>
        <v>-150.280027228228</v>
      </c>
      <c r="AC149" s="138" t="n">
        <f aca="false">AB149+AC148</f>
        <v>-148.204364552741</v>
      </c>
      <c r="AD149" s="138" t="n">
        <f aca="false">AC149+AD148</f>
        <v>-146.160107226645</v>
      </c>
      <c r="AE149" s="138" t="n">
        <f aca="false">AD149+AE148</f>
        <v>-144.149601848892</v>
      </c>
      <c r="AF149" s="138" t="n">
        <f aca="false">AE149+AF148</f>
        <v>-142.175192287282</v>
      </c>
      <c r="AG149" s="138"/>
      <c r="AH149" s="138"/>
      <c r="AI149" s="138"/>
      <c r="AJ149" s="138"/>
      <c r="AK149" s="138"/>
      <c r="AL149" s="138"/>
      <c r="AM149" s="138"/>
      <c r="AN149" s="138"/>
      <c r="AO149" s="138"/>
      <c r="AP149" s="138"/>
      <c r="AQ149" s="138"/>
      <c r="AR149" s="138"/>
      <c r="AS149" s="138"/>
      <c r="AT149" s="138"/>
      <c r="AU149" s="138"/>
      <c r="AV149" s="138"/>
      <c r="AW149" s="138"/>
      <c r="AX149" s="138"/>
      <c r="AY149" s="138"/>
      <c r="AZ149" s="138"/>
      <c r="BA149" s="138"/>
      <c r="BB149" s="138"/>
      <c r="BC149" s="138"/>
      <c r="BD149" s="138"/>
      <c r="BE149" s="138"/>
      <c r="BF149" s="138"/>
      <c r="BG149" s="138"/>
      <c r="BH149" s="138"/>
      <c r="BI149" s="138"/>
      <c r="BJ149" s="138"/>
      <c r="BK149" s="138"/>
      <c r="BL149" s="138"/>
      <c r="BM149" s="138"/>
      <c r="BN149" s="138"/>
      <c r="BO149" s="138"/>
      <c r="BP149" s="138"/>
      <c r="BQ149" s="138"/>
      <c r="BR149" s="138"/>
      <c r="BS149" s="138"/>
      <c r="BT149" s="138"/>
    </row>
    <row r="150" customFormat="false" ht="15" hidden="false" customHeight="true" outlineLevel="0" collapsed="false">
      <c r="B150" s="135" t="s">
        <v>1158</v>
      </c>
      <c r="C150" s="139" t="n">
        <f aca="false">IF(AND(C149&gt;=0,C$39&gt;10),C$39,999)</f>
        <v>999</v>
      </c>
      <c r="D150" s="139" t="n">
        <f aca="false">IF(AND(D149&gt;=0,D$39&gt;10),D$39,999)</f>
        <v>999</v>
      </c>
      <c r="E150" s="139" t="n">
        <f aca="false">IF(AND(E149&gt;=0,E$39&gt;10),E$39,999)</f>
        <v>999</v>
      </c>
      <c r="F150" s="139" t="n">
        <f aca="false">IF(AND(F149&gt;=0,F$39&gt;10),F$39,999)</f>
        <v>999</v>
      </c>
      <c r="G150" s="139" t="n">
        <f aca="false">IF(AND(G149&gt;=0,G$39&gt;10),G$39,999)</f>
        <v>999</v>
      </c>
      <c r="H150" s="139" t="n">
        <f aca="false">IF(AND(H149&gt;=0,H$39&gt;10),H$39,999)</f>
        <v>999</v>
      </c>
      <c r="I150" s="139" t="n">
        <f aca="false">IF(AND(I149&gt;=0,I$39&gt;10),I$39,999)</f>
        <v>999</v>
      </c>
      <c r="J150" s="139" t="n">
        <f aca="false">IF(AND(J149&gt;=0,J$39&gt;10),J$39,999)</f>
        <v>999</v>
      </c>
      <c r="K150" s="139" t="n">
        <f aca="false">IF(AND(K149&gt;=0,K$39&gt;10),K$39,999)</f>
        <v>999</v>
      </c>
      <c r="L150" s="139" t="n">
        <f aca="false">IF(AND(L149&gt;=0,L$39&gt;10),L$39,999)</f>
        <v>999</v>
      </c>
      <c r="M150" s="139" t="n">
        <f aca="false">IF(AND(M149&gt;=0,M$39&gt;10),M$39,999)</f>
        <v>999</v>
      </c>
      <c r="N150" s="139" t="n">
        <f aca="false">IF(AND(N149&gt;=0,N$39&gt;10),N$39,999)</f>
        <v>999</v>
      </c>
      <c r="O150" s="139" t="n">
        <f aca="false">IF(AND(O149&gt;=0,O$39&gt;10),O$39,999)</f>
        <v>999</v>
      </c>
      <c r="P150" s="139" t="n">
        <f aca="false">IF(AND(P149&gt;=0,P$39&gt;10),P$39,999)</f>
        <v>999</v>
      </c>
      <c r="Q150" s="139" t="n">
        <f aca="false">IF(AND(Q149&gt;=0,Q$39&gt;10),Q$39,999)</f>
        <v>999</v>
      </c>
      <c r="R150" s="139" t="n">
        <f aca="false">IF(AND(R149&gt;=0,R$39&gt;10),R$39,999)</f>
        <v>999</v>
      </c>
      <c r="S150" s="139" t="n">
        <f aca="false">IF(AND(S149&gt;=0,S$39&gt;10),S$39,999)</f>
        <v>999</v>
      </c>
      <c r="T150" s="139" t="n">
        <f aca="false">IF(AND(T149&gt;=0,T$39&gt;10),T$39,999)</f>
        <v>999</v>
      </c>
      <c r="U150" s="139" t="n">
        <f aca="false">IF(AND(U149&gt;=0,U$39&gt;10),U$39,999)</f>
        <v>999</v>
      </c>
      <c r="V150" s="139" t="n">
        <f aca="false">IF(AND(V149&gt;=0,V$39&gt;10),V$39,999)</f>
        <v>999</v>
      </c>
      <c r="W150" s="139" t="n">
        <f aca="false">IF(AND(W149&gt;=0,W$39&gt;10),W$39,999)</f>
        <v>999</v>
      </c>
      <c r="X150" s="139" t="n">
        <f aca="false">IF(AND(X149&gt;=0,X$39&gt;10),X$39,999)</f>
        <v>999</v>
      </c>
      <c r="Y150" s="139" t="n">
        <f aca="false">IF(AND(Y149&gt;=0,Y$39&gt;10),Y$39,999)</f>
        <v>999</v>
      </c>
      <c r="Z150" s="139" t="n">
        <f aca="false">IF(AND(Z149&gt;=0,Z$39&gt;10),Z$39,999)</f>
        <v>999</v>
      </c>
      <c r="AA150" s="139" t="n">
        <f aca="false">IF(AND(AA149&gt;=0,AA$39&gt;10),AA$39,999)</f>
        <v>999</v>
      </c>
      <c r="AB150" s="139" t="n">
        <f aca="false">IF(AND(AB149&gt;=0,AB$39&gt;10),AB$39,999)</f>
        <v>999</v>
      </c>
      <c r="AC150" s="139" t="n">
        <f aca="false">IF(AND(AC149&gt;=0,AC$39&gt;10),AC$39,999)</f>
        <v>999</v>
      </c>
      <c r="AD150" s="139" t="n">
        <f aca="false">IF(AND(AD149&gt;=0,AD$39&gt;10),AD$39,999)</f>
        <v>999</v>
      </c>
      <c r="AE150" s="139" t="n">
        <f aca="false">IF(AND(AE149&gt;=0,AE$39&gt;10),AE$39,999)</f>
        <v>999</v>
      </c>
      <c r="AF150" s="139" t="n">
        <f aca="false">IF(AND(AF149&gt;=0,AF$39&gt;10),AF$39,999)</f>
        <v>999</v>
      </c>
      <c r="AG150" s="139"/>
      <c r="AH150" s="139"/>
      <c r="AI150" s="139"/>
      <c r="AJ150" s="139"/>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139"/>
      <c r="BL150" s="139"/>
      <c r="BM150" s="139"/>
      <c r="BN150" s="139"/>
      <c r="BO150" s="139"/>
      <c r="BP150" s="139"/>
      <c r="BQ150" s="139"/>
      <c r="BR150" s="139"/>
      <c r="BS150" s="139"/>
      <c r="BT150" s="139"/>
    </row>
    <row r="151" customFormat="false" ht="15" hidden="false" customHeight="true" outlineLevel="0" collapsed="false">
      <c r="B151" s="132" t="s">
        <v>1159</v>
      </c>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c r="AD151" s="133"/>
      <c r="AE151" s="133"/>
      <c r="AF151" s="133"/>
      <c r="AG151" s="133"/>
      <c r="AH151" s="133"/>
      <c r="AI151" s="133"/>
      <c r="AJ151" s="133"/>
      <c r="AK151" s="133"/>
      <c r="AL151" s="133"/>
      <c r="AM151" s="133"/>
      <c r="AN151" s="133"/>
      <c r="AO151" s="133"/>
      <c r="AP151" s="133"/>
      <c r="AQ151" s="133"/>
      <c r="AR151" s="133"/>
      <c r="AS151" s="133"/>
      <c r="AT151" s="133"/>
      <c r="AU151" s="133"/>
      <c r="AV151" s="133"/>
      <c r="AW151" s="133"/>
      <c r="AX151" s="133"/>
      <c r="AY151" s="133"/>
      <c r="AZ151" s="133"/>
      <c r="BA151" s="133"/>
      <c r="BB151" s="133"/>
      <c r="BC151" s="133"/>
      <c r="BD151" s="133"/>
      <c r="BE151" s="133"/>
      <c r="BF151" s="133"/>
      <c r="BG151" s="133"/>
      <c r="BH151" s="133"/>
      <c r="BI151" s="133"/>
      <c r="BJ151" s="133"/>
      <c r="BK151" s="133"/>
      <c r="BL151" s="133"/>
      <c r="BM151" s="133"/>
      <c r="BN151" s="133"/>
      <c r="BO151" s="133"/>
      <c r="BP151" s="133"/>
      <c r="BQ151" s="133"/>
      <c r="BR151" s="133"/>
      <c r="BS151" s="133"/>
      <c r="BT151" s="133"/>
    </row>
    <row r="152" customFormat="false" ht="15" hidden="false" customHeight="true" outlineLevel="0" collapsed="false">
      <c r="B152" s="135" t="s">
        <v>902</v>
      </c>
      <c r="C152" s="116" t="n">
        <f aca="false">C83</f>
        <v>6.88634987596409</v>
      </c>
      <c r="D152" s="116" t="n">
        <f aca="false">D83</f>
        <v>17.9891896948854</v>
      </c>
      <c r="E152" s="116" t="n">
        <f aca="false">E83</f>
        <v>31.5940666948854</v>
      </c>
      <c r="F152" s="116" t="n">
        <f aca="false">F83</f>
        <v>45.5118558658854</v>
      </c>
      <c r="G152" s="116" t="n">
        <f aca="false">G83</f>
        <v>59.7497541878184</v>
      </c>
      <c r="H152" s="116" t="n">
        <f aca="false">H83</f>
        <v>74.3151241711558</v>
      </c>
      <c r="I152" s="116" t="n">
        <f aca="false">I83</f>
        <v>89.21549766411</v>
      </c>
      <c r="J152" s="116" t="n">
        <f aca="false">J83</f>
        <v>104.458579747402</v>
      </c>
      <c r="K152" s="116" t="n">
        <f aca="false">K83</f>
        <v>120.05225271861</v>
      </c>
      <c r="L152" s="116" t="n">
        <f aca="false">L83</f>
        <v>136.004580168156</v>
      </c>
      <c r="M152" s="116" t="n">
        <f aca="false">M83</f>
        <v>152.323811149041</v>
      </c>
      <c r="N152" s="116" t="n">
        <f aca="false">N83</f>
        <v>162.084126425925</v>
      </c>
      <c r="O152" s="116" t="n">
        <f aca="false">O83</f>
        <v>165.812061333721</v>
      </c>
      <c r="P152" s="116" t="n">
        <f aca="false">P83</f>
        <v>169.625738744397</v>
      </c>
      <c r="Q152" s="116" t="n">
        <f aca="false">Q83</f>
        <v>173.527130735518</v>
      </c>
      <c r="R152" s="116" t="n">
        <f aca="false">R83</f>
        <v>177.518254742435</v>
      </c>
      <c r="S152" s="116" t="n">
        <f aca="false">S83</f>
        <v>181.601174601511</v>
      </c>
      <c r="T152" s="116" t="n">
        <f aca="false">T83</f>
        <v>185.778001617345</v>
      </c>
      <c r="U152" s="116" t="n">
        <f aca="false">U83</f>
        <v>190.050895654544</v>
      </c>
      <c r="V152" s="116" t="n">
        <f aca="false">V83</f>
        <v>193.496613936469</v>
      </c>
      <c r="W152" s="116" t="n">
        <f aca="false">W83</f>
        <v>196.368944030547</v>
      </c>
      <c r="X152" s="116" t="n">
        <f aca="false">X83</f>
        <v>199.182523056559</v>
      </c>
      <c r="Y152" s="116" t="n">
        <f aca="false">Y83</f>
        <v>201.937196788935</v>
      </c>
      <c r="Z152" s="116" t="n">
        <f aca="false">Z83</f>
        <v>204.632816109604</v>
      </c>
      <c r="AA152" s="116" t="n">
        <f aca="false">AA83</f>
        <v>207.269236660707</v>
      </c>
      <c r="AB152" s="116" t="n">
        <f aca="false">AB83</f>
        <v>209.846318511426</v>
      </c>
      <c r="AC152" s="116" t="n">
        <f aca="false">AC83</f>
        <v>212.363925838119</v>
      </c>
      <c r="AD152" s="116" t="n">
        <f aca="false">AD83</f>
        <v>214.82192661696</v>
      </c>
      <c r="AE152" s="116" t="n">
        <f aca="false">AE83</f>
        <v>217.220192328361</v>
      </c>
      <c r="AF152" s="116" t="n">
        <f aca="false">AF83</f>
        <v>219.558597672431</v>
      </c>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row>
    <row r="153" customFormat="false" ht="15" hidden="false" customHeight="true" outlineLevel="0" collapsed="false">
      <c r="B153" s="135" t="s">
        <v>1160</v>
      </c>
      <c r="C153" s="116" t="n">
        <f aca="false">C120</f>
        <v>20.4731242506256</v>
      </c>
      <c r="D153" s="116" t="n">
        <f aca="false">D120</f>
        <v>40.2567103694436</v>
      </c>
      <c r="E153" s="116" t="n">
        <f aca="false">E120</f>
        <v>60.3812661966697</v>
      </c>
      <c r="F153" s="116" t="n">
        <f aca="false">F120</f>
        <v>75.0680610097753</v>
      </c>
      <c r="G153" s="116" t="n">
        <f aca="false">G120</f>
        <v>88.2474775601667</v>
      </c>
      <c r="H153" s="116" t="n">
        <f aca="false">H120</f>
        <v>100.637529290312</v>
      </c>
      <c r="I153" s="116" t="n">
        <f aca="false">I120</f>
        <v>112.882165270235</v>
      </c>
      <c r="J153" s="116" t="n">
        <f aca="false">J120</f>
        <v>125.329100790062</v>
      </c>
      <c r="K153" s="116" t="n">
        <f aca="false">K120</f>
        <v>139.246866499314</v>
      </c>
      <c r="L153" s="116" t="n">
        <f aca="false">L120</f>
        <v>154.639072794466</v>
      </c>
      <c r="M153" s="116" t="n">
        <f aca="false">M120</f>
        <v>153.294296791856</v>
      </c>
      <c r="N153" s="116" t="n">
        <f aca="false">N120</f>
        <v>154.377274035922</v>
      </c>
      <c r="O153" s="116" t="n">
        <f aca="false">O120</f>
        <v>157.303081953889</v>
      </c>
      <c r="P153" s="116" t="n">
        <f aca="false">P120</f>
        <v>158.912427478941</v>
      </c>
      <c r="Q153" s="116" t="n">
        <f aca="false">Q120</f>
        <v>160.023446035868</v>
      </c>
      <c r="R153" s="116" t="n">
        <f aca="false">R120</f>
        <v>161.191091849992</v>
      </c>
      <c r="S153" s="116" t="n">
        <f aca="false">S120</f>
        <v>162.278625262431</v>
      </c>
      <c r="T153" s="116" t="n">
        <f aca="false">T120</f>
        <v>163.219765571689</v>
      </c>
      <c r="U153" s="116" t="n">
        <f aca="false">U120</f>
        <v>164.019078678014</v>
      </c>
      <c r="V153" s="116" t="n">
        <f aca="false">V120</f>
        <v>164.801559283896</v>
      </c>
      <c r="W153" s="116" t="n">
        <f aca="false">W120</f>
        <v>165.452419859702</v>
      </c>
      <c r="X153" s="116" t="n">
        <f aca="false">X120</f>
        <v>165.877000467597</v>
      </c>
      <c r="Y153" s="116" t="n">
        <f aca="false">Y120</f>
        <v>166.129990060813</v>
      </c>
      <c r="Z153" s="116" t="n">
        <f aca="false">Z120</f>
        <v>166.239882908578</v>
      </c>
      <c r="AA153" s="116" t="n">
        <f aca="false">AA120</f>
        <v>166.212981099003</v>
      </c>
      <c r="AB153" s="116" t="n">
        <f aca="false">AB120</f>
        <v>166.055358326216</v>
      </c>
      <c r="AC153" s="116" t="n">
        <f aca="false">AC120</f>
        <v>165.772903323935</v>
      </c>
      <c r="AD153" s="116" t="n">
        <f aca="false">AD120</f>
        <v>165.37134923104</v>
      </c>
      <c r="AE153" s="116" t="n">
        <f aca="false">AE120</f>
        <v>164.856305856152</v>
      </c>
      <c r="AF153" s="116" t="n">
        <f aca="false">AF120</f>
        <v>164.233279606156</v>
      </c>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row>
    <row r="154" customFormat="false" ht="15" hidden="false" customHeight="true" outlineLevel="0" collapsed="false">
      <c r="B154" s="135" t="s">
        <v>787</v>
      </c>
      <c r="C154" s="116" t="n">
        <f aca="false">C104</f>
        <v>0</v>
      </c>
      <c r="D154" s="116" t="n">
        <f aca="false">D104</f>
        <v>0.781764299547855</v>
      </c>
      <c r="E154" s="116" t="n">
        <f aca="false">E104</f>
        <v>1.43719072991873</v>
      </c>
      <c r="F154" s="116" t="n">
        <f aca="false">F104</f>
        <v>2.94100610175068</v>
      </c>
      <c r="G154" s="116" t="n">
        <f aca="false">G104</f>
        <v>4.44480744815791</v>
      </c>
      <c r="H154" s="116" t="n">
        <f aca="false">H104</f>
        <v>5.68777658499661</v>
      </c>
      <c r="I154" s="116" t="n">
        <f aca="false">I104</f>
        <v>6.7751310509225</v>
      </c>
      <c r="J154" s="116" t="n">
        <f aca="false">J104</f>
        <v>7.72795003220242</v>
      </c>
      <c r="K154" s="116" t="n">
        <f aca="false">K104</f>
        <v>8.04259235199898</v>
      </c>
      <c r="L154" s="116" t="n">
        <f aca="false">L104</f>
        <v>8.35748903018525</v>
      </c>
      <c r="M154" s="116" t="n">
        <f aca="false">M104</f>
        <v>8.66655656398049</v>
      </c>
      <c r="N154" s="116" t="n">
        <f aca="false">N104</f>
        <v>8.96383762433609</v>
      </c>
      <c r="O154" s="116" t="n">
        <f aca="false">O104</f>
        <v>9.24824711462343</v>
      </c>
      <c r="P154" s="116" t="n">
        <f aca="false">P104</f>
        <v>9.50197500129138</v>
      </c>
      <c r="Q154" s="116" t="n">
        <f aca="false">Q104</f>
        <v>9.72644449953207</v>
      </c>
      <c r="R154" s="116" t="n">
        <f aca="false">R104</f>
        <v>9.92567772301234</v>
      </c>
      <c r="S154" s="116" t="n">
        <f aca="false">S104</f>
        <v>10.1037718714934</v>
      </c>
      <c r="T154" s="116" t="n">
        <f aca="false">T104</f>
        <v>10.2681162225268</v>
      </c>
      <c r="U154" s="116" t="n">
        <f aca="false">U104</f>
        <v>10.433332865181</v>
      </c>
      <c r="V154" s="116" t="n">
        <f aca="false">V104</f>
        <v>10.5993242168861</v>
      </c>
      <c r="W154" s="116" t="n">
        <f aca="false">W104</f>
        <v>10.7624073420686</v>
      </c>
      <c r="X154" s="116" t="n">
        <f aca="false">X104</f>
        <v>10.922488513478</v>
      </c>
      <c r="Y154" s="116" t="n">
        <f aca="false">Y104</f>
        <v>11.0794743158509</v>
      </c>
      <c r="Z154" s="116" t="n">
        <f aca="false">Z104</f>
        <v>11.2332716260717</v>
      </c>
      <c r="AA154" s="116" t="n">
        <f aca="false">AA104</f>
        <v>11.3837875941753</v>
      </c>
      <c r="AB154" s="116" t="n">
        <f aca="false">AB104</f>
        <v>11.5310147102152</v>
      </c>
      <c r="AC154" s="116" t="n">
        <f aca="false">AC104</f>
        <v>11.6749457017403</v>
      </c>
      <c r="AD154" s="116" t="n">
        <f aca="false">AD104</f>
        <v>11.8155735170483</v>
      </c>
      <c r="AE154" s="116" t="n">
        <f aca="false">AE104</f>
        <v>11.9528913091048</v>
      </c>
      <c r="AF154" s="116" t="n">
        <f aca="false">AF104</f>
        <v>12.0868924200884</v>
      </c>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row>
    <row r="155" customFormat="false" ht="15" hidden="false" customHeight="true" outlineLevel="0" collapsed="false">
      <c r="B155" s="135" t="s">
        <v>1161</v>
      </c>
      <c r="C155" s="116" t="n">
        <f aca="false">C70+C121-C227</f>
        <v>0.08</v>
      </c>
      <c r="D155" s="116" t="n">
        <f aca="false">D70+D121-D227</f>
        <v>0.162824</v>
      </c>
      <c r="E155" s="116" t="n">
        <f aca="false">E70+E121-E227</f>
        <v>0.2485716872</v>
      </c>
      <c r="F155" s="116" t="n">
        <f aca="false">F70+F121-F227</f>
        <v>16.4793494096682</v>
      </c>
      <c r="G155" s="116" t="n">
        <f aca="false">G70+G121-G227</f>
        <v>32.71326087483</v>
      </c>
      <c r="H155" s="116" t="n">
        <f aca="false">H70+H121-H227</f>
        <v>48.9504167038027</v>
      </c>
      <c r="I155" s="116" t="n">
        <f aca="false">I70+I121-I227</f>
        <v>65.1909314226286</v>
      </c>
      <c r="J155" s="116" t="n">
        <f aca="false">J70+J121-J227</f>
        <v>81.4349236001197</v>
      </c>
      <c r="K155" s="116" t="n">
        <f aca="false">K70+K121-K227</f>
        <v>88.4488451420297</v>
      </c>
      <c r="L155" s="116" t="n">
        <f aca="false">L70+L121-L227</f>
        <v>95.4627666839397</v>
      </c>
      <c r="M155" s="116" t="n">
        <f aca="false">M70+M121-M227</f>
        <v>98.2583405071303</v>
      </c>
      <c r="N155" s="116" t="n">
        <f aca="false">N70+N121-N227</f>
        <v>101.217209163116</v>
      </c>
      <c r="O155" s="116" t="n">
        <f aca="false">O70+O121-O227</f>
        <v>104.185520794847</v>
      </c>
      <c r="P155" s="116" t="n">
        <f aca="false">P70+P121-P227</f>
        <v>107.220808552389</v>
      </c>
      <c r="Q155" s="116" t="n">
        <f aca="false">Q70+Q121-Q227</f>
        <v>110.199075790545</v>
      </c>
      <c r="R155" s="116" t="n">
        <f aca="false">R70+R121-R227</f>
        <v>113.050421646078</v>
      </c>
      <c r="S155" s="116" t="n">
        <f aca="false">S70+S121-S227</f>
        <v>115.87218366366</v>
      </c>
      <c r="T155" s="116" t="n">
        <f aca="false">T70+T121-T227</f>
        <v>118.698865216944</v>
      </c>
      <c r="U155" s="116" t="n">
        <f aca="false">U70+U121-U227</f>
        <v>121.530639965539</v>
      </c>
      <c r="V155" s="116" t="n">
        <f aca="false">V70+V121-V227</f>
        <v>124.367687699238</v>
      </c>
      <c r="W155" s="116" t="n">
        <f aca="false">W70+W121-W227</f>
        <v>127.210194554418</v>
      </c>
      <c r="X155" s="116" t="n">
        <f aca="false">X70+X121-X227</f>
        <v>130.058353238065</v>
      </c>
      <c r="Y155" s="116" t="n">
        <f aca="false">Y70+Y121-Y227</f>
        <v>132.912363259725</v>
      </c>
      <c r="Z155" s="116" t="n">
        <f aca="false">Z70+Z121-Z227</f>
        <v>135.77243117163</v>
      </c>
      <c r="AA155" s="116" t="n">
        <f aca="false">AA70+AA121-AA227</f>
        <v>138.638770817305</v>
      </c>
      <c r="AB155" s="116" t="n">
        <f aca="false">AB70+AB121-AB227</f>
        <v>141.511603588952</v>
      </c>
      <c r="AC155" s="116" t="n">
        <f aca="false">AC70+AC121-AC227</f>
        <v>144.391158693918</v>
      </c>
      <c r="AD155" s="116" t="n">
        <f aca="false">AD70+AD121-AD227</f>
        <v>147.27767343057</v>
      </c>
      <c r="AE155" s="116" t="n">
        <f aca="false">AE70+AE121-AE227</f>
        <v>150.171393473906</v>
      </c>
      <c r="AF155" s="116" t="n">
        <f aca="false">AF70+AF121-AF227</f>
        <v>153.072573171251</v>
      </c>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row>
    <row r="156" customFormat="false" ht="15" hidden="false" customHeight="true" outlineLevel="0" collapsed="false">
      <c r="B156" s="137" t="s">
        <v>1162</v>
      </c>
      <c r="C156" s="136" t="n">
        <f aca="false">SUM(C152:C155)+C187</f>
        <v>27.4394741265896</v>
      </c>
      <c r="D156" s="136" t="n">
        <f aca="false">SUM(D152:D155)+D187</f>
        <v>59.1904883638768</v>
      </c>
      <c r="E156" s="136" t="n">
        <f aca="false">SUM(E152:E155)+E187</f>
        <v>93.6610953086738</v>
      </c>
      <c r="F156" s="136" t="n">
        <f aca="false">SUM(F152:F155)+F187</f>
        <v>140.00027238708</v>
      </c>
      <c r="G156" s="136" t="n">
        <f aca="false">SUM(G152:G155)+G187</f>
        <v>185.155300070973</v>
      </c>
      <c r="H156" s="136" t="n">
        <f aca="false">SUM(H152:H155)+H187</f>
        <v>229.590846750267</v>
      </c>
      <c r="I156" s="136" t="n">
        <f aca="false">SUM(I152:I155)+I187</f>
        <v>274.063725407896</v>
      </c>
      <c r="J156" s="136" t="n">
        <f aca="false">SUM(J152:J155)+J187</f>
        <v>318.950554169786</v>
      </c>
      <c r="K156" s="136" t="n">
        <f aca="false">SUM(K152:K155)+K187</f>
        <v>355.790556711953</v>
      </c>
      <c r="L156" s="136" t="n">
        <f aca="false">SUM(L152:L155)+L187</f>
        <v>394.463908676747</v>
      </c>
      <c r="M156" s="136" t="n">
        <f aca="false">SUM(M152:M155)+M187</f>
        <v>412.543005012007</v>
      </c>
      <c r="N156" s="136" t="n">
        <f aca="false">SUM(N152:N155)+N187</f>
        <v>426.642447249299</v>
      </c>
      <c r="O156" s="136" t="n">
        <f aca="false">SUM(O152:O155)+O187</f>
        <v>436.548911197081</v>
      </c>
      <c r="P156" s="136" t="n">
        <f aca="false">SUM(P152:P155)+P187</f>
        <v>445.260949777018</v>
      </c>
      <c r="Q156" s="136" t="n">
        <f aca="false">SUM(Q152:Q155)+Q187</f>
        <v>453.476097061463</v>
      </c>
      <c r="R156" s="136" t="n">
        <f aca="false">SUM(R152:R155)+R187</f>
        <v>461.685445961517</v>
      </c>
      <c r="S156" s="136" t="n">
        <f aca="false">SUM(S152:S155)+S187</f>
        <v>469.855755399096</v>
      </c>
      <c r="T156" s="136" t="n">
        <f aca="false">SUM(T152:T155)+T187</f>
        <v>477.964748628505</v>
      </c>
      <c r="U156" s="136" t="n">
        <f aca="false">SUM(U152:U155)+U187</f>
        <v>486.033947163278</v>
      </c>
      <c r="V156" s="136" t="n">
        <f aca="false">SUM(V152:V155)+V187</f>
        <v>493.265185136489</v>
      </c>
      <c r="W156" s="136" t="n">
        <f aca="false">SUM(W152:W155)+W187</f>
        <v>499.793965786735</v>
      </c>
      <c r="X156" s="136" t="n">
        <f aca="false">SUM(X152:X155)+X187</f>
        <v>506.040365275699</v>
      </c>
      <c r="Y156" s="136" t="n">
        <f aca="false">SUM(Y152:Y155)+Y187</f>
        <v>512.059024425324</v>
      </c>
      <c r="Z156" s="136" t="n">
        <f aca="false">SUM(Z152:Z155)+Z187</f>
        <v>517.878401815884</v>
      </c>
      <c r="AA156" s="136" t="n">
        <f aca="false">SUM(AA152:AA155)+AA187</f>
        <v>523.50477617119</v>
      </c>
      <c r="AB156" s="136" t="n">
        <f aca="false">SUM(AB152:AB155)+AB187</f>
        <v>528.94429513681</v>
      </c>
      <c r="AC156" s="136" t="n">
        <f aca="false">SUM(AC152:AC155)+AC187</f>
        <v>534.202933557712</v>
      </c>
      <c r="AD156" s="136" t="n">
        <f aca="false">SUM(AD152:AD155)+AD187</f>
        <v>539.286522795619</v>
      </c>
      <c r="AE156" s="136" t="n">
        <f aca="false">SUM(AE152:AE155)+AE187</f>
        <v>544.200782967523</v>
      </c>
      <c r="AF156" s="136" t="n">
        <f aca="false">SUM(AF152:AF155)+AF187</f>
        <v>548.951342869926</v>
      </c>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row>
    <row r="157" customFormat="false" ht="15" hidden="false" customHeight="true" outlineLevel="0" collapsed="false">
      <c r="B157" s="135" t="s">
        <v>1163</v>
      </c>
      <c r="C157" s="116" t="n">
        <f aca="false">C69+C80+C121</f>
        <v>11.8267027723829</v>
      </c>
      <c r="D157" s="116" t="n">
        <f aca="false">D69+D80+D121</f>
        <v>31.2705719819142</v>
      </c>
      <c r="E157" s="116" t="n">
        <f aca="false">E69+E80+E121</f>
        <v>57.4876291967492</v>
      </c>
      <c r="F157" s="116" t="n">
        <f aca="false">F69+F80+F121</f>
        <v>117.640244070027</v>
      </c>
      <c r="G157" s="116" t="n">
        <f aca="false">G69+G80+G121</f>
        <v>177.792297926316</v>
      </c>
      <c r="H157" s="116" t="n">
        <f aca="false">H69+H80+H121</f>
        <v>227.511063399864</v>
      </c>
      <c r="I157" s="116" t="n">
        <f aca="false">I69+I80+I121</f>
        <v>271.0052420369</v>
      </c>
      <c r="J157" s="116" t="n">
        <f aca="false">J69+J80+J121</f>
        <v>309.118001288097</v>
      </c>
      <c r="K157" s="116" t="n">
        <f aca="false">K69+K80+K121</f>
        <v>321.703694079959</v>
      </c>
      <c r="L157" s="116" t="n">
        <f aca="false">L69+L80+L121</f>
        <v>334.29956120741</v>
      </c>
      <c r="M157" s="116" t="n">
        <f aca="false">M69+M80+M121</f>
        <v>346.66226255922</v>
      </c>
      <c r="N157" s="116" t="n">
        <f aca="false">N69+N80+N121</f>
        <v>358.712804713801</v>
      </c>
      <c r="O157" s="116" t="n">
        <f aca="false">O69+O80+O121</f>
        <v>370.094491181837</v>
      </c>
      <c r="P157" s="116" t="n">
        <f aca="false">P69+P80+P121</f>
        <v>380.306300650156</v>
      </c>
      <c r="Q157" s="116" t="n">
        <f aca="false">Q69+Q80+Q121</f>
        <v>389.223626777204</v>
      </c>
      <c r="R157" s="116" t="n">
        <f aca="false">R69+R80+R121</f>
        <v>397.061444555701</v>
      </c>
      <c r="S157" s="116" t="n">
        <f aca="false">S69+S80+S121</f>
        <v>404.150874859737</v>
      </c>
      <c r="T157" s="116" t="n">
        <f aca="false">T69+T80+T121</f>
        <v>410.724648901073</v>
      </c>
      <c r="U157" s="116" t="n">
        <f aca="false">U69+U80+U121</f>
        <v>417.333314607239</v>
      </c>
      <c r="V157" s="116" t="n">
        <f aca="false">V69+V80+V121</f>
        <v>423.972968675443</v>
      </c>
      <c r="W157" s="116" t="n">
        <f aca="false">W69+W80+W121</f>
        <v>430.496293682744</v>
      </c>
      <c r="X157" s="116" t="n">
        <f aca="false">X69+X80+X121</f>
        <v>436.899540539118</v>
      </c>
      <c r="Y157" s="116" t="n">
        <f aca="false">Y69+Y80+Y121</f>
        <v>443.178972634035</v>
      </c>
      <c r="Z157" s="116" t="n">
        <f aca="false">Z69+Z80+Z121</f>
        <v>449.330865042869</v>
      </c>
      <c r="AA157" s="116" t="n">
        <f aca="false">AA69+AA80+AA121</f>
        <v>455.35150376701</v>
      </c>
      <c r="AB157" s="116" t="n">
        <f aca="false">AB69+AB80+AB121</f>
        <v>461.240588408607</v>
      </c>
      <c r="AC157" s="116" t="n">
        <f aca="false">AC69+AC80+AC121</f>
        <v>466.997828069613</v>
      </c>
      <c r="AD157" s="116" t="n">
        <f aca="false">AD69+AD80+AD121</f>
        <v>472.622940681932</v>
      </c>
      <c r="AE157" s="116" t="n">
        <f aca="false">AE69+AE80+AE121</f>
        <v>478.115652364191</v>
      </c>
      <c r="AF157" s="116" t="n">
        <f aca="false">AF69+AF80+AF121</f>
        <v>483.475696803537</v>
      </c>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row>
    <row r="158" customFormat="false" ht="15" hidden="false" customHeight="true" outlineLevel="0" collapsed="false">
      <c r="B158" s="135" t="s">
        <v>1164</v>
      </c>
      <c r="C158" s="116" t="n">
        <f aca="false">C96</f>
        <v>0</v>
      </c>
      <c r="D158" s="116" t="n">
        <f aca="false">D96</f>
        <v>0</v>
      </c>
      <c r="E158" s="116" t="n">
        <f aca="false">E96</f>
        <v>0</v>
      </c>
      <c r="F158" s="116" t="n">
        <f aca="false">F96</f>
        <v>0</v>
      </c>
      <c r="G158" s="116" t="n">
        <f aca="false">G96</f>
        <v>0</v>
      </c>
      <c r="H158" s="116" t="n">
        <f aca="false">H96</f>
        <v>0</v>
      </c>
      <c r="I158" s="116" t="n">
        <f aca="false">I96</f>
        <v>0</v>
      </c>
      <c r="J158" s="116" t="n">
        <f aca="false">J96</f>
        <v>0</v>
      </c>
      <c r="K158" s="116" t="n">
        <f aca="false">K96</f>
        <v>0</v>
      </c>
      <c r="L158" s="116" t="n">
        <f aca="false">L96</f>
        <v>0</v>
      </c>
      <c r="M158" s="116" t="n">
        <f aca="false">M96</f>
        <v>0</v>
      </c>
      <c r="N158" s="116" t="n">
        <f aca="false">N96</f>
        <v>0</v>
      </c>
      <c r="O158" s="116" t="n">
        <f aca="false">O96</f>
        <v>0</v>
      </c>
      <c r="P158" s="116" t="n">
        <f aca="false">P96</f>
        <v>0</v>
      </c>
      <c r="Q158" s="116" t="n">
        <f aca="false">Q96</f>
        <v>0</v>
      </c>
      <c r="R158" s="116" t="n">
        <f aca="false">R96</f>
        <v>0</v>
      </c>
      <c r="S158" s="116" t="n">
        <f aca="false">S96</f>
        <v>0</v>
      </c>
      <c r="T158" s="116" t="n">
        <f aca="false">T96</f>
        <v>0</v>
      </c>
      <c r="U158" s="116" t="n">
        <f aca="false">U96</f>
        <v>0</v>
      </c>
      <c r="V158" s="116" t="n">
        <f aca="false">V96</f>
        <v>0</v>
      </c>
      <c r="W158" s="116" t="n">
        <f aca="false">W96</f>
        <v>0</v>
      </c>
      <c r="X158" s="116" t="n">
        <f aca="false">X96</f>
        <v>0</v>
      </c>
      <c r="Y158" s="116" t="n">
        <f aca="false">Y96</f>
        <v>0</v>
      </c>
      <c r="Z158" s="116" t="n">
        <f aca="false">Z96</f>
        <v>0</v>
      </c>
      <c r="AA158" s="116" t="n">
        <f aca="false">AA96</f>
        <v>0</v>
      </c>
      <c r="AB158" s="116" t="n">
        <f aca="false">AB96</f>
        <v>0</v>
      </c>
      <c r="AC158" s="116" t="n">
        <f aca="false">AC96</f>
        <v>0</v>
      </c>
      <c r="AD158" s="116" t="n">
        <f aca="false">AD96</f>
        <v>0</v>
      </c>
      <c r="AE158" s="116" t="n">
        <f aca="false">AE96</f>
        <v>0</v>
      </c>
      <c r="AF158" s="116" t="n">
        <f aca="false">AF96</f>
        <v>0</v>
      </c>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row>
    <row r="159" customFormat="false" ht="15" hidden="false" customHeight="true" outlineLevel="0" collapsed="false">
      <c r="B159" s="135" t="s">
        <v>1165</v>
      </c>
      <c r="C159" s="116" t="n">
        <f aca="false">C72</f>
        <v>5.99497779535458</v>
      </c>
      <c r="D159" s="116" t="n">
        <f aca="false">D72</f>
        <v>16.0734862299268</v>
      </c>
      <c r="E159" s="116" t="n">
        <f aca="false">E72</f>
        <v>28.864654462448</v>
      </c>
      <c r="F159" s="116" t="n">
        <f aca="false">F72</f>
        <v>42.8930996572912</v>
      </c>
      <c r="G159" s="116" t="n">
        <f aca="false">G72</f>
        <v>56.9630843514191</v>
      </c>
      <c r="H159" s="116" t="n">
        <f aca="false">H72</f>
        <v>70.936945789551</v>
      </c>
      <c r="I159" s="116" t="n">
        <f aca="false">I72</f>
        <v>85.1981880540369</v>
      </c>
      <c r="J159" s="116" t="n">
        <f aca="false">J72</f>
        <v>99.7900694141875</v>
      </c>
      <c r="K159" s="116" t="n">
        <f aca="false">K72</f>
        <v>114.267939734105</v>
      </c>
      <c r="L159" s="116" t="n">
        <f aca="false">L72</f>
        <v>129.359082913765</v>
      </c>
      <c r="M159" s="116" t="n">
        <f aca="false">M72</f>
        <v>143.282323728859</v>
      </c>
      <c r="N159" s="116" t="n">
        <f aca="false">N72</f>
        <v>153.018964586317</v>
      </c>
      <c r="O159" s="116" t="n">
        <f aca="false">O72</f>
        <v>158.518085860424</v>
      </c>
      <c r="P159" s="116" t="n">
        <f aca="false">P72</f>
        <v>162.719829864827</v>
      </c>
      <c r="Q159" s="116" t="n">
        <f aca="false">Q72</f>
        <v>166.444827922675</v>
      </c>
      <c r="R159" s="116" t="n">
        <f aca="false">R72</f>
        <v>170.253151929042</v>
      </c>
      <c r="S159" s="116" t="n">
        <f aca="false">S72</f>
        <v>174.147749424445</v>
      </c>
      <c r="T159" s="116" t="n">
        <f aca="false">T72</f>
        <v>178.132950913121</v>
      </c>
      <c r="U159" s="116" t="n">
        <f aca="false">U72</f>
        <v>182.216117338374</v>
      </c>
      <c r="V159" s="116" t="n">
        <f aca="false">V72</f>
        <v>185.622323215121</v>
      </c>
      <c r="W159" s="116" t="n">
        <f aca="false">W72</f>
        <v>188.490223187355</v>
      </c>
      <c r="X159" s="116" t="n">
        <f aca="false">X72</f>
        <v>191.228469443745</v>
      </c>
      <c r="Y159" s="116" t="n">
        <f aca="false">Y72</f>
        <v>193.887289833222</v>
      </c>
      <c r="Z159" s="116" t="n">
        <f aca="false">Z72</f>
        <v>196.48928524373</v>
      </c>
      <c r="AA159" s="116" t="n">
        <f aca="false">AA72</f>
        <v>199.034303821335</v>
      </c>
      <c r="AB159" s="116" t="n">
        <f aca="false">AB72</f>
        <v>201.522242432564</v>
      </c>
      <c r="AC159" s="116" t="n">
        <f aca="false">AC72</f>
        <v>203.952981761542</v>
      </c>
      <c r="AD159" s="116" t="n">
        <f aca="false">AD72</f>
        <v>206.326394313743</v>
      </c>
      <c r="AE159" s="116" t="n">
        <f aca="false">AE72</f>
        <v>208.64235600789</v>
      </c>
      <c r="AF159" s="116" t="n">
        <f aca="false">AF72</f>
        <v>210.900745900752</v>
      </c>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row>
    <row r="160" customFormat="false" ht="15" hidden="false" customHeight="true" outlineLevel="0" collapsed="false">
      <c r="B160" s="137" t="s">
        <v>1166</v>
      </c>
      <c r="C160" s="136" t="n">
        <f aca="false">SUM(C157:C159)</f>
        <v>17.8216805677374</v>
      </c>
      <c r="D160" s="136" t="n">
        <f aca="false">SUM(D157:D159)</f>
        <v>47.344058211841</v>
      </c>
      <c r="E160" s="136" t="n">
        <f aca="false">SUM(E157:E159)</f>
        <v>86.3522836591972</v>
      </c>
      <c r="F160" s="136" t="n">
        <f aca="false">SUM(F157:F159)</f>
        <v>160.533343727318</v>
      </c>
      <c r="G160" s="136" t="n">
        <f aca="false">SUM(G157:G159)</f>
        <v>234.755382277736</v>
      </c>
      <c r="H160" s="136" t="n">
        <f aca="false">SUM(H157:H159)</f>
        <v>298.448009189415</v>
      </c>
      <c r="I160" s="136" t="n">
        <f aca="false">SUM(I157:I159)</f>
        <v>356.203430090937</v>
      </c>
      <c r="J160" s="136" t="n">
        <f aca="false">SUM(J157:J159)</f>
        <v>408.908070702285</v>
      </c>
      <c r="K160" s="136" t="n">
        <f aca="false">SUM(K157:K159)</f>
        <v>435.971633814064</v>
      </c>
      <c r="L160" s="136" t="n">
        <f aca="false">SUM(L157:L159)</f>
        <v>463.658644121175</v>
      </c>
      <c r="M160" s="136" t="n">
        <f aca="false">SUM(M157:M159)</f>
        <v>489.944586288078</v>
      </c>
      <c r="N160" s="136" t="n">
        <f aca="false">SUM(N157:N159)</f>
        <v>511.731769300117</v>
      </c>
      <c r="O160" s="136" t="n">
        <f aca="false">SUM(O157:O159)</f>
        <v>528.612577042262</v>
      </c>
      <c r="P160" s="136" t="n">
        <f aca="false">SUM(P157:P159)</f>
        <v>543.026130514984</v>
      </c>
      <c r="Q160" s="136" t="n">
        <f aca="false">SUM(Q157:Q159)</f>
        <v>555.668454699878</v>
      </c>
      <c r="R160" s="136" t="n">
        <f aca="false">SUM(R157:R159)</f>
        <v>567.314596484743</v>
      </c>
      <c r="S160" s="136" t="n">
        <f aca="false">SUM(S157:S159)</f>
        <v>578.298624284183</v>
      </c>
      <c r="T160" s="136" t="n">
        <f aca="false">SUM(T157:T159)</f>
        <v>588.857599814194</v>
      </c>
      <c r="U160" s="136" t="n">
        <f aca="false">SUM(U157:U159)</f>
        <v>599.549431945613</v>
      </c>
      <c r="V160" s="136" t="n">
        <f aca="false">SUM(V157:V159)</f>
        <v>609.595291890564</v>
      </c>
      <c r="W160" s="136" t="n">
        <f aca="false">SUM(W157:W159)</f>
        <v>618.986516870099</v>
      </c>
      <c r="X160" s="136" t="n">
        <f aca="false">SUM(X157:X159)</f>
        <v>628.128009982863</v>
      </c>
      <c r="Y160" s="136" t="n">
        <f aca="false">SUM(Y157:Y159)</f>
        <v>637.066262467257</v>
      </c>
      <c r="Z160" s="136" t="n">
        <f aca="false">SUM(Z157:Z159)</f>
        <v>645.820150286599</v>
      </c>
      <c r="AA160" s="136" t="n">
        <f aca="false">SUM(AA157:AA159)</f>
        <v>654.385807588346</v>
      </c>
      <c r="AB160" s="136" t="n">
        <f aca="false">SUM(AB157:AB159)</f>
        <v>662.762830841172</v>
      </c>
      <c r="AC160" s="136" t="n">
        <f aca="false">SUM(AC157:AC159)</f>
        <v>670.950809831155</v>
      </c>
      <c r="AD160" s="136" t="n">
        <f aca="false">SUM(AD157:AD159)</f>
        <v>678.949334995676</v>
      </c>
      <c r="AE160" s="136" t="n">
        <f aca="false">SUM(AE157:AE159)</f>
        <v>686.758008372081</v>
      </c>
      <c r="AF160" s="136" t="n">
        <f aca="false">SUM(AF157:AF159)</f>
        <v>694.376442704289</v>
      </c>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row>
    <row r="161" customFormat="false" ht="15" hidden="false" customHeight="true" outlineLevel="0" collapsed="false">
      <c r="B161" s="137" t="s">
        <v>1167</v>
      </c>
      <c r="C161" s="138" t="n">
        <f aca="false">C156-C160</f>
        <v>9.6177935588522</v>
      </c>
      <c r="D161" s="138" t="n">
        <f aca="false">D156-D160</f>
        <v>11.8464301520359</v>
      </c>
      <c r="E161" s="138" t="n">
        <f aca="false">E156-E160</f>
        <v>7.30881164947657</v>
      </c>
      <c r="F161" s="138" t="n">
        <f aca="false">F156-F160</f>
        <v>-20.533071340239</v>
      </c>
      <c r="G161" s="138" t="n">
        <f aca="false">G156-G160</f>
        <v>-49.6000822067626</v>
      </c>
      <c r="H161" s="138" t="n">
        <f aca="false">H156-H160</f>
        <v>-68.8571624391486</v>
      </c>
      <c r="I161" s="138" t="n">
        <f aca="false">I156-I160</f>
        <v>-82.1397046830409</v>
      </c>
      <c r="J161" s="138" t="n">
        <f aca="false">J156-J160</f>
        <v>-89.9575165324982</v>
      </c>
      <c r="K161" s="138" t="n">
        <f aca="false">K156-K160</f>
        <v>-80.1810771021106</v>
      </c>
      <c r="L161" s="138" t="n">
        <f aca="false">L156-L160</f>
        <v>-69.194735444428</v>
      </c>
      <c r="M161" s="138" t="n">
        <f aca="false">M156-M160</f>
        <v>-77.4015812760709</v>
      </c>
      <c r="N161" s="138" t="n">
        <f aca="false">N156-N160</f>
        <v>-85.0893220508182</v>
      </c>
      <c r="O161" s="138" t="n">
        <f aca="false">O156-O160</f>
        <v>-92.0636658451803</v>
      </c>
      <c r="P161" s="138" t="n">
        <f aca="false">P156-P160</f>
        <v>-97.7651807379658</v>
      </c>
      <c r="Q161" s="138" t="n">
        <f aca="false">Q156-Q160</f>
        <v>-102.192357638416</v>
      </c>
      <c r="R161" s="138" t="n">
        <f aca="false">R156-R160</f>
        <v>-105.629150523227</v>
      </c>
      <c r="S161" s="138" t="n">
        <f aca="false">S156-S160</f>
        <v>-108.442868885087</v>
      </c>
      <c r="T161" s="138" t="n">
        <f aca="false">T156-T160</f>
        <v>-110.892851185689</v>
      </c>
      <c r="U161" s="138" t="n">
        <f aca="false">U156-U160</f>
        <v>-113.515484782335</v>
      </c>
      <c r="V161" s="138" t="n">
        <f aca="false">V156-V160</f>
        <v>-116.330106754075</v>
      </c>
      <c r="W161" s="138" t="n">
        <f aca="false">W156-W160</f>
        <v>-119.192551083363</v>
      </c>
      <c r="X161" s="138" t="n">
        <f aca="false">X156-X160</f>
        <v>-122.087644707163</v>
      </c>
      <c r="Y161" s="138" t="n">
        <f aca="false">Y156-Y160</f>
        <v>-125.007238041933</v>
      </c>
      <c r="Z161" s="138" t="n">
        <f aca="false">Z156-Z160</f>
        <v>-127.941748470716</v>
      </c>
      <c r="AA161" s="138" t="n">
        <f aca="false">AA156-AA160</f>
        <v>-130.881031417155</v>
      </c>
      <c r="AB161" s="138" t="n">
        <f aca="false">AB156-AB160</f>
        <v>-133.818535704362</v>
      </c>
      <c r="AC161" s="138" t="n">
        <f aca="false">AC156-AC160</f>
        <v>-136.747876273443</v>
      </c>
      <c r="AD161" s="138" t="n">
        <f aca="false">AD156-AD160</f>
        <v>-139.662812200057</v>
      </c>
      <c r="AE161" s="138" t="n">
        <f aca="false">AE156-AE160</f>
        <v>-142.557225404559</v>
      </c>
      <c r="AF161" s="138" t="n">
        <f aca="false">AF156-AF160</f>
        <v>-145.425099834363</v>
      </c>
      <c r="AG161" s="138"/>
      <c r="AH161" s="138"/>
      <c r="AI161" s="138"/>
      <c r="AJ161" s="138"/>
      <c r="AK161" s="138"/>
      <c r="AL161" s="138"/>
      <c r="AM161" s="138"/>
      <c r="AN161" s="138"/>
      <c r="AO161" s="138"/>
      <c r="AP161" s="138"/>
      <c r="AQ161" s="138"/>
      <c r="AR161" s="138"/>
      <c r="AS161" s="138"/>
      <c r="AT161" s="138"/>
      <c r="AU161" s="138"/>
      <c r="AV161" s="138"/>
      <c r="AW161" s="138"/>
      <c r="AX161" s="138"/>
      <c r="AY161" s="138"/>
      <c r="AZ161" s="138"/>
      <c r="BA161" s="138"/>
      <c r="BB161" s="138"/>
      <c r="BC161" s="138"/>
      <c r="BD161" s="138"/>
      <c r="BE161" s="138"/>
      <c r="BF161" s="138"/>
      <c r="BG161" s="138"/>
      <c r="BH161" s="138"/>
      <c r="BI161" s="138"/>
      <c r="BJ161" s="138"/>
      <c r="BK161" s="138"/>
      <c r="BL161" s="138"/>
      <c r="BM161" s="138"/>
      <c r="BN161" s="138"/>
      <c r="BO161" s="138"/>
      <c r="BP161" s="138"/>
      <c r="BQ161" s="138"/>
      <c r="BR161" s="138"/>
      <c r="BS161" s="138"/>
      <c r="BT161" s="138"/>
    </row>
    <row r="162" customFormat="false" ht="15" hidden="false" customHeight="true" outlineLevel="0" collapsed="false">
      <c r="B162" s="135" t="s">
        <v>1168</v>
      </c>
      <c r="C162" s="116" t="n">
        <f aca="false">C48+C50+(C80-0)-C63</f>
        <v>11.8267027723829</v>
      </c>
      <c r="D162" s="116" t="n">
        <f aca="false">D48+D50+(D80-C80)-D63</f>
        <v>19.4438692095313</v>
      </c>
      <c r="E162" s="116" t="n">
        <f aca="false">E48+E50+(E80-D80)-E63</f>
        <v>26.217057214835</v>
      </c>
      <c r="F162" s="116" t="n">
        <f aca="false">F48+F50+(F80-E80)-F63</f>
        <v>48.3421348732781</v>
      </c>
      <c r="G162" s="116" t="n">
        <f aca="false">G48+G50+(G80-F80)-G63</f>
        <v>48.3415738562892</v>
      </c>
      <c r="H162" s="116" t="n">
        <f aca="false">H48+H50+(H80-G80)-H63</f>
        <v>37.9082854735478</v>
      </c>
      <c r="I162" s="116" t="n">
        <f aca="false">I48+I50+(I80-H80)-I63</f>
        <v>31.6836986370359</v>
      </c>
      <c r="J162" s="116" t="n">
        <f aca="false">J48+J50+(J80-I80)-J63</f>
        <v>26.3022792511968</v>
      </c>
      <c r="K162" s="116" t="n">
        <f aca="false">K48+K50+(K80-J80)-K63</f>
        <v>9.90329439186205</v>
      </c>
      <c r="L162" s="116" t="n">
        <f aca="false">L48+L50+(L80-K80)-L63</f>
        <v>9.91346872745088</v>
      </c>
      <c r="M162" s="116" t="n">
        <f aca="false">M48+M50+(M80-L80)-M63</f>
        <v>9.68030295180989</v>
      </c>
      <c r="N162" s="116" t="n">
        <f aca="false">N48+N50+(N80-M80)-N63</f>
        <v>9.20884401422391</v>
      </c>
      <c r="O162" s="116" t="n">
        <f aca="false">O48+O50+(O80-N80)-O63</f>
        <v>8.53468147113642</v>
      </c>
      <c r="P162" s="116" t="n">
        <f aca="false">P48+P50+(P80-O80)-P63</f>
        <v>7.30211046981801</v>
      </c>
      <c r="Q162" s="116" t="n">
        <f aca="false">Q48+Q50+(Q80-P80)-Q63</f>
        <v>6.06908093112626</v>
      </c>
      <c r="R162" s="116" t="n">
        <f aca="false">R48+R50+(R80-Q80)-R63</f>
        <v>5.12108374328976</v>
      </c>
      <c r="S162" s="116" t="n">
        <f aca="false">S48+S50+(S80-R80)-S63</f>
        <v>4.40703190403636</v>
      </c>
      <c r="T162" s="116" t="n">
        <f aca="false">T48+T50+(T80-S80)-T63</f>
        <v>3.89137564133594</v>
      </c>
      <c r="U162" s="116" t="n">
        <f aca="false">U48+U50+(U80-T80)-U63</f>
        <v>3.92626730616561</v>
      </c>
      <c r="V162" s="116" t="n">
        <f aca="false">V48+V50+(V80-U80)-V63</f>
        <v>3.95725566820417</v>
      </c>
      <c r="W162" s="116" t="n">
        <f aca="false">W48+W50+(W80-V80)-W63</f>
        <v>3.84092660730092</v>
      </c>
      <c r="X162" s="116" t="n">
        <f aca="false">X48+X50+(X80-W80)-X63</f>
        <v>3.72084845637401</v>
      </c>
      <c r="Y162" s="116" t="n">
        <f aca="false">Y48+Y50+(Y80-X80)-Y63</f>
        <v>3.59703369491645</v>
      </c>
      <c r="Z162" s="116" t="n">
        <f aca="false">Z48+Z50+(Z80-Y80)-Z63</f>
        <v>3.46949400883475</v>
      </c>
      <c r="AA162" s="116" t="n">
        <f aca="false">AA48+AA50+(AA80-Z80)-AA63</f>
        <v>3.33824032414112</v>
      </c>
      <c r="AB162" s="116" t="n">
        <f aca="false">AB48+AB50+(AB80-AA80)-AB63</f>
        <v>3.20668624159695</v>
      </c>
      <c r="AC162" s="116" t="n">
        <f aca="false">AC48+AC50+(AC80-AB80)-AC63</f>
        <v>3.07484126100528</v>
      </c>
      <c r="AD162" s="116" t="n">
        <f aca="false">AD48+AD50+(AD80-AC80)-AD63</f>
        <v>2.94271421231978</v>
      </c>
      <c r="AE162" s="116" t="n">
        <f aca="false">AE48+AE50+(AE80-AD80)-AE63</f>
        <v>2.81031328225874</v>
      </c>
      <c r="AF162" s="116" t="n">
        <f aca="false">AF48+AF50+(AF80-AE80)-AF63</f>
        <v>2.67764603934558</v>
      </c>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row>
    <row r="163" customFormat="false" ht="15" hidden="false" customHeight="true" outlineLevel="0" collapsed="false">
      <c r="B163" s="135" t="s">
        <v>1169</v>
      </c>
      <c r="C163" s="116" t="n">
        <f aca="false">0+C53+C56+C58+C118+C119+C60+C113+C101-C115-C162</f>
        <v>9.6177935588522</v>
      </c>
      <c r="D163" s="116" t="n">
        <f aca="false">C163+D53+D56+D58+D118+D119+D60+D113+D101-D115-D162</f>
        <v>11.8464301520359</v>
      </c>
      <c r="E163" s="116" t="n">
        <f aca="false">D163+E53+E56+E58+E118+E119+E60+E113+E101-E115-E162</f>
        <v>7.30881164947655</v>
      </c>
      <c r="F163" s="116" t="n">
        <f aca="false">E163+F53+F56+F58+F118+F119+F60+F113+F101-F115-F162</f>
        <v>-20.533071340239</v>
      </c>
      <c r="G163" s="116" t="n">
        <f aca="false">F163+G53+G56+G58+G118+G119+G60+G113+G101-G115-G162</f>
        <v>-49.6000822067626</v>
      </c>
      <c r="H163" s="116" t="n">
        <f aca="false">G163+H53+H56+H58+H118+H119+H60+H113+H101-H115-H162</f>
        <v>-68.8571624391486</v>
      </c>
      <c r="I163" s="116" t="n">
        <f aca="false">H163+I53+I56+I58+I118+I119+I60+I113+I101-I115-I162</f>
        <v>-82.139704683041</v>
      </c>
      <c r="J163" s="116" t="n">
        <f aca="false">I163+J53+J56+J58+J118+J119+J60+J113+J101-J115-J162</f>
        <v>-89.9575165324983</v>
      </c>
      <c r="K163" s="116" t="n">
        <f aca="false">J163+K53+K56+K58+K118+K119+K60+K113+K101-K115-K162</f>
        <v>-80.1810771021107</v>
      </c>
      <c r="L163" s="116" t="n">
        <f aca="false">K163+L53+L56+L58+L118+L119+L60+L113+L101-L115-L162</f>
        <v>-69.1947354444281</v>
      </c>
      <c r="M163" s="116" t="n">
        <f aca="false">L163+M53+M56+M58+M118+M119+M60+M113+M101-M115-M162</f>
        <v>-77.4015812760709</v>
      </c>
      <c r="N163" s="116" t="n">
        <f aca="false">M163+N53+N56+N58+N118+N119+N60+N113+N101-N115-N162</f>
        <v>-85.0893220508183</v>
      </c>
      <c r="O163" s="116" t="n">
        <f aca="false">N163+O53+O56+O58+O118+O119+O60+O113+O101-O115-O162</f>
        <v>-92.0636658451803</v>
      </c>
      <c r="P163" s="116" t="n">
        <f aca="false">O163+P53+P56+P58+P118+P119+P60+P113+P101-P115-P162</f>
        <v>-97.7651807379658</v>
      </c>
      <c r="Q163" s="116" t="n">
        <f aca="false">P163+Q53+Q56+Q58+Q118+Q119+Q60+Q113+Q101-Q115-Q162</f>
        <v>-102.192357638416</v>
      </c>
      <c r="R163" s="116" t="n">
        <f aca="false">Q163+R53+R56+R58+R118+R119+R60+R113+R101-R115-R162</f>
        <v>-105.629150523227</v>
      </c>
      <c r="S163" s="116" t="n">
        <f aca="false">R163+S53+S56+S58+S118+S119+S60+S113+S101-S115-S162</f>
        <v>-108.442868885087</v>
      </c>
      <c r="T163" s="116" t="n">
        <f aca="false">S163+T53+T56+T58+T118+T119+T60+T113+T101-T115-T162</f>
        <v>-110.892851185689</v>
      </c>
      <c r="U163" s="116" t="n">
        <f aca="false">T163+U53+U56+U58+U118+U119+U60+U113+U101-U115-U162</f>
        <v>-113.515484782335</v>
      </c>
      <c r="V163" s="116" t="n">
        <f aca="false">U163+V53+V56+V58+V118+V119+V60+V113+V101-V115-V162</f>
        <v>-116.330106754075</v>
      </c>
      <c r="W163" s="116" t="n">
        <f aca="false">V163+W53+W56+W58+W118+W119+W60+W113+W101-W115-W162</f>
        <v>-119.192551083363</v>
      </c>
      <c r="X163" s="116" t="n">
        <f aca="false">W163+X53+X56+X58+X118+X119+X60+X113+X101-X115-X162</f>
        <v>-122.087644707163</v>
      </c>
      <c r="Y163" s="116" t="n">
        <f aca="false">X163+Y53+Y56+Y58+Y118+Y119+Y60+Y113+Y101-Y115-Y162</f>
        <v>-125.007238041933</v>
      </c>
      <c r="Z163" s="116" t="n">
        <f aca="false">Y163+Z53+Z56+Z58+Z118+Z119+Z60+Z113+Z101-Z115-Z162</f>
        <v>-127.941748470715</v>
      </c>
      <c r="AA163" s="116" t="n">
        <f aca="false">Z163+AA53+AA56+AA58+AA118+AA119+AA60+AA113+AA101-AA115-AA162</f>
        <v>-130.881031417155</v>
      </c>
      <c r="AB163" s="116" t="n">
        <f aca="false">AA163+AB53+AB56+AB58+AB118+AB119+AB60+AB113+AB101-AB115-AB162</f>
        <v>-133.818535704362</v>
      </c>
      <c r="AC163" s="116" t="n">
        <f aca="false">AB163+AC53+AC56+AC58+AC118+AC119+AC60+AC113+AC101-AC115-AC162</f>
        <v>-136.747876273442</v>
      </c>
      <c r="AD163" s="116" t="n">
        <f aca="false">AC163+AD53+AD56+AD58+AD118+AD119+AD60+AD113+AD101-AD115-AD162</f>
        <v>-139.662812200057</v>
      </c>
      <c r="AE163" s="116" t="n">
        <f aca="false">AD163+AE53+AE56+AE58+AE118+AE119+AE60+AE113+AE101-AE115-AE162</f>
        <v>-142.557225404559</v>
      </c>
      <c r="AF163" s="116" t="n">
        <f aca="false">AE163+AF53+AF56+AF58+AF118+AF119+AF60+AF113+AF101-AF115-AF162</f>
        <v>-145.425099834363</v>
      </c>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row>
    <row r="164" customFormat="false" ht="15" hidden="false" customHeight="true" outlineLevel="0" collapsed="false">
      <c r="B164" s="137" t="s">
        <v>1170</v>
      </c>
      <c r="C164" s="138" t="n">
        <f aca="false">ROUND(C161-C163,6)</f>
        <v>0</v>
      </c>
      <c r="D164" s="138" t="n">
        <f aca="false">ROUND(D161-D163,6)</f>
        <v>0</v>
      </c>
      <c r="E164" s="138" t="n">
        <f aca="false">ROUND(E161-E163,6)</f>
        <v>0</v>
      </c>
      <c r="F164" s="138" t="n">
        <f aca="false">ROUND(F161-F163,6)</f>
        <v>0</v>
      </c>
      <c r="G164" s="138" t="n">
        <f aca="false">ROUND(G161-G163,6)</f>
        <v>0</v>
      </c>
      <c r="H164" s="138" t="n">
        <f aca="false">ROUND(H161-H163,6)</f>
        <v>0</v>
      </c>
      <c r="I164" s="138" t="n">
        <f aca="false">ROUND(I161-I163,6)</f>
        <v>0</v>
      </c>
      <c r="J164" s="138" t="n">
        <f aca="false">ROUND(J161-J163,6)</f>
        <v>0</v>
      </c>
      <c r="K164" s="138" t="n">
        <f aca="false">ROUND(K161-K163,6)</f>
        <v>0</v>
      </c>
      <c r="L164" s="138" t="n">
        <f aca="false">ROUND(L161-L163,6)</f>
        <v>0</v>
      </c>
      <c r="M164" s="138" t="n">
        <f aca="false">ROUND(M161-M163,6)</f>
        <v>0</v>
      </c>
      <c r="N164" s="138" t="n">
        <f aca="false">ROUND(N161-N163,6)</f>
        <v>0</v>
      </c>
      <c r="O164" s="138" t="n">
        <f aca="false">ROUND(O161-O163,6)</f>
        <v>0</v>
      </c>
      <c r="P164" s="138" t="n">
        <f aca="false">ROUND(P161-P163,6)</f>
        <v>0</v>
      </c>
      <c r="Q164" s="138" t="n">
        <f aca="false">ROUND(Q161-Q163,6)</f>
        <v>0</v>
      </c>
      <c r="R164" s="138" t="n">
        <f aca="false">ROUND(R161-R163,6)</f>
        <v>0</v>
      </c>
      <c r="S164" s="138" t="n">
        <f aca="false">ROUND(S161-S163,6)</f>
        <v>0</v>
      </c>
      <c r="T164" s="138" t="n">
        <f aca="false">ROUND(T161-T163,6)</f>
        <v>0</v>
      </c>
      <c r="U164" s="138" t="n">
        <f aca="false">ROUND(U161-U163,6)</f>
        <v>0</v>
      </c>
      <c r="V164" s="138" t="n">
        <f aca="false">ROUND(V161-V163,6)</f>
        <v>0</v>
      </c>
      <c r="W164" s="138" t="n">
        <f aca="false">ROUND(W161-W163,6)</f>
        <v>0</v>
      </c>
      <c r="X164" s="138" t="n">
        <f aca="false">ROUND(X161-X163,6)</f>
        <v>0</v>
      </c>
      <c r="Y164" s="138" t="n">
        <f aca="false">ROUND(Y161-Y163,6)</f>
        <v>0</v>
      </c>
      <c r="Z164" s="138" t="n">
        <f aca="false">ROUND(Z161-Z163,6)</f>
        <v>0</v>
      </c>
      <c r="AA164" s="138" t="n">
        <f aca="false">ROUND(AA161-AA163,6)</f>
        <v>0</v>
      </c>
      <c r="AB164" s="138" t="n">
        <f aca="false">ROUND(AB161-AB163,6)</f>
        <v>0</v>
      </c>
      <c r="AC164" s="138" t="n">
        <f aca="false">ROUND(AC161-AC163,6)</f>
        <v>0</v>
      </c>
      <c r="AD164" s="138" t="n">
        <f aca="false">ROUND(AD161-AD163,6)</f>
        <v>0</v>
      </c>
      <c r="AE164" s="138" t="n">
        <f aca="false">ROUND(AE161-AE163,6)</f>
        <v>0</v>
      </c>
      <c r="AF164" s="138" t="n">
        <f aca="false">ROUND(AF161-AF163,6)</f>
        <v>0</v>
      </c>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c r="BL164" s="138"/>
      <c r="BM164" s="138"/>
      <c r="BN164" s="138"/>
      <c r="BO164" s="138"/>
      <c r="BP164" s="138"/>
      <c r="BQ164" s="138"/>
      <c r="BR164" s="138"/>
      <c r="BS164" s="138"/>
      <c r="BT164" s="138"/>
    </row>
    <row r="165" customFormat="false" ht="15" hidden="false" customHeight="true" outlineLevel="0" collapsed="false">
      <c r="B165" s="103" t="s">
        <v>1171</v>
      </c>
      <c r="C165" s="140" t="s">
        <v>352</v>
      </c>
      <c r="D165" s="83" t="s">
        <v>1172</v>
      </c>
    </row>
    <row r="166" customFormat="false" ht="15" hidden="false" customHeight="true" outlineLevel="0" collapsed="false">
      <c r="B166" s="7" t="s">
        <v>1173</v>
      </c>
    </row>
    <row r="167" customFormat="false" ht="15" hidden="false" customHeight="true" outlineLevel="0" collapsed="false">
      <c r="B167" s="103" t="s">
        <v>1174</v>
      </c>
      <c r="C167" s="140" t="s">
        <v>398</v>
      </c>
      <c r="D167" s="83" t="s">
        <v>1370</v>
      </c>
    </row>
    <row r="168" customFormat="false" ht="15" hidden="false" customHeight="true" outlineLevel="0" collapsed="false">
      <c r="B168" s="103" t="s">
        <v>1360</v>
      </c>
      <c r="C168" s="141" t="n">
        <v>0.12</v>
      </c>
      <c r="D168" s="83" t="s">
        <v>1177</v>
      </c>
    </row>
    <row r="169" customFormat="false" ht="15" hidden="false" customHeight="true" outlineLevel="0" collapsed="false">
      <c r="B169" s="103" t="s">
        <v>1178</v>
      </c>
      <c r="C169" s="141" t="n">
        <v>0.025</v>
      </c>
      <c r="D169" s="83" t="s">
        <v>1179</v>
      </c>
    </row>
    <row r="170" customFormat="false" ht="15" hidden="false" customHeight="true" outlineLevel="0" collapsed="false">
      <c r="B170" s="103" t="s">
        <v>1180</v>
      </c>
      <c r="C170" s="141" t="n">
        <v>0</v>
      </c>
      <c r="D170" s="83" t="s">
        <v>1371</v>
      </c>
    </row>
    <row r="171" customFormat="false" ht="15" hidden="false" customHeight="true" outlineLevel="0" collapsed="false">
      <c r="B171" s="103" t="s">
        <v>1182</v>
      </c>
      <c r="C171" s="141" t="n">
        <v>0.015</v>
      </c>
      <c r="D171" s="83" t="s">
        <v>1183</v>
      </c>
    </row>
    <row r="172" customFormat="false" ht="15" hidden="false" customHeight="true" outlineLevel="0" collapsed="false">
      <c r="B172" s="103" t="s">
        <v>1363</v>
      </c>
      <c r="C172" s="141" t="n">
        <v>0.3</v>
      </c>
      <c r="D172" s="83" t="s">
        <v>1364</v>
      </c>
    </row>
    <row r="173" customFormat="false" ht="15" hidden="false" customHeight="true" outlineLevel="0" collapsed="false">
      <c r="B173" s="103" t="s">
        <v>1186</v>
      </c>
      <c r="C173" s="140" t="s">
        <v>398</v>
      </c>
      <c r="D173" s="83" t="s">
        <v>1187</v>
      </c>
    </row>
    <row r="174" customFormat="false" ht="15" hidden="false" customHeight="true" outlineLevel="0" collapsed="false">
      <c r="B174" s="103" t="s">
        <v>460</v>
      </c>
      <c r="C174" s="141" t="n">
        <v>0.04</v>
      </c>
      <c r="D174" s="83" t="s">
        <v>1365</v>
      </c>
    </row>
    <row r="175" customFormat="false" ht="15" hidden="false" customHeight="true" outlineLevel="0" collapsed="false">
      <c r="B175" s="103" t="s">
        <v>1189</v>
      </c>
      <c r="C175" s="141" t="n">
        <v>0.043</v>
      </c>
      <c r="D175" s="83" t="s">
        <v>1190</v>
      </c>
    </row>
    <row r="176" customFormat="false" ht="15" hidden="false" customHeight="true" outlineLevel="0" collapsed="false">
      <c r="B176" s="103" t="s">
        <v>1191</v>
      </c>
      <c r="C176" s="141" t="n">
        <v>0</v>
      </c>
      <c r="D176" s="83" t="s">
        <v>1192</v>
      </c>
    </row>
    <row r="177" customFormat="false" ht="15" hidden="false" customHeight="true" outlineLevel="0" collapsed="false">
      <c r="B177" s="103" t="s">
        <v>1193</v>
      </c>
      <c r="C177" s="140" t="n">
        <v>10</v>
      </c>
      <c r="D177" s="83" t="s">
        <v>1194</v>
      </c>
    </row>
    <row r="178" customFormat="false" ht="15" hidden="false" customHeight="true" outlineLevel="0" collapsed="false">
      <c r="B178" s="7" t="s">
        <v>1195</v>
      </c>
    </row>
    <row r="179" customFormat="false" ht="15" hidden="false" customHeight="true" outlineLevel="0" collapsed="false">
      <c r="B179" s="103" t="s">
        <v>1196</v>
      </c>
      <c r="C179" s="142" t="n">
        <f aca="false">IF($C$173="Sí",MAX(0,MAX(0,C74-0)-C327*MAX(0,(C83-0)))/C327+MAX(0,-(C83-0)),MAX(0,0+C76-C83))</f>
        <v>0</v>
      </c>
      <c r="D179" s="142" t="n">
        <f aca="false">IF($C$173="Sí",MAX(0,MAX(0,D74-C96)-D327*MAX(0,(D83-C83)))/D327+MAX(0,-(D83-C83)),MAX(0,C83+D76-D83))</f>
        <v>0</v>
      </c>
      <c r="E179" s="142" t="n">
        <f aca="false">IF($C$173="Sí",MAX(0,MAX(0,E74-D96)-E327*MAX(0,(E83-D83)))/E327+MAX(0,-(E83-D83)),MAX(0,D83+E76-E83))</f>
        <v>0</v>
      </c>
      <c r="F179" s="142" t="n">
        <f aca="false">IF($C$173="Sí",MAX(0,MAX(0,F74-E96)-F327*MAX(0,(F83-E83)))/F327+MAX(0,-(F83-E83)),MAX(0,E83+F76-F83))</f>
        <v>0</v>
      </c>
      <c r="G179" s="142" t="n">
        <f aca="false">IF($C$173="Sí",MAX(0,MAX(0,G74-F96)-G327*MAX(0,(G83-F83)))/G327+MAX(0,-(G83-F83)),MAX(0,F83+G76-G83))</f>
        <v>0</v>
      </c>
      <c r="H179" s="142" t="n">
        <f aca="false">IF($C$173="Sí",MAX(0,MAX(0,H74-G96)-H327*MAX(0,(H83-G83)))/H327+MAX(0,-(H83-G83)),MAX(0,G83+H76-H83))</f>
        <v>0</v>
      </c>
      <c r="I179" s="142" t="n">
        <f aca="false">IF($C$173="Sí",MAX(0,MAX(0,I74-H96)-I327*MAX(0,(I83-H83)))/I327+MAX(0,-(I83-H83)),MAX(0,H83+I76-I83))</f>
        <v>0</v>
      </c>
      <c r="J179" s="142" t="n">
        <f aca="false">IF($C$173="Sí",MAX(0,MAX(0,J74-I96)-J327*MAX(0,(J83-I83)))/J327+MAX(0,-(J83-I83)),MAX(0,I83+J76-J83))</f>
        <v>0</v>
      </c>
      <c r="K179" s="142" t="n">
        <f aca="false">IF($C$173="Sí",MAX(0,MAX(0,K74-J96)-K327*MAX(0,(K83-J83)))/K327+MAX(0,-(K83-J83)),MAX(0,J83+K76-K83))</f>
        <v>0</v>
      </c>
      <c r="L179" s="142" t="n">
        <f aca="false">IF($C$173="Sí",MAX(0,MAX(0,L74-K96)-L327*MAX(0,(L83-K83)))/L327+MAX(0,-(L83-K83)),MAX(0,K83+L76-L83))</f>
        <v>0</v>
      </c>
      <c r="M179" s="142" t="n">
        <f aca="false">IF($C$173="Sí",MAX(0,MAX(0,M74-L96)-M327*MAX(0,(M83-L83)))/M327+MAX(0,-(M83-L83)),MAX(0,L83+M76-M83))</f>
        <v>0</v>
      </c>
      <c r="N179" s="142" t="n">
        <f aca="false">IF($C$173="Sí",MAX(0,MAX(0,N74-M96)-N327*MAX(0,(N83-M83)))/N327+MAX(0,-(N83-M83)),MAX(0,M83+N76-N83))</f>
        <v>0</v>
      </c>
      <c r="O179" s="142" t="n">
        <f aca="false">IF($C$173="Sí",MAX(0,MAX(0,O74-N96)-O327*MAX(0,(O83-N83)))/O327+MAX(0,-(O83-N83)),MAX(0,N83+O76-O83))</f>
        <v>0</v>
      </c>
      <c r="P179" s="142" t="n">
        <f aca="false">IF($C$173="Sí",MAX(0,MAX(0,P74-O96)-P327*MAX(0,(P83-O83)))/P327+MAX(0,-(P83-O83)),MAX(0,O83+P76-P83))</f>
        <v>0</v>
      </c>
      <c r="Q179" s="142" t="n">
        <f aca="false">IF($C$173="Sí",MAX(0,MAX(0,Q74-P96)-Q327*MAX(0,(Q83-P83)))/Q327+MAX(0,-(Q83-P83)),MAX(0,P83+Q76-Q83))</f>
        <v>0</v>
      </c>
      <c r="R179" s="142" t="n">
        <f aca="false">IF($C$173="Sí",MAX(0,MAX(0,R74-Q96)-R327*MAX(0,(R83-Q83)))/R327+MAX(0,-(R83-Q83)),MAX(0,Q83+R76-R83))</f>
        <v>0</v>
      </c>
      <c r="S179" s="142" t="n">
        <f aca="false">IF($C$173="Sí",MAX(0,MAX(0,S74-R96)-S327*MAX(0,(S83-R83)))/S327+MAX(0,-(S83-R83)),MAX(0,R83+S76-S83))</f>
        <v>0</v>
      </c>
      <c r="T179" s="142" t="n">
        <f aca="false">IF($C$173="Sí",MAX(0,MAX(0,T74-S96)-T327*MAX(0,(T83-S83)))/T327+MAX(0,-(T83-S83)),MAX(0,S83+T76-T83))</f>
        <v>0</v>
      </c>
      <c r="U179" s="142" t="n">
        <f aca="false">IF($C$173="Sí",MAX(0,MAX(0,U74-T96)-U327*MAX(0,(U83-T83)))/U327+MAX(0,-(U83-T83)),MAX(0,T83+U76-U83))</f>
        <v>0</v>
      </c>
      <c r="V179" s="142" t="n">
        <f aca="false">IF($C$173="Sí",MAX(0,MAX(0,V74-U96)-V327*MAX(0,(V83-U83)))/V327+MAX(0,-(V83-U83)),MAX(0,U83+V76-V83))</f>
        <v>0</v>
      </c>
      <c r="W179" s="142" t="n">
        <f aca="false">IF($C$173="Sí",MAX(0,MAX(0,W74-V96)-W327*MAX(0,(W83-V83)))/W327+MAX(0,-(W83-V83)),MAX(0,V83+W76-W83))</f>
        <v>0</v>
      </c>
      <c r="X179" s="142" t="n">
        <f aca="false">IF($C$173="Sí",MAX(0,MAX(0,X74-W96)-X327*MAX(0,(X83-W83)))/X327+MAX(0,-(X83-W83)),MAX(0,W83+X76-X83))</f>
        <v>0</v>
      </c>
      <c r="Y179" s="142" t="n">
        <f aca="false">IF($C$173="Sí",MAX(0,MAX(0,Y74-X96)-Y327*MAX(0,(Y83-X83)))/Y327+MAX(0,-(Y83-X83)),MAX(0,X83+Y76-Y83))</f>
        <v>0</v>
      </c>
      <c r="Z179" s="142" t="n">
        <f aca="false">IF($C$173="Sí",MAX(0,MAX(0,Z74-Y96)-Z327*MAX(0,(Z83-Y83)))/Z327+MAX(0,-(Z83-Y83)),MAX(0,Y83+Z76-Z83))</f>
        <v>0</v>
      </c>
      <c r="AA179" s="142" t="n">
        <f aca="false">IF($C$173="Sí",MAX(0,MAX(0,AA74-Z96)-AA327*MAX(0,(AA83-Z83)))/AA327+MAX(0,-(AA83-Z83)),MAX(0,Z83+AA76-AA83))</f>
        <v>0</v>
      </c>
      <c r="AB179" s="142" t="n">
        <f aca="false">IF($C$173="Sí",MAX(0,MAX(0,AB74-AA96)-AB327*MAX(0,(AB83-AA83)))/AB327+MAX(0,-(AB83-AA83)),MAX(0,AA83+AB76-AB83))</f>
        <v>0</v>
      </c>
      <c r="AC179" s="142" t="n">
        <f aca="false">IF($C$173="Sí",MAX(0,MAX(0,AC74-AB96)-AC327*MAX(0,(AC83-AB83)))/AC327+MAX(0,-(AC83-AB83)),MAX(0,AB83+AC76-AC83))</f>
        <v>0</v>
      </c>
      <c r="AD179" s="142" t="n">
        <f aca="false">IF($C$173="Sí",MAX(0,MAX(0,AD74-AC96)-AD327*MAX(0,(AD83-AC83)))/AD327+MAX(0,-(AD83-AC83)),MAX(0,AC83+AD76-AD83))</f>
        <v>0</v>
      </c>
      <c r="AE179" s="142" t="n">
        <f aca="false">IF($C$173="Sí",MAX(0,MAX(0,AE74-AD96)-AE327*MAX(0,(AE83-AD83)))/AE327+MAX(0,-(AE83-AD83)),MAX(0,AD83+AE76-AE83))</f>
        <v>0</v>
      </c>
      <c r="AF179" s="142" t="n">
        <f aca="false">IF($C$173="Sí",MAX(0,MAX(0,AF74-AE96)-AF327*MAX(0,(AF83-AE83)))/AF327+MAX(0,-(AF83-AE83)),MAX(0,AE83+AF76-AF83))</f>
        <v>0</v>
      </c>
      <c r="AG179" s="142"/>
      <c r="AH179" s="142"/>
      <c r="AI179" s="142"/>
      <c r="AJ179" s="142"/>
      <c r="AK179" s="142"/>
      <c r="AL179" s="142"/>
      <c r="AM179" s="142"/>
      <c r="AN179" s="142"/>
      <c r="AO179" s="142"/>
      <c r="AP179" s="142"/>
      <c r="AQ179" s="142"/>
      <c r="AR179" s="142"/>
      <c r="AS179" s="142"/>
      <c r="AT179" s="142"/>
      <c r="AU179" s="142"/>
      <c r="AV179" s="142"/>
      <c r="AW179" s="142"/>
      <c r="AX179" s="142"/>
      <c r="AY179" s="142"/>
      <c r="AZ179" s="142"/>
      <c r="BA179" s="142"/>
      <c r="BB179" s="142"/>
      <c r="BC179" s="142"/>
      <c r="BD179" s="142"/>
      <c r="BE179" s="142"/>
      <c r="BF179" s="142"/>
      <c r="BG179" s="142"/>
      <c r="BH179" s="142"/>
      <c r="BI179" s="142"/>
      <c r="BJ179" s="142"/>
      <c r="BK179" s="142"/>
      <c r="BL179" s="142"/>
      <c r="BM179" s="142"/>
      <c r="BN179" s="142"/>
      <c r="BO179" s="142"/>
      <c r="BP179" s="142"/>
      <c r="BQ179" s="142"/>
      <c r="BR179" s="142"/>
      <c r="BS179" s="142"/>
      <c r="BT179" s="142"/>
    </row>
    <row r="180" customFormat="false" ht="15" hidden="false" customHeight="true" outlineLevel="0" collapsed="false">
      <c r="B180" s="103" t="s">
        <v>1197</v>
      </c>
      <c r="C180" s="142" t="n">
        <f aca="false">IF($C$167="Sí",MAX(0,MIN(C84,($C$168+$C$170)*C41*MIN(1,C$39/MAX(1,01_Supuestos!$C$170)))),0)</f>
        <v>4.86035289641877</v>
      </c>
      <c r="D180" s="142" t="n">
        <f aca="false">IF($C$167="Sí",MAX(0,MIN(D84,($C$168+$C$170)*D41*MIN(1,D$39/MAX(1,01_Supuestos!$C$170)))),0)</f>
        <v>13.1185582870288</v>
      </c>
      <c r="E180" s="142" t="n">
        <f aca="false">IF($C$167="Sí",MAX(0,MIN(E84,($C$168+$C$170)*E41*MIN(1,E$39/MAX(1,01_Supuestos!$C$170)))),0)</f>
        <v>24.4887786</v>
      </c>
      <c r="F180" s="142" t="n">
        <f aca="false">IF($C$167="Sí",MAX(0,MIN(F84,($C$168+$C$170)*F41*MIN(1,F$39/MAX(1,01_Supuestos!$C$170)))),0)</f>
        <v>33.4026940104</v>
      </c>
      <c r="G180" s="142" t="n">
        <f aca="false">IF($C$167="Sí",MAX(0,MIN(G84,($C$168+$C$170)*G41*MIN(1,G$39/MAX(1,01_Supuestos!$C$170)))),0)</f>
        <v>42.713694965799</v>
      </c>
      <c r="H180" s="142" t="n">
        <f aca="false">IF($C$167="Sí",MAX(0,MIN(H84,($C$168+$C$170)*H41*MIN(1,H$39/MAX(1,01_Supuestos!$C$170)))),0)</f>
        <v>43.6961099500124</v>
      </c>
      <c r="I180" s="142" t="n">
        <f aca="false">IF($C$167="Sí",MAX(0,MIN(I84,($C$168+$C$170)*I41*MIN(1,I$39/MAX(1,01_Supuestos!$C$170)))),0)</f>
        <v>44.7011204788626</v>
      </c>
      <c r="J180" s="142" t="n">
        <f aca="false">IF($C$167="Sí",MAX(0,MIN(J84,($C$168+$C$170)*J41*MIN(1,J$39/MAX(1,01_Supuestos!$C$170)))),0)</f>
        <v>45.7292462498765</v>
      </c>
      <c r="K180" s="142" t="n">
        <f aca="false">IF($C$167="Sí",MAX(0,MIN(K84,($C$168+$C$170)*K41*MIN(1,K$39/MAX(1,01_Supuestos!$C$170)))),0)</f>
        <v>46.7810189136236</v>
      </c>
      <c r="L180" s="142" t="n">
        <f aca="false">IF($C$167="Sí",MAX(0,MIN(L84,($C$168+$C$170)*L41*MIN(1,L$39/MAX(1,01_Supuestos!$C$170)))),0)</f>
        <v>47.856982348637</v>
      </c>
      <c r="M180" s="142" t="n">
        <f aca="false">IF($C$167="Sí",MAX(0,MIN(M84,($C$168+$C$170)*M41*MIN(1,M$39/MAX(1,01_Supuestos!$C$170)))),0)</f>
        <v>48.9576929426556</v>
      </c>
      <c r="N180" s="142" t="n">
        <f aca="false">IF($C$167="Sí",MAX(0,MIN(N84,($C$168+$C$170)*N41*MIN(1,N$39/MAX(1,01_Supuestos!$C$170)))),0)</f>
        <v>50.0837198803367</v>
      </c>
      <c r="O180" s="142" t="n">
        <f aca="false">IF($C$167="Sí",MAX(0,MIN(O84,($C$168+$C$170)*O41*MIN(1,O$39/MAX(1,01_Supuestos!$C$170)))),0)</f>
        <v>51.2356454375844</v>
      </c>
      <c r="P180" s="142" t="n">
        <f aca="false">IF($C$167="Sí",MAX(0,MIN(P84,($C$168+$C$170)*P41*MIN(1,P$39/MAX(1,01_Supuestos!$C$170)))),0)</f>
        <v>52.4140652826489</v>
      </c>
      <c r="Q180" s="142" t="n">
        <f aca="false">IF($C$167="Sí",MAX(0,MIN(Q84,($C$168+$C$170)*Q41*MIN(1,Q$39/MAX(1,01_Supuestos!$C$170)))),0)</f>
        <v>53.6195887841498</v>
      </c>
      <c r="R180" s="142" t="n">
        <f aca="false">IF($C$167="Sí",MAX(0,MIN(R84,($C$168+$C$170)*R41*MIN(1,R$39/MAX(1,01_Supuestos!$C$170)))),0)</f>
        <v>54.8528393261852</v>
      </c>
      <c r="S180" s="142" t="n">
        <f aca="false">IF($C$167="Sí",MAX(0,MIN(S84,($C$168+$C$170)*S41*MIN(1,S$39/MAX(1,01_Supuestos!$C$170)))),0)</f>
        <v>56.1144546306875</v>
      </c>
      <c r="T180" s="142" t="n">
        <f aca="false">IF($C$167="Sí",MAX(0,MIN(T84,($C$168+$C$170)*T41*MIN(1,T$39/MAX(1,01_Supuestos!$C$170)))),0)</f>
        <v>57.4050870871933</v>
      </c>
      <c r="U180" s="142" t="n">
        <f aca="false">IF($C$167="Sí",MAX(0,MIN(U84,($C$168+$C$170)*U41*MIN(1,U$39/MAX(1,01_Supuestos!$C$170)))),0)</f>
        <v>58.7254040901987</v>
      </c>
      <c r="V180" s="142" t="n">
        <f aca="false">IF($C$167="Sí",MAX(0,MIN(V84,($C$168+$C$170)*V41*MIN(1,V$39/MAX(1,01_Supuestos!$C$170)))),0)</f>
        <v>60.0760883842733</v>
      </c>
      <c r="W180" s="142" t="n">
        <f aca="false">IF($C$167="Sí",MAX(0,MIN(W84,($C$168+$C$170)*W41*MIN(1,W$39/MAX(1,01_Supuestos!$C$170)))),0)</f>
        <v>61.4578384171116</v>
      </c>
      <c r="X180" s="142" t="n">
        <f aca="false">IF($C$167="Sí",MAX(0,MIN(X84,($C$168+$C$170)*X41*MIN(1,X$39/MAX(1,01_Supuestos!$C$170)))),0)</f>
        <v>62.8713687007051</v>
      </c>
      <c r="Y180" s="142" t="n">
        <f aca="false">IF($C$167="Sí",MAX(0,MIN(Y84,($C$168+$C$170)*Y41*MIN(1,Y$39/MAX(1,01_Supuestos!$C$170)))),0)</f>
        <v>64.3174101808214</v>
      </c>
      <c r="Z180" s="142" t="n">
        <f aca="false">IF($C$167="Sí",MAX(0,MIN(Z84,($C$168+$C$170)*Z41*MIN(1,Z$39/MAX(1,01_Supuestos!$C$170)))),0)</f>
        <v>65.7967106149802</v>
      </c>
      <c r="AA180" s="142" t="n">
        <f aca="false">IF($C$167="Sí",MAX(0,MIN(AA84,($C$168+$C$170)*AA41*MIN(1,AA$39/MAX(1,01_Supuestos!$C$170)))),0)</f>
        <v>67.3100349591248</v>
      </c>
      <c r="AB180" s="142" t="n">
        <f aca="false">IF($C$167="Sí",MAX(0,MIN(AB84,($C$168+$C$170)*AB41*MIN(1,AB$39/MAX(1,01_Supuestos!$C$170)))),0)</f>
        <v>68.8581657631846</v>
      </c>
      <c r="AC180" s="142" t="n">
        <f aca="false">IF($C$167="Sí",MAX(0,MIN(AC84,($C$168+$C$170)*AC41*MIN(1,AC$39/MAX(1,01_Supuestos!$C$170)))),0)</f>
        <v>70.4419035757379</v>
      </c>
      <c r="AD180" s="142" t="n">
        <f aca="false">IF($C$167="Sí",MAX(0,MIN(AD84,($C$168+$C$170)*AD41*MIN(1,AD$39/MAX(1,01_Supuestos!$C$170)))),0)</f>
        <v>72.0620673579798</v>
      </c>
      <c r="AE180" s="142" t="n">
        <f aca="false">IF($C$167="Sí",MAX(0,MIN(AE84,($C$168+$C$170)*AE41*MIN(1,AE$39/MAX(1,01_Supuestos!$C$170)))),0)</f>
        <v>73.7194949072134</v>
      </c>
      <c r="AF180" s="142" t="n">
        <f aca="false">IF($C$167="Sí",MAX(0,MIN(AF84,($C$168+$C$170)*AF41*MIN(1,AF$39/MAX(1,01_Supuestos!$C$170)))),0)</f>
        <v>75.4150432900793</v>
      </c>
      <c r="AG180" s="142"/>
      <c r="AH180" s="142"/>
      <c r="AI180" s="142"/>
      <c r="AJ180" s="142"/>
      <c r="AK180" s="142"/>
      <c r="AL180" s="142"/>
      <c r="AM180" s="142"/>
      <c r="AN180" s="142"/>
      <c r="AO180" s="142"/>
      <c r="AP180" s="142"/>
      <c r="AQ180" s="142"/>
      <c r="AR180" s="142"/>
      <c r="AS180" s="142"/>
      <c r="AT180" s="142"/>
      <c r="AU180" s="142"/>
      <c r="AV180" s="142"/>
      <c r="AW180" s="142"/>
      <c r="AX180" s="142"/>
      <c r="AY180" s="142"/>
      <c r="AZ180" s="142"/>
      <c r="BA180" s="142"/>
      <c r="BB180" s="142"/>
      <c r="BC180" s="142"/>
      <c r="BD180" s="142"/>
      <c r="BE180" s="142"/>
      <c r="BF180" s="142"/>
      <c r="BG180" s="142"/>
      <c r="BH180" s="142"/>
      <c r="BI180" s="142"/>
      <c r="BJ180" s="142"/>
      <c r="BK180" s="142"/>
      <c r="BL180" s="142"/>
      <c r="BM180" s="142"/>
      <c r="BN180" s="142"/>
      <c r="BO180" s="142"/>
      <c r="BP180" s="142"/>
      <c r="BQ180" s="142"/>
      <c r="BR180" s="142"/>
      <c r="BS180" s="142"/>
      <c r="BT180" s="142"/>
    </row>
    <row r="181" customFormat="false" ht="15" hidden="false" customHeight="true" outlineLevel="0" collapsed="false">
      <c r="B181" s="103" t="s">
        <v>1366</v>
      </c>
      <c r="C181" s="142" t="n">
        <f aca="false">MIN(C180,0+C179)</f>
        <v>0</v>
      </c>
      <c r="D181" s="142" t="n">
        <f aca="false">MIN(D180,C181+D179)</f>
        <v>0</v>
      </c>
      <c r="E181" s="142" t="n">
        <f aca="false">MIN(E180,D181+E179)</f>
        <v>0</v>
      </c>
      <c r="F181" s="142" t="n">
        <f aca="false">MIN(F180,E181+F179)</f>
        <v>0</v>
      </c>
      <c r="G181" s="142" t="n">
        <f aca="false">MIN(G180,F181+G179)</f>
        <v>0</v>
      </c>
      <c r="H181" s="142" t="n">
        <f aca="false">MIN(H180,G181+H179)</f>
        <v>0</v>
      </c>
      <c r="I181" s="142" t="n">
        <f aca="false">MIN(I180,H181+I179)</f>
        <v>0</v>
      </c>
      <c r="J181" s="142" t="n">
        <f aca="false">MIN(J180,I181+J179)</f>
        <v>0</v>
      </c>
      <c r="K181" s="142" t="n">
        <f aca="false">MIN(K180,J181+K179)</f>
        <v>0</v>
      </c>
      <c r="L181" s="142" t="n">
        <f aca="false">MIN(L180,K181+L179)</f>
        <v>0</v>
      </c>
      <c r="M181" s="142" t="n">
        <f aca="false">MIN(M180,L181+M179)</f>
        <v>0</v>
      </c>
      <c r="N181" s="142" t="n">
        <f aca="false">MIN(N180,M181+N179)</f>
        <v>0</v>
      </c>
      <c r="O181" s="142" t="n">
        <f aca="false">MIN(O180,N181+O179)</f>
        <v>0</v>
      </c>
      <c r="P181" s="142" t="n">
        <f aca="false">MIN(P180,O181+P179)</f>
        <v>0</v>
      </c>
      <c r="Q181" s="142" t="n">
        <f aca="false">MIN(Q180,P181+Q179)</f>
        <v>0</v>
      </c>
      <c r="R181" s="142" t="n">
        <f aca="false">MIN(R180,Q181+R179)</f>
        <v>0</v>
      </c>
      <c r="S181" s="142" t="n">
        <f aca="false">MIN(S180,R181+S179)</f>
        <v>0</v>
      </c>
      <c r="T181" s="142" t="n">
        <f aca="false">MIN(T180,S181+T179)</f>
        <v>0</v>
      </c>
      <c r="U181" s="142" t="n">
        <f aca="false">MIN(U180,T181+U179)</f>
        <v>0</v>
      </c>
      <c r="V181" s="142" t="n">
        <f aca="false">MIN(V180,U181+V179)</f>
        <v>0</v>
      </c>
      <c r="W181" s="142" t="n">
        <f aca="false">MIN(W180,V181+W179)</f>
        <v>0</v>
      </c>
      <c r="X181" s="142" t="n">
        <f aca="false">MIN(X180,W181+X179)</f>
        <v>0</v>
      </c>
      <c r="Y181" s="142" t="n">
        <f aca="false">MIN(Y180,X181+Y179)</f>
        <v>0</v>
      </c>
      <c r="Z181" s="142" t="n">
        <f aca="false">MIN(Z180,Y181+Z179)</f>
        <v>0</v>
      </c>
      <c r="AA181" s="142" t="n">
        <f aca="false">MIN(AA180,Z181+AA179)</f>
        <v>0</v>
      </c>
      <c r="AB181" s="142" t="n">
        <f aca="false">MIN(AB180,AA181+AB179)</f>
        <v>0</v>
      </c>
      <c r="AC181" s="142" t="n">
        <f aca="false">MIN(AC180,AB181+AC179)</f>
        <v>0</v>
      </c>
      <c r="AD181" s="142" t="n">
        <f aca="false">MIN(AD180,AC181+AD179)</f>
        <v>0</v>
      </c>
      <c r="AE181" s="142" t="n">
        <f aca="false">MIN(AE180,AD181+AE179)</f>
        <v>0</v>
      </c>
      <c r="AF181" s="142" t="n">
        <f aca="false">MIN(AF180,AE181+AF179)</f>
        <v>0</v>
      </c>
      <c r="AG181" s="142"/>
      <c r="AH181" s="142"/>
      <c r="AI181" s="142"/>
      <c r="AJ181" s="142"/>
      <c r="AK181" s="142"/>
      <c r="AL181" s="142"/>
      <c r="AM181" s="142"/>
      <c r="AN181" s="142"/>
      <c r="AO181" s="142"/>
      <c r="AP181" s="142"/>
      <c r="AQ181" s="142"/>
      <c r="AR181" s="142"/>
      <c r="AS181" s="142"/>
      <c r="AT181" s="142"/>
      <c r="AU181" s="142"/>
      <c r="AV181" s="142"/>
      <c r="AW181" s="142"/>
      <c r="AX181" s="142"/>
      <c r="AY181" s="142"/>
      <c r="AZ181" s="142"/>
      <c r="BA181" s="142"/>
      <c r="BB181" s="142"/>
      <c r="BC181" s="142"/>
      <c r="BD181" s="142"/>
      <c r="BE181" s="142"/>
      <c r="BF181" s="142"/>
      <c r="BG181" s="142"/>
      <c r="BH181" s="142"/>
      <c r="BI181" s="142"/>
      <c r="BJ181" s="142"/>
      <c r="BK181" s="142"/>
      <c r="BL181" s="142"/>
      <c r="BM181" s="142"/>
      <c r="BN181" s="142"/>
      <c r="BO181" s="142"/>
      <c r="BP181" s="142"/>
      <c r="BQ181" s="142"/>
      <c r="BR181" s="142"/>
      <c r="BS181" s="142"/>
      <c r="BT181" s="142"/>
    </row>
    <row r="182" customFormat="false" ht="15" hidden="false" customHeight="true" outlineLevel="0" collapsed="false">
      <c r="B182" s="103" t="s">
        <v>1199</v>
      </c>
      <c r="C182" s="142" t="n">
        <f aca="false">MIN(C181,$C$168*C41)</f>
        <v>0</v>
      </c>
      <c r="D182" s="142" t="n">
        <f aca="false">MIN(D181,$C$168*D41)</f>
        <v>0</v>
      </c>
      <c r="E182" s="142" t="n">
        <f aca="false">MIN(E181,$C$168*E41)</f>
        <v>0</v>
      </c>
      <c r="F182" s="142" t="n">
        <f aca="false">MIN(F181,$C$168*F41)</f>
        <v>0</v>
      </c>
      <c r="G182" s="142" t="n">
        <f aca="false">MIN(G181,$C$168*G41)</f>
        <v>0</v>
      </c>
      <c r="H182" s="142" t="n">
        <f aca="false">MIN(H181,$C$168*H41)</f>
        <v>0</v>
      </c>
      <c r="I182" s="142" t="n">
        <f aca="false">MIN(I181,$C$168*I41)</f>
        <v>0</v>
      </c>
      <c r="J182" s="142" t="n">
        <f aca="false">MIN(J181,$C$168*J41)</f>
        <v>0</v>
      </c>
      <c r="K182" s="142" t="n">
        <f aca="false">MIN(K181,$C$168*K41)</f>
        <v>0</v>
      </c>
      <c r="L182" s="142" t="n">
        <f aca="false">MIN(L181,$C$168*L41)</f>
        <v>0</v>
      </c>
      <c r="M182" s="142" t="n">
        <f aca="false">MIN(M181,$C$168*M41)</f>
        <v>0</v>
      </c>
      <c r="N182" s="142" t="n">
        <f aca="false">MIN(N181,$C$168*N41)</f>
        <v>0</v>
      </c>
      <c r="O182" s="142" t="n">
        <f aca="false">MIN(O181,$C$168*O41)</f>
        <v>0</v>
      </c>
      <c r="P182" s="142" t="n">
        <f aca="false">MIN(P181,$C$168*P41)</f>
        <v>0</v>
      </c>
      <c r="Q182" s="142" t="n">
        <f aca="false">MIN(Q181,$C$168*Q41)</f>
        <v>0</v>
      </c>
      <c r="R182" s="142" t="n">
        <f aca="false">MIN(R181,$C$168*R41)</f>
        <v>0</v>
      </c>
      <c r="S182" s="142" t="n">
        <f aca="false">MIN(S181,$C$168*S41)</f>
        <v>0</v>
      </c>
      <c r="T182" s="142" t="n">
        <f aca="false">MIN(T181,$C$168*T41)</f>
        <v>0</v>
      </c>
      <c r="U182" s="142" t="n">
        <f aca="false">MIN(U181,$C$168*U41)</f>
        <v>0</v>
      </c>
      <c r="V182" s="142" t="n">
        <f aca="false">MIN(V181,$C$168*V41)</f>
        <v>0</v>
      </c>
      <c r="W182" s="142" t="n">
        <f aca="false">MIN(W181,$C$168*W41)</f>
        <v>0</v>
      </c>
      <c r="X182" s="142" t="n">
        <f aca="false">MIN(X181,$C$168*X41)</f>
        <v>0</v>
      </c>
      <c r="Y182" s="142" t="n">
        <f aca="false">MIN(Y181,$C$168*Y41)</f>
        <v>0</v>
      </c>
      <c r="Z182" s="142" t="n">
        <f aca="false">MIN(Z181,$C$168*Z41)</f>
        <v>0</v>
      </c>
      <c r="AA182" s="142" t="n">
        <f aca="false">MIN(AA181,$C$168*AA41)</f>
        <v>0</v>
      </c>
      <c r="AB182" s="142" t="n">
        <f aca="false">MIN(AB181,$C$168*AB41)</f>
        <v>0</v>
      </c>
      <c r="AC182" s="142" t="n">
        <f aca="false">MIN(AC181,$C$168*AC41)</f>
        <v>0</v>
      </c>
      <c r="AD182" s="142" t="n">
        <f aca="false">MIN(AD181,$C$168*AD41)</f>
        <v>0</v>
      </c>
      <c r="AE182" s="142" t="n">
        <f aca="false">MIN(AE181,$C$168*AE41)</f>
        <v>0</v>
      </c>
      <c r="AF182" s="142" t="n">
        <f aca="false">MIN(AF181,$C$168*AF41)</f>
        <v>0</v>
      </c>
      <c r="AG182" s="142"/>
      <c r="AH182" s="142"/>
      <c r="AI182" s="142"/>
      <c r="AJ182" s="142"/>
      <c r="AK182" s="142"/>
      <c r="AL182" s="142"/>
      <c r="AM182" s="142"/>
      <c r="AN182" s="142"/>
      <c r="AO182" s="142"/>
      <c r="AP182" s="142"/>
      <c r="AQ182" s="142"/>
      <c r="AR182" s="142"/>
      <c r="AS182" s="142"/>
      <c r="AT182" s="142"/>
      <c r="AU182" s="142"/>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row>
    <row r="183" customFormat="false" ht="15" hidden="false" customHeight="true" outlineLevel="0" collapsed="false">
      <c r="B183" s="103" t="s">
        <v>1200</v>
      </c>
      <c r="C183" s="142" t="n">
        <f aca="false">C181-C182</f>
        <v>0</v>
      </c>
      <c r="D183" s="142" t="n">
        <f aca="false">D181-D182</f>
        <v>0</v>
      </c>
      <c r="E183" s="142" t="n">
        <f aca="false">E181-E182</f>
        <v>0</v>
      </c>
      <c r="F183" s="142" t="n">
        <f aca="false">F181-F182</f>
        <v>0</v>
      </c>
      <c r="G183" s="142" t="n">
        <f aca="false">G181-G182</f>
        <v>0</v>
      </c>
      <c r="H183" s="142" t="n">
        <f aca="false">H181-H182</f>
        <v>0</v>
      </c>
      <c r="I183" s="142" t="n">
        <f aca="false">I181-I182</f>
        <v>0</v>
      </c>
      <c r="J183" s="142" t="n">
        <f aca="false">J181-J182</f>
        <v>0</v>
      </c>
      <c r="K183" s="142" t="n">
        <f aca="false">K181-K182</f>
        <v>0</v>
      </c>
      <c r="L183" s="142" t="n">
        <f aca="false">L181-L182</f>
        <v>0</v>
      </c>
      <c r="M183" s="142" t="n">
        <f aca="false">M181-M182</f>
        <v>0</v>
      </c>
      <c r="N183" s="142" t="n">
        <f aca="false">N181-N182</f>
        <v>0</v>
      </c>
      <c r="O183" s="142" t="n">
        <f aca="false">O181-O182</f>
        <v>0</v>
      </c>
      <c r="P183" s="142" t="n">
        <f aca="false">P181-P182</f>
        <v>0</v>
      </c>
      <c r="Q183" s="142" t="n">
        <f aca="false">Q181-Q182</f>
        <v>0</v>
      </c>
      <c r="R183" s="142" t="n">
        <f aca="false">R181-R182</f>
        <v>0</v>
      </c>
      <c r="S183" s="142" t="n">
        <f aca="false">S181-S182</f>
        <v>0</v>
      </c>
      <c r="T183" s="142" t="n">
        <f aca="false">T181-T182</f>
        <v>0</v>
      </c>
      <c r="U183" s="142" t="n">
        <f aca="false">U181-U182</f>
        <v>0</v>
      </c>
      <c r="V183" s="142" t="n">
        <f aca="false">V181-V182</f>
        <v>0</v>
      </c>
      <c r="W183" s="142" t="n">
        <f aca="false">W181-W182</f>
        <v>0</v>
      </c>
      <c r="X183" s="142" t="n">
        <f aca="false">X181-X182</f>
        <v>0</v>
      </c>
      <c r="Y183" s="142" t="n">
        <f aca="false">Y181-Y182</f>
        <v>0</v>
      </c>
      <c r="Z183" s="142" t="n">
        <f aca="false">Z181-Z182</f>
        <v>0</v>
      </c>
      <c r="AA183" s="142" t="n">
        <f aca="false">AA181-AA182</f>
        <v>0</v>
      </c>
      <c r="AB183" s="142" t="n">
        <f aca="false">AB181-AB182</f>
        <v>0</v>
      </c>
      <c r="AC183" s="142" t="n">
        <f aca="false">AC181-AC182</f>
        <v>0</v>
      </c>
      <c r="AD183" s="142" t="n">
        <f aca="false">AD181-AD182</f>
        <v>0</v>
      </c>
      <c r="AE183" s="142" t="n">
        <f aca="false">AE181-AE182</f>
        <v>0</v>
      </c>
      <c r="AF183" s="142" t="n">
        <f aca="false">AF181-AF182</f>
        <v>0</v>
      </c>
      <c r="AG183" s="142"/>
      <c r="AH183" s="142"/>
      <c r="AI183" s="142"/>
      <c r="AJ183" s="142"/>
      <c r="AK183" s="142"/>
      <c r="AL183" s="142"/>
      <c r="AM183" s="142"/>
      <c r="AN183" s="142"/>
      <c r="AO183" s="142"/>
      <c r="AP183" s="142"/>
      <c r="AQ183" s="142"/>
      <c r="AR183" s="142"/>
      <c r="AS183" s="142"/>
      <c r="AT183" s="142"/>
      <c r="AU183" s="142"/>
      <c r="AV183" s="142"/>
      <c r="AW183" s="142"/>
      <c r="AX183" s="142"/>
      <c r="AY183" s="142"/>
      <c r="AZ183" s="142"/>
      <c r="BA183" s="142"/>
      <c r="BB183" s="142"/>
      <c r="BC183" s="142"/>
      <c r="BD183" s="142"/>
      <c r="BE183" s="142"/>
      <c r="BF183" s="142"/>
      <c r="BG183" s="142"/>
      <c r="BH183" s="142"/>
      <c r="BI183" s="142"/>
      <c r="BJ183" s="142"/>
      <c r="BK183" s="142"/>
      <c r="BL183" s="142"/>
      <c r="BM183" s="142"/>
      <c r="BN183" s="142"/>
      <c r="BO183" s="142"/>
      <c r="BP183" s="142"/>
      <c r="BQ183" s="142"/>
      <c r="BR183" s="142"/>
      <c r="BS183" s="142"/>
      <c r="BT183" s="142"/>
    </row>
    <row r="184" customFormat="false" ht="15" hidden="false" customHeight="true" outlineLevel="0" collapsed="false">
      <c r="B184" s="103" t="s">
        <v>735</v>
      </c>
      <c r="C184" s="142" t="n">
        <f aca="false">C182*$C$169+C183*$C$171</f>
        <v>0</v>
      </c>
      <c r="D184" s="142" t="n">
        <f aca="false">D182*$C$169+D183*$C$171</f>
        <v>0</v>
      </c>
      <c r="E184" s="142" t="n">
        <f aca="false">E182*$C$169+E183*$C$171</f>
        <v>0</v>
      </c>
      <c r="F184" s="142" t="n">
        <f aca="false">F182*$C$169+F183*$C$171</f>
        <v>0</v>
      </c>
      <c r="G184" s="142" t="n">
        <f aca="false">G182*$C$169+G183*$C$171</f>
        <v>0</v>
      </c>
      <c r="H184" s="142" t="n">
        <f aca="false">H182*$C$169+H183*$C$171</f>
        <v>0</v>
      </c>
      <c r="I184" s="142" t="n">
        <f aca="false">I182*$C$169+I183*$C$171</f>
        <v>0</v>
      </c>
      <c r="J184" s="142" t="n">
        <f aca="false">J182*$C$169+J183*$C$171</f>
        <v>0</v>
      </c>
      <c r="K184" s="142" t="n">
        <f aca="false">K182*$C$169+K183*$C$171</f>
        <v>0</v>
      </c>
      <c r="L184" s="142" t="n">
        <f aca="false">L182*$C$169+L183*$C$171</f>
        <v>0</v>
      </c>
      <c r="M184" s="142" t="n">
        <f aca="false">M182*$C$169+M183*$C$171</f>
        <v>0</v>
      </c>
      <c r="N184" s="142" t="n">
        <f aca="false">N182*$C$169+N183*$C$171</f>
        <v>0</v>
      </c>
      <c r="O184" s="142" t="n">
        <f aca="false">O182*$C$169+O183*$C$171</f>
        <v>0</v>
      </c>
      <c r="P184" s="142" t="n">
        <f aca="false">P182*$C$169+P183*$C$171</f>
        <v>0</v>
      </c>
      <c r="Q184" s="142" t="n">
        <f aca="false">Q182*$C$169+Q183*$C$171</f>
        <v>0</v>
      </c>
      <c r="R184" s="142" t="n">
        <f aca="false">R182*$C$169+R183*$C$171</f>
        <v>0</v>
      </c>
      <c r="S184" s="142" t="n">
        <f aca="false">S182*$C$169+S183*$C$171</f>
        <v>0</v>
      </c>
      <c r="T184" s="142" t="n">
        <f aca="false">T182*$C$169+T183*$C$171</f>
        <v>0</v>
      </c>
      <c r="U184" s="142" t="n">
        <f aca="false">U182*$C$169+U183*$C$171</f>
        <v>0</v>
      </c>
      <c r="V184" s="142" t="n">
        <f aca="false">V182*$C$169+V183*$C$171</f>
        <v>0</v>
      </c>
      <c r="W184" s="142" t="n">
        <f aca="false">W182*$C$169+W183*$C$171</f>
        <v>0</v>
      </c>
      <c r="X184" s="142" t="n">
        <f aca="false">X182*$C$169+X183*$C$171</f>
        <v>0</v>
      </c>
      <c r="Y184" s="142" t="n">
        <f aca="false">Y182*$C$169+Y183*$C$171</f>
        <v>0</v>
      </c>
      <c r="Z184" s="142" t="n">
        <f aca="false">Z182*$C$169+Z183*$C$171</f>
        <v>0</v>
      </c>
      <c r="AA184" s="142" t="n">
        <f aca="false">AA182*$C$169+AA183*$C$171</f>
        <v>0</v>
      </c>
      <c r="AB184" s="142" t="n">
        <f aca="false">AB182*$C$169+AB183*$C$171</f>
        <v>0</v>
      </c>
      <c r="AC184" s="142" t="n">
        <f aca="false">AC182*$C$169+AC183*$C$171</f>
        <v>0</v>
      </c>
      <c r="AD184" s="142" t="n">
        <f aca="false">AD182*$C$169+AD183*$C$171</f>
        <v>0</v>
      </c>
      <c r="AE184" s="142" t="n">
        <f aca="false">AE182*$C$169+AE183*$C$171</f>
        <v>0</v>
      </c>
      <c r="AF184" s="142" t="n">
        <f aca="false">AF182*$C$169+AF183*$C$171</f>
        <v>0</v>
      </c>
      <c r="AG184" s="142"/>
      <c r="AH184" s="142"/>
      <c r="AI184" s="142"/>
      <c r="AJ184" s="142"/>
      <c r="AK184" s="142"/>
      <c r="AL184" s="142"/>
      <c r="AM184" s="142"/>
      <c r="AN184" s="142"/>
      <c r="AO184" s="142"/>
      <c r="AP184" s="142"/>
      <c r="AQ184" s="142"/>
      <c r="AR184" s="142"/>
      <c r="AS184" s="142"/>
      <c r="AT184" s="142"/>
      <c r="AU184" s="142"/>
      <c r="AV184" s="142"/>
      <c r="AW184" s="142"/>
      <c r="AX184" s="142"/>
      <c r="AY184" s="142"/>
      <c r="AZ184" s="142"/>
      <c r="BA184" s="142"/>
      <c r="BB184" s="142"/>
      <c r="BC184" s="142"/>
      <c r="BD184" s="142"/>
      <c r="BE184" s="142"/>
      <c r="BF184" s="142"/>
      <c r="BG184" s="142"/>
      <c r="BH184" s="142"/>
      <c r="BI184" s="142"/>
      <c r="BJ184" s="142"/>
      <c r="BK184" s="142"/>
      <c r="BL184" s="142"/>
      <c r="BM184" s="142"/>
      <c r="BN184" s="142"/>
      <c r="BO184" s="142"/>
      <c r="BP184" s="142"/>
      <c r="BQ184" s="142"/>
      <c r="BR184" s="142"/>
      <c r="BS184" s="142"/>
      <c r="BT184" s="142"/>
    </row>
    <row r="185" customFormat="false" ht="15" hidden="false" customHeight="true" outlineLevel="0" collapsed="false">
      <c r="B185" s="103" t="s">
        <v>1201</v>
      </c>
      <c r="C185" s="142" t="n">
        <f aca="false">C181-0</f>
        <v>0</v>
      </c>
      <c r="D185" s="142" t="n">
        <f aca="false">D181-C181</f>
        <v>0</v>
      </c>
      <c r="E185" s="142" t="n">
        <f aca="false">E181-D181</f>
        <v>0</v>
      </c>
      <c r="F185" s="142" t="n">
        <f aca="false">F181-E181</f>
        <v>0</v>
      </c>
      <c r="G185" s="142" t="n">
        <f aca="false">G181-F181</f>
        <v>0</v>
      </c>
      <c r="H185" s="142" t="n">
        <f aca="false">H181-G181</f>
        <v>0</v>
      </c>
      <c r="I185" s="142" t="n">
        <f aca="false">I181-H181</f>
        <v>0</v>
      </c>
      <c r="J185" s="142" t="n">
        <f aca="false">J181-I181</f>
        <v>0</v>
      </c>
      <c r="K185" s="142" t="n">
        <f aca="false">K181-J181</f>
        <v>0</v>
      </c>
      <c r="L185" s="142" t="n">
        <f aca="false">L181-K181</f>
        <v>0</v>
      </c>
      <c r="M185" s="142" t="n">
        <f aca="false">M181-L181</f>
        <v>0</v>
      </c>
      <c r="N185" s="142" t="n">
        <f aca="false">N181-M181</f>
        <v>0</v>
      </c>
      <c r="O185" s="142" t="n">
        <f aca="false">O181-N181</f>
        <v>0</v>
      </c>
      <c r="P185" s="142" t="n">
        <f aca="false">P181-O181</f>
        <v>0</v>
      </c>
      <c r="Q185" s="142" t="n">
        <f aca="false">Q181-P181</f>
        <v>0</v>
      </c>
      <c r="R185" s="142" t="n">
        <f aca="false">R181-Q181</f>
        <v>0</v>
      </c>
      <c r="S185" s="142" t="n">
        <f aca="false">S181-R181</f>
        <v>0</v>
      </c>
      <c r="T185" s="142" t="n">
        <f aca="false">T181-S181</f>
        <v>0</v>
      </c>
      <c r="U185" s="142" t="n">
        <f aca="false">U181-T181</f>
        <v>0</v>
      </c>
      <c r="V185" s="142" t="n">
        <f aca="false">V181-U181</f>
        <v>0</v>
      </c>
      <c r="W185" s="142" t="n">
        <f aca="false">W181-V181</f>
        <v>0</v>
      </c>
      <c r="X185" s="142" t="n">
        <f aca="false">X181-W181</f>
        <v>0</v>
      </c>
      <c r="Y185" s="142" t="n">
        <f aca="false">Y181-X181</f>
        <v>0</v>
      </c>
      <c r="Z185" s="142" t="n">
        <f aca="false">Z181-Y181</f>
        <v>0</v>
      </c>
      <c r="AA185" s="142" t="n">
        <f aca="false">AA181-Z181</f>
        <v>0</v>
      </c>
      <c r="AB185" s="142" t="n">
        <f aca="false">AB181-AA181</f>
        <v>0</v>
      </c>
      <c r="AC185" s="142" t="n">
        <f aca="false">AC181-AB181</f>
        <v>0</v>
      </c>
      <c r="AD185" s="142" t="n">
        <f aca="false">AD181-AC181</f>
        <v>0</v>
      </c>
      <c r="AE185" s="142" t="n">
        <f aca="false">AE181-AD181</f>
        <v>0</v>
      </c>
      <c r="AF185" s="142" t="n">
        <f aca="false">AF181-AE181</f>
        <v>0</v>
      </c>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2"/>
      <c r="BF185" s="142"/>
      <c r="BG185" s="142"/>
      <c r="BH185" s="142"/>
      <c r="BI185" s="142"/>
      <c r="BJ185" s="142"/>
      <c r="BK185" s="142"/>
      <c r="BL185" s="142"/>
      <c r="BM185" s="142"/>
      <c r="BN185" s="142"/>
      <c r="BO185" s="142"/>
      <c r="BP185" s="142"/>
      <c r="BQ185" s="142"/>
      <c r="BR185" s="142"/>
      <c r="BS185" s="142"/>
      <c r="BT185" s="142"/>
    </row>
    <row r="186" customFormat="false" ht="15" hidden="false" customHeight="true" outlineLevel="0" collapsed="false">
      <c r="B186" s="103" t="s">
        <v>1202</v>
      </c>
      <c r="C186" s="142" t="n">
        <f aca="false">C84-C181</f>
        <v>4.86035289641877</v>
      </c>
      <c r="D186" s="142" t="n">
        <f aca="false">D84-D181</f>
        <v>13.1185582870288</v>
      </c>
      <c r="E186" s="142" t="n">
        <f aca="false">E84-E181</f>
        <v>25.6449908146638</v>
      </c>
      <c r="F186" s="142" t="n">
        <f aca="false">F84-F181</f>
        <v>55.6490387944737</v>
      </c>
      <c r="G186" s="142" t="n">
        <f aca="false">G84-G181</f>
        <v>85.3292828636681</v>
      </c>
      <c r="H186" s="142" t="n">
        <f aca="false">H84-H181</f>
        <v>104.245522524906</v>
      </c>
      <c r="I186" s="142" t="n">
        <f aca="false">I84-I181</f>
        <v>116.598812950161</v>
      </c>
      <c r="J186" s="142" t="n">
        <f aca="false">J84-J181</f>
        <v>123.224497940575</v>
      </c>
      <c r="K186" s="142" t="n">
        <f aca="false">K84-K181</f>
        <v>113.202596219319</v>
      </c>
      <c r="L186" s="142" t="n">
        <f aca="false">L84-L181</f>
        <v>102.832214355314</v>
      </c>
      <c r="M186" s="142" t="n">
        <f aca="false">M84-M181</f>
        <v>96.0801109030485</v>
      </c>
      <c r="N186" s="142" t="n">
        <f aca="false">N84-N181</f>
        <v>95.4114691247594</v>
      </c>
      <c r="O186" s="142" t="n">
        <f aca="false">O84-O181</f>
        <v>100.096909053269</v>
      </c>
      <c r="P186" s="142" t="n">
        <f aca="false">P84-P181</f>
        <v>103.459753353371</v>
      </c>
      <c r="Q186" s="142" t="n">
        <f aca="false">Q84-Q181</f>
        <v>105.497420251141</v>
      </c>
      <c r="R186" s="142" t="n">
        <f aca="false">R84-R181</f>
        <v>106.492768167189</v>
      </c>
      <c r="S186" s="142" t="n">
        <f aca="false">S84-S181</f>
        <v>106.677516594566</v>
      </c>
      <c r="T186" s="142" t="n">
        <f aca="false">T84-T181</f>
        <v>106.247782066784</v>
      </c>
      <c r="U186" s="142" t="n">
        <f aca="false">U84-U181</f>
        <v>105.751778987156</v>
      </c>
      <c r="V186" s="142" t="n">
        <f aca="false">V84-V181</f>
        <v>106.108667039736</v>
      </c>
      <c r="W186" s="142" t="n">
        <f aca="false">W84-W181</f>
        <v>106.917155097779</v>
      </c>
      <c r="X186" s="142" t="n">
        <f aca="false">X84-X181</f>
        <v>107.658664244493</v>
      </c>
      <c r="Y186" s="142" t="n">
        <f aca="false">Y84-Y181</f>
        <v>108.329412585374</v>
      </c>
      <c r="Z186" s="142" t="n">
        <f aca="false">Z84-Z181</f>
        <v>108.925617761635</v>
      </c>
      <c r="AA186" s="142" t="n">
        <f aca="false">AA84-AA181</f>
        <v>109.443496288998</v>
      </c>
      <c r="AB186" s="142" t="n">
        <f aca="false">AB84-AB181</f>
        <v>109.882666308229</v>
      </c>
      <c r="AC186" s="142" t="n">
        <f aca="false">AC84-AC181</f>
        <v>110.242743537576</v>
      </c>
      <c r="AD186" s="142" t="n">
        <f aca="false">AD84-AD181</f>
        <v>110.523340634402</v>
      </c>
      <c r="AE186" s="142" t="n">
        <f aca="false">AE84-AE181</f>
        <v>110.724066561925</v>
      </c>
      <c r="AF186" s="142" t="n">
        <f aca="false">AF84-AF181</f>
        <v>110.844525959855</v>
      </c>
      <c r="AG186" s="142"/>
      <c r="AH186" s="142"/>
      <c r="AI186" s="142"/>
      <c r="AJ186" s="142"/>
      <c r="AK186" s="142"/>
      <c r="AL186" s="142"/>
      <c r="AM186" s="142"/>
      <c r="AN186" s="142"/>
      <c r="AO186" s="142"/>
      <c r="AP186" s="142"/>
      <c r="AQ186" s="142"/>
      <c r="AR186" s="142"/>
      <c r="AS186" s="142"/>
      <c r="AT186" s="142"/>
      <c r="AU186" s="142"/>
      <c r="AV186" s="142"/>
      <c r="AW186" s="142"/>
      <c r="AX186" s="142"/>
      <c r="AY186" s="142"/>
      <c r="AZ186" s="142"/>
      <c r="BA186" s="142"/>
      <c r="BB186" s="142"/>
      <c r="BC186" s="142"/>
      <c r="BD186" s="142"/>
      <c r="BE186" s="142"/>
      <c r="BF186" s="142"/>
      <c r="BG186" s="142"/>
      <c r="BH186" s="142"/>
      <c r="BI186" s="142"/>
      <c r="BJ186" s="142"/>
      <c r="BK186" s="142"/>
      <c r="BL186" s="142"/>
      <c r="BM186" s="142"/>
      <c r="BN186" s="142"/>
      <c r="BO186" s="142"/>
      <c r="BP186" s="142"/>
      <c r="BQ186" s="142"/>
      <c r="BR186" s="142"/>
      <c r="BS186" s="142"/>
      <c r="BT186" s="142"/>
    </row>
    <row r="187" customFormat="false" ht="15" hidden="false" customHeight="true" outlineLevel="0" collapsed="false">
      <c r="B187" s="103" t="s">
        <v>1203</v>
      </c>
      <c r="C187" s="142" t="n">
        <f aca="false">C181</f>
        <v>0</v>
      </c>
      <c r="D187" s="142" t="n">
        <f aca="false">D181</f>
        <v>0</v>
      </c>
      <c r="E187" s="142" t="n">
        <f aca="false">E181</f>
        <v>0</v>
      </c>
      <c r="F187" s="142" t="n">
        <f aca="false">F181</f>
        <v>0</v>
      </c>
      <c r="G187" s="142" t="n">
        <f aca="false">G181</f>
        <v>0</v>
      </c>
      <c r="H187" s="142" t="n">
        <f aca="false">H181</f>
        <v>0</v>
      </c>
      <c r="I187" s="142" t="n">
        <f aca="false">I181</f>
        <v>0</v>
      </c>
      <c r="J187" s="142" t="n">
        <f aca="false">J181</f>
        <v>0</v>
      </c>
      <c r="K187" s="142" t="n">
        <f aca="false">K181</f>
        <v>0</v>
      </c>
      <c r="L187" s="142" t="n">
        <f aca="false">L181</f>
        <v>0</v>
      </c>
      <c r="M187" s="142" t="n">
        <f aca="false">M181</f>
        <v>0</v>
      </c>
      <c r="N187" s="142" t="n">
        <f aca="false">N181</f>
        <v>0</v>
      </c>
      <c r="O187" s="142" t="n">
        <f aca="false">O181</f>
        <v>0</v>
      </c>
      <c r="P187" s="142" t="n">
        <f aca="false">P181</f>
        <v>0</v>
      </c>
      <c r="Q187" s="142" t="n">
        <f aca="false">Q181</f>
        <v>0</v>
      </c>
      <c r="R187" s="142" t="n">
        <f aca="false">R181</f>
        <v>0</v>
      </c>
      <c r="S187" s="142" t="n">
        <f aca="false">S181</f>
        <v>0</v>
      </c>
      <c r="T187" s="142" t="n">
        <f aca="false">T181</f>
        <v>0</v>
      </c>
      <c r="U187" s="142" t="n">
        <f aca="false">U181</f>
        <v>0</v>
      </c>
      <c r="V187" s="142" t="n">
        <f aca="false">V181</f>
        <v>0</v>
      </c>
      <c r="W187" s="142" t="n">
        <f aca="false">W181</f>
        <v>0</v>
      </c>
      <c r="X187" s="142" t="n">
        <f aca="false">X181</f>
        <v>0</v>
      </c>
      <c r="Y187" s="142" t="n">
        <f aca="false">Y181</f>
        <v>0</v>
      </c>
      <c r="Z187" s="142" t="n">
        <f aca="false">Z181</f>
        <v>0</v>
      </c>
      <c r="AA187" s="142" t="n">
        <f aca="false">AA181</f>
        <v>0</v>
      </c>
      <c r="AB187" s="142" t="n">
        <f aca="false">AB181</f>
        <v>0</v>
      </c>
      <c r="AC187" s="142" t="n">
        <f aca="false">AC181</f>
        <v>0</v>
      </c>
      <c r="AD187" s="142" t="n">
        <f aca="false">AD181</f>
        <v>0</v>
      </c>
      <c r="AE187" s="142" t="n">
        <f aca="false">AE181</f>
        <v>0</v>
      </c>
      <c r="AF187" s="142" t="n">
        <f aca="false">AF181</f>
        <v>0</v>
      </c>
      <c r="AG187" s="142"/>
      <c r="AH187" s="142"/>
      <c r="AI187" s="142"/>
      <c r="AJ187" s="142"/>
      <c r="AK187" s="142"/>
      <c r="AL187" s="142"/>
      <c r="AM187" s="142"/>
      <c r="AN187" s="142"/>
      <c r="AO187" s="142"/>
      <c r="AP187" s="142"/>
      <c r="AQ187" s="142"/>
      <c r="AR187" s="142"/>
      <c r="AS187" s="142"/>
      <c r="AT187" s="142"/>
      <c r="AU187" s="142"/>
      <c r="AV187" s="142"/>
      <c r="AW187" s="142"/>
      <c r="AX187" s="142"/>
      <c r="AY187" s="142"/>
      <c r="AZ187" s="142"/>
      <c r="BA187" s="142"/>
      <c r="BB187" s="142"/>
      <c r="BC187" s="142"/>
      <c r="BD187" s="142"/>
      <c r="BE187" s="142"/>
      <c r="BF187" s="142"/>
      <c r="BG187" s="142"/>
      <c r="BH187" s="142"/>
      <c r="BI187" s="142"/>
      <c r="BJ187" s="142"/>
      <c r="BK187" s="142"/>
      <c r="BL187" s="142"/>
      <c r="BM187" s="142"/>
      <c r="BN187" s="142"/>
      <c r="BO187" s="142"/>
      <c r="BP187" s="142"/>
      <c r="BQ187" s="142"/>
      <c r="BR187" s="142"/>
      <c r="BS187" s="142"/>
      <c r="BT187" s="142"/>
    </row>
    <row r="188" customFormat="false" ht="15" hidden="false" customHeight="true" outlineLevel="0" collapsed="false">
      <c r="B188" s="103" t="s">
        <v>1204</v>
      </c>
      <c r="C188" s="142" t="n">
        <f aca="false">C183*$C$171</f>
        <v>0</v>
      </c>
      <c r="D188" s="142" t="n">
        <f aca="false">D183*$C$171</f>
        <v>0</v>
      </c>
      <c r="E188" s="142" t="n">
        <f aca="false">E183*$C$171</f>
        <v>0</v>
      </c>
      <c r="F188" s="142" t="n">
        <f aca="false">F183*$C$171</f>
        <v>0</v>
      </c>
      <c r="G188" s="142" t="n">
        <f aca="false">G183*$C$171</f>
        <v>0</v>
      </c>
      <c r="H188" s="142" t="n">
        <f aca="false">H183*$C$171</f>
        <v>0</v>
      </c>
      <c r="I188" s="142" t="n">
        <f aca="false">I183*$C$171</f>
        <v>0</v>
      </c>
      <c r="J188" s="142" t="n">
        <f aca="false">J183*$C$171</f>
        <v>0</v>
      </c>
      <c r="K188" s="142" t="n">
        <f aca="false">K183*$C$171</f>
        <v>0</v>
      </c>
      <c r="L188" s="142" t="n">
        <f aca="false">L183*$C$171</f>
        <v>0</v>
      </c>
      <c r="M188" s="142" t="n">
        <f aca="false">M183*$C$171</f>
        <v>0</v>
      </c>
      <c r="N188" s="142" t="n">
        <f aca="false">N183*$C$171</f>
        <v>0</v>
      </c>
      <c r="O188" s="142" t="n">
        <f aca="false">O183*$C$171</f>
        <v>0</v>
      </c>
      <c r="P188" s="142" t="n">
        <f aca="false">P183*$C$171</f>
        <v>0</v>
      </c>
      <c r="Q188" s="142" t="n">
        <f aca="false">Q183*$C$171</f>
        <v>0</v>
      </c>
      <c r="R188" s="142" t="n">
        <f aca="false">R183*$C$171</f>
        <v>0</v>
      </c>
      <c r="S188" s="142" t="n">
        <f aca="false">S183*$C$171</f>
        <v>0</v>
      </c>
      <c r="T188" s="142" t="n">
        <f aca="false">T183*$C$171</f>
        <v>0</v>
      </c>
      <c r="U188" s="142" t="n">
        <f aca="false">U183*$C$171</f>
        <v>0</v>
      </c>
      <c r="V188" s="142" t="n">
        <f aca="false">V183*$C$171</f>
        <v>0</v>
      </c>
      <c r="W188" s="142" t="n">
        <f aca="false">W183*$C$171</f>
        <v>0</v>
      </c>
      <c r="X188" s="142" t="n">
        <f aca="false">X183*$C$171</f>
        <v>0</v>
      </c>
      <c r="Y188" s="142" t="n">
        <f aca="false">Y183*$C$171</f>
        <v>0</v>
      </c>
      <c r="Z188" s="142" t="n">
        <f aca="false">Z183*$C$171</f>
        <v>0</v>
      </c>
      <c r="AA188" s="142" t="n">
        <f aca="false">AA183*$C$171</f>
        <v>0</v>
      </c>
      <c r="AB188" s="142" t="n">
        <f aca="false">AB183*$C$171</f>
        <v>0</v>
      </c>
      <c r="AC188" s="142" t="n">
        <f aca="false">AC183*$C$171</f>
        <v>0</v>
      </c>
      <c r="AD188" s="142" t="n">
        <f aca="false">AD183*$C$171</f>
        <v>0</v>
      </c>
      <c r="AE188" s="142" t="n">
        <f aca="false">AE183*$C$171</f>
        <v>0</v>
      </c>
      <c r="AF188" s="142" t="n">
        <f aca="false">AF183*$C$171</f>
        <v>0</v>
      </c>
      <c r="AG188" s="142"/>
      <c r="AH188" s="142"/>
      <c r="AI188" s="142"/>
      <c r="AJ188" s="142"/>
      <c r="AK188" s="142"/>
      <c r="AL188" s="142"/>
      <c r="AM188" s="142"/>
      <c r="AN188" s="142"/>
      <c r="AO188" s="142"/>
      <c r="AP188" s="142"/>
      <c r="AQ188" s="142"/>
      <c r="AR188" s="142"/>
      <c r="AS188" s="142"/>
      <c r="AT188" s="142"/>
      <c r="AU188" s="142"/>
      <c r="AV188" s="142"/>
      <c r="AW188" s="142"/>
      <c r="AX188" s="142"/>
      <c r="AY188" s="142"/>
      <c r="AZ188" s="142"/>
      <c r="BA188" s="142"/>
      <c r="BB188" s="142"/>
      <c r="BC188" s="142"/>
      <c r="BD188" s="142"/>
      <c r="BE188" s="142"/>
      <c r="BF188" s="142"/>
      <c r="BG188" s="142"/>
      <c r="BH188" s="142"/>
      <c r="BI188" s="142"/>
      <c r="BJ188" s="142"/>
      <c r="BK188" s="142"/>
      <c r="BL188" s="142"/>
      <c r="BM188" s="142"/>
      <c r="BN188" s="142"/>
      <c r="BO188" s="142"/>
      <c r="BP188" s="142"/>
      <c r="BQ188" s="142"/>
      <c r="BR188" s="142"/>
      <c r="BS188" s="142"/>
      <c r="BT188" s="142"/>
    </row>
    <row r="189" customFormat="false" ht="15" hidden="false" customHeight="true" outlineLevel="0" collapsed="false">
      <c r="B189" s="103" t="s">
        <v>1205</v>
      </c>
      <c r="C189" s="142" t="n">
        <f aca="false">C68-0</f>
        <v>3.86255216886864</v>
      </c>
      <c r="D189" s="142" t="n">
        <f aca="false">D68-C68</f>
        <v>6.23929264748464</v>
      </c>
      <c r="E189" s="142" t="n">
        <f aca="false">E68-D68</f>
        <v>8.26033125303664</v>
      </c>
      <c r="F189" s="142" t="n">
        <f aca="false">F68-E68</f>
        <v>13.8385983026268</v>
      </c>
      <c r="G189" s="142" t="n">
        <f aca="false">G68-F68</f>
        <v>13.8375328301109</v>
      </c>
      <c r="H189" s="142" t="n">
        <f aca="false">H68-G68</f>
        <v>9.94667757754663</v>
      </c>
      <c r="I189" s="142" t="n">
        <f aca="false">I68-H68</f>
        <v>7.56783491638051</v>
      </c>
      <c r="J189" s="142" t="n">
        <f aca="false">J68-I68</f>
        <v>5.54461992123436</v>
      </c>
      <c r="K189" s="142" t="n">
        <f aca="false">K68-J68</f>
        <v>0</v>
      </c>
      <c r="L189" s="142" t="n">
        <f aca="false">L68-K68</f>
        <v>0</v>
      </c>
      <c r="M189" s="142" t="n">
        <f aca="false">M68-L68</f>
        <v>1.43423822436462</v>
      </c>
      <c r="N189" s="142" t="n">
        <f aca="false">N68-M68</f>
        <v>1.43287989293549</v>
      </c>
      <c r="O189" s="142" t="n">
        <f aca="false">O68-N68</f>
        <v>1.4314736124069</v>
      </c>
      <c r="P189" s="142" t="n">
        <f aca="false">P68-O68</f>
        <v>1.43001769017566</v>
      </c>
      <c r="Q189" s="142" t="n">
        <f aca="false">Q68-P68</f>
        <v>1.42851037388967</v>
      </c>
      <c r="R189" s="142" t="n">
        <f aca="false">R68-Q68</f>
        <v>1.39291582086308</v>
      </c>
      <c r="S189" s="142" t="n">
        <f aca="false">S68-R68</f>
        <v>1.35726618131986</v>
      </c>
      <c r="T189" s="142" t="n">
        <f aca="false">T68-S68</f>
        <v>1.32155951070594</v>
      </c>
      <c r="U189" s="142" t="n">
        <f aca="false">U68-T68</f>
        <v>1.28579379582456</v>
      </c>
      <c r="V189" s="142" t="n">
        <f aca="false">V68-U68</f>
        <v>1.24996695241305</v>
      </c>
      <c r="W189" s="142" t="n">
        <f aca="false">W68-V68</f>
        <v>1.2140768226343</v>
      </c>
      <c r="X189" s="142" t="n">
        <f aca="false">X68-W68</f>
        <v>1.17812117247955</v>
      </c>
      <c r="Y189" s="142" t="n">
        <f aca="false">Y68-X68</f>
        <v>1.14209768907953</v>
      </c>
      <c r="Z189" s="142" t="n">
        <f aca="false">Z68-Y68</f>
        <v>1.10600397792069</v>
      </c>
      <c r="AA189" s="142" t="n">
        <f aca="false">AA68-Z68</f>
        <v>1.06983755996313</v>
      </c>
      <c r="AB189" s="142" t="n">
        <f aca="false">AB68-AA68</f>
        <v>1.03359586865686</v>
      </c>
      <c r="AC189" s="142" t="n">
        <f aca="false">AC68-AB68</f>
        <v>0.997276246852678</v>
      </c>
      <c r="AD189" s="142" t="n">
        <f aca="false">AD68-AC68</f>
        <v>0.960875943603995</v>
      </c>
      <c r="AE189" s="142" t="n">
        <f aca="false">AE68-AD68</f>
        <v>0.92439211085582</v>
      </c>
      <c r="AF189" s="142" t="n">
        <f aca="false">AF68-AE68</f>
        <v>0.887821800016823</v>
      </c>
      <c r="AG189" s="142"/>
      <c r="AH189" s="142"/>
      <c r="AI189" s="142"/>
      <c r="AJ189" s="142"/>
      <c r="AK189" s="142"/>
      <c r="AL189" s="142"/>
      <c r="AM189" s="142"/>
      <c r="AN189" s="142"/>
      <c r="AO189" s="142"/>
      <c r="AP189" s="142"/>
      <c r="AQ189" s="142"/>
      <c r="AR189" s="142"/>
      <c r="AS189" s="142"/>
      <c r="AT189" s="142"/>
      <c r="AU189" s="142"/>
      <c r="AV189" s="142"/>
      <c r="AW189" s="142"/>
      <c r="AX189" s="142"/>
      <c r="AY189" s="142"/>
      <c r="AZ189" s="142"/>
      <c r="BA189" s="142"/>
      <c r="BB189" s="142"/>
      <c r="BC189" s="142"/>
      <c r="BD189" s="142"/>
      <c r="BE189" s="142"/>
      <c r="BF189" s="142"/>
      <c r="BG189" s="142"/>
      <c r="BH189" s="142"/>
      <c r="BI189" s="142"/>
      <c r="BJ189" s="142"/>
      <c r="BK189" s="142"/>
      <c r="BL189" s="142"/>
      <c r="BM189" s="142"/>
      <c r="BN189" s="142"/>
      <c r="BO189" s="142"/>
      <c r="BP189" s="142"/>
      <c r="BQ189" s="142"/>
      <c r="BR189" s="142"/>
      <c r="BS189" s="142"/>
      <c r="BT189" s="142"/>
    </row>
    <row r="190" customFormat="false" ht="15" hidden="false" customHeight="true" outlineLevel="0" collapsed="false">
      <c r="B190" s="103" t="s">
        <v>1206</v>
      </c>
      <c r="C190" s="142" t="n">
        <f aca="false">C83*$C$176*1</f>
        <v>0</v>
      </c>
      <c r="D190" s="142" t="n">
        <f aca="false">D83*$C$176*IF(C123="Verde",1,0)</f>
        <v>0</v>
      </c>
      <c r="E190" s="142" t="n">
        <f aca="false">E83*$C$176*IF(D123="Verde",1,0)</f>
        <v>0</v>
      </c>
      <c r="F190" s="142" t="n">
        <f aca="false">F83*$C$176*IF(E123="Verde",1,0)</f>
        <v>0</v>
      </c>
      <c r="G190" s="142" t="n">
        <f aca="false">G83*$C$176*IF(F123="Verde",1,0)</f>
        <v>0</v>
      </c>
      <c r="H190" s="142" t="n">
        <f aca="false">H83*$C$176*IF(G123="Verde",1,0)</f>
        <v>0</v>
      </c>
      <c r="I190" s="142" t="n">
        <f aca="false">I83*$C$176*IF(H123="Verde",1,0)</f>
        <v>0</v>
      </c>
      <c r="J190" s="142" t="n">
        <f aca="false">J83*$C$176*IF(I123="Verde",1,0)</f>
        <v>0</v>
      </c>
      <c r="K190" s="142" t="n">
        <f aca="false">K83*$C$176*IF(J123="Verde",1,0)</f>
        <v>0</v>
      </c>
      <c r="L190" s="142" t="n">
        <f aca="false">L83*$C$176*IF(K123="Verde",1,0)</f>
        <v>0</v>
      </c>
      <c r="M190" s="142" t="n">
        <f aca="false">M83*$C$176*IF(L123="Verde",1,0)</f>
        <v>0</v>
      </c>
      <c r="N190" s="142" t="n">
        <f aca="false">N83*$C$176*IF(M123="Verde",1,0)</f>
        <v>0</v>
      </c>
      <c r="O190" s="142" t="n">
        <f aca="false">O83*$C$176*IF(N123="Verde",1,0)</f>
        <v>0</v>
      </c>
      <c r="P190" s="142" t="n">
        <f aca="false">P83*$C$176*IF(O123="Verde",1,0)</f>
        <v>0</v>
      </c>
      <c r="Q190" s="142" t="n">
        <f aca="false">Q83*$C$176*IF(P123="Verde",1,0)</f>
        <v>0</v>
      </c>
      <c r="R190" s="142" t="n">
        <f aca="false">R83*$C$176*IF(Q123="Verde",1,0)</f>
        <v>0</v>
      </c>
      <c r="S190" s="142" t="n">
        <f aca="false">S83*$C$176*IF(R123="Verde",1,0)</f>
        <v>0</v>
      </c>
      <c r="T190" s="142" t="n">
        <f aca="false">T83*$C$176*IF(S123="Verde",1,0)</f>
        <v>0</v>
      </c>
      <c r="U190" s="142" t="n">
        <f aca="false">U83*$C$176*IF(T123="Verde",1,0)</f>
        <v>0</v>
      </c>
      <c r="V190" s="142" t="n">
        <f aca="false">V83*$C$176*IF(U123="Verde",1,0)</f>
        <v>0</v>
      </c>
      <c r="W190" s="142" t="n">
        <f aca="false">W83*$C$176*IF(V123="Verde",1,0)</f>
        <v>0</v>
      </c>
      <c r="X190" s="142" t="n">
        <f aca="false">X83*$C$176*IF(W123="Verde",1,0)</f>
        <v>0</v>
      </c>
      <c r="Y190" s="142" t="n">
        <f aca="false">Y83*$C$176*IF(X123="Verde",1,0)</f>
        <v>0</v>
      </c>
      <c r="Z190" s="142" t="n">
        <f aca="false">Z83*$C$176*IF(Y123="Verde",1,0)</f>
        <v>0</v>
      </c>
      <c r="AA190" s="142" t="n">
        <f aca="false">AA83*$C$176*IF(Z123="Verde",1,0)</f>
        <v>0</v>
      </c>
      <c r="AB190" s="142" t="n">
        <f aca="false">AB83*$C$176*IF(AA123="Verde",1,0)</f>
        <v>0</v>
      </c>
      <c r="AC190" s="142" t="n">
        <f aca="false">AC83*$C$176*IF(AB123="Verde",1,0)</f>
        <v>0</v>
      </c>
      <c r="AD190" s="142" t="n">
        <f aca="false">AD83*$C$176*IF(AC123="Verde",1,0)</f>
        <v>0</v>
      </c>
      <c r="AE190" s="142" t="n">
        <f aca="false">AE83*$C$176*IF(AD123="Verde",1,0)</f>
        <v>0</v>
      </c>
      <c r="AF190" s="142" t="n">
        <f aca="false">AF83*$C$176*IF(AE123="Verde",1,0)</f>
        <v>0</v>
      </c>
      <c r="AG190" s="142"/>
      <c r="AH190" s="142"/>
      <c r="AI190" s="142"/>
      <c r="AJ190" s="142"/>
      <c r="AK190" s="142"/>
      <c r="AL190" s="142"/>
      <c r="AM190" s="142"/>
      <c r="AN190" s="142"/>
      <c r="AO190" s="142"/>
      <c r="AP190" s="142"/>
      <c r="AQ190" s="142"/>
      <c r="AR190" s="142"/>
      <c r="AS190" s="142"/>
      <c r="AT190" s="142"/>
      <c r="AU190" s="142"/>
      <c r="AV190" s="142"/>
      <c r="AW190" s="142"/>
      <c r="AX190" s="142"/>
      <c r="AY190" s="142"/>
      <c r="AZ190" s="142"/>
      <c r="BA190" s="142"/>
      <c r="BB190" s="142"/>
      <c r="BC190" s="142"/>
      <c r="BD190" s="142"/>
      <c r="BE190" s="142"/>
      <c r="BF190" s="142"/>
      <c r="BG190" s="142"/>
      <c r="BH190" s="142"/>
      <c r="BI190" s="142"/>
      <c r="BJ190" s="142"/>
      <c r="BK190" s="142"/>
      <c r="BL190" s="142"/>
      <c r="BM190" s="142"/>
      <c r="BN190" s="142"/>
      <c r="BO190" s="142"/>
      <c r="BP190" s="142"/>
      <c r="BQ190" s="142"/>
      <c r="BR190" s="142"/>
      <c r="BS190" s="142"/>
      <c r="BT190" s="142"/>
    </row>
    <row r="191" customFormat="false" ht="15" hidden="false" customHeight="true" outlineLevel="0" collapsed="false">
      <c r="B191" s="103" t="s">
        <v>1207</v>
      </c>
      <c r="C191" s="142" t="n">
        <f aca="false">0</f>
        <v>0</v>
      </c>
      <c r="D191" s="142" t="n">
        <f aca="false">01_Supuestos!$I$101*SUM($C$53:C53)</f>
        <v>0.5562</v>
      </c>
      <c r="E191" s="142" t="n">
        <f aca="false">01_Supuestos!$I$101*SUM($C$53:D53)</f>
        <v>1.1124</v>
      </c>
      <c r="F191" s="142" t="n">
        <f aca="false">01_Supuestos!$I$101*SUM($C$53:E53)</f>
        <v>1.6686</v>
      </c>
      <c r="G191" s="142" t="n">
        <f aca="false">01_Supuestos!$I$101*SUM($C$53:F53)</f>
        <v>2.2248</v>
      </c>
      <c r="H191" s="142" t="n">
        <f aca="false">01_Supuestos!$I$101*SUM($C$53:G53)</f>
        <v>2.781</v>
      </c>
      <c r="I191" s="142" t="n">
        <f aca="false">01_Supuestos!$I$101*SUM($C$53:H53)</f>
        <v>3.3372</v>
      </c>
      <c r="J191" s="142" t="n">
        <f aca="false">01_Supuestos!$I$101*SUM($C$53:I53)</f>
        <v>3.8934</v>
      </c>
      <c r="K191" s="142" t="n">
        <f aca="false">01_Supuestos!$I$101*SUM($C$53:J53)</f>
        <v>4.4496</v>
      </c>
      <c r="L191" s="142" t="n">
        <f aca="false">01_Supuestos!$I$101*SUM($C$53:K53)</f>
        <v>5.0058</v>
      </c>
      <c r="M191" s="142" t="n">
        <f aca="false">01_Supuestos!$I$101*SUM($C$53:L53)</f>
        <v>5.562</v>
      </c>
      <c r="N191" s="142" t="n">
        <f aca="false">01_Supuestos!$I$101*SUM($C$53:M53)</f>
        <v>5.562</v>
      </c>
      <c r="O191" s="142" t="n">
        <f aca="false">01_Supuestos!$I$101*SUM($C$53:N53)</f>
        <v>5.562</v>
      </c>
      <c r="P191" s="142" t="n">
        <f aca="false">01_Supuestos!$I$101*SUM($C$53:O53)</f>
        <v>5.562</v>
      </c>
      <c r="Q191" s="142" t="n">
        <f aca="false">01_Supuestos!$I$101*SUM($C$53:P53)</f>
        <v>5.562</v>
      </c>
      <c r="R191" s="142" t="n">
        <f aca="false">01_Supuestos!$I$101*SUM($C$53:Q53)</f>
        <v>5.562</v>
      </c>
      <c r="S191" s="142" t="n">
        <f aca="false">01_Supuestos!$I$101*SUM($C$53:R53)</f>
        <v>5.562</v>
      </c>
      <c r="T191" s="142" t="n">
        <f aca="false">01_Supuestos!$I$101*SUM($C$53:S53)</f>
        <v>5.562</v>
      </c>
      <c r="U191" s="142" t="n">
        <f aca="false">01_Supuestos!$I$101*SUM($C$53:T53)</f>
        <v>5.562</v>
      </c>
      <c r="V191" s="142" t="n">
        <f aca="false">01_Supuestos!$I$101*SUM($C$53:U53)</f>
        <v>5.562</v>
      </c>
      <c r="W191" s="142" t="n">
        <f aca="false">01_Supuestos!$I$101*SUM($C$53:V53)</f>
        <v>5.562</v>
      </c>
      <c r="X191" s="142" t="n">
        <f aca="false">01_Supuestos!$I$101*SUM($C$53:W53)</f>
        <v>5.562</v>
      </c>
      <c r="Y191" s="142" t="n">
        <f aca="false">01_Supuestos!$I$101*SUM($C$53:X53)</f>
        <v>5.562</v>
      </c>
      <c r="Z191" s="142" t="n">
        <f aca="false">01_Supuestos!$I$101*SUM($C$53:Y53)</f>
        <v>5.562</v>
      </c>
      <c r="AA191" s="142" t="n">
        <f aca="false">01_Supuestos!$I$101*SUM($C$53:Z53)</f>
        <v>5.562</v>
      </c>
      <c r="AB191" s="142" t="n">
        <f aca="false">01_Supuestos!$I$101*SUM($C$53:AA53)</f>
        <v>5.562</v>
      </c>
      <c r="AC191" s="142" t="n">
        <f aca="false">01_Supuestos!$I$101*SUM($C$53:AB53)</f>
        <v>5.562</v>
      </c>
      <c r="AD191" s="142" t="n">
        <f aca="false">01_Supuestos!$I$101*SUM($C$53:AC53)</f>
        <v>5.562</v>
      </c>
      <c r="AE191" s="142" t="n">
        <f aca="false">01_Supuestos!$I$101*SUM($C$53:AD53)</f>
        <v>5.562</v>
      </c>
      <c r="AF191" s="142" t="n">
        <f aca="false">01_Supuestos!$I$101*SUM($C$53:AE53)</f>
        <v>5.562</v>
      </c>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row>
    <row r="192" customFormat="false" ht="15" hidden="false" customHeight="true" outlineLevel="0" collapsed="false">
      <c r="B192" s="103" t="s">
        <v>1208</v>
      </c>
      <c r="C192" s="142" t="n">
        <f aca="false">C149-SUM($C$191:C191)</f>
        <v>-18.8323185832014</v>
      </c>
      <c r="D192" s="142" t="n">
        <f aca="false">D149-SUM($C$191:D191)</f>
        <v>-38.181778645978</v>
      </c>
      <c r="E192" s="142" t="n">
        <f aca="false">E149-SUM($C$191:E191)</f>
        <v>-58.1233598298965</v>
      </c>
      <c r="F192" s="142" t="n">
        <f aca="false">F149-SUM($C$191:F191)</f>
        <v>-78.5684276585098</v>
      </c>
      <c r="G192" s="142" t="n">
        <f aca="false">G149-SUM($C$191:G191)</f>
        <v>-99.4163000367511</v>
      </c>
      <c r="H192" s="142" t="n">
        <f aca="false">H149-SUM($C$191:H191)</f>
        <v>-120.708363096658</v>
      </c>
      <c r="I192" s="142" t="n">
        <f aca="false">I149-SUM($C$191:I191)</f>
        <v>-142.473079325335</v>
      </c>
      <c r="J192" s="142" t="n">
        <f aca="false">J149-SUM($C$191:J191)</f>
        <v>-164.733824192268</v>
      </c>
      <c r="K192" s="142" t="n">
        <f aca="false">K149-SUM($C$191:K191)</f>
        <v>-187.576243960343</v>
      </c>
      <c r="L192" s="142" t="n">
        <f aca="false">L149-SUM($C$191:L191)</f>
        <v>-210.998270856136</v>
      </c>
      <c r="M192" s="142" t="n">
        <f aca="false">M149-SUM($C$191:M191)</f>
        <v>-214.272153487366</v>
      </c>
      <c r="N192" s="142" t="n">
        <f aca="false">N149-SUM($C$191:N191)</f>
        <v>-217.49124003122</v>
      </c>
      <c r="O192" s="142" t="n">
        <f aca="false">O149-SUM($C$191:O191)</f>
        <v>-220.745127454079</v>
      </c>
      <c r="P192" s="142" t="n">
        <f aca="false">P149-SUM($C$191:P191)</f>
        <v>-224.024264735866</v>
      </c>
      <c r="Q192" s="142" t="n">
        <f aca="false">Q149-SUM($C$191:Q191)</f>
        <v>-227.319756303246</v>
      </c>
      <c r="R192" s="142" t="n">
        <f aca="false">R149-SUM($C$191:R191)</f>
        <v>-230.625771257832</v>
      </c>
      <c r="S192" s="142" t="n">
        <f aca="false">S149-SUM($C$191:S191)</f>
        <v>-233.938175044188</v>
      </c>
      <c r="T192" s="142" t="n">
        <f aca="false">T149-SUM($C$191:T191)</f>
        <v>-237.254391651902</v>
      </c>
      <c r="U192" s="142" t="n">
        <f aca="false">U149-SUM($C$191:U191)</f>
        <v>-240.576764023268</v>
      </c>
      <c r="V192" s="142" t="n">
        <f aca="false">V149-SUM($C$191:V191)</f>
        <v>-243.90992621119</v>
      </c>
      <c r="W192" s="142" t="n">
        <f aca="false">W149-SUM($C$191:W191)</f>
        <v>-247.257689091418</v>
      </c>
      <c r="X192" s="142" t="n">
        <f aca="false">X149-SUM($C$191:X191)</f>
        <v>-250.622524705412</v>
      </c>
      <c r="Y192" s="142" t="n">
        <f aca="false">Y149-SUM($C$191:Y191)</f>
        <v>-254.006873735547</v>
      </c>
      <c r="Z192" s="142" t="n">
        <f aca="false">Z149-SUM($C$191:Z191)</f>
        <v>-257.413149676301</v>
      </c>
      <c r="AA192" s="142" t="n">
        <f aca="false">AA149-SUM($C$191:AA191)</f>
        <v>-260.843742796837</v>
      </c>
      <c r="AB192" s="142" t="n">
        <f aca="false">AB149-SUM($C$191:AB191)</f>
        <v>-264.301027228228</v>
      </c>
      <c r="AC192" s="142" t="n">
        <f aca="false">AC149-SUM($C$191:AC191)</f>
        <v>-267.787364552741</v>
      </c>
      <c r="AD192" s="142" t="n">
        <f aca="false">AD149-SUM($C$191:AD191)</f>
        <v>-271.305107226645</v>
      </c>
      <c r="AE192" s="142" t="n">
        <f aca="false">AE149-SUM($C$191:AE191)</f>
        <v>-274.856601848892</v>
      </c>
      <c r="AF192" s="142" t="n">
        <f aca="false">AF149-SUM($C$191:AF191)</f>
        <v>-278.444192287282</v>
      </c>
      <c r="AG192" s="142"/>
      <c r="AH192" s="142"/>
      <c r="AI192" s="142"/>
      <c r="AJ192" s="142"/>
      <c r="AK192" s="142"/>
      <c r="AL192" s="142"/>
      <c r="AM192" s="142"/>
      <c r="AN192" s="142"/>
      <c r="AO192" s="142"/>
      <c r="AP192" s="142"/>
      <c r="AQ192" s="142"/>
      <c r="AR192" s="142"/>
      <c r="AS192" s="142"/>
      <c r="AT192" s="142"/>
      <c r="AU192" s="142"/>
      <c r="AV192" s="142"/>
      <c r="AW192" s="142"/>
      <c r="AX192" s="142"/>
      <c r="AY192" s="142"/>
      <c r="AZ192" s="142"/>
      <c r="BA192" s="142"/>
      <c r="BB192" s="142"/>
      <c r="BC192" s="142"/>
      <c r="BD192" s="142"/>
      <c r="BE192" s="142"/>
      <c r="BF192" s="142"/>
      <c r="BG192" s="142"/>
      <c r="BH192" s="142"/>
      <c r="BI192" s="142"/>
      <c r="BJ192" s="142"/>
      <c r="BK192" s="142"/>
      <c r="BL192" s="142"/>
      <c r="BM192" s="142"/>
      <c r="BN192" s="142"/>
      <c r="BO192" s="142"/>
      <c r="BP192" s="142"/>
      <c r="BQ192" s="142"/>
      <c r="BR192" s="142"/>
      <c r="BS192" s="142"/>
      <c r="BT192" s="142"/>
    </row>
    <row r="193" customFormat="false" ht="15" hidden="false" customHeight="true" outlineLevel="0" collapsed="false">
      <c r="B193" s="103" t="s">
        <v>1209</v>
      </c>
      <c r="C193" s="143" t="n">
        <v>1.0002</v>
      </c>
      <c r="D193" s="143" t="n">
        <v>1.0005</v>
      </c>
      <c r="E193" s="143" t="n">
        <v>1.0017</v>
      </c>
      <c r="F193" s="143" t="n">
        <v>1.0038</v>
      </c>
      <c r="G193" s="143" t="n">
        <v>1.0068</v>
      </c>
      <c r="H193" s="143" t="n">
        <v>1.0107</v>
      </c>
      <c r="I193" s="143" t="n">
        <v>1.0156</v>
      </c>
      <c r="J193" s="143" t="n">
        <v>1.0214</v>
      </c>
      <c r="K193" s="143" t="n">
        <v>1.0275</v>
      </c>
      <c r="L193" s="143" t="n">
        <v>1.0338</v>
      </c>
      <c r="M193" s="143" t="n">
        <v>1.0403</v>
      </c>
      <c r="N193" s="143" t="n">
        <v>1.047</v>
      </c>
      <c r="O193" s="143" t="n">
        <v>1.054</v>
      </c>
      <c r="P193" s="143" t="n">
        <v>1.0612</v>
      </c>
      <c r="Q193" s="143" t="n">
        <v>1.0687</v>
      </c>
      <c r="R193" s="143" t="n">
        <v>1.0764</v>
      </c>
      <c r="S193" s="143" t="n">
        <v>1.0844</v>
      </c>
      <c r="T193" s="143" t="n">
        <v>1.0927</v>
      </c>
      <c r="U193" s="143" t="n">
        <v>1.1012</v>
      </c>
      <c r="V193" s="143" t="n">
        <v>1.1101</v>
      </c>
      <c r="W193" s="143" t="n">
        <v>1.1193</v>
      </c>
      <c r="X193" s="143" t="n">
        <v>1.1288</v>
      </c>
      <c r="Y193" s="143" t="n">
        <v>1.1386</v>
      </c>
      <c r="Z193" s="143" t="n">
        <v>1.1488</v>
      </c>
      <c r="AA193" s="143" t="n">
        <v>1.1593</v>
      </c>
      <c r="AB193" s="143" t="n">
        <v>1.1702</v>
      </c>
      <c r="AC193" s="143" t="n">
        <v>1.1815</v>
      </c>
      <c r="AD193" s="143" t="n">
        <v>1.1932</v>
      </c>
      <c r="AE193" s="143" t="n">
        <v>1.2052</v>
      </c>
      <c r="AF193" s="143" t="n">
        <v>1.2177</v>
      </c>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c r="BJ193" s="143"/>
      <c r="BK193" s="143"/>
      <c r="BL193" s="143"/>
      <c r="BM193" s="143"/>
      <c r="BN193" s="143"/>
      <c r="BO193" s="143"/>
      <c r="BP193" s="143"/>
      <c r="BQ193" s="143"/>
      <c r="BR193" s="143"/>
      <c r="BS193" s="143"/>
      <c r="BT193" s="143"/>
    </row>
    <row r="194" customFormat="false" ht="15" hidden="false" customHeight="true" outlineLevel="0" collapsed="false">
      <c r="B194" s="103" t="s">
        <v>1210</v>
      </c>
      <c r="C194" s="142" t="n">
        <f aca="false">IF($C$165="Sí",MAX(0,MIN(IF($C$6="Sí",23_v67_Intermedio!C24,22_v67_Prudente!C24),(IF(C$39&lt;4,0,01_Supuestos!$I$21*01_Supuestos!$I$64/1000000000000*C42))*(C193-1))),0)</f>
        <v>0</v>
      </c>
      <c r="D194" s="142" t="n">
        <f aca="false">IF($C$165="Sí",MAX(0,MIN(IF($C$6="Sí",23_v67_Intermedio!D24,22_v67_Prudente!D24),(IF(D$39&lt;4,0,01_Supuestos!$I$21*01_Supuestos!$I$64/1000000000000*D42))*(D193-1))),0)</f>
        <v>0</v>
      </c>
      <c r="E194" s="142" t="n">
        <f aca="false">IF($C$165="Sí",MAX(0,MIN(IF($C$6="Sí",23_v67_Intermedio!E24,22_v67_Prudente!E24),(IF(E$39&lt;4,0,01_Supuestos!$I$21*01_Supuestos!$I$64/1000000000000*E42))*(E193-1))),0)</f>
        <v>0</v>
      </c>
      <c r="F194" s="142" t="n">
        <f aca="false">IF($C$165="Sí",MAX(0,MIN(IF($C$6="Sí",23_v67_Intermedio!F24,22_v67_Prudente!F24),(IF(F$39&lt;4,0,01_Supuestos!$I$21*01_Supuestos!$I$64/1000000000000*F42))*(F193-1))),0)</f>
        <v>0</v>
      </c>
      <c r="G194" s="142" t="n">
        <f aca="false">IF($C$165="Sí",MAX(0,MIN(IF($C$6="Sí",23_v67_Intermedio!G24,22_v67_Prudente!G24),(IF(G$39&lt;4,0,01_Supuestos!$I$21*01_Supuestos!$I$64/1000000000000*G42))*(G193-1))),0)</f>
        <v>0</v>
      </c>
      <c r="H194" s="142" t="n">
        <f aca="false">IF($C$165="Sí",MAX(0,MIN(IF($C$6="Sí",23_v67_Intermedio!H24,22_v67_Prudente!H24),(IF(H$39&lt;4,0,01_Supuestos!$I$21*01_Supuestos!$I$64/1000000000000*H42))*(H193-1))),0)</f>
        <v>0</v>
      </c>
      <c r="I194" s="142" t="n">
        <f aca="false">IF($C$165="Sí",MAX(0,MIN(IF($C$6="Sí",23_v67_Intermedio!I24,22_v67_Prudente!I24),(IF(I$39&lt;4,0,01_Supuestos!$I$21*01_Supuestos!$I$64/1000000000000*I42))*(I193-1))),0)</f>
        <v>0</v>
      </c>
      <c r="J194" s="142" t="n">
        <f aca="false">IF($C$165="Sí",MAX(0,MIN(IF($C$6="Sí",23_v67_Intermedio!J24,22_v67_Prudente!J24),(IF(J$39&lt;4,0,01_Supuestos!$I$21*01_Supuestos!$I$64/1000000000000*J42))*(J193-1))),0)</f>
        <v>0</v>
      </c>
      <c r="K194" s="142" t="n">
        <f aca="false">IF($C$165="Sí",MAX(0,MIN(IF($C$6="Sí",23_v67_Intermedio!K24,22_v67_Prudente!K24),(IF(K$39&lt;4,0,01_Supuestos!$I$21*01_Supuestos!$I$64/1000000000000*K42))*(K193-1))),0)</f>
        <v>0</v>
      </c>
      <c r="L194" s="142" t="n">
        <f aca="false">IF($C$165="Sí",MAX(0,MIN(IF($C$6="Sí",23_v67_Intermedio!L24,22_v67_Prudente!L24),(IF(L$39&lt;4,0,01_Supuestos!$I$21*01_Supuestos!$I$64/1000000000000*L42))*(L193-1))),0)</f>
        <v>0</v>
      </c>
      <c r="M194" s="142" t="n">
        <f aca="false">IF($C$165="Sí",MAX(0,MIN(IF($C$6="Sí",23_v67_Intermedio!M24,22_v67_Prudente!M24),(IF(M$39&lt;4,0,01_Supuestos!$I$21*01_Supuestos!$I$64/1000000000000*M42))*(M193-1))),0)</f>
        <v>0</v>
      </c>
      <c r="N194" s="142" t="n">
        <f aca="false">IF($C$165="Sí",MAX(0,MIN(IF($C$6="Sí",23_v67_Intermedio!N24,22_v67_Prudente!N24),(IF(N$39&lt;4,0,01_Supuestos!$I$21*01_Supuestos!$I$64/1000000000000*N42))*(N193-1))),0)</f>
        <v>0</v>
      </c>
      <c r="O194" s="142" t="n">
        <f aca="false">IF($C$165="Sí",MAX(0,MIN(IF($C$6="Sí",23_v67_Intermedio!O24,22_v67_Prudente!O24),(IF(O$39&lt;4,0,01_Supuestos!$I$21*01_Supuestos!$I$64/1000000000000*O42))*(O193-1))),0)</f>
        <v>0</v>
      </c>
      <c r="P194" s="142" t="n">
        <f aca="false">IF($C$165="Sí",MAX(0,MIN(IF($C$6="Sí",23_v67_Intermedio!P24,22_v67_Prudente!P24),(IF(P$39&lt;4,0,01_Supuestos!$I$21*01_Supuestos!$I$64/1000000000000*P42))*(P193-1))),0)</f>
        <v>0</v>
      </c>
      <c r="Q194" s="142" t="n">
        <f aca="false">IF($C$165="Sí",MAX(0,MIN(IF($C$6="Sí",23_v67_Intermedio!Q24,22_v67_Prudente!Q24),(IF(Q$39&lt;4,0,01_Supuestos!$I$21*01_Supuestos!$I$64/1000000000000*Q42))*(Q193-1))),0)</f>
        <v>0</v>
      </c>
      <c r="R194" s="142" t="n">
        <f aca="false">IF($C$165="Sí",MAX(0,MIN(IF($C$6="Sí",23_v67_Intermedio!R24,22_v67_Prudente!R24),(IF(R$39&lt;4,0,01_Supuestos!$I$21*01_Supuestos!$I$64/1000000000000*R42))*(R193-1))),0)</f>
        <v>0</v>
      </c>
      <c r="S194" s="142" t="n">
        <f aca="false">IF($C$165="Sí",MAX(0,MIN(IF($C$6="Sí",23_v67_Intermedio!S24,22_v67_Prudente!S24),(IF(S$39&lt;4,0,01_Supuestos!$I$21*01_Supuestos!$I$64/1000000000000*S42))*(S193-1))),0)</f>
        <v>0</v>
      </c>
      <c r="T194" s="142" t="n">
        <f aca="false">IF($C$165="Sí",MAX(0,MIN(IF($C$6="Sí",23_v67_Intermedio!T24,22_v67_Prudente!T24),(IF(T$39&lt;4,0,01_Supuestos!$I$21*01_Supuestos!$I$64/1000000000000*T42))*(T193-1))),0)</f>
        <v>0</v>
      </c>
      <c r="U194" s="142" t="n">
        <f aca="false">IF($C$165="Sí",MAX(0,MIN(IF($C$6="Sí",23_v67_Intermedio!U24,22_v67_Prudente!U24),(IF(U$39&lt;4,0,01_Supuestos!$I$21*01_Supuestos!$I$64/1000000000000*U42))*(U193-1))),0)</f>
        <v>0</v>
      </c>
      <c r="V194" s="142" t="n">
        <f aca="false">IF($C$165="Sí",MAX(0,MIN(IF($C$6="Sí",23_v67_Intermedio!V24,22_v67_Prudente!V24),(IF(V$39&lt;4,0,01_Supuestos!$I$21*01_Supuestos!$I$64/1000000000000*V42))*(V193-1))),0)</f>
        <v>0</v>
      </c>
      <c r="W194" s="142" t="n">
        <f aca="false">IF($C$165="Sí",MAX(0,MIN(IF($C$6="Sí",23_v67_Intermedio!W24,22_v67_Prudente!W24),(IF(W$39&lt;4,0,01_Supuestos!$I$21*01_Supuestos!$I$64/1000000000000*W42))*(W193-1))),0)</f>
        <v>0</v>
      </c>
      <c r="X194" s="142" t="n">
        <f aca="false">IF($C$165="Sí",MAX(0,MIN(IF($C$6="Sí",23_v67_Intermedio!X24,22_v67_Prudente!X24),(IF(X$39&lt;4,0,01_Supuestos!$I$21*01_Supuestos!$I$64/1000000000000*X42))*(X193-1))),0)</f>
        <v>0</v>
      </c>
      <c r="Y194" s="142" t="n">
        <f aca="false">IF($C$165="Sí",MAX(0,MIN(IF($C$6="Sí",23_v67_Intermedio!Y24,22_v67_Prudente!Y24),(IF(Y$39&lt;4,0,01_Supuestos!$I$21*01_Supuestos!$I$64/1000000000000*Y42))*(Y193-1))),0)</f>
        <v>0</v>
      </c>
      <c r="Z194" s="142" t="n">
        <f aca="false">IF($C$165="Sí",MAX(0,MIN(IF($C$6="Sí",23_v67_Intermedio!Z24,22_v67_Prudente!Z24),(IF(Z$39&lt;4,0,01_Supuestos!$I$21*01_Supuestos!$I$64/1000000000000*Z42))*(Z193-1))),0)</f>
        <v>0</v>
      </c>
      <c r="AA194" s="142" t="n">
        <f aca="false">IF($C$165="Sí",MAX(0,MIN(IF($C$6="Sí",23_v67_Intermedio!AA24,22_v67_Prudente!AA24),(IF(AA$39&lt;4,0,01_Supuestos!$I$21*01_Supuestos!$I$64/1000000000000*AA42))*(AA193-1))),0)</f>
        <v>0</v>
      </c>
      <c r="AB194" s="142" t="n">
        <f aca="false">IF($C$165="Sí",MAX(0,MIN(IF($C$6="Sí",23_v67_Intermedio!AB24,22_v67_Prudente!AB24),(IF(AB$39&lt;4,0,01_Supuestos!$I$21*01_Supuestos!$I$64/1000000000000*AB42))*(AB193-1))),0)</f>
        <v>0</v>
      </c>
      <c r="AC194" s="142" t="n">
        <f aca="false">IF($C$165="Sí",MAX(0,MIN(IF($C$6="Sí",23_v67_Intermedio!AC24,22_v67_Prudente!AC24),(IF(AC$39&lt;4,0,01_Supuestos!$I$21*01_Supuestos!$I$64/1000000000000*AC42))*(AC193-1))),0)</f>
        <v>0</v>
      </c>
      <c r="AD194" s="142" t="n">
        <f aca="false">IF($C$165="Sí",MAX(0,MIN(IF($C$6="Sí",23_v67_Intermedio!AD24,22_v67_Prudente!AD24),(IF(AD$39&lt;4,0,01_Supuestos!$I$21*01_Supuestos!$I$64/1000000000000*AD42))*(AD193-1))),0)</f>
        <v>0</v>
      </c>
      <c r="AE194" s="142" t="n">
        <f aca="false">IF($C$165="Sí",MAX(0,MIN(IF($C$6="Sí",23_v67_Intermedio!AE24,22_v67_Prudente!AE24),(IF(AE$39&lt;4,0,01_Supuestos!$I$21*01_Supuestos!$I$64/1000000000000*AE42))*(AE193-1))),0)</f>
        <v>0</v>
      </c>
      <c r="AF194" s="142" t="n">
        <f aca="false">IF($C$165="Sí",MAX(0,MIN(IF($C$6="Sí",23_v67_Intermedio!AF24,22_v67_Prudente!AF24),(IF(AF$39&lt;4,0,01_Supuestos!$I$21*01_Supuestos!$I$64/1000000000000*AF42))*(AF193-1))),0)</f>
        <v>0</v>
      </c>
      <c r="AG194" s="142"/>
      <c r="AH194" s="142"/>
      <c r="AI194" s="142"/>
      <c r="AJ194" s="142"/>
      <c r="AK194" s="142"/>
      <c r="AL194" s="142"/>
      <c r="AM194" s="142"/>
      <c r="AN194" s="142"/>
      <c r="AO194" s="142"/>
      <c r="AP194" s="142"/>
      <c r="AQ194" s="142"/>
      <c r="AR194" s="142"/>
      <c r="AS194" s="142"/>
      <c r="AT194" s="142"/>
      <c r="AU194" s="142"/>
      <c r="AV194" s="142"/>
      <c r="AW194" s="142"/>
      <c r="AX194" s="142"/>
      <c r="AY194" s="142"/>
      <c r="AZ194" s="142"/>
      <c r="BA194" s="142"/>
      <c r="BB194" s="142"/>
      <c r="BC194" s="142"/>
      <c r="BD194" s="142"/>
      <c r="BE194" s="142"/>
      <c r="BF194" s="142"/>
      <c r="BG194" s="142"/>
      <c r="BH194" s="142"/>
      <c r="BI194" s="142"/>
      <c r="BJ194" s="142"/>
      <c r="BK194" s="142"/>
      <c r="BL194" s="142"/>
      <c r="BM194" s="142"/>
      <c r="BN194" s="142"/>
      <c r="BO194" s="142"/>
      <c r="BP194" s="142"/>
      <c r="BQ194" s="142"/>
      <c r="BR194" s="142"/>
      <c r="BS194" s="142"/>
      <c r="BT194" s="142"/>
    </row>
    <row r="215" customFormat="false" ht="14.25" hidden="false" customHeight="true" outlineLevel="0" collapsed="false">
      <c r="B215" s="85" t="s">
        <v>1211</v>
      </c>
    </row>
    <row r="216" customFormat="false" ht="14.25" hidden="false" customHeight="true" outlineLevel="0" collapsed="false">
      <c r="B216" s="1" t="s">
        <v>1212</v>
      </c>
      <c r="C216" s="88" t="n">
        <f aca="false">SUM($C$48:C48)+SUM($C$49:C49)</f>
        <v>11.440447555496</v>
      </c>
      <c r="D216" s="88" t="n">
        <f aca="false">SUM($C$48:D48)+SUM($C$49:D49)</f>
        <v>29.874132283392</v>
      </c>
      <c r="E216" s="88" t="n">
        <f aca="false">SUM($C$48:E48)+SUM($C$49:E49)</f>
        <v>54.254971891288</v>
      </c>
      <c r="F216" s="88" t="n">
        <f aca="false">SUM($C$48:F48)+SUM($C$49:F49)</f>
        <v>104.173587785454</v>
      </c>
      <c r="G216" s="88" t="n">
        <f aca="false">SUM($C$48:G48)+SUM($C$49:G49)</f>
        <v>154.092203679621</v>
      </c>
      <c r="H216" s="88" t="n">
        <f aca="false">SUM($C$48:H48)+SUM($C$49:H49)</f>
        <v>192.570372018291</v>
      </c>
      <c r="I216" s="88" t="n">
        <f aca="false">SUM($C$48:I48)+SUM($C$49:I49)</f>
        <v>224.055303184562</v>
      </c>
      <c r="J216" s="88" t="n">
        <f aca="false">SUM($C$48:J48)+SUM($C$49:J49)</f>
        <v>249.593079470832</v>
      </c>
      <c r="K216" s="88" t="n">
        <f aca="false">SUM($C$48:K48)+SUM($C$49:K49)</f>
        <v>249.593079470832</v>
      </c>
      <c r="L216" s="88" t="n">
        <f aca="false">SUM($C$48:L48)+SUM($C$49:L49)</f>
        <v>249.593079470832</v>
      </c>
      <c r="M216" s="88" t="n">
        <f aca="false">SUM($C$48:M48)+SUM($C$49:M49)</f>
        <v>249.593079470832</v>
      </c>
      <c r="N216" s="88" t="n">
        <f aca="false">SUM($C$48:N48)+SUM($C$49:N49)</f>
        <v>249.593079470832</v>
      </c>
      <c r="O216" s="88" t="n">
        <f aca="false">SUM($C$48:O48)+SUM($C$49:O49)</f>
        <v>249.593079470832</v>
      </c>
      <c r="P216" s="88" t="n">
        <f aca="false">SUM($C$48:P48)+SUM($C$49:P49)</f>
        <v>249.593079470832</v>
      </c>
      <c r="Q216" s="88" t="n">
        <f aca="false">SUM($C$48:Q48)+SUM($C$49:Q49)</f>
        <v>249.593079470832</v>
      </c>
      <c r="R216" s="88" t="n">
        <f aca="false">SUM($C$48:R48)+SUM($C$49:R49)</f>
        <v>249.593079470832</v>
      </c>
      <c r="S216" s="88" t="n">
        <f aca="false">SUM($C$48:S48)+SUM($C$49:S49)</f>
        <v>249.593079470832</v>
      </c>
      <c r="T216" s="88" t="n">
        <f aca="false">SUM($C$48:T48)+SUM($C$49:T49)</f>
        <v>249.593079470832</v>
      </c>
      <c r="U216" s="88" t="n">
        <f aca="false">SUM($C$48:U48)+SUM($C$49:U49)</f>
        <v>249.593079470832</v>
      </c>
      <c r="V216" s="88" t="n">
        <f aca="false">SUM($C$48:V48)+SUM($C$49:V49)</f>
        <v>249.593079470832</v>
      </c>
      <c r="W216" s="88" t="n">
        <f aca="false">SUM($C$48:W48)+SUM($C$49:W49)</f>
        <v>249.593079470832</v>
      </c>
      <c r="X216" s="88" t="n">
        <f aca="false">SUM($C$48:X48)+SUM($C$49:X49)</f>
        <v>249.593079470832</v>
      </c>
      <c r="Y216" s="88" t="n">
        <f aca="false">SUM($C$48:Y48)+SUM($C$49:Y49)</f>
        <v>249.593079470832</v>
      </c>
      <c r="Z216" s="88" t="n">
        <f aca="false">SUM($C$48:Z48)+SUM($C$49:Z49)</f>
        <v>249.593079470832</v>
      </c>
      <c r="AA216" s="88" t="n">
        <f aca="false">SUM($C$48:AA48)+SUM($C$49:AA49)</f>
        <v>249.593079470832</v>
      </c>
      <c r="AB216" s="88" t="n">
        <f aca="false">SUM($C$48:AB48)+SUM($C$49:AB49)</f>
        <v>249.593079470832</v>
      </c>
      <c r="AC216" s="88" t="n">
        <f aca="false">SUM($C$48:AC48)+SUM($C$49:AC49)</f>
        <v>249.593079470832</v>
      </c>
      <c r="AD216" s="88" t="n">
        <f aca="false">SUM($C$48:AD48)+SUM($C$49:AD49)</f>
        <v>249.593079470832</v>
      </c>
      <c r="AE216" s="88" t="n">
        <f aca="false">SUM($C$48:AE48)+SUM($C$49:AE49)</f>
        <v>249.593079470832</v>
      </c>
      <c r="AF216" s="88" t="n">
        <f aca="false">SUM($C$48:AF48)+SUM($C$49:AF49)</f>
        <v>249.593079470832</v>
      </c>
    </row>
    <row r="217" customFormat="false" ht="14.25" hidden="false" customHeight="true" outlineLevel="0" collapsed="false">
      <c r="B217" s="1" t="s">
        <v>1213</v>
      </c>
      <c r="C217" s="87" t="n">
        <f aca="false">IF(C216*01_Supuestos!$I$107&gt;0,C218/(C216*01_Supuestos!$I$107),0)</f>
        <v>0.0322465074841911</v>
      </c>
      <c r="D217" s="87" t="n">
        <f aca="false">IF(D216*01_Supuestos!$I$107&gt;0,D218/(D216*01_Supuestos!$I$107),0)</f>
        <v>0.0437990462328718</v>
      </c>
      <c r="E217" s="87" t="n">
        <f aca="false">IF(E216*01_Supuestos!$I$107&gt;0,E218/(E216*01_Supuestos!$I$107),0)</f>
        <v>0.0548079801876766</v>
      </c>
      <c r="F217" s="87" t="n">
        <f aca="false">IF(F216*01_Supuestos!$I$107&gt;0,F218/(F216*01_Supuestos!$I$107),0)</f>
        <v>0.0589502882071654</v>
      </c>
      <c r="G217" s="87" t="n">
        <f aca="false">IF(G216*01_Supuestos!$I$107&gt;0,G218/(G216*01_Supuestos!$I$107),0)</f>
        <v>0.0695294278191715</v>
      </c>
      <c r="H217" s="87" t="n">
        <f aca="false">IF(H216*01_Supuestos!$I$107&gt;0,H218/(H216*01_Supuestos!$I$107),0)</f>
        <v>0.0842948479315586</v>
      </c>
      <c r="I217" s="87" t="n">
        <f aca="false">IF(I216*01_Supuestos!$I$107&gt;0,I218/(I216*01_Supuestos!$I$107),0)</f>
        <v>0.1000235021631</v>
      </c>
      <c r="J217" s="87" t="n">
        <f aca="false">IF(J216*01_Supuestos!$I$107&gt;0,J218/(J216*01_Supuestos!$I$107),0)</f>
        <v>0.11624505559569</v>
      </c>
      <c r="K217" s="87" t="n">
        <f aca="false">IF(K216*01_Supuestos!$I$107&gt;0,K218/(K216*01_Supuestos!$I$107),0)</f>
        <v>0.140994568969348</v>
      </c>
      <c r="L217" s="87" t="n">
        <f aca="false">IF(L216*01_Supuestos!$I$107&gt;0,L218/(L216*01_Supuestos!$I$107),0)</f>
        <v>0.164147911606539</v>
      </c>
      <c r="M217" s="87" t="n">
        <f aca="false">IF(M216*01_Supuestos!$I$107&gt;0,M218/(M216*01_Supuestos!$I$107),0)</f>
        <v>0.184329961641679</v>
      </c>
      <c r="N217" s="87" t="n">
        <f aca="false">IF(N216*01_Supuestos!$I$107&gt;0,N218/(N216*01_Supuestos!$I$107),0)</f>
        <v>0.20082884618213</v>
      </c>
      <c r="O217" s="87" t="n">
        <f aca="false">IF(O216*01_Supuestos!$I$107&gt;0,O218/(O216*01_Supuestos!$I$107),0)</f>
        <v>0.213113753147469</v>
      </c>
      <c r="P217" s="87" t="n">
        <f aca="false">IF(P216*01_Supuestos!$I$107&gt;0,P218/(P216*01_Supuestos!$I$107),0)</f>
        <v>0.218157067927169</v>
      </c>
      <c r="Q217" s="87" t="n">
        <f aca="false">IF(Q216*01_Supuestos!$I$107&gt;0,Q218/(Q216*01_Supuestos!$I$107),0)</f>
        <v>0.216425822634453</v>
      </c>
      <c r="R217" s="87" t="n">
        <f aca="false">IF(R216*01_Supuestos!$I$107&gt;0,R218/(R216*01_Supuestos!$I$107),0)</f>
        <v>0.209834992802257</v>
      </c>
      <c r="S217" s="87" t="n">
        <f aca="false">IF(S216*01_Supuestos!$I$107&gt;0,S218/(S216*01_Supuestos!$I$107),0)</f>
        <v>0.199601488199926</v>
      </c>
      <c r="T217" s="87" t="n">
        <f aca="false">IF(T216*01_Supuestos!$I$107&gt;0,T218/(T216*01_Supuestos!$I$107),0)</f>
        <v>0.186728586433736</v>
      </c>
      <c r="U217" s="87" t="n">
        <f aca="false">IF(U216*01_Supuestos!$I$107&gt;0,U218/(U216*01_Supuestos!$I$107),0)</f>
        <v>0.174685896913841</v>
      </c>
      <c r="V217" s="87" t="n">
        <f aca="false">IF(V216*01_Supuestos!$I$107&gt;0,V218/(V216*01_Supuestos!$I$107),0)</f>
        <v>0.163419876749411</v>
      </c>
      <c r="W217" s="87" t="n">
        <f aca="false">IF(W216*01_Supuestos!$I$107&gt;0,W218/(W216*01_Supuestos!$I$107),0)</f>
        <v>0.15288043619208</v>
      </c>
      <c r="X217" s="87" t="n">
        <f aca="false">IF(X216*01_Supuestos!$I$107&gt;0,X218/(X216*01_Supuestos!$I$107),0)</f>
        <v>0.143020715932371</v>
      </c>
      <c r="Y217" s="87" t="n">
        <f aca="false">IF(Y216*01_Supuestos!$I$107&gt;0,Y218/(Y216*01_Supuestos!$I$107),0)</f>
        <v>0.133796878758956</v>
      </c>
      <c r="Z217" s="87" t="n">
        <f aca="false">IF(Z216*01_Supuestos!$I$107&gt;0,Z218/(Z216*01_Supuestos!$I$107),0)</f>
        <v>0.125167914654432</v>
      </c>
      <c r="AA217" s="87" t="n">
        <f aca="false">IF(AA216*01_Supuestos!$I$107&gt;0,AA218/(AA216*01_Supuestos!$I$107),0)</f>
        <v>0.117095458461063</v>
      </c>
      <c r="AB217" s="87" t="n">
        <f aca="false">IF(AB216*01_Supuestos!$I$107&gt;0,AB218/(AB216*01_Supuestos!$I$107),0)</f>
        <v>0.109543619305804</v>
      </c>
      <c r="AC217" s="87" t="n">
        <f aca="false">IF(AC216*01_Supuestos!$I$107&gt;0,AC218/(AC216*01_Supuestos!$I$107),0)</f>
        <v>0.102478821026224</v>
      </c>
      <c r="AD217" s="87" t="n">
        <f aca="false">IF(AD216*01_Supuestos!$I$107&gt;0,AD218/(AD216*01_Supuestos!$I$107),0)</f>
        <v>0.0958696528878373</v>
      </c>
      <c r="AE217" s="87" t="n">
        <f aca="false">IF(AE216*01_Supuestos!$I$107&gt;0,AE218/(AE216*01_Supuestos!$I$107),0)</f>
        <v>0.0896867299291284</v>
      </c>
      <c r="AF217" s="87" t="n">
        <f aca="false">IF(AF216*01_Supuestos!$I$107&gt;0,AF218/(AF216*01_Supuestos!$I$107),0)</f>
        <v>0.0839025623133439</v>
      </c>
    </row>
    <row r="218" customFormat="false" ht="14.25" hidden="false" customHeight="true" outlineLevel="0" collapsed="false">
      <c r="B218" s="1" t="s">
        <v>1214</v>
      </c>
      <c r="C218" s="88" t="n">
        <f aca="false">(1-01_Supuestos!$C$157)*SUMPRODUCT(($C$48:C48+$C$49:C49)*(EXP(-(((C$39-$C$39:C$39+1)-01_Supuestos!$C$156)+ABS((C$39-$C$39:C$39+1)-01_Supuestos!$C$156))/2/01_Supuestos!$C$155)-EXP(-(C$39-$C$39:C$39+1)/01_Supuestos!$C$155)))*01_Supuestos!$I$107</f>
        <v>0.0184457238860399</v>
      </c>
      <c r="D218" s="88" t="n">
        <f aca="false">(1-01_Supuestos!$C$157)*SUMPRODUCT(($C$48:D48+$C$49:D49)*(EXP(-(((D$39-$C$39:D$39+1)-01_Supuestos!$C$156)+ABS((D$39-$C$39:D$39+1)-01_Supuestos!$C$156))/2/01_Supuestos!$C$155)-EXP(-(D$39-$C$39:D$39+1)/01_Supuestos!$C$155)))*01_Supuestos!$I$107</f>
        <v>0.0654229250523607</v>
      </c>
      <c r="E218" s="88" t="n">
        <f aca="false">(1-01_Supuestos!$C$157)*SUMPRODUCT(($C$48:E48+$C$49:E49)*(EXP(-(((E$39-$C$39:E$39+1)-01_Supuestos!$C$156)+ABS((E$39-$C$39:E$39+1)-01_Supuestos!$C$156))/2/01_Supuestos!$C$155)-EXP(-(E$39-$C$39:E$39+1)/01_Supuestos!$C$155)))*01_Supuestos!$I$107</f>
        <v>0.148680271225033</v>
      </c>
      <c r="F218" s="88" t="n">
        <f aca="false">(1-01_Supuestos!$C$157)*SUMPRODUCT(($C$48:F48+$C$49:F49)*(EXP(-(((F$39-$C$39:F$39+1)-01_Supuestos!$C$156)+ABS((F$39-$C$39:F$39+1)-01_Supuestos!$C$156))/2/01_Supuestos!$C$155)-EXP(-(F$39-$C$39:F$39+1)/01_Supuestos!$C$155)))*01_Supuestos!$I$107</f>
        <v>0.307053151176349</v>
      </c>
      <c r="G218" s="88" t="n">
        <f aca="false">(1-01_Supuestos!$C$157)*SUMPRODUCT(($C$48:G48+$C$49:G49)*(EXP(-(((G$39-$C$39:G$39+1)-01_Supuestos!$C$156)+ABS((G$39-$C$39:G$39+1)-01_Supuestos!$C$156))/2/01_Supuestos!$C$155)-EXP(-(G$39-$C$39:G$39+1)/01_Supuestos!$C$155)))*01_Supuestos!$I$107</f>
        <v>0.535697137661964</v>
      </c>
      <c r="H218" s="88" t="n">
        <f aca="false">(1-01_Supuestos!$C$157)*SUMPRODUCT(($C$48:H48+$C$49:H49)*(EXP(-(((H$39-$C$39:H$39+1)-01_Supuestos!$C$156)+ABS((H$39-$C$39:H$39+1)-01_Supuestos!$C$156))/2/01_Supuestos!$C$155)-EXP(-(H$39-$C$39:H$39+1)/01_Supuestos!$C$155)))*01_Supuestos!$I$107</f>
        <v>0.811634511270276</v>
      </c>
      <c r="I218" s="88" t="n">
        <f aca="false">(1-01_Supuestos!$C$157)*SUMPRODUCT(($C$48:I48+$C$49:I49)*(EXP(-(((I$39-$C$39:I$39+1)-01_Supuestos!$C$156)+ABS((I$39-$C$39:I$39+1)-01_Supuestos!$C$156))/2/01_Supuestos!$C$155)-EXP(-(I$39-$C$39:I$39+1)/01_Supuestos!$C$155)))*01_Supuestos!$I$107</f>
        <v>1.12053980513675</v>
      </c>
      <c r="J218" s="88" t="n">
        <f aca="false">(1-01_Supuestos!$C$157)*SUMPRODUCT(($C$48:J48+$C$49:J49)*(EXP(-(((J$39-$C$39:J$39+1)-01_Supuestos!$C$156)+ABS((J$39-$C$39:J$39+1)-01_Supuestos!$C$156))/2/01_Supuestos!$C$155)-EXP(-(J$39-$C$39:J$39+1)/01_Supuestos!$C$155)))*01_Supuestos!$I$107</f>
        <v>1.45069806996932</v>
      </c>
      <c r="K218" s="88" t="n">
        <f aca="false">(1-01_Supuestos!$C$157)*SUMPRODUCT(($C$48:K48+$C$49:K49)*(EXP(-(((K$39-$C$39:K$39+1)-01_Supuestos!$C$156)+ABS((K$39-$C$39:K$39+1)-01_Supuestos!$C$156))/2/01_Supuestos!$C$155)-EXP(-(K$39-$C$39:K$39+1)/01_Supuestos!$C$155)))*01_Supuestos!$I$107</f>
        <v>1.75956343288611</v>
      </c>
      <c r="L218" s="88" t="n">
        <f aca="false">(1-01_Supuestos!$C$157)*SUMPRODUCT(($C$48:L48+$C$49:L49)*(EXP(-(((L$39-$C$39:L$39+1)-01_Supuestos!$C$156)+ABS((L$39-$C$39:L$39+1)-01_Supuestos!$C$156))/2/01_Supuestos!$C$155)-EXP(-(L$39-$C$39:L$39+1)/01_Supuestos!$C$155)))*01_Supuestos!$I$107</f>
        <v>2.0485091373291</v>
      </c>
      <c r="M218" s="88" t="n">
        <f aca="false">(1-01_Supuestos!$C$157)*SUMPRODUCT(($C$48:M48+$C$49:M49)*(EXP(-(((M$39-$C$39:M$39+1)-01_Supuestos!$C$156)+ABS((M$39-$C$39:M$39+1)-01_Supuestos!$C$156))/2/01_Supuestos!$C$155)-EXP(-(M$39-$C$39:M$39+1)/01_Supuestos!$C$155)))*01_Supuestos!$I$107</f>
        <v>2.30037413824435</v>
      </c>
      <c r="N218" s="88" t="n">
        <f aca="false">(1-01_Supuestos!$C$157)*SUMPRODUCT(($C$48:N48+$C$49:N49)*(EXP(-(((N$39-$C$39:N$39+1)-01_Supuestos!$C$156)+ABS((N$39-$C$39:N$39+1)-01_Supuestos!$C$156))/2/01_Supuestos!$C$155)-EXP(-(N$39-$C$39:N$39+1)/01_Supuestos!$C$155)))*01_Supuestos!$I$107</f>
        <v>2.50627450825859</v>
      </c>
      <c r="O218" s="88" t="n">
        <f aca="false">(1-01_Supuestos!$C$157)*SUMPRODUCT(($C$48:O48+$C$49:O49)*(EXP(-(((O$39-$C$39:O$39+1)-01_Supuestos!$C$156)+ABS((O$39-$C$39:O$39+1)-01_Supuestos!$C$156))/2/01_Supuestos!$C$155)-EXP(-(O$39-$C$39:O$39+1)/01_Supuestos!$C$155)))*01_Supuestos!$I$107</f>
        <v>2.65958589628317</v>
      </c>
      <c r="P218" s="88" t="n">
        <f aca="false">(1-01_Supuestos!$C$157)*SUMPRODUCT(($C$48:P48+$C$49:P49)*(EXP(-(((P$39-$C$39:P$39+1)-01_Supuestos!$C$156)+ABS((P$39-$C$39:P$39+1)-01_Supuestos!$C$156))/2/01_Supuestos!$C$155)-EXP(-(P$39-$C$39:P$39+1)/01_Supuestos!$C$155)))*01_Supuestos!$I$107</f>
        <v>2.72252471961347</v>
      </c>
      <c r="Q218" s="88" t="n">
        <f aca="false">(1-01_Supuestos!$C$157)*SUMPRODUCT(($C$48:Q48+$C$49:Q49)*(EXP(-(((Q$39-$C$39:Q$39+1)-01_Supuestos!$C$156)+ABS((Q$39-$C$39:Q$39+1)-01_Supuestos!$C$156))/2/01_Supuestos!$C$155)-EXP(-(Q$39-$C$39:Q$39+1)/01_Supuestos!$C$155)))*01_Supuestos!$I$107</f>
        <v>2.70091937741706</v>
      </c>
      <c r="R218" s="88" t="n">
        <f aca="false">(1-01_Supuestos!$C$157)*SUMPRODUCT(($C$48:R48+$C$49:R49)*(EXP(-(((R$39-$C$39:R$39+1)-01_Supuestos!$C$156)+ABS((R$39-$C$39:R$39+1)-01_Supuestos!$C$156))/2/01_Supuestos!$C$155)-EXP(-(R$39-$C$39:R$39+1)/01_Supuestos!$C$155)))*01_Supuestos!$I$107</f>
        <v>2.61866810171276</v>
      </c>
      <c r="S218" s="88" t="n">
        <f aca="false">(1-01_Supuestos!$C$157)*SUMPRODUCT(($C$48:S48+$C$49:S49)*(EXP(-(((S$39-$C$39:S$39+1)-01_Supuestos!$C$156)+ABS((S$39-$C$39:S$39+1)-01_Supuestos!$C$156))/2/01_Supuestos!$C$155)-EXP(-(S$39-$C$39:S$39+1)/01_Supuestos!$C$155)))*01_Supuestos!$I$107</f>
        <v>2.49095750533902</v>
      </c>
      <c r="T218" s="88" t="n">
        <f aca="false">(1-01_Supuestos!$C$157)*SUMPRODUCT(($C$48:T48+$C$49:T49)*(EXP(-(((T$39-$C$39:T$39+1)-01_Supuestos!$C$156)+ABS((T$39-$C$39:T$39+1)-01_Supuestos!$C$156))/2/01_Supuestos!$C$155)-EXP(-(T$39-$C$39:T$39+1)/01_Supuestos!$C$155)))*01_Supuestos!$I$107</f>
        <v>2.33030814566159</v>
      </c>
      <c r="U218" s="88" t="n">
        <f aca="false">(1-01_Supuestos!$C$157)*SUMPRODUCT(($C$48:U48+$C$49:U49)*(EXP(-(((U$39-$C$39:U$39+1)-01_Supuestos!$C$156)+ABS((U$39-$C$39:U$39+1)-01_Supuestos!$C$156))/2/01_Supuestos!$C$155)-EXP(-(U$39-$C$39:U$39+1)/01_Supuestos!$C$155)))*01_Supuestos!$I$107</f>
        <v>2.18001954754249</v>
      </c>
      <c r="V218" s="88" t="n">
        <f aca="false">(1-01_Supuestos!$C$157)*SUMPRODUCT(($C$48:V48+$C$49:V49)*(EXP(-(((V$39-$C$39:V$39+1)-01_Supuestos!$C$156)+ABS((V$39-$C$39:V$39+1)-01_Supuestos!$C$156))/2/01_Supuestos!$C$155)-EXP(-(V$39-$C$39:V$39+1)/01_Supuestos!$C$155)))*01_Supuestos!$I$107</f>
        <v>2.03942351423147</v>
      </c>
      <c r="W218" s="88" t="n">
        <f aca="false">(1-01_Supuestos!$C$157)*SUMPRODUCT(($C$48:W48+$C$49:W49)*(EXP(-(((W$39-$C$39:W$39+1)-01_Supuestos!$C$156)+ABS((W$39-$C$39:W$39+1)-01_Supuestos!$C$156))/2/01_Supuestos!$C$155)-EXP(-(W$39-$C$39:W$39+1)/01_Supuestos!$C$155)))*01_Supuestos!$I$107</f>
        <v>1.90789494300127</v>
      </c>
      <c r="X218" s="88" t="n">
        <f aca="false">(1-01_Supuestos!$C$157)*SUMPRODUCT(($C$48:X48+$C$49:X49)*(EXP(-(((X$39-$C$39:X$39+1)-01_Supuestos!$C$156)+ABS((X$39-$C$39:X$39+1)-01_Supuestos!$C$156))/2/01_Supuestos!$C$155)-EXP(-(X$39-$C$39:X$39+1)/01_Supuestos!$C$155)))*01_Supuestos!$I$107</f>
        <v>1.78484904588418</v>
      </c>
      <c r="Y218" s="88" t="n">
        <f aca="false">(1-01_Supuestos!$C$157)*SUMPRODUCT(($C$48:Y48+$C$49:Y49)*(EXP(-(((Y$39-$C$39:Y$39+1)-01_Supuestos!$C$156)+ABS((Y$39-$C$39:Y$39+1)-01_Supuestos!$C$156))/2/01_Supuestos!$C$155)-EXP(-(Y$39-$C$39:Y$39+1)/01_Supuestos!$C$155)))*01_Supuestos!$I$107</f>
        <v>1.66973874965167</v>
      </c>
      <c r="Z218" s="88" t="n">
        <f aca="false">(1-01_Supuestos!$C$157)*SUMPRODUCT(($C$48:Z48+$C$49:Z49)*(EXP(-(((Z$39-$C$39:Z$39+1)-01_Supuestos!$C$156)+ABS((Z$39-$C$39:Z$39+1)-01_Supuestos!$C$156))/2/01_Supuestos!$C$155)-EXP(-(Z$39-$C$39:Z$39+1)/01_Supuestos!$C$155)))*01_Supuestos!$I$107</f>
        <v>1.5620522634771</v>
      </c>
      <c r="AA218" s="88" t="n">
        <f aca="false">(1-01_Supuestos!$C$157)*SUMPRODUCT(($C$48:AA48+$C$49:AA49)*(EXP(-(((AA$39-$C$39:AA$39+1)-01_Supuestos!$C$156)+ABS((AA$39-$C$39:AA$39+1)-01_Supuestos!$C$156))/2/01_Supuestos!$C$155)-EXP(-(AA$39-$C$39:AA$39+1)/01_Supuestos!$C$155)))*01_Supuestos!$I$107</f>
        <v>1.46131080346727</v>
      </c>
      <c r="AB218" s="88" t="n">
        <f aca="false">(1-01_Supuestos!$C$157)*SUMPRODUCT(($C$48:AB48+$C$49:AB49)*(EXP(-(((AB$39-$C$39:AB$39+1)-01_Supuestos!$C$156)+ABS((AB$39-$C$39:AB$39+1)-01_Supuestos!$C$156))/2/01_Supuestos!$C$155)-EXP(-(AB$39-$C$39:AB$39+1)/01_Supuestos!$C$155)))*01_Supuestos!$I$107</f>
        <v>1.3670664639458</v>
      </c>
      <c r="AC218" s="88" t="n">
        <f aca="false">(1-01_Supuestos!$C$157)*SUMPRODUCT(($C$48:AC48+$C$49:AC49)*(EXP(-(((AC$39-$C$39:AC$39+1)-01_Supuestos!$C$156)+ABS((AC$39-$C$39:AC$39+1)-01_Supuestos!$C$156))/2/01_Supuestos!$C$155)-EXP(-(AC$39-$C$39:AC$39+1)/01_Supuestos!$C$155)))*01_Supuestos!$I$107</f>
        <v>1.27890022602377</v>
      </c>
      <c r="AD218" s="88" t="n">
        <f aca="false">(1-01_Supuestos!$C$157)*SUMPRODUCT(($C$48:AD48+$C$49:AD49)*(EXP(-(((AD$39-$C$39:AD$39+1)-01_Supuestos!$C$156)+ABS((AD$39-$C$39:AD$39+1)-01_Supuestos!$C$156))/2/01_Supuestos!$C$155)-EXP(-(AD$39-$C$39:AD$39+1)/01_Supuestos!$C$155)))*01_Supuestos!$I$107</f>
        <v>1.19642009460375</v>
      </c>
      <c r="AE218" s="88" t="n">
        <f aca="false">(1-01_Supuestos!$C$157)*SUMPRODUCT(($C$48:AE48+$C$49:AE49)*(EXP(-(((AE$39-$C$39:AE$39+1)-01_Supuestos!$C$156)+ABS((AE$39-$C$39:AE$39+1)-01_Supuestos!$C$156))/2/01_Supuestos!$C$155)-EXP(-(AE$39-$C$39:AE$39+1)/01_Supuestos!$C$155)))*01_Supuestos!$I$107</f>
        <v>1.119259355534</v>
      </c>
      <c r="AF218" s="88" t="n">
        <f aca="false">(1-01_Supuestos!$C$157)*SUMPRODUCT(($C$48:AF48+$C$49:AF49)*(EXP(-(((AF$39-$C$39:AF$39+1)-01_Supuestos!$C$156)+ABS((AF$39-$C$39:AF$39+1)-01_Supuestos!$C$156))/2/01_Supuestos!$C$155)-EXP(-(AF$39-$C$39:AF$39+1)/01_Supuestos!$C$155)))*01_Supuestos!$I$107</f>
        <v>1.04707494516404</v>
      </c>
    </row>
    <row r="219" customFormat="false" ht="14.25" hidden="false" customHeight="true" outlineLevel="0" collapsed="false">
      <c r="B219" s="1" t="s">
        <v>1215</v>
      </c>
      <c r="C219" s="88" t="n">
        <f aca="false">IF(C90&gt;0,C90-C91-C92,0)</f>
        <v>0</v>
      </c>
      <c r="D219" s="88" t="n">
        <f aca="false">IF(D90&gt;0,D90-D91-D92,0)</f>
        <v>0</v>
      </c>
      <c r="E219" s="88" t="n">
        <f aca="false">IF(E90&gt;0,E90-E91-E92,0)</f>
        <v>0</v>
      </c>
      <c r="F219" s="88" t="n">
        <f aca="false">IF(F90&gt;0,F90-F91-F92,0)</f>
        <v>0</v>
      </c>
      <c r="G219" s="88" t="n">
        <f aca="false">IF(G90&gt;0,G90-G91-G92,0)</f>
        <v>0</v>
      </c>
      <c r="H219" s="88" t="n">
        <f aca="false">IF(H90&gt;0,H90-H91-H92,0)</f>
        <v>0</v>
      </c>
      <c r="I219" s="88" t="n">
        <f aca="false">IF(I90&gt;0,I90-I91-I92,0)</f>
        <v>0</v>
      </c>
      <c r="J219" s="88" t="n">
        <f aca="false">IF(J90&gt;0,J90-J91-J92,0)</f>
        <v>0</v>
      </c>
      <c r="K219" s="88" t="n">
        <f aca="false">IF(K90&gt;0,K90-K91-K92,0)</f>
        <v>0</v>
      </c>
      <c r="L219" s="88" t="n">
        <f aca="false">IF(L90&gt;0,L90-L91-L92,0)</f>
        <v>0</v>
      </c>
      <c r="M219" s="88" t="n">
        <f aca="false">IF(M90&gt;0,M90-M91-M92,0)</f>
        <v>0</v>
      </c>
      <c r="N219" s="88" t="n">
        <f aca="false">IF(N90&gt;0,N90-N91-N92,0)</f>
        <v>0</v>
      </c>
      <c r="O219" s="88" t="n">
        <f aca="false">IF(O90&gt;0,O90-O91-O92,0)</f>
        <v>0</v>
      </c>
      <c r="P219" s="88" t="n">
        <f aca="false">IF(P90&gt;0,P90-P91-P92,0)</f>
        <v>0</v>
      </c>
      <c r="Q219" s="88" t="n">
        <f aca="false">IF(Q90&gt;0,Q90-Q91-Q92,0)</f>
        <v>0</v>
      </c>
      <c r="R219" s="88" t="n">
        <f aca="false">IF(R90&gt;0,R90-R91-R92,0)</f>
        <v>0</v>
      </c>
      <c r="S219" s="88" t="n">
        <f aca="false">IF(S90&gt;0,S90-S91-S92,0)</f>
        <v>0</v>
      </c>
      <c r="T219" s="88" t="n">
        <f aca="false">IF(T90&gt;0,T90-T91-T92,0)</f>
        <v>0</v>
      </c>
      <c r="U219" s="88" t="n">
        <f aca="false">IF(U90&gt;0,U90-U91-U92,0)</f>
        <v>0</v>
      </c>
      <c r="V219" s="88" t="n">
        <f aca="false">IF(V90&gt;0,V90-V91-V92,0)</f>
        <v>0</v>
      </c>
      <c r="W219" s="88" t="n">
        <f aca="false">IF(W90&gt;0,W90-W91-W92,0)</f>
        <v>0</v>
      </c>
      <c r="X219" s="88" t="n">
        <f aca="false">IF(X90&gt;0,X90-X91-X92,0)</f>
        <v>0</v>
      </c>
      <c r="Y219" s="88" t="n">
        <f aca="false">IF(Y90&gt;0,Y90-Y91-Y92,0)</f>
        <v>0</v>
      </c>
      <c r="Z219" s="88" t="n">
        <f aca="false">IF(Z90&gt;0,Z90-Z91-Z92,0)</f>
        <v>0</v>
      </c>
      <c r="AA219" s="88" t="n">
        <f aca="false">IF(AA90&gt;0,AA90-AA91-AA92,0)</f>
        <v>0</v>
      </c>
      <c r="AB219" s="88" t="n">
        <f aca="false">IF(AB90&gt;0,AB90-AB91-AB92,0)</f>
        <v>0</v>
      </c>
      <c r="AC219" s="88" t="n">
        <f aca="false">IF(AC90&gt;0,AC90-AC91-AC92,0)</f>
        <v>0</v>
      </c>
      <c r="AD219" s="88" t="n">
        <f aca="false">IF(AD90&gt;0,AD90-AD91-AD92,0)</f>
        <v>0</v>
      </c>
      <c r="AE219" s="88" t="n">
        <f aca="false">IF(AE90&gt;0,AE90-AE91-AE92,0)</f>
        <v>0</v>
      </c>
      <c r="AF219" s="88" t="n">
        <f aca="false">IF(AF90&gt;0,AF90-AF91-AF92,0)</f>
        <v>0</v>
      </c>
    </row>
    <row r="220" customFormat="false" ht="14.25" hidden="false" customHeight="true" outlineLevel="0" collapsed="false">
      <c r="B220" s="1" t="s">
        <v>1216</v>
      </c>
      <c r="C220" s="88" t="n">
        <f aca="false">C218</f>
        <v>0.0184457238860399</v>
      </c>
      <c r="D220" s="88" t="n">
        <f aca="false">D218</f>
        <v>0.0654229250523607</v>
      </c>
      <c r="E220" s="88" t="n">
        <f aca="false">E218</f>
        <v>0.148680271225033</v>
      </c>
      <c r="F220" s="88" t="n">
        <f aca="false">F218</f>
        <v>0.307053151176349</v>
      </c>
      <c r="G220" s="88" t="n">
        <f aca="false">G218</f>
        <v>0.535697137661964</v>
      </c>
      <c r="H220" s="88" t="n">
        <f aca="false">H218</f>
        <v>0.811634511270276</v>
      </c>
      <c r="I220" s="88" t="n">
        <f aca="false">I218</f>
        <v>1.12053980513675</v>
      </c>
      <c r="J220" s="88" t="n">
        <f aca="false">J218</f>
        <v>1.45069806996932</v>
      </c>
      <c r="K220" s="88" t="n">
        <f aca="false">K218</f>
        <v>1.75956343288611</v>
      </c>
      <c r="L220" s="88" t="n">
        <f aca="false">L218</f>
        <v>2.0485091373291</v>
      </c>
      <c r="M220" s="88" t="n">
        <f aca="false">M218</f>
        <v>2.30037413824435</v>
      </c>
      <c r="N220" s="88" t="n">
        <f aca="false">N218</f>
        <v>2.50627450825859</v>
      </c>
      <c r="O220" s="88" t="n">
        <f aca="false">O218</f>
        <v>2.65958589628317</v>
      </c>
      <c r="P220" s="88" t="n">
        <f aca="false">P218</f>
        <v>2.72252471961347</v>
      </c>
      <c r="Q220" s="88" t="n">
        <f aca="false">Q218</f>
        <v>2.70091937741706</v>
      </c>
      <c r="R220" s="88" t="n">
        <f aca="false">R218</f>
        <v>2.61866810171276</v>
      </c>
      <c r="S220" s="88" t="n">
        <f aca="false">S218</f>
        <v>2.49095750533902</v>
      </c>
      <c r="T220" s="88" t="n">
        <f aca="false">T218</f>
        <v>2.33030814566159</v>
      </c>
      <c r="U220" s="88" t="n">
        <f aca="false">U218</f>
        <v>2.18001954754249</v>
      </c>
      <c r="V220" s="88" t="n">
        <f aca="false">V218</f>
        <v>2.03942351423147</v>
      </c>
      <c r="W220" s="88" t="n">
        <f aca="false">W218</f>
        <v>1.90789494300127</v>
      </c>
      <c r="X220" s="88" t="n">
        <f aca="false">X218</f>
        <v>1.78484904588418</v>
      </c>
      <c r="Y220" s="88" t="n">
        <f aca="false">Y218</f>
        <v>1.66973874965167</v>
      </c>
      <c r="Z220" s="88" t="n">
        <f aca="false">Z218</f>
        <v>1.5620522634771</v>
      </c>
      <c r="AA220" s="88" t="n">
        <f aca="false">AA218</f>
        <v>1.46131080346727</v>
      </c>
      <c r="AB220" s="88" t="n">
        <f aca="false">AB218</f>
        <v>1.3670664639458</v>
      </c>
      <c r="AC220" s="88" t="n">
        <f aca="false">AC218</f>
        <v>1.27890022602377</v>
      </c>
      <c r="AD220" s="88" t="n">
        <f aca="false">AD218</f>
        <v>1.19642009460375</v>
      </c>
      <c r="AE220" s="88" t="n">
        <f aca="false">AE218</f>
        <v>1.119259355534</v>
      </c>
      <c r="AF220" s="88" t="n">
        <f aca="false">AF218</f>
        <v>1.04707494516404</v>
      </c>
    </row>
    <row r="221" customFormat="false" ht="14.25" hidden="false" customHeight="true" outlineLevel="0" collapsed="false">
      <c r="B221" s="1" t="s">
        <v>1346</v>
      </c>
      <c r="C221" s="116" t="n">
        <f aca="false">C112</f>
        <v>0.0236534055447657</v>
      </c>
      <c r="D221" s="116" t="n">
        <f aca="false">D112</f>
        <v>0.0625411439638284</v>
      </c>
      <c r="E221" s="116" t="n">
        <f aca="false">E112</f>
        <v>0.114975258393498</v>
      </c>
      <c r="F221" s="116" t="n">
        <f aca="false">F112</f>
        <v>0.235280488140055</v>
      </c>
      <c r="G221" s="116" t="n">
        <f aca="false">G112</f>
        <v>0.355584595852633</v>
      </c>
      <c r="H221" s="116" t="n">
        <f aca="false">H112</f>
        <v>0.455022126799729</v>
      </c>
      <c r="I221" s="116" t="n">
        <f aca="false">I112</f>
        <v>0.5420104840738</v>
      </c>
      <c r="J221" s="116" t="n">
        <f aca="false">J112</f>
        <v>0.618236002576194</v>
      </c>
      <c r="K221" s="116" t="n">
        <f aca="false">K112</f>
        <v>0.643407388159918</v>
      </c>
      <c r="L221" s="116" t="n">
        <f aca="false">L112</f>
        <v>0.66859912241482</v>
      </c>
      <c r="M221" s="116" t="n">
        <f aca="false">M112</f>
        <v>0.69332452511844</v>
      </c>
      <c r="N221" s="116" t="n">
        <f aca="false">N112</f>
        <v>0.717107009946887</v>
      </c>
      <c r="O221" s="116" t="n">
        <f aca="false">O112</f>
        <v>0.739859769169874</v>
      </c>
      <c r="P221" s="116" t="n">
        <f aca="false">P112</f>
        <v>0.760158000103311</v>
      </c>
      <c r="Q221" s="116" t="n">
        <f aca="false">Q112</f>
        <v>0.778115559962565</v>
      </c>
      <c r="R221" s="116" t="n">
        <f aca="false">R112</f>
        <v>0.794054217840987</v>
      </c>
      <c r="S221" s="116" t="n">
        <f aca="false">S112</f>
        <v>0.808301749719475</v>
      </c>
      <c r="T221" s="116" t="n">
        <f aca="false">T112</f>
        <v>0.821449297802147</v>
      </c>
      <c r="U221" s="116" t="n">
        <f aca="false">U112</f>
        <v>0.834666629214478</v>
      </c>
      <c r="V221" s="116" t="n">
        <f aca="false">V112</f>
        <v>0.847945937350886</v>
      </c>
      <c r="W221" s="116" t="n">
        <f aca="false">W112</f>
        <v>0.860992587365488</v>
      </c>
      <c r="X221" s="116" t="n">
        <f aca="false">X112</f>
        <v>0.873799081078236</v>
      </c>
      <c r="Y221" s="116" t="n">
        <f aca="false">Y112</f>
        <v>0.886357945268069</v>
      </c>
      <c r="Z221" s="116" t="n">
        <f aca="false">Z112</f>
        <v>0.898661730085739</v>
      </c>
      <c r="AA221" s="116" t="n">
        <f aca="false">AA112</f>
        <v>0.910703007534021</v>
      </c>
      <c r="AB221" s="116" t="n">
        <f aca="false">AB112</f>
        <v>0.922481176817215</v>
      </c>
      <c r="AC221" s="116" t="n">
        <f aca="false">AC112</f>
        <v>0.933995656139225</v>
      </c>
      <c r="AD221" s="116" t="n">
        <f aca="false">AD112</f>
        <v>0.945245881363865</v>
      </c>
      <c r="AE221" s="116" t="n">
        <f aca="false">AE112</f>
        <v>0.956231304728382</v>
      </c>
      <c r="AF221" s="116" t="n">
        <f aca="false">AF112</f>
        <v>0.966951393607074</v>
      </c>
    </row>
    <row r="222" customFormat="false" ht="14.25" hidden="false" customHeight="true" outlineLevel="0" collapsed="false">
      <c r="B222" s="1" t="s">
        <v>1218</v>
      </c>
      <c r="C222" s="87" t="n">
        <f aca="false">IF(C221&gt;0,C220/C221,0)</f>
        <v>0.779833747454677</v>
      </c>
      <c r="D222" s="87" t="n">
        <f aca="false">IF(D221&gt;0,D220/D221,0)</f>
        <v>1.04607816400351</v>
      </c>
      <c r="E222" s="87" t="n">
        <f aca="false">IF(E221&gt;0,E220/E221,0)</f>
        <v>1.29315013771207</v>
      </c>
      <c r="F222" s="87" t="n">
        <f aca="false">IF(F221&gt;0,F220/F221,0)</f>
        <v>1.30505148813518</v>
      </c>
      <c r="G222" s="87" t="n">
        <f aca="false">IF(G221&gt;0,G220/G221,0)</f>
        <v>1.50652515297366</v>
      </c>
      <c r="H222" s="87" t="n">
        <f aca="false">IF(H221&gt;0,H220/H221,0)</f>
        <v>1.78372536953023</v>
      </c>
      <c r="I222" s="87" t="n">
        <f aca="false">IF(I221&gt;0,I220/I221,0)</f>
        <v>2.06737662473735</v>
      </c>
      <c r="J222" s="87" t="n">
        <f aca="false">IF(J221&gt;0,J220/J221,0)</f>
        <v>2.34651179149104</v>
      </c>
      <c r="K222" s="87" t="n">
        <f aca="false">IF(K221&gt;0,K220/K221,0)</f>
        <v>2.73475789253569</v>
      </c>
      <c r="L222" s="87" t="n">
        <f aca="false">IF(L221&gt;0,L220/L221,0)</f>
        <v>3.06388248002835</v>
      </c>
      <c r="M222" s="87" t="n">
        <f aca="false">IF(M221&gt;0,M220/M221,0)</f>
        <v>3.31788946576119</v>
      </c>
      <c r="N222" s="87" t="n">
        <f aca="false">IF(N221&gt;0,N220/N221,0)</f>
        <v>3.49497979171089</v>
      </c>
      <c r="O222" s="87" t="n">
        <f aca="false">IF(O221&gt;0,O220/O221,0)</f>
        <v>3.59471619772925</v>
      </c>
      <c r="P222" s="87" t="n">
        <f aca="false">IF(P221&gt;0,P220/P221,0)</f>
        <v>3.58152478727247</v>
      </c>
      <c r="Q222" s="87" t="n">
        <f aca="false">IF(Q221&gt;0,Q220/Q221,0)</f>
        <v>3.47110315792553</v>
      </c>
      <c r="R222" s="87" t="n">
        <f aca="false">IF(R221&gt;0,R220/R221,0)</f>
        <v>3.29784546555631</v>
      </c>
      <c r="S222" s="87" t="n">
        <f aca="false">IF(S221&gt;0,S220/S221,0)</f>
        <v>3.08171732425857</v>
      </c>
      <c r="T222" s="87" t="n">
        <f aca="false">IF(T221&gt;0,T220/T221,0)</f>
        <v>2.83682529390008</v>
      </c>
      <c r="U222" s="87" t="n">
        <f aca="false">IF(U221&gt;0,U220/U221,0)</f>
        <v>2.61184462303729</v>
      </c>
      <c r="V222" s="87" t="n">
        <f aca="false">IF(V221&gt;0,V220/V221,0)</f>
        <v>2.40513389403449</v>
      </c>
      <c r="W222" s="87" t="n">
        <f aca="false">IF(W221&gt;0,W220/W221,0)</f>
        <v>2.2159249347769</v>
      </c>
      <c r="X222" s="87" t="n">
        <f aca="false">IF(X221&gt;0,X220/X221,0)</f>
        <v>2.04263094861778</v>
      </c>
      <c r="Y222" s="87" t="n">
        <f aca="false">IF(Y221&gt;0,Y220/Y221,0)</f>
        <v>1.88381991560608</v>
      </c>
      <c r="Z222" s="87" t="n">
        <f aca="false">IF(Z221&gt;0,Z220/Z221,0)</f>
        <v>1.73819826880585</v>
      </c>
      <c r="AA222" s="87" t="n">
        <f aca="false">IF(AA221&gt;0,AA220/AA221,0)</f>
        <v>1.6045964396496</v>
      </c>
      <c r="AB222" s="87" t="n">
        <f aca="false">IF(AB221&gt;0,AB220/AB221,0)</f>
        <v>1.48194510446545</v>
      </c>
      <c r="AC222" s="87" t="n">
        <f aca="false">IF(AC221&gt;0,AC220/AC221,0)</f>
        <v>1.36927855886423</v>
      </c>
      <c r="AD222" s="87" t="n">
        <f aca="false">IF(AD221&gt;0,AD220/AD221,0)</f>
        <v>1.26572367908917</v>
      </c>
      <c r="AE222" s="87" t="n">
        <f aca="false">IF(AE221&gt;0,AE220/AE221,0)</f>
        <v>1.17049018370291</v>
      </c>
      <c r="AF222" s="87" t="n">
        <f aca="false">IF(AF221&gt;0,AF220/AF221,0)</f>
        <v>1.0828620260405</v>
      </c>
    </row>
    <row r="223" customFormat="false" ht="14.25" hidden="false" customHeight="true" outlineLevel="0" collapsed="false">
      <c r="B223" s="1" t="s">
        <v>1219</v>
      </c>
      <c r="C223" s="88" t="n">
        <f aca="false">C220-C221</f>
        <v>-0.00520768165872584</v>
      </c>
      <c r="D223" s="88" t="n">
        <f aca="false">D220-D221</f>
        <v>0.00288178108853226</v>
      </c>
      <c r="E223" s="88" t="n">
        <f aca="false">E220-E221</f>
        <v>0.0337050128315349</v>
      </c>
      <c r="F223" s="88" t="n">
        <f aca="false">F220-F221</f>
        <v>0.0717726630362945</v>
      </c>
      <c r="G223" s="88" t="n">
        <f aca="false">G220-G221</f>
        <v>0.180112541809331</v>
      </c>
      <c r="H223" s="88" t="n">
        <f aca="false">H220-H221</f>
        <v>0.356612384470547</v>
      </c>
      <c r="I223" s="88" t="n">
        <f aca="false">I220-I221</f>
        <v>0.57852932106295</v>
      </c>
      <c r="J223" s="88" t="n">
        <f aca="false">J220-J221</f>
        <v>0.832462067393129</v>
      </c>
      <c r="K223" s="88" t="n">
        <f aca="false">K220-K221</f>
        <v>1.1161560447262</v>
      </c>
      <c r="L223" s="88" t="n">
        <f aca="false">L220-L221</f>
        <v>1.37991001491428</v>
      </c>
      <c r="M223" s="88" t="n">
        <f aca="false">M220-M221</f>
        <v>1.60704961312591</v>
      </c>
      <c r="N223" s="88" t="n">
        <f aca="false">N220-N221</f>
        <v>1.78916749831171</v>
      </c>
      <c r="O223" s="88" t="n">
        <f aca="false">O220-O221</f>
        <v>1.9197261271133</v>
      </c>
      <c r="P223" s="88" t="n">
        <f aca="false">P220-P221</f>
        <v>1.96236671951016</v>
      </c>
      <c r="Q223" s="88" t="n">
        <f aca="false">Q220-Q221</f>
        <v>1.92280381745449</v>
      </c>
      <c r="R223" s="88" t="n">
        <f aca="false">R220-R221</f>
        <v>1.82461388387178</v>
      </c>
      <c r="S223" s="88" t="n">
        <f aca="false">S220-S221</f>
        <v>1.68265575561954</v>
      </c>
      <c r="T223" s="88" t="n">
        <f aca="false">T220-T221</f>
        <v>1.50885884785944</v>
      </c>
      <c r="U223" s="88" t="n">
        <f aca="false">U220-U221</f>
        <v>1.34535291832801</v>
      </c>
      <c r="V223" s="88" t="n">
        <f aca="false">V220-V221</f>
        <v>1.19147757688058</v>
      </c>
      <c r="W223" s="88" t="n">
        <f aca="false">W220-W221</f>
        <v>1.04690235563578</v>
      </c>
      <c r="X223" s="88" t="n">
        <f aca="false">X220-X221</f>
        <v>0.911049964805947</v>
      </c>
      <c r="Y223" s="88" t="n">
        <f aca="false">Y220-Y221</f>
        <v>0.783380804383603</v>
      </c>
      <c r="Z223" s="88" t="n">
        <f aca="false">Z220-Z221</f>
        <v>0.66339053339136</v>
      </c>
      <c r="AA223" s="88" t="n">
        <f aca="false">AA220-AA221</f>
        <v>0.550607795933254</v>
      </c>
      <c r="AB223" s="88" t="n">
        <f aca="false">AB220-AB221</f>
        <v>0.444585287128586</v>
      </c>
      <c r="AC223" s="88" t="n">
        <f aca="false">AC220-AC221</f>
        <v>0.344904569884546</v>
      </c>
      <c r="AD223" s="88" t="n">
        <f aca="false">AD220-AD221</f>
        <v>0.251174213239888</v>
      </c>
      <c r="AE223" s="88" t="n">
        <f aca="false">AE220-AE221</f>
        <v>0.163028050805617</v>
      </c>
      <c r="AF223" s="88" t="n">
        <f aca="false">AF220-AF221</f>
        <v>0.0801235515569699</v>
      </c>
    </row>
    <row r="225" customFormat="false" ht="14.25" hidden="false" customHeight="true" outlineLevel="0" collapsed="false">
      <c r="B225" s="1" t="s">
        <v>1220</v>
      </c>
    </row>
    <row r="226" customFormat="false" ht="14.25" hidden="false" customHeight="true" outlineLevel="0" collapsed="false">
      <c r="B226" s="1" t="s">
        <v>1221</v>
      </c>
      <c r="C226" s="1" t="n">
        <f aca="false">01_Supuestos!$C$162</f>
        <v>0</v>
      </c>
      <c r="D226" s="1" t="s">
        <v>1222</v>
      </c>
    </row>
    <row r="227" customFormat="false" ht="14.25" hidden="false" customHeight="true" outlineLevel="0" collapsed="false">
      <c r="B227" s="1" t="s">
        <v>1223</v>
      </c>
      <c r="C227" s="1" t="n">
        <f aca="false">MIN($C$226*(C70+0)*0.3/0.55,C326)</f>
        <v>0</v>
      </c>
      <c r="D227" s="1" t="n">
        <f aca="false">MIN($C$226*(D70+C121)*0.3/0.55,D326)</f>
        <v>0</v>
      </c>
      <c r="E227" s="1" t="n">
        <f aca="false">MIN($C$226*(E70+D121)*0.3/0.55,E326)</f>
        <v>0</v>
      </c>
      <c r="F227" s="1" t="n">
        <f aca="false">MIN($C$226*(F70+E121)*0.3/0.55,F326)</f>
        <v>0</v>
      </c>
      <c r="G227" s="1" t="n">
        <f aca="false">MIN($C$226*(G70+F121)*0.3/0.55,G326)</f>
        <v>0</v>
      </c>
      <c r="H227" s="1" t="n">
        <f aca="false">MIN($C$226*(H70+G121)*0.3/0.55,H326)</f>
        <v>0</v>
      </c>
      <c r="I227" s="1" t="n">
        <f aca="false">MIN($C$226*(I70+H121)*0.3/0.55,I326)</f>
        <v>0</v>
      </c>
      <c r="J227" s="1" t="n">
        <f aca="false">MIN($C$226*(J70+I121)*0.3/0.55,J326)</f>
        <v>0</v>
      </c>
      <c r="K227" s="1" t="n">
        <f aca="false">MIN($C$226*(K70+J121)*0.3/0.55,K326)</f>
        <v>0</v>
      </c>
      <c r="L227" s="1" t="n">
        <f aca="false">MIN($C$226*(L70+K121)*0.3/0.55,L326)</f>
        <v>0</v>
      </c>
      <c r="M227" s="1" t="n">
        <f aca="false">MIN($C$226*(M70+L121)*0.3/0.55,M326)</f>
        <v>0</v>
      </c>
      <c r="N227" s="1" t="n">
        <f aca="false">MIN($C$226*(N70+M121)*0.3/0.55,N326)</f>
        <v>0</v>
      </c>
      <c r="O227" s="1" t="n">
        <f aca="false">MIN($C$226*(O70+N121)*0.3/0.55,O326)</f>
        <v>0</v>
      </c>
      <c r="P227" s="1" t="n">
        <f aca="false">MIN($C$226*(P70+O121)*0.3/0.55,P326)</f>
        <v>0</v>
      </c>
      <c r="Q227" s="1" t="n">
        <f aca="false">MIN($C$226*(Q70+P121)*0.3/0.55,Q326)</f>
        <v>0</v>
      </c>
      <c r="R227" s="1" t="n">
        <f aca="false">MIN($C$226*(R70+Q121)*0.3/0.55,R326)</f>
        <v>0</v>
      </c>
      <c r="S227" s="1" t="n">
        <f aca="false">MIN($C$226*(S70+R121)*0.3/0.55,S326)</f>
        <v>0</v>
      </c>
      <c r="T227" s="1" t="n">
        <f aca="false">MIN($C$226*(T70+S121)*0.3/0.55,T326)</f>
        <v>0</v>
      </c>
      <c r="U227" s="1" t="n">
        <f aca="false">MIN($C$226*(U70+T121)*0.3/0.55,U326)</f>
        <v>0</v>
      </c>
      <c r="V227" s="1" t="n">
        <f aca="false">MIN($C$226*(V70+U121)*0.3/0.55,V326)</f>
        <v>0</v>
      </c>
      <c r="W227" s="1" t="n">
        <f aca="false">MIN($C$226*(W70+V121)*0.3/0.55,W326)</f>
        <v>0</v>
      </c>
      <c r="X227" s="1" t="n">
        <f aca="false">MIN($C$226*(X70+W121)*0.3/0.55,X326)</f>
        <v>0</v>
      </c>
      <c r="Y227" s="1" t="n">
        <f aca="false">MIN($C$226*(Y70+X121)*0.3/0.55,Y326)</f>
        <v>0</v>
      </c>
      <c r="Z227" s="1" t="n">
        <f aca="false">MIN($C$226*(Z70+Y121)*0.3/0.55,Z326)</f>
        <v>0</v>
      </c>
      <c r="AA227" s="1" t="n">
        <f aca="false">MIN($C$226*(AA70+Z121)*0.3/0.55,AA326)</f>
        <v>0</v>
      </c>
      <c r="AB227" s="1" t="n">
        <f aca="false">MIN($C$226*(AB70+AA121)*0.3/0.55,AB326)</f>
        <v>0</v>
      </c>
      <c r="AC227" s="1" t="n">
        <f aca="false">MIN($C$226*(AC70+AB121)*0.3/0.55,AC326)</f>
        <v>0</v>
      </c>
      <c r="AD227" s="1" t="n">
        <f aca="false">MIN($C$226*(AD70+AC121)*0.3/0.55,AD326)</f>
        <v>0</v>
      </c>
      <c r="AE227" s="1" t="n">
        <f aca="false">MIN($C$226*(AE70+AD121)*0.3/0.55,AE326)</f>
        <v>0</v>
      </c>
      <c r="AF227" s="1" t="n">
        <f aca="false">MIN($C$226*(AF70+AE121)*0.3/0.55,AF326)</f>
        <v>0</v>
      </c>
    </row>
    <row r="228" customFormat="false" ht="14.25" hidden="false" customHeight="true" outlineLevel="0" collapsed="false">
      <c r="B228" s="1" t="s">
        <v>1224</v>
      </c>
      <c r="C228" s="1" t="n">
        <f aca="false">C227-0</f>
        <v>0</v>
      </c>
      <c r="D228" s="1" t="n">
        <f aca="false">D227-C227</f>
        <v>0</v>
      </c>
      <c r="E228" s="1" t="n">
        <f aca="false">E227-D227</f>
        <v>0</v>
      </c>
      <c r="F228" s="1" t="n">
        <f aca="false">F227-E227</f>
        <v>0</v>
      </c>
      <c r="G228" s="1" t="n">
        <f aca="false">G227-F227</f>
        <v>0</v>
      </c>
      <c r="H228" s="1" t="n">
        <f aca="false">H227-G227</f>
        <v>0</v>
      </c>
      <c r="I228" s="1" t="n">
        <f aca="false">I227-H227</f>
        <v>0</v>
      </c>
      <c r="J228" s="1" t="n">
        <f aca="false">J227-I227</f>
        <v>0</v>
      </c>
      <c r="K228" s="1" t="n">
        <f aca="false">K227-J227</f>
        <v>0</v>
      </c>
      <c r="L228" s="1" t="n">
        <f aca="false">L227-K227</f>
        <v>0</v>
      </c>
      <c r="M228" s="1" t="n">
        <f aca="false">M227-L227</f>
        <v>0</v>
      </c>
      <c r="N228" s="1" t="n">
        <f aca="false">N227-M227</f>
        <v>0</v>
      </c>
      <c r="O228" s="1" t="n">
        <f aca="false">O227-N227</f>
        <v>0</v>
      </c>
      <c r="P228" s="1" t="n">
        <f aca="false">P227-O227</f>
        <v>0</v>
      </c>
      <c r="Q228" s="1" t="n">
        <f aca="false">Q227-P227</f>
        <v>0</v>
      </c>
      <c r="R228" s="1" t="n">
        <f aca="false">R227-Q227</f>
        <v>0</v>
      </c>
      <c r="S228" s="1" t="n">
        <f aca="false">S227-R227</f>
        <v>0</v>
      </c>
      <c r="T228" s="1" t="n">
        <f aca="false">T227-S227</f>
        <v>0</v>
      </c>
      <c r="U228" s="1" t="n">
        <f aca="false">U227-T227</f>
        <v>0</v>
      </c>
      <c r="V228" s="1" t="n">
        <f aca="false">V227-U227</f>
        <v>0</v>
      </c>
      <c r="W228" s="1" t="n">
        <f aca="false">W227-V227</f>
        <v>0</v>
      </c>
      <c r="X228" s="1" t="n">
        <f aca="false">X227-W227</f>
        <v>0</v>
      </c>
      <c r="Y228" s="1" t="n">
        <f aca="false">Y227-X227</f>
        <v>0</v>
      </c>
      <c r="Z228" s="1" t="n">
        <f aca="false">Z227-Y227</f>
        <v>0</v>
      </c>
      <c r="AA228" s="1" t="n">
        <f aca="false">AA227-Z227</f>
        <v>0</v>
      </c>
      <c r="AB228" s="1" t="n">
        <f aca="false">AB227-AA227</f>
        <v>0</v>
      </c>
      <c r="AC228" s="1" t="n">
        <f aca="false">AC227-AB227</f>
        <v>0</v>
      </c>
      <c r="AD228" s="1" t="n">
        <f aca="false">AD227-AC227</f>
        <v>0</v>
      </c>
      <c r="AE228" s="1" t="n">
        <f aca="false">AE227-AD227</f>
        <v>0</v>
      </c>
      <c r="AF228" s="1" t="n">
        <f aca="false">AF227-AE227</f>
        <v>0</v>
      </c>
    </row>
    <row r="229" customFormat="false" ht="14.25" hidden="false" customHeight="true" outlineLevel="0" collapsed="false">
      <c r="B229" s="1" t="s">
        <v>1225</v>
      </c>
      <c r="C229" s="1" t="n">
        <f aca="false">IF(AND(01_Supuestos!C163&gt;0,C$39&gt;=01_Supuestos!C163,C$39&lt;=01_Supuestos!C163+01_Supuestos!C168-1),(C109+C110+C184)-01_Supuestos!C164*((C70+0-0)+0+C182),0)</f>
        <v>0</v>
      </c>
      <c r="D229" s="1" t="n">
        <f aca="false">IF(AND(01_Supuestos!C163&gt;0,D$39&gt;=01_Supuestos!C163,D$39&lt;=01_Supuestos!C163+01_Supuestos!C168-1),(D109+D110+D184)-01_Supuestos!C164*((D70+C121-C227)+C120+D182),0)</f>
        <v>0</v>
      </c>
      <c r="E229" s="1" t="n">
        <f aca="false">IF(AND(01_Supuestos!C163&gt;0,E$39&gt;=01_Supuestos!C163,E$39&lt;=01_Supuestos!C163+01_Supuestos!C168-1),(E109+E110+E184)-01_Supuestos!C164*((E70+D121-D227)+D120+E182),0)</f>
        <v>0</v>
      </c>
      <c r="F229" s="1" t="n">
        <f aca="false">IF(AND(01_Supuestos!C163&gt;0,F$39&gt;=01_Supuestos!C163,F$39&lt;=01_Supuestos!C163+01_Supuestos!C168-1),(F109+F110+F184)-01_Supuestos!C164*((F70+E121-E227)+E120+F182),0)</f>
        <v>0</v>
      </c>
      <c r="G229" s="1" t="n">
        <f aca="false">IF(AND(01_Supuestos!C163&gt;0,G$39&gt;=01_Supuestos!C163,G$39&lt;=01_Supuestos!C163+01_Supuestos!C168-1),(G109+G110+G184)-01_Supuestos!C164*((G70+F121-F227)+F120+G182),0)</f>
        <v>0</v>
      </c>
      <c r="H229" s="1" t="n">
        <f aca="false">IF(AND(01_Supuestos!C163&gt;0,H$39&gt;=01_Supuestos!C163,H$39&lt;=01_Supuestos!C163+01_Supuestos!C168-1),(H109+H110+H184)-01_Supuestos!C164*((H70+G121-G227)+G120+H182),0)</f>
        <v>0</v>
      </c>
      <c r="I229" s="1" t="n">
        <f aca="false">IF(AND(01_Supuestos!C163&gt;0,I$39&gt;=01_Supuestos!C163,I$39&lt;=01_Supuestos!C163+01_Supuestos!C168-1),(I109+I110+I184)-01_Supuestos!C164*((I70+H121-H227)+H120+I182),0)</f>
        <v>0</v>
      </c>
      <c r="J229" s="1" t="n">
        <f aca="false">IF(AND(01_Supuestos!C163&gt;0,J$39&gt;=01_Supuestos!C163,J$39&lt;=01_Supuestos!C163+01_Supuestos!C168-1),(J109+J110+J184)-01_Supuestos!C164*((J70+I121-I227)+I120+J182),0)</f>
        <v>0</v>
      </c>
      <c r="K229" s="1" t="n">
        <f aca="false">IF(AND(01_Supuestos!C163&gt;0,K$39&gt;=01_Supuestos!C163,K$39&lt;=01_Supuestos!C163+01_Supuestos!C168-1),(K109+K110+K184)-01_Supuestos!C164*((K70+J121-J227)+J120+K182),0)</f>
        <v>0</v>
      </c>
      <c r="L229" s="1" t="n">
        <f aca="false">IF(AND(01_Supuestos!C163&gt;0,L$39&gt;=01_Supuestos!C163,L$39&lt;=01_Supuestos!C163+01_Supuestos!C168-1),(L109+L110+L184)-01_Supuestos!C164*((L70+K121-K227)+K120+L182),0)</f>
        <v>0</v>
      </c>
      <c r="M229" s="1" t="n">
        <f aca="false">IF(AND(01_Supuestos!C163&gt;0,M$39&gt;=01_Supuestos!C163,M$39&lt;=01_Supuestos!C163+01_Supuestos!C168-1),(M109+M110+M184)-01_Supuestos!C164*((M70+L121-L227)+L120+M182),0)</f>
        <v>0</v>
      </c>
      <c r="N229" s="1" t="n">
        <f aca="false">IF(AND(01_Supuestos!C163&gt;0,N$39&gt;=01_Supuestos!C163,N$39&lt;=01_Supuestos!C163+01_Supuestos!C168-1),(N109+N110+N184)-01_Supuestos!C164*((N70+M121-M227)+M120+N182),0)</f>
        <v>0</v>
      </c>
      <c r="O229" s="1" t="n">
        <f aca="false">IF(AND(01_Supuestos!C163&gt;0,O$39&gt;=01_Supuestos!C163,O$39&lt;=01_Supuestos!C163+01_Supuestos!C168-1),(O109+O110+O184)-01_Supuestos!C164*((O70+N121-N227)+N120+O182),0)</f>
        <v>0</v>
      </c>
      <c r="P229" s="1" t="n">
        <f aca="false">IF(AND(01_Supuestos!C163&gt;0,P$39&gt;=01_Supuestos!C163,P$39&lt;=01_Supuestos!C163+01_Supuestos!C168-1),(P109+P110+P184)-01_Supuestos!C164*((P70+O121-O227)+O120+P182),0)</f>
        <v>0</v>
      </c>
      <c r="Q229" s="1" t="n">
        <f aca="false">IF(AND(01_Supuestos!C163&gt;0,Q$39&gt;=01_Supuestos!C163,Q$39&lt;=01_Supuestos!C163+01_Supuestos!C168-1),(Q109+Q110+Q184)-01_Supuestos!C164*((Q70+P121-P227)+P120+Q182),0)</f>
        <v>0</v>
      </c>
      <c r="R229" s="1" t="n">
        <f aca="false">IF(AND(01_Supuestos!C163&gt;0,R$39&gt;=01_Supuestos!C163,R$39&lt;=01_Supuestos!C163+01_Supuestos!C168-1),(R109+R110+R184)-01_Supuestos!C164*((R70+Q121-Q227)+Q120+R182),0)</f>
        <v>0</v>
      </c>
      <c r="S229" s="1" t="n">
        <f aca="false">IF(AND(01_Supuestos!C163&gt;0,S$39&gt;=01_Supuestos!C163,S$39&lt;=01_Supuestos!C163+01_Supuestos!C168-1),(S109+S110+S184)-01_Supuestos!C164*((S70+R121-R227)+R120+S182),0)</f>
        <v>0</v>
      </c>
      <c r="T229" s="1" t="n">
        <f aca="false">IF(AND(01_Supuestos!C163&gt;0,T$39&gt;=01_Supuestos!C163,T$39&lt;=01_Supuestos!C163+01_Supuestos!C168-1),(T109+T110+T184)-01_Supuestos!C164*((T70+S121-S227)+S120+T182),0)</f>
        <v>0</v>
      </c>
      <c r="U229" s="1" t="n">
        <f aca="false">IF(AND(01_Supuestos!C163&gt;0,U$39&gt;=01_Supuestos!C163,U$39&lt;=01_Supuestos!C163+01_Supuestos!C168-1),(U109+U110+U184)-01_Supuestos!C164*((U70+T121-T227)+T120+U182),0)</f>
        <v>0</v>
      </c>
      <c r="V229" s="1" t="n">
        <f aca="false">IF(AND(01_Supuestos!C163&gt;0,V$39&gt;=01_Supuestos!C163,V$39&lt;=01_Supuestos!C163+01_Supuestos!C168-1),(V109+V110+V184)-01_Supuestos!C164*((V70+U121-U227)+U120+V182),0)</f>
        <v>0</v>
      </c>
      <c r="W229" s="1" t="n">
        <f aca="false">IF(AND(01_Supuestos!C163&gt;0,W$39&gt;=01_Supuestos!C163,W$39&lt;=01_Supuestos!C163+01_Supuestos!C168-1),(W109+W110+W184)-01_Supuestos!C164*((W70+V121-V227)+V120+W182),0)</f>
        <v>0</v>
      </c>
      <c r="X229" s="1" t="n">
        <f aca="false">IF(AND(01_Supuestos!C163&gt;0,X$39&gt;=01_Supuestos!C163,X$39&lt;=01_Supuestos!C163+01_Supuestos!C168-1),(X109+X110+X184)-01_Supuestos!C164*((X70+W121-W227)+W120+X182),0)</f>
        <v>0</v>
      </c>
      <c r="Y229" s="1" t="n">
        <f aca="false">IF(AND(01_Supuestos!C163&gt;0,Y$39&gt;=01_Supuestos!C163,Y$39&lt;=01_Supuestos!C163+01_Supuestos!C168-1),(Y109+Y110+Y184)-01_Supuestos!C164*((Y70+X121-X227)+X120+Y182),0)</f>
        <v>0</v>
      </c>
      <c r="Z229" s="1" t="n">
        <f aca="false">IF(AND(01_Supuestos!C163&gt;0,Z$39&gt;=01_Supuestos!C163,Z$39&lt;=01_Supuestos!C163+01_Supuestos!C168-1),(Z109+Z110+Z184)-01_Supuestos!C164*((Z70+Y121-Y227)+Y120+Z182),0)</f>
        <v>0</v>
      </c>
      <c r="AA229" s="1" t="n">
        <f aca="false">IF(AND(01_Supuestos!C163&gt;0,AA$39&gt;=01_Supuestos!C163,AA$39&lt;=01_Supuestos!C163+01_Supuestos!C168-1),(AA109+AA110+AA184)-01_Supuestos!C164*((AA70+Z121-Z227)+Z120+AA182),0)</f>
        <v>0</v>
      </c>
      <c r="AB229" s="1" t="n">
        <f aca="false">IF(AND(01_Supuestos!C163&gt;0,AB$39&gt;=01_Supuestos!C163,AB$39&lt;=01_Supuestos!C163+01_Supuestos!C168-1),(AB109+AB110+AB184)-01_Supuestos!C164*((AB70+AA121-AA227)+AA120+AB182),0)</f>
        <v>0</v>
      </c>
      <c r="AC229" s="1" t="n">
        <f aca="false">IF(AND(01_Supuestos!C163&gt;0,AC$39&gt;=01_Supuestos!C163,AC$39&lt;=01_Supuestos!C163+01_Supuestos!C168-1),(AC109+AC110+AC184)-01_Supuestos!C164*((AC70+AB121-AB227)+AB120+AC182),0)</f>
        <v>0</v>
      </c>
      <c r="AD229" s="1" t="n">
        <f aca="false">IF(AND(01_Supuestos!C163&gt;0,AD$39&gt;=01_Supuestos!C163,AD$39&lt;=01_Supuestos!C163+01_Supuestos!C168-1),(AD109+AD110+AD184)-01_Supuestos!C164*((AD70+AC121-AC227)+AC120+AD182),0)</f>
        <v>0</v>
      </c>
      <c r="AE229" s="1" t="n">
        <f aca="false">IF(AND(01_Supuestos!C163&gt;0,AE$39&gt;=01_Supuestos!C163,AE$39&lt;=01_Supuestos!C163+01_Supuestos!C168-1),(AE109+AE110+AE184)-01_Supuestos!C164*((AE70+AD121-AD227)+AD120+AE182),0)</f>
        <v>0</v>
      </c>
      <c r="AF229" s="1" t="n">
        <f aca="false">IF(AND(01_Supuestos!C163&gt;0,AF$39&gt;=01_Supuestos!C163,AF$39&lt;=01_Supuestos!C163+01_Supuestos!C168-1),(AF109+AF110+AF184)-01_Supuestos!C164*((AF70+AE121-AE227)+AE120+AF182),0)</f>
        <v>0</v>
      </c>
    </row>
    <row r="230" customFormat="false" ht="14.25" hidden="false" customHeight="true" outlineLevel="0" collapsed="false">
      <c r="B230" s="1" t="s">
        <v>1226</v>
      </c>
    </row>
    <row r="231" customFormat="false" ht="14.25" hidden="false" customHeight="true" outlineLevel="0" collapsed="false">
      <c r="B231" s="1" t="s">
        <v>1227</v>
      </c>
      <c r="C231" s="1" t="n">
        <v>0.005</v>
      </c>
    </row>
    <row r="232" customFormat="false" ht="14.25" hidden="false" customHeight="true" outlineLevel="0" collapsed="false">
      <c r="B232" s="1" t="s">
        <v>1228</v>
      </c>
      <c r="C232" s="1" t="n">
        <f aca="false">C216*C217</f>
        <v>0.368914477720798</v>
      </c>
      <c r="D232" s="1" t="n">
        <f aca="false">D216*D217</f>
        <v>1.30845850104721</v>
      </c>
      <c r="E232" s="1" t="n">
        <f aca="false">E216*E217</f>
        <v>2.97360542450067</v>
      </c>
      <c r="F232" s="1" t="n">
        <f aca="false">F216*F217</f>
        <v>6.14106302352698</v>
      </c>
      <c r="G232" s="1" t="n">
        <f aca="false">G216*G217</f>
        <v>10.7139427532393</v>
      </c>
      <c r="H232" s="1" t="n">
        <f aca="false">H216*H217</f>
        <v>16.2326902254055</v>
      </c>
      <c r="I232" s="1" t="n">
        <f aca="false">I216*I217</f>
        <v>22.410796102735</v>
      </c>
      <c r="J232" s="1" t="n">
        <f aca="false">J216*J217</f>
        <v>29.0139613993865</v>
      </c>
      <c r="K232" s="1" t="n">
        <f aca="false">K216*K217</f>
        <v>35.1912686577223</v>
      </c>
      <c r="L232" s="1" t="n">
        <f aca="false">L216*L217</f>
        <v>40.9701827465819</v>
      </c>
      <c r="M232" s="1" t="n">
        <f aca="false">M216*M217</f>
        <v>46.0074827648869</v>
      </c>
      <c r="N232" s="1" t="n">
        <f aca="false">N216*N217</f>
        <v>50.1254901651719</v>
      </c>
      <c r="O232" s="1" t="n">
        <f aca="false">O216*O217</f>
        <v>53.1917179256634</v>
      </c>
      <c r="P232" s="1" t="n">
        <f aca="false">P216*P217</f>
        <v>54.4504943922695</v>
      </c>
      <c r="Q232" s="1" t="n">
        <f aca="false">Q216*Q217</f>
        <v>54.0183875483411</v>
      </c>
      <c r="R232" s="1" t="n">
        <f aca="false">R216*R217</f>
        <v>52.3733620342553</v>
      </c>
      <c r="S232" s="1" t="n">
        <f aca="false">S216*S217</f>
        <v>49.8191501067804</v>
      </c>
      <c r="T232" s="1" t="n">
        <f aca="false">T216*T217</f>
        <v>46.6061629132317</v>
      </c>
      <c r="U232" s="1" t="n">
        <f aca="false">U216*U217</f>
        <v>43.6003909508498</v>
      </c>
      <c r="V232" s="1" t="n">
        <f aca="false">V216*V217</f>
        <v>40.7884702846293</v>
      </c>
      <c r="W232" s="1" t="n">
        <f aca="false">W216*W217</f>
        <v>38.1578988600253</v>
      </c>
      <c r="X232" s="1" t="n">
        <f aca="false">X216*X217</f>
        <v>35.6969809176837</v>
      </c>
      <c r="Y232" s="1" t="n">
        <f aca="false">Y216*Y217</f>
        <v>33.3947749930334</v>
      </c>
      <c r="Z232" s="1" t="n">
        <f aca="false">Z216*Z217</f>
        <v>31.241045269542</v>
      </c>
      <c r="AA232" s="1" t="n">
        <f aca="false">AA216*AA217</f>
        <v>29.2262160693455</v>
      </c>
      <c r="AB232" s="1" t="n">
        <f aca="false">AB216*AB217</f>
        <v>27.341329278916</v>
      </c>
      <c r="AC232" s="1" t="n">
        <f aca="false">AC216*AC217</f>
        <v>25.5780045204754</v>
      </c>
      <c r="AD232" s="1" t="n">
        <f aca="false">AD216*AD217</f>
        <v>23.9284018920751</v>
      </c>
      <c r="AE232" s="1" t="n">
        <f aca="false">AE216*AE217</f>
        <v>22.38518711068</v>
      </c>
      <c r="AF232" s="1" t="n">
        <f aca="false">AF216*AF217</f>
        <v>20.9414989032809</v>
      </c>
    </row>
    <row r="233" customFormat="false" ht="14.25" hidden="false" customHeight="true" outlineLevel="0" collapsed="false">
      <c r="B233" s="1" t="s">
        <v>1229</v>
      </c>
      <c r="C233" s="1" t="n">
        <f aca="false">IF(C81&gt;0,(C107+C109+C110+C184-C108-C229)/C81,0)</f>
        <v>0.0235631742617283</v>
      </c>
      <c r="D233" s="1" t="n">
        <f aca="false">IF(C81&gt;0,(D107+D109+D110+D184-D108-D229)/C81,0)</f>
        <v>0.119224689341464</v>
      </c>
      <c r="E233" s="1" t="n">
        <f aca="false">IF(D81&gt;0,(E107+E109+E110+E184-E108-E229)/D81,0)</f>
        <v>0.0830504824042159</v>
      </c>
      <c r="F233" s="1" t="n">
        <f aca="false">IF(E81&gt;0,(F107+F109+F110+F184-F108-F229)/E81,0)</f>
        <v>0.0725319679452127</v>
      </c>
      <c r="G233" s="1" t="n">
        <f aca="false">IF(F81&gt;0,(G107+G109+G110+G184-G108-G229)/F81,0)</f>
        <v>0.04751496010037</v>
      </c>
      <c r="H233" s="1" t="n">
        <f aca="false">IF(G81&gt;0,(H107+H109+H110+H184-H108-H229)/G81,0)</f>
        <v>0.0392117471703913</v>
      </c>
      <c r="I233" s="1" t="n">
        <f aca="false">IF(H81&gt;0,(I107+I109+I110+I184-I108-I229)/H81,0)</f>
        <v>0.0366192091501443</v>
      </c>
      <c r="J233" s="1" t="n">
        <f aca="false">IF(I81&gt;0,(J107+J109+J110+J184-J108-J229)/I81,0)</f>
        <v>0.0357730655172135</v>
      </c>
      <c r="K233" s="1" t="n">
        <f aca="false">IF(J81&gt;0,(K107+K109+K110+K184-K108-K229)/J81,0)</f>
        <v>0.0351414421534399</v>
      </c>
      <c r="L233" s="1" t="n">
        <f aca="false">IF(K81&gt;0,(L107+L109+L110+L184-L108-L229)/K81,0)</f>
        <v>0.0375346070622399</v>
      </c>
      <c r="M233" s="1" t="n">
        <f aca="false">IF(L81&gt;0,(M107+M109+M110+M184-M108-M229)/L81,0)</f>
        <v>0.0397138687060178</v>
      </c>
      <c r="N233" s="1" t="n">
        <f aca="false">IF(M81&gt;0,(N107+N109+N110+N184-N108-N229)/M81,0)</f>
        <v>0.0390966854793503</v>
      </c>
      <c r="O233" s="1" t="n">
        <f aca="false">IF(N81&gt;0,(O107+O109+O110+O184-O108-O229)/N81,0)</f>
        <v>0.0382560065462514</v>
      </c>
      <c r="P233" s="1" t="n">
        <f aca="false">IF(O81&gt;0,(P107+P109+P110+P184-P108-P229)/O81,0)</f>
        <v>0.0379135711353619</v>
      </c>
      <c r="Q233" s="1" t="n">
        <f aca="false">IF(P81&gt;0,(Q107+Q109+Q110+Q184-Q108-Q229)/P81,0)</f>
        <v>0.0376029220879546</v>
      </c>
      <c r="R233" s="1" t="n">
        <f aca="false">IF(Q81&gt;0,(R107+R109+R110+R184-R108-R229)/Q81,0)</f>
        <v>0.0373794095215976</v>
      </c>
      <c r="S233" s="1" t="n">
        <f aca="false">IF(R81&gt;0,(S107+S109+S110+S184-S108-S229)/R81,0)</f>
        <v>0.0372651126212266</v>
      </c>
      <c r="T233" s="1" t="n">
        <f aca="false">IF(S81&gt;0,(T107+T109+T110+T184-T108-T229)/S81,0)</f>
        <v>0.0372316939027178</v>
      </c>
      <c r="U233" s="1" t="n">
        <f aca="false">IF(T81&gt;0,(U107+U109+U110+U184-U108-U229)/T81,0)</f>
        <v>0.0372445078621438</v>
      </c>
      <c r="V233" s="1" t="n">
        <f aca="false">IF(U81&gt;0,(V107+V109+V110+V184-V108-V229)/U81,0)</f>
        <v>0.0371600978346812</v>
      </c>
      <c r="W233" s="1" t="n">
        <f aca="false">IF(V81&gt;0,(W107+W109+W110+W184-W108-W229)/V81,0)</f>
        <v>0.0370315860626959</v>
      </c>
      <c r="X233" s="1" t="n">
        <f aca="false">IF(W81&gt;0,(X107+X109+X110+X184-X108-X229)/W81,0)</f>
        <v>0.0369092089234688</v>
      </c>
      <c r="Y233" s="1" t="n">
        <f aca="false">IF(X81&gt;0,(Y107+Y109+Y110+Y184-Y108-Y229)/X81,0)</f>
        <v>0.0367780465642364</v>
      </c>
      <c r="Z233" s="1" t="n">
        <f aca="false">IF(Y81&gt;0,(Z107+Z109+Z110+Z184-Z108-Z229)/Y81,0)</f>
        <v>0.0366429981042492</v>
      </c>
      <c r="AA233" s="1" t="n">
        <f aca="false">IF(Z81&gt;0,(AA107+AA109+AA110+AA184-AA108-AA229)/Z81,0)</f>
        <v>0.0365066347344664</v>
      </c>
      <c r="AB233" s="1" t="n">
        <f aca="false">IF(AA81&gt;0,(AB107+AB109+AB110+AB184-AB108-AB229)/AA81,0)</f>
        <v>0.0363696732921832</v>
      </c>
      <c r="AC233" s="1" t="n">
        <f aca="false">IF(AB81&gt;0,(AC107+AC109+AC110+AC184-AC108-AC229)/AB81,0)</f>
        <v>0.036232506188252</v>
      </c>
      <c r="AD233" s="1" t="n">
        <f aca="false">IF(AC81&gt;0,(AD107+AD109+AD110+AD184-AD108-AD229)/AC81,0)</f>
        <v>0.0360954912150159</v>
      </c>
      <c r="AE233" s="1" t="n">
        <f aca="false">IF(AD81&gt;0,(AE107+AE109+AE110+AE184-AE108-AE229)/AD81,0)</f>
        <v>0.0359589569316351</v>
      </c>
      <c r="AF233" s="1" t="n">
        <f aca="false">IF(AE81&gt;0,(AF107+AF109+AF110+AF184-AF108-AF229)/AE81,0)</f>
        <v>0.0358232077494388</v>
      </c>
    </row>
    <row r="234" customFormat="false" ht="14.25" hidden="false" customHeight="true" outlineLevel="0" collapsed="false">
      <c r="B234" s="1" t="s">
        <v>1230</v>
      </c>
      <c r="C234" s="1" t="n">
        <f aca="false">(C232+0)/2*C233</f>
        <v>0.00434639806310482</v>
      </c>
      <c r="D234" s="1" t="n">
        <f aca="false">(D232+C232)/2*D233</f>
        <v>0.0999921361516907</v>
      </c>
      <c r="E234" s="1" t="n">
        <f aca="false">(E232+D232)/2*E233</f>
        <v>0.177813737351221</v>
      </c>
      <c r="F234" s="1" t="n">
        <f aca="false">(F232+E232)/2*F233</f>
        <v>0.330552419851791</v>
      </c>
      <c r="G234" s="1" t="n">
        <f aca="false">(G232+F232)/2*G233</f>
        <v>0.400432463487277</v>
      </c>
      <c r="H234" s="1" t="n">
        <f aca="false">(H232+G232)/2*H233</f>
        <v>0.528312279725974</v>
      </c>
      <c r="I234" s="1" t="n">
        <f aca="false">(I232+H232)/2*I233</f>
        <v>0.707546954070459</v>
      </c>
      <c r="J234" s="1" t="n">
        <f aca="false">(J232+I232)/2*J233</f>
        <v>0.919810609665102</v>
      </c>
      <c r="K234" s="1" t="n">
        <f aca="false">(K232+J232)/2*K233</f>
        <v>1.12813218900009</v>
      </c>
      <c r="L234" s="1" t="n">
        <f aca="false">(L232+K232)/2*L233</f>
        <v>1.42934507587522</v>
      </c>
      <c r="M234" s="1" t="n">
        <f aca="false">(M232+L232)/2*M233</f>
        <v>1.7271097942392</v>
      </c>
      <c r="N234" s="1" t="n">
        <f aca="false">(N232+M232)/2*N233</f>
        <v>1.8792403034207</v>
      </c>
      <c r="O234" s="1" t="n">
        <f aca="false">(O232+N232)/2*O233</f>
        <v>1.97625189453171</v>
      </c>
      <c r="P234" s="1" t="n">
        <f aca="false">(P232+O232)/2*P233</f>
        <v>2.04055033694184</v>
      </c>
      <c r="Q234" s="1" t="n">
        <f aca="false">(Q232+P232)/2*Q233</f>
        <v>2.03937345829016</v>
      </c>
      <c r="R234" s="1" t="n">
        <f aca="false">(R232+Q232)/2*R233</f>
        <v>1.98843038868357</v>
      </c>
      <c r="S234" s="1" t="n">
        <f aca="false">(S232+R232)/2*S233</f>
        <v>1.90410773699088</v>
      </c>
      <c r="T234" s="1" t="n">
        <f aca="false">(T232+S232)/2*T233</f>
        <v>1.79503886941742</v>
      </c>
      <c r="U234" s="1" t="n">
        <f aca="false">(U232+T232)/2*U233</f>
        <v>1.67984935230384</v>
      </c>
      <c r="V234" s="1" t="n">
        <f aca="false">(V232+U232)/2*V233</f>
        <v>1.56794916983387</v>
      </c>
      <c r="W234" s="1" t="n">
        <f aca="false">(W232+V232)/2*W233</f>
        <v>1.46175463165882</v>
      </c>
      <c r="X234" s="1" t="n">
        <f aca="false">(X232+W232)/2*X233</f>
        <v>1.36296259386657</v>
      </c>
      <c r="Y234" s="1" t="n">
        <f aca="false">(Y232+X232)/2*Y233</f>
        <v>1.27052990804461</v>
      </c>
      <c r="Z234" s="1" t="n">
        <f aca="false">(Z232+Y232)/2*Z233</f>
        <v>1.18422511967407</v>
      </c>
      <c r="AA234" s="1" t="n">
        <f aca="false">(AA232+Z232)/2*AA233</f>
        <v>1.10372811154614</v>
      </c>
      <c r="AB234" s="1" t="n">
        <f aca="false">(AB232+AA232)/2*AB233</f>
        <v>1.02867157162851</v>
      </c>
      <c r="AC234" s="1" t="n">
        <f aca="false">(AC232+AB232)/2*AC233</f>
        <v>0.958700044682313</v>
      </c>
      <c r="AD234" s="1" t="n">
        <f aca="false">(AD232+AC232)/2*AD233</f>
        <v>0.893479028875612</v>
      </c>
      <c r="AE234" s="1" t="n">
        <f aca="false">(AE232+AD232)/2*AE233</f>
        <v>0.832694176149759</v>
      </c>
      <c r="AF234" s="1" t="n">
        <f aca="false">(AF232+AE232)/2*AF233</f>
        <v>0.776050437086413</v>
      </c>
    </row>
    <row r="235" customFormat="false" ht="14.25" hidden="false" customHeight="true" outlineLevel="0" collapsed="false">
      <c r="B235" s="1" t="s">
        <v>1231</v>
      </c>
      <c r="C235" s="1" t="n">
        <f aca="false">MAX(0,MIN(C234,$C$231*C232))</f>
        <v>0.00184457238860399</v>
      </c>
      <c r="D235" s="1" t="n">
        <f aca="false">MAX(0,MIN(D234,$C$231*D232))</f>
        <v>0.00654229250523607</v>
      </c>
      <c r="E235" s="1" t="n">
        <f aca="false">MAX(0,MIN(E234,$C$231*E232))</f>
        <v>0.0148680271225033</v>
      </c>
      <c r="F235" s="1" t="n">
        <f aca="false">MAX(0,MIN(F234,$C$231*F232))</f>
        <v>0.0307053151176349</v>
      </c>
      <c r="G235" s="1" t="n">
        <f aca="false">MAX(0,MIN(G234,$C$231*G232))</f>
        <v>0.0535697137661963</v>
      </c>
      <c r="H235" s="1" t="n">
        <f aca="false">MAX(0,MIN(H234,$C$231*H232))</f>
        <v>0.0811634511270276</v>
      </c>
      <c r="I235" s="1" t="n">
        <f aca="false">MAX(0,MIN(I234,$C$231*I232))</f>
        <v>0.112053980513675</v>
      </c>
      <c r="J235" s="1" t="n">
        <f aca="false">MAX(0,MIN(J234,$C$231*J232))</f>
        <v>0.145069806996932</v>
      </c>
      <c r="K235" s="1" t="n">
        <f aca="false">MAX(0,MIN(K234,$C$231*K232))</f>
        <v>0.175956343288611</v>
      </c>
      <c r="L235" s="1" t="n">
        <f aca="false">MAX(0,MIN(L234,$C$231*L232))</f>
        <v>0.20485091373291</v>
      </c>
      <c r="M235" s="1" t="n">
        <f aca="false">MAX(0,MIN(M234,$C$231*M232))</f>
        <v>0.230037413824435</v>
      </c>
      <c r="N235" s="1" t="n">
        <f aca="false">MAX(0,MIN(N234,$C$231*N232))</f>
        <v>0.250627450825859</v>
      </c>
      <c r="O235" s="1" t="n">
        <f aca="false">MAX(0,MIN(O234,$C$231*O232))</f>
        <v>0.265958589628317</v>
      </c>
      <c r="P235" s="1" t="n">
        <f aca="false">MAX(0,MIN(P234,$C$231*P232))</f>
        <v>0.272252471961347</v>
      </c>
      <c r="Q235" s="1" t="n">
        <f aca="false">MAX(0,MIN(Q234,$C$231*Q232))</f>
        <v>0.270091937741706</v>
      </c>
      <c r="R235" s="1" t="n">
        <f aca="false">MAX(0,MIN(R234,$C$231*R232))</f>
        <v>0.261866810171276</v>
      </c>
      <c r="S235" s="1" t="n">
        <f aca="false">MAX(0,MIN(S234,$C$231*S232))</f>
        <v>0.249095750533902</v>
      </c>
      <c r="T235" s="1" t="n">
        <f aca="false">MAX(0,MIN(T234,$C$231*T232))</f>
        <v>0.233030814566158</v>
      </c>
      <c r="U235" s="1" t="n">
        <f aca="false">MAX(0,MIN(U234,$C$231*U232))</f>
        <v>0.218001954754249</v>
      </c>
      <c r="V235" s="1" t="n">
        <f aca="false">MAX(0,MIN(V234,$C$231*V232))</f>
        <v>0.203942351423147</v>
      </c>
      <c r="W235" s="1" t="n">
        <f aca="false">MAX(0,MIN(W234,$C$231*W232))</f>
        <v>0.190789494300126</v>
      </c>
      <c r="X235" s="1" t="n">
        <f aca="false">MAX(0,MIN(X234,$C$231*X232))</f>
        <v>0.178484904588418</v>
      </c>
      <c r="Y235" s="1" t="n">
        <f aca="false">MAX(0,MIN(Y234,$C$231*Y232))</f>
        <v>0.166973874965167</v>
      </c>
      <c r="Z235" s="1" t="n">
        <f aca="false">MAX(0,MIN(Z234,$C$231*Z232))</f>
        <v>0.15620522634771</v>
      </c>
      <c r="AA235" s="1" t="n">
        <f aca="false">MAX(0,MIN(AA234,$C$231*AA232))</f>
        <v>0.146131080346727</v>
      </c>
      <c r="AB235" s="1" t="n">
        <f aca="false">MAX(0,MIN(AB234,$C$231*AB232))</f>
        <v>0.13670664639458</v>
      </c>
      <c r="AC235" s="1" t="n">
        <f aca="false">MAX(0,MIN(AC234,$C$231*AC232))</f>
        <v>0.127890022602377</v>
      </c>
      <c r="AD235" s="1" t="n">
        <f aca="false">MAX(0,MIN(AD234,$C$231*AD232))</f>
        <v>0.119642009460375</v>
      </c>
      <c r="AE235" s="1" t="n">
        <f aca="false">MAX(0,MIN(AE234,$C$231*AE232))</f>
        <v>0.1119259355534</v>
      </c>
      <c r="AF235" s="1" t="n">
        <f aca="false">MAX(0,MIN(AF234,$C$231*AF232))</f>
        <v>0.104707494516404</v>
      </c>
    </row>
    <row r="236" customFormat="false" ht="14.25" hidden="false" customHeight="true" outlineLevel="0" collapsed="false">
      <c r="B236" s="1" t="s">
        <v>1232</v>
      </c>
      <c r="C236" s="1" t="n">
        <f aca="false">MAX(0,C234-C235)</f>
        <v>0.00250182567450083</v>
      </c>
      <c r="D236" s="1" t="n">
        <f aca="false">MAX(0,D234-D235)</f>
        <v>0.0934498436464547</v>
      </c>
      <c r="E236" s="1" t="n">
        <f aca="false">MAX(0,E234-E235)</f>
        <v>0.162945710228718</v>
      </c>
      <c r="F236" s="1" t="n">
        <f aca="false">MAX(0,F234-F235)</f>
        <v>0.299847104734156</v>
      </c>
      <c r="G236" s="1" t="n">
        <f aca="false">MAX(0,G234-G235)</f>
        <v>0.34686274972108</v>
      </c>
      <c r="H236" s="1" t="n">
        <f aca="false">MAX(0,H234-H235)</f>
        <v>0.447148828598946</v>
      </c>
      <c r="I236" s="1" t="n">
        <f aca="false">MAX(0,I234-I235)</f>
        <v>0.595492973556784</v>
      </c>
      <c r="J236" s="1" t="n">
        <f aca="false">MAX(0,J234-J235)</f>
        <v>0.77474080266817</v>
      </c>
      <c r="K236" s="1" t="n">
        <f aca="false">MAX(0,K234-K235)</f>
        <v>0.952175845711482</v>
      </c>
      <c r="L236" s="1" t="n">
        <f aca="false">MAX(0,L234-L235)</f>
        <v>1.22449416214231</v>
      </c>
      <c r="M236" s="1" t="n">
        <f aca="false">MAX(0,M234-M235)</f>
        <v>1.49707238041477</v>
      </c>
      <c r="N236" s="1" t="n">
        <f aca="false">MAX(0,N234-N235)</f>
        <v>1.62861285259485</v>
      </c>
      <c r="O236" s="1" t="n">
        <f aca="false">MAX(0,O234-O235)</f>
        <v>1.71029330490339</v>
      </c>
      <c r="P236" s="1" t="n">
        <f aca="false">MAX(0,P234-P235)</f>
        <v>1.76829786498049</v>
      </c>
      <c r="Q236" s="1" t="n">
        <f aca="false">MAX(0,Q234-Q235)</f>
        <v>1.76928152054845</v>
      </c>
      <c r="R236" s="1" t="n">
        <f aca="false">MAX(0,R234-R235)</f>
        <v>1.72656357851229</v>
      </c>
      <c r="S236" s="1" t="n">
        <f aca="false">MAX(0,S234-S235)</f>
        <v>1.65501198645698</v>
      </c>
      <c r="T236" s="1" t="n">
        <f aca="false">MAX(0,T234-T235)</f>
        <v>1.56200805485126</v>
      </c>
      <c r="U236" s="1" t="n">
        <f aca="false">MAX(0,U234-U235)</f>
        <v>1.46184739754959</v>
      </c>
      <c r="V236" s="1" t="n">
        <f aca="false">MAX(0,V234-V235)</f>
        <v>1.36400681841072</v>
      </c>
      <c r="W236" s="1" t="n">
        <f aca="false">MAX(0,W234-W235)</f>
        <v>1.27096513735869</v>
      </c>
      <c r="X236" s="1" t="n">
        <f aca="false">MAX(0,X234-X235)</f>
        <v>1.18447768927815</v>
      </c>
      <c r="Y236" s="1" t="n">
        <f aca="false">MAX(0,Y234-Y235)</f>
        <v>1.10355603307944</v>
      </c>
      <c r="Z236" s="1" t="n">
        <f aca="false">MAX(0,Z234-Z235)</f>
        <v>1.02801989332636</v>
      </c>
      <c r="AA236" s="1" t="n">
        <f aca="false">MAX(0,AA234-AA235)</f>
        <v>0.957597031199415</v>
      </c>
      <c r="AB236" s="1" t="n">
        <f aca="false">MAX(0,AB234-AB235)</f>
        <v>0.891964925233935</v>
      </c>
      <c r="AC236" s="1" t="n">
        <f aca="false">MAX(0,AC234-AC235)</f>
        <v>0.830810022079935</v>
      </c>
      <c r="AD236" s="1" t="n">
        <f aca="false">MAX(0,AD234-AD235)</f>
        <v>0.773837019415236</v>
      </c>
      <c r="AE236" s="1" t="n">
        <f aca="false">MAX(0,AE234-AE235)</f>
        <v>0.72076824059636</v>
      </c>
      <c r="AF236" s="1" t="n">
        <f aca="false">MAX(0,AF234-AF235)</f>
        <v>0.671342942570009</v>
      </c>
    </row>
    <row r="237" customFormat="false" ht="14.25" hidden="false" customHeight="true" outlineLevel="0" collapsed="false">
      <c r="B237" s="1" t="s">
        <v>1233</v>
      </c>
      <c r="C237" s="1" t="n">
        <f aca="false">MAX(0,-C234)</f>
        <v>0</v>
      </c>
      <c r="D237" s="1" t="n">
        <f aca="false">MAX(0,-D234)</f>
        <v>0</v>
      </c>
      <c r="E237" s="1" t="n">
        <f aca="false">MAX(0,-E234)</f>
        <v>0</v>
      </c>
      <c r="F237" s="1" t="n">
        <f aca="false">MAX(0,-F234)</f>
        <v>0</v>
      </c>
      <c r="G237" s="1" t="n">
        <f aca="false">MAX(0,-G234)</f>
        <v>0</v>
      </c>
      <c r="H237" s="1" t="n">
        <f aca="false">MAX(0,-H234)</f>
        <v>0</v>
      </c>
      <c r="I237" s="1" t="n">
        <f aca="false">MAX(0,-I234)</f>
        <v>0</v>
      </c>
      <c r="J237" s="1" t="n">
        <f aca="false">MAX(0,-J234)</f>
        <v>0</v>
      </c>
      <c r="K237" s="1" t="n">
        <f aca="false">MAX(0,-K234)</f>
        <v>0</v>
      </c>
      <c r="L237" s="1" t="n">
        <f aca="false">MAX(0,-L234)</f>
        <v>0</v>
      </c>
      <c r="M237" s="1" t="n">
        <f aca="false">MAX(0,-M234)</f>
        <v>0</v>
      </c>
      <c r="N237" s="1" t="n">
        <f aca="false">MAX(0,-N234)</f>
        <v>0</v>
      </c>
      <c r="O237" s="1" t="n">
        <f aca="false">MAX(0,-O234)</f>
        <v>0</v>
      </c>
      <c r="P237" s="1" t="n">
        <f aca="false">MAX(0,-P234)</f>
        <v>0</v>
      </c>
      <c r="Q237" s="1" t="n">
        <f aca="false">MAX(0,-Q234)</f>
        <v>0</v>
      </c>
      <c r="R237" s="1" t="n">
        <f aca="false">MAX(0,-R234)</f>
        <v>0</v>
      </c>
      <c r="S237" s="1" t="n">
        <f aca="false">MAX(0,-S234)</f>
        <v>0</v>
      </c>
      <c r="T237" s="1" t="n">
        <f aca="false">MAX(0,-T234)</f>
        <v>0</v>
      </c>
      <c r="U237" s="1" t="n">
        <f aca="false">MAX(0,-U234)</f>
        <v>0</v>
      </c>
      <c r="V237" s="1" t="n">
        <f aca="false">MAX(0,-V234)</f>
        <v>0</v>
      </c>
      <c r="W237" s="1" t="n">
        <f aca="false">MAX(0,-W234)</f>
        <v>0</v>
      </c>
      <c r="X237" s="1" t="n">
        <f aca="false">MAX(0,-X234)</f>
        <v>0</v>
      </c>
      <c r="Y237" s="1" t="n">
        <f aca="false">MAX(0,-Y234)</f>
        <v>0</v>
      </c>
      <c r="Z237" s="1" t="n">
        <f aca="false">MAX(0,-Z234)</f>
        <v>0</v>
      </c>
      <c r="AA237" s="1" t="n">
        <f aca="false">MAX(0,-AA234)</f>
        <v>0</v>
      </c>
      <c r="AB237" s="1" t="n">
        <f aca="false">MAX(0,-AB234)</f>
        <v>0</v>
      </c>
      <c r="AC237" s="1" t="n">
        <f aca="false">MAX(0,-AC234)</f>
        <v>0</v>
      </c>
      <c r="AD237" s="1" t="n">
        <f aca="false">MAX(0,-AD234)</f>
        <v>0</v>
      </c>
      <c r="AE237" s="1" t="n">
        <f aca="false">MAX(0,-AE234)</f>
        <v>0</v>
      </c>
      <c r="AF237" s="1" t="n">
        <f aca="false">MAX(0,-AF234)</f>
        <v>0</v>
      </c>
    </row>
    <row r="238" customFormat="false" ht="14.25" hidden="false" customHeight="true" outlineLevel="0" collapsed="false">
      <c r="B238" s="1" t="s">
        <v>1234</v>
      </c>
      <c r="C238" s="1" t="n">
        <f aca="false">IF(C112&gt;0,C235/C112,0)</f>
        <v>0.0779833747454677</v>
      </c>
      <c r="D238" s="1" t="n">
        <f aca="false">IF(D112&gt;0,D235/D112,0)</f>
        <v>0.104607816400351</v>
      </c>
      <c r="E238" s="1" t="n">
        <f aca="false">IF(E112&gt;0,E235/E112,0)</f>
        <v>0.129315013771207</v>
      </c>
      <c r="F238" s="1" t="n">
        <f aca="false">IF(F112&gt;0,F235/F112,0)</f>
        <v>0.130505148813518</v>
      </c>
      <c r="G238" s="1" t="n">
        <f aca="false">IF(G112&gt;0,G235/G112,0)</f>
        <v>0.150652515297366</v>
      </c>
      <c r="H238" s="1" t="n">
        <f aca="false">IF(H112&gt;0,H235/H112,0)</f>
        <v>0.178372536953023</v>
      </c>
      <c r="I238" s="1" t="n">
        <f aca="false">IF(I112&gt;0,I235/I112,0)</f>
        <v>0.206737662473735</v>
      </c>
      <c r="J238" s="1" t="n">
        <f aca="false">IF(J112&gt;0,J235/J112,0)</f>
        <v>0.234651179149104</v>
      </c>
      <c r="K238" s="1" t="n">
        <f aca="false">IF(K112&gt;0,K235/K112,0)</f>
        <v>0.273475789253569</v>
      </c>
      <c r="L238" s="1" t="n">
        <f aca="false">IF(L112&gt;0,L235/L112,0)</f>
        <v>0.306388248002835</v>
      </c>
      <c r="M238" s="1" t="n">
        <f aca="false">IF(M112&gt;0,M235/M112,0)</f>
        <v>0.331788946576118</v>
      </c>
      <c r="N238" s="1" t="n">
        <f aca="false">IF(N112&gt;0,N235/N112,0)</f>
        <v>0.349497979171089</v>
      </c>
      <c r="O238" s="1" t="n">
        <f aca="false">IF(O112&gt;0,O235/O112,0)</f>
        <v>0.359471619772925</v>
      </c>
      <c r="P238" s="1" t="n">
        <f aca="false">IF(P112&gt;0,P235/P112,0)</f>
        <v>0.358152478727247</v>
      </c>
      <c r="Q238" s="1" t="n">
        <f aca="false">IF(Q112&gt;0,Q235/Q112,0)</f>
        <v>0.347110315792553</v>
      </c>
      <c r="R238" s="1" t="n">
        <f aca="false">IF(R112&gt;0,R235/R112,0)</f>
        <v>0.329784546555631</v>
      </c>
      <c r="S238" s="1" t="n">
        <f aca="false">IF(S112&gt;0,S235/S112,0)</f>
        <v>0.308171732425857</v>
      </c>
      <c r="T238" s="1" t="n">
        <f aca="false">IF(T112&gt;0,T235/T112,0)</f>
        <v>0.283682529390008</v>
      </c>
      <c r="U238" s="1" t="n">
        <f aca="false">IF(U112&gt;0,U235/U112,0)</f>
        <v>0.261184462303729</v>
      </c>
      <c r="V238" s="1" t="n">
        <f aca="false">IF(V112&gt;0,V235/V112,0)</f>
        <v>0.240513389403449</v>
      </c>
      <c r="W238" s="1" t="n">
        <f aca="false">IF(W112&gt;0,W235/W112,0)</f>
        <v>0.22159249347769</v>
      </c>
      <c r="X238" s="1" t="n">
        <f aca="false">IF(X112&gt;0,X235/X112,0)</f>
        <v>0.204263094861778</v>
      </c>
      <c r="Y238" s="1" t="n">
        <f aca="false">IF(Y112&gt;0,Y235/Y112,0)</f>
        <v>0.188381991560608</v>
      </c>
      <c r="Z238" s="1" t="n">
        <f aca="false">IF(Z112&gt;0,Z235/Z112,0)</f>
        <v>0.173819826880585</v>
      </c>
      <c r="AA238" s="1" t="n">
        <f aca="false">IF(AA112&gt;0,AA235/AA112,0)</f>
        <v>0.16045964396496</v>
      </c>
      <c r="AB238" s="1" t="n">
        <f aca="false">IF(AB112&gt;0,AB235/AB112,0)</f>
        <v>0.148194510446545</v>
      </c>
      <c r="AC238" s="1" t="n">
        <f aca="false">IF(AC112&gt;0,AC235/AC112,0)</f>
        <v>0.136927855886423</v>
      </c>
      <c r="AD238" s="1" t="n">
        <f aca="false">IF(AD112&gt;0,AD235/AD112,0)</f>
        <v>0.126572367908917</v>
      </c>
      <c r="AE238" s="1" t="n">
        <f aca="false">IF(AE112&gt;0,AE235/AE112,0)</f>
        <v>0.117049018370291</v>
      </c>
      <c r="AF238" s="1" t="n">
        <f aca="false">IF(AF112&gt;0,AF235/AF112,0)</f>
        <v>0.10828620260405</v>
      </c>
    </row>
    <row r="239" customFormat="false" ht="14.25" hidden="false" customHeight="true" outlineLevel="0" collapsed="false">
      <c r="B239" s="1" t="s">
        <v>1235</v>
      </c>
    </row>
    <row r="240" customFormat="false" ht="14.25" hidden="false" customHeight="true" outlineLevel="0" collapsed="false">
      <c r="B240" s="1" t="s">
        <v>1236</v>
      </c>
    </row>
    <row r="241" customFormat="false" ht="14.25" hidden="false" customHeight="true" outlineLevel="0" collapsed="false">
      <c r="B241" s="1" t="s">
        <v>1237</v>
      </c>
      <c r="C241" s="1" t="n">
        <f aca="false">01_Supuestos!$C$165</f>
        <v>12</v>
      </c>
    </row>
    <row r="242" customFormat="false" ht="14.25" hidden="false" customHeight="true" outlineLevel="0" collapsed="false">
      <c r="B242" s="1" t="s">
        <v>1238</v>
      </c>
      <c r="C242" s="1" t="str">
        <f aca="false">01_Supuestos!$C$166</f>
        <v>No</v>
      </c>
    </row>
    <row r="243" customFormat="false" ht="14.25" hidden="false" customHeight="true" outlineLevel="0" collapsed="false">
      <c r="B243" s="1" t="s">
        <v>1239</v>
      </c>
      <c r="C243" s="1" t="n">
        <f aca="false">C236</f>
        <v>0.00250182567450083</v>
      </c>
      <c r="D243" s="1" t="n">
        <f aca="false">D236</f>
        <v>0.0934498436464547</v>
      </c>
      <c r="E243" s="1" t="n">
        <f aca="false">E236</f>
        <v>0.162945710228718</v>
      </c>
      <c r="F243" s="1" t="n">
        <f aca="false">F236</f>
        <v>0.299847104734156</v>
      </c>
      <c r="G243" s="1" t="n">
        <f aca="false">G236</f>
        <v>0.34686274972108</v>
      </c>
      <c r="H243" s="1" t="n">
        <f aca="false">H236</f>
        <v>0.447148828598946</v>
      </c>
      <c r="I243" s="1" t="n">
        <f aca="false">I236</f>
        <v>0.595492973556784</v>
      </c>
      <c r="J243" s="1" t="n">
        <f aca="false">J236</f>
        <v>0.77474080266817</v>
      </c>
      <c r="K243" s="1" t="n">
        <f aca="false">K236</f>
        <v>0.952175845711482</v>
      </c>
      <c r="L243" s="1" t="n">
        <f aca="false">L236</f>
        <v>1.22449416214231</v>
      </c>
      <c r="M243" s="1" t="n">
        <f aca="false">M236</f>
        <v>1.49707238041477</v>
      </c>
      <c r="N243" s="1" t="n">
        <f aca="false">N236</f>
        <v>1.62861285259485</v>
      </c>
      <c r="O243" s="1" t="n">
        <f aca="false">O236</f>
        <v>1.71029330490339</v>
      </c>
      <c r="P243" s="1" t="n">
        <f aca="false">P236</f>
        <v>1.76829786498049</v>
      </c>
      <c r="Q243" s="1" t="n">
        <f aca="false">Q236</f>
        <v>1.76928152054845</v>
      </c>
      <c r="R243" s="1" t="n">
        <f aca="false">R236</f>
        <v>1.72656357851229</v>
      </c>
      <c r="S243" s="1" t="n">
        <f aca="false">S236</f>
        <v>1.65501198645698</v>
      </c>
      <c r="T243" s="1" t="n">
        <f aca="false">T236</f>
        <v>1.56200805485126</v>
      </c>
      <c r="U243" s="1" t="n">
        <f aca="false">U236</f>
        <v>1.46184739754959</v>
      </c>
      <c r="V243" s="1" t="n">
        <f aca="false">V236</f>
        <v>1.36400681841072</v>
      </c>
      <c r="W243" s="1" t="n">
        <f aca="false">W236</f>
        <v>1.27096513735869</v>
      </c>
      <c r="X243" s="1" t="n">
        <f aca="false">X236</f>
        <v>1.18447768927815</v>
      </c>
      <c r="Y243" s="1" t="n">
        <f aca="false">Y236</f>
        <v>1.10355603307944</v>
      </c>
      <c r="Z243" s="1" t="n">
        <f aca="false">Z236</f>
        <v>1.02801989332636</v>
      </c>
      <c r="AA243" s="1" t="n">
        <f aca="false">AA236</f>
        <v>0.957597031199415</v>
      </c>
      <c r="AB243" s="1" t="n">
        <f aca="false">AB236</f>
        <v>0.891964925233935</v>
      </c>
      <c r="AC243" s="1" t="n">
        <f aca="false">AC236</f>
        <v>0.830810022079935</v>
      </c>
      <c r="AD243" s="1" t="n">
        <f aca="false">AD236</f>
        <v>0.773837019415236</v>
      </c>
      <c r="AE243" s="1" t="n">
        <f aca="false">AE236</f>
        <v>0.72076824059636</v>
      </c>
      <c r="AF243" s="1" t="n">
        <f aca="false">AF236</f>
        <v>0.671342942570009</v>
      </c>
    </row>
    <row r="244" customFormat="false" ht="14.25" hidden="false" customHeight="true" outlineLevel="0" collapsed="false">
      <c r="B244" s="1" t="s">
        <v>1240</v>
      </c>
      <c r="C244" s="1" t="n">
        <f aca="false">MIN(0+C243,C237)</f>
        <v>0</v>
      </c>
      <c r="D244" s="1" t="n">
        <f aca="false">MIN(C248+D243,D237)</f>
        <v>0</v>
      </c>
      <c r="E244" s="1" t="n">
        <f aca="false">MIN(D248+E243,E237)</f>
        <v>0</v>
      </c>
      <c r="F244" s="1" t="n">
        <f aca="false">MIN(E248+F243,F237)</f>
        <v>0</v>
      </c>
      <c r="G244" s="1" t="n">
        <f aca="false">MIN(F248+G243,G237)</f>
        <v>0</v>
      </c>
      <c r="H244" s="1" t="n">
        <f aca="false">MIN(G248+H243,H237)</f>
        <v>0</v>
      </c>
      <c r="I244" s="1" t="n">
        <f aca="false">MIN(H248+I243,I237)</f>
        <v>0</v>
      </c>
      <c r="J244" s="1" t="n">
        <f aca="false">MIN(I248+J243,J237)</f>
        <v>0</v>
      </c>
      <c r="K244" s="1" t="n">
        <f aca="false">MIN(J248+K243,K237)</f>
        <v>0</v>
      </c>
      <c r="L244" s="1" t="n">
        <f aca="false">MIN(K248+L243,L237)</f>
        <v>0</v>
      </c>
      <c r="M244" s="1" t="n">
        <f aca="false">MIN(L248+M243,M237)</f>
        <v>0</v>
      </c>
      <c r="N244" s="1" t="n">
        <f aca="false">MIN(M248+N243,N237)</f>
        <v>0</v>
      </c>
      <c r="O244" s="1" t="n">
        <f aca="false">MIN(N248+O243,O237)</f>
        <v>0</v>
      </c>
      <c r="P244" s="1" t="n">
        <f aca="false">MIN(O248+P243,P237)</f>
        <v>0</v>
      </c>
      <c r="Q244" s="1" t="n">
        <f aca="false">MIN(P248+Q243,Q237)</f>
        <v>0</v>
      </c>
      <c r="R244" s="1" t="n">
        <f aca="false">MIN(Q248+R243,R237)</f>
        <v>0</v>
      </c>
      <c r="S244" s="1" t="n">
        <f aca="false">MIN(R248+S243,S237)</f>
        <v>0</v>
      </c>
      <c r="T244" s="1" t="n">
        <f aca="false">MIN(S248+T243,T237)</f>
        <v>0</v>
      </c>
      <c r="U244" s="1" t="n">
        <f aca="false">MIN(T248+U243,U237)</f>
        <v>0</v>
      </c>
      <c r="V244" s="1" t="n">
        <f aca="false">MIN(U248+V243,V237)</f>
        <v>0</v>
      </c>
      <c r="W244" s="1" t="n">
        <f aca="false">MIN(V248+W243,W237)</f>
        <v>0</v>
      </c>
      <c r="X244" s="1" t="n">
        <f aca="false">MIN(W248+X243,X237)</f>
        <v>0</v>
      </c>
      <c r="Y244" s="1" t="n">
        <f aca="false">MIN(X248+Y243,Y237)</f>
        <v>0</v>
      </c>
      <c r="Z244" s="1" t="n">
        <f aca="false">MIN(Y248+Z243,Z237)</f>
        <v>0</v>
      </c>
      <c r="AA244" s="1" t="n">
        <f aca="false">MIN(Z248+AA243,AA237)</f>
        <v>0</v>
      </c>
      <c r="AB244" s="1" t="n">
        <f aca="false">MIN(AA248+AB243,AB237)</f>
        <v>0</v>
      </c>
      <c r="AC244" s="1" t="n">
        <f aca="false">MIN(AB248+AC243,AC237)</f>
        <v>0</v>
      </c>
      <c r="AD244" s="1" t="n">
        <f aca="false">MIN(AC248+AD243,AD237)</f>
        <v>0</v>
      </c>
      <c r="AE244" s="1" t="n">
        <f aca="false">MIN(AD248+AE243,AE237)</f>
        <v>0</v>
      </c>
      <c r="AF244" s="1" t="n">
        <f aca="false">MIN(AE248+AF243,AF237)</f>
        <v>0</v>
      </c>
    </row>
    <row r="245" customFormat="false" ht="14.25" hidden="false" customHeight="true" outlineLevel="0" collapsed="false">
      <c r="B245" s="1" t="s">
        <v>1241</v>
      </c>
      <c r="C245" s="1" t="n">
        <v>0</v>
      </c>
      <c r="D245" s="1" t="n">
        <f aca="false">IF(AND($C$242="Sí",C123="Verde",C248&gt;$C$241,C55&lt;=01_Supuestos!$I$141+0.0001,C122&gt;=01_Supuestos!$C$167),MAX(0,MIN(C248-$C$241,(C276-01_Supuestos!$C$167*C81)/(1+01_Supuestos!$C$167))),0)</f>
        <v>0</v>
      </c>
      <c r="E245" s="1" t="n">
        <f aca="false">IF(AND($C$242="Sí",D123="Verde",D248&gt;$C$241,D55&lt;=01_Supuestos!$I$141+0.0001,D122&gt;=01_Supuestos!$C$167),MAX(0,MIN(D248-$C$241,((D276+MIN(0,D276-C276))-01_Supuestos!$C$167*(D81+MAX(0,D81-C81)))/(1+01_Supuestos!$C$167))),0)</f>
        <v>0</v>
      </c>
      <c r="F245" s="1" t="n">
        <f aca="false">IF(AND($C$242="Sí",E123="Verde",E248&gt;$C$241,E55&lt;=01_Supuestos!$I$141+0.0001,E122&gt;=01_Supuestos!$C$167),MAX(0,MIN(E248-$C$241,((E276+MIN(0,E276-D276))-01_Supuestos!$C$167*(E81+MAX(0,E81-D81)))/(1+01_Supuestos!$C$167))),0)</f>
        <v>0</v>
      </c>
      <c r="G245" s="1" t="n">
        <f aca="false">IF(AND($C$242="Sí",F123="Verde",F248&gt;$C$241,F55&lt;=01_Supuestos!$I$141+0.0001,F122&gt;=01_Supuestos!$C$167),MAX(0,MIN(F248-$C$241,((F276+MIN(0,F276-E276))-01_Supuestos!$C$167*(F81+MAX(0,F81-E81)))/(1+01_Supuestos!$C$167))),0)</f>
        <v>0</v>
      </c>
      <c r="H245" s="1" t="n">
        <f aca="false">IF(AND($C$242="Sí",G123="Verde",G248&gt;$C$241,G55&lt;=01_Supuestos!$I$141+0.0001,G122&gt;=01_Supuestos!$C$167),MAX(0,MIN(G248-$C$241,((G276+MIN(0,G276-F276))-01_Supuestos!$C$167*(G81+MAX(0,G81-F81)))/(1+01_Supuestos!$C$167))),0)</f>
        <v>0</v>
      </c>
      <c r="I245" s="1" t="n">
        <f aca="false">IF(AND($C$242="Sí",H123="Verde",H248&gt;$C$241,H55&lt;=01_Supuestos!$I$141+0.0001,H122&gt;=01_Supuestos!$C$167),MAX(0,MIN(H248-$C$241,((H276+MIN(0,H276-G276))-01_Supuestos!$C$167*(H81+MAX(0,H81-G81)))/(1+01_Supuestos!$C$167))),0)</f>
        <v>0</v>
      </c>
      <c r="J245" s="1" t="n">
        <f aca="false">IF(AND($C$242="Sí",I123="Verde",I248&gt;$C$241,I55&lt;=01_Supuestos!$I$141+0.0001,I122&gt;=01_Supuestos!$C$167),MAX(0,MIN(I248-$C$241,((I276+MIN(0,I276-H276))-01_Supuestos!$C$167*(I81+MAX(0,I81-H81)))/(1+01_Supuestos!$C$167))),0)</f>
        <v>0</v>
      </c>
      <c r="K245" s="1" t="n">
        <f aca="false">IF(AND($C$242="Sí",J123="Verde",J248&gt;$C$241,J55&lt;=01_Supuestos!$I$141+0.0001,J122&gt;=01_Supuestos!$C$167),MAX(0,MIN(J248-$C$241,((J276+MIN(0,J276-I276))-01_Supuestos!$C$167*(J81+MAX(0,J81-I81)))/(1+01_Supuestos!$C$167))),0)</f>
        <v>0</v>
      </c>
      <c r="L245" s="1" t="n">
        <f aca="false">IF(AND($C$242="Sí",K123="Verde",K248&gt;$C$241,K55&lt;=01_Supuestos!$I$141+0.0001,K122&gt;=01_Supuestos!$C$167),MAX(0,MIN(K248-$C$241,((K276+MIN(0,K276-J276))-01_Supuestos!$C$167*(K81+MAX(0,K81-J81)))/(1+01_Supuestos!$C$167))),0)</f>
        <v>0</v>
      </c>
      <c r="M245" s="1" t="n">
        <f aca="false">IF(AND($C$242="Sí",L123="Verde",L248&gt;$C$241,L55&lt;=01_Supuestos!$I$141+0.0001,L122&gt;=01_Supuestos!$C$167),MAX(0,MIN(L248-$C$241,((L276+MIN(0,L276-K276))-01_Supuestos!$C$167*(L81+MAX(0,L81-K81)))/(1+01_Supuestos!$C$167))),0)</f>
        <v>0</v>
      </c>
      <c r="N245" s="1" t="n">
        <f aca="false">IF(AND($C$242="Sí",M123="Verde",M248&gt;$C$241,M55&lt;=01_Supuestos!$I$141+0.0001,M122&gt;=01_Supuestos!$C$167),MAX(0,MIN(M248-$C$241,((M276+MIN(0,M276-L276))-01_Supuestos!$C$167*(M81+MAX(0,M81-L81)))/(1+01_Supuestos!$C$167))),0)</f>
        <v>0</v>
      </c>
      <c r="O245" s="1" t="n">
        <f aca="false">IF(AND($C$242="Sí",N123="Verde",N248&gt;$C$241,N55&lt;=01_Supuestos!$I$141+0.0001,N122&gt;=01_Supuestos!$C$167),MAX(0,MIN(N248-$C$241,((N276+MIN(0,N276-M276))-01_Supuestos!$C$167*(N81+MAX(0,N81-M81)))/(1+01_Supuestos!$C$167))),0)</f>
        <v>0</v>
      </c>
      <c r="P245" s="1" t="n">
        <f aca="false">IF(AND($C$242="Sí",O123="Verde",O248&gt;$C$241,O55&lt;=01_Supuestos!$I$141+0.0001,O122&gt;=01_Supuestos!$C$167),MAX(0,MIN(O248-$C$241,((O276+MIN(0,O276-N276))-01_Supuestos!$C$167*(O81+MAX(0,O81-N81)))/(1+01_Supuestos!$C$167))),0)</f>
        <v>0</v>
      </c>
      <c r="Q245" s="1" t="n">
        <f aca="false">IF(AND($C$242="Sí",P123="Verde",P248&gt;$C$241,P55&lt;=01_Supuestos!$I$141+0.0001,P122&gt;=01_Supuestos!$C$167),MAX(0,MIN(P248-$C$241,((P276+MIN(0,P276-O276))-01_Supuestos!$C$167*(P81+MAX(0,P81-O81)))/(1+01_Supuestos!$C$167))),0)</f>
        <v>0</v>
      </c>
      <c r="R245" s="1" t="n">
        <f aca="false">IF(AND($C$242="Sí",Q123="Verde",Q248&gt;$C$241,Q55&lt;=01_Supuestos!$I$141+0.0001,Q122&gt;=01_Supuestos!$C$167),MAX(0,MIN(Q248-$C$241,((Q276+MIN(0,Q276-P276))-01_Supuestos!$C$167*(Q81+MAX(0,Q81-P81)))/(1+01_Supuestos!$C$167))),0)</f>
        <v>0</v>
      </c>
      <c r="S245" s="1" t="n">
        <f aca="false">IF(AND($C$242="Sí",R123="Verde",R248&gt;$C$241,R55&lt;=01_Supuestos!$I$141+0.0001,R122&gt;=01_Supuestos!$C$167),MAX(0,MIN(R248-$C$241,((R276+MIN(0,R276-Q276))-01_Supuestos!$C$167*(R81+MAX(0,R81-Q81)))/(1+01_Supuestos!$C$167))),0)</f>
        <v>0</v>
      </c>
      <c r="T245" s="1" t="n">
        <f aca="false">IF(AND($C$242="Sí",S123="Verde",S248&gt;$C$241,S55&lt;=01_Supuestos!$I$141+0.0001,S122&gt;=01_Supuestos!$C$167),MAX(0,MIN(S248-$C$241,((S276+MIN(0,S276-R276))-01_Supuestos!$C$167*(S81+MAX(0,S81-R81)))/(1+01_Supuestos!$C$167))),0)</f>
        <v>0</v>
      </c>
      <c r="U245" s="1" t="n">
        <f aca="false">IF(AND($C$242="Sí",T123="Verde",T248&gt;$C$241,T55&lt;=01_Supuestos!$I$141+0.0001,T122&gt;=01_Supuestos!$C$167),MAX(0,MIN(T248-$C$241,((T276+MIN(0,T276-S276))-01_Supuestos!$C$167*(T81+MAX(0,T81-S81)))/(1+01_Supuestos!$C$167))),0)</f>
        <v>0</v>
      </c>
      <c r="V245" s="1" t="n">
        <f aca="false">IF(AND($C$242="Sí",U123="Verde",U248&gt;$C$241,U55&lt;=01_Supuestos!$I$141+0.0001,U122&gt;=01_Supuestos!$C$167),MAX(0,MIN(U248-$C$241,((U276+MIN(0,U276-T276))-01_Supuestos!$C$167*(U81+MAX(0,U81-T81)))/(1+01_Supuestos!$C$167))),0)</f>
        <v>0</v>
      </c>
      <c r="W245" s="1" t="n">
        <f aca="false">IF(AND($C$242="Sí",V123="Verde",V248&gt;$C$241,V55&lt;=01_Supuestos!$I$141+0.0001,V122&gt;=01_Supuestos!$C$167),MAX(0,MIN(V248-$C$241,((V276+MIN(0,V276-U276))-01_Supuestos!$C$167*(V81+MAX(0,V81-U81)))/(1+01_Supuestos!$C$167))),0)</f>
        <v>0</v>
      </c>
      <c r="X245" s="1" t="n">
        <f aca="false">IF(AND($C$242="Sí",W123="Verde",W248&gt;$C$241,W55&lt;=01_Supuestos!$I$141+0.0001,W122&gt;=01_Supuestos!$C$167),MAX(0,MIN(W248-$C$241,((W276+MIN(0,W276-V276))-01_Supuestos!$C$167*(W81+MAX(0,W81-V81)))/(1+01_Supuestos!$C$167))),0)</f>
        <v>0</v>
      </c>
      <c r="Y245" s="1" t="n">
        <f aca="false">IF(AND($C$242="Sí",X123="Verde",X248&gt;$C$241,X55&lt;=01_Supuestos!$I$141+0.0001,X122&gt;=01_Supuestos!$C$167),MAX(0,MIN(X248-$C$241,((X276+MIN(0,X276-W276))-01_Supuestos!$C$167*(X81+MAX(0,X81-W81)))/(1+01_Supuestos!$C$167))),0)</f>
        <v>0</v>
      </c>
      <c r="Z245" s="1" t="n">
        <f aca="false">IF(AND($C$242="Sí",Y123="Verde",Y248&gt;$C$241,Y55&lt;=01_Supuestos!$I$141+0.0001,Y122&gt;=01_Supuestos!$C$167),MAX(0,MIN(Y248-$C$241,((Y276+MIN(0,Y276-X276))-01_Supuestos!$C$167*(Y81+MAX(0,Y81-X81)))/(1+01_Supuestos!$C$167))),0)</f>
        <v>0</v>
      </c>
      <c r="AA245" s="1" t="n">
        <f aca="false">IF(AND($C$242="Sí",Z123="Verde",Z248&gt;$C$241,Z55&lt;=01_Supuestos!$I$141+0.0001,Z122&gt;=01_Supuestos!$C$167),MAX(0,MIN(Z248-$C$241,((Z276+MIN(0,Z276-Y276))-01_Supuestos!$C$167*(Z81+MAX(0,Z81-Y81)))/(1+01_Supuestos!$C$167))),0)</f>
        <v>0</v>
      </c>
      <c r="AB245" s="1" t="n">
        <f aca="false">IF(AND($C$242="Sí",AA123="Verde",AA248&gt;$C$241,AA55&lt;=01_Supuestos!$I$141+0.0001,AA122&gt;=01_Supuestos!$C$167),MAX(0,MIN(AA248-$C$241,((AA276+MIN(0,AA276-Z276))-01_Supuestos!$C$167*(AA81+MAX(0,AA81-Z81)))/(1+01_Supuestos!$C$167))),0)</f>
        <v>0</v>
      </c>
      <c r="AC245" s="1" t="n">
        <f aca="false">IF(AND($C$242="Sí",AB123="Verde",AB248&gt;$C$241,AB55&lt;=01_Supuestos!$I$141+0.0001,AB122&gt;=01_Supuestos!$C$167),MAX(0,MIN(AB248-$C$241,((AB276+MIN(0,AB276-AA276))-01_Supuestos!$C$167*(AB81+MAX(0,AB81-AA81)))/(1+01_Supuestos!$C$167))),0)</f>
        <v>0</v>
      </c>
      <c r="AD245" s="1" t="n">
        <f aca="false">IF(AND($C$242="Sí",AC123="Verde",AC248&gt;$C$241,AC55&lt;=01_Supuestos!$I$141+0.0001,AC122&gt;=01_Supuestos!$C$167),MAX(0,MIN(AC248-$C$241,((AC276+MIN(0,AC276-AB276))-01_Supuestos!$C$167*(AC81+MAX(0,AC81-AB81)))/(1+01_Supuestos!$C$167))),0)</f>
        <v>0</v>
      </c>
      <c r="AE245" s="1" t="n">
        <f aca="false">IF(AND($C$242="Sí",AD123="Verde",AD248&gt;$C$241,AD55&lt;=01_Supuestos!$I$141+0.0001,AD122&gt;=01_Supuestos!$C$167),MAX(0,MIN(AD248-$C$241,((AD276+MIN(0,AD276-AC276))-01_Supuestos!$C$167*(AD81+MAX(0,AD81-AC81)))/(1+01_Supuestos!$C$167))),0)</f>
        <v>0</v>
      </c>
      <c r="AF245" s="1" t="n">
        <f aca="false">IF(AND($C$242="Sí",AE123="Verde",AE248&gt;$C$241,AE55&lt;=01_Supuestos!$I$141+0.0001,AE122&gt;=01_Supuestos!$C$167),MAX(0,MIN(AE248-$C$241,((AE276+MIN(0,AE276-AD276))-01_Supuestos!$C$167*(AE81+MAX(0,AE81-AD81)))/(1+01_Supuestos!$C$167))),0)</f>
        <v>0</v>
      </c>
    </row>
    <row r="246" customFormat="false" ht="14.25" hidden="false" customHeight="true" outlineLevel="0" collapsed="false">
      <c r="B246" s="1" t="s">
        <v>1242</v>
      </c>
      <c r="C246" s="1" t="n">
        <f aca="false">MIN(MAX(0,0+C243-C244-C245),MAX(0,C229-C237))</f>
        <v>0</v>
      </c>
      <c r="D246" s="1" t="n">
        <f aca="false">MIN(MAX(0,C248+D243-D244-D245),MAX(0,D229-D237))</f>
        <v>0</v>
      </c>
      <c r="E246" s="1" t="n">
        <f aca="false">MIN(MAX(0,D248+E243-E244-E245),MAX(0,E229-E237))</f>
        <v>0</v>
      </c>
      <c r="F246" s="1" t="n">
        <f aca="false">MIN(MAX(0,E248+F243-F244-F245),MAX(0,F229-F237))</f>
        <v>0</v>
      </c>
      <c r="G246" s="1" t="n">
        <f aca="false">MIN(MAX(0,F248+G243-G244-G245),MAX(0,G229-G237))</f>
        <v>0</v>
      </c>
      <c r="H246" s="1" t="n">
        <f aca="false">MIN(MAX(0,G248+H243-H244-H245),MAX(0,H229-H237))</f>
        <v>0</v>
      </c>
      <c r="I246" s="1" t="n">
        <f aca="false">MIN(MAX(0,H248+I243-I244-I245),MAX(0,I229-I237))</f>
        <v>0</v>
      </c>
      <c r="J246" s="1" t="n">
        <f aca="false">MIN(MAX(0,I248+J243-J244-J245),MAX(0,J229-J237))</f>
        <v>0</v>
      </c>
      <c r="K246" s="1" t="n">
        <f aca="false">MIN(MAX(0,J248+K243-K244-K245),MAX(0,K229-K237))</f>
        <v>0</v>
      </c>
      <c r="L246" s="1" t="n">
        <f aca="false">MIN(MAX(0,K248+L243-L244-L245),MAX(0,L229-L237))</f>
        <v>0</v>
      </c>
      <c r="M246" s="1" t="n">
        <f aca="false">MIN(MAX(0,L248+M243-M244-M245),MAX(0,M229-M237))</f>
        <v>0</v>
      </c>
      <c r="N246" s="1" t="n">
        <f aca="false">MIN(MAX(0,M248+N243-N244-N245),MAX(0,N229-N237))</f>
        <v>0</v>
      </c>
      <c r="O246" s="1" t="n">
        <f aca="false">MIN(MAX(0,N248+O243-O244-O245),MAX(0,O229-O237))</f>
        <v>0</v>
      </c>
      <c r="P246" s="1" t="n">
        <f aca="false">MIN(MAX(0,O248+P243-P244-P245),MAX(0,P229-P237))</f>
        <v>0</v>
      </c>
      <c r="Q246" s="1" t="n">
        <f aca="false">MIN(MAX(0,P248+Q243-Q244-Q245),MAX(0,Q229-Q237))</f>
        <v>0</v>
      </c>
      <c r="R246" s="1" t="n">
        <f aca="false">MIN(MAX(0,Q248+R243-R244-R245),MAX(0,R229-R237))</f>
        <v>0</v>
      </c>
      <c r="S246" s="1" t="n">
        <f aca="false">MIN(MAX(0,R248+S243-S244-S245),MAX(0,S229-S237))</f>
        <v>0</v>
      </c>
      <c r="T246" s="1" t="n">
        <f aca="false">MIN(MAX(0,S248+T243-T244-T245),MAX(0,T229-T237))</f>
        <v>0</v>
      </c>
      <c r="U246" s="1" t="n">
        <f aca="false">MIN(MAX(0,T248+U243-U244-U245),MAX(0,U229-U237))</f>
        <v>0</v>
      </c>
      <c r="V246" s="1" t="n">
        <f aca="false">MIN(MAX(0,U248+V243-V244-V245),MAX(0,V229-V237))</f>
        <v>0</v>
      </c>
      <c r="W246" s="1" t="n">
        <f aca="false">MIN(MAX(0,V248+W243-W244-W245),MAX(0,W229-W237))</f>
        <v>0</v>
      </c>
      <c r="X246" s="1" t="n">
        <f aca="false">MIN(MAX(0,W248+X243-X244-X245),MAX(0,X229-X237))</f>
        <v>0</v>
      </c>
      <c r="Y246" s="1" t="n">
        <f aca="false">MIN(MAX(0,X248+Y243-Y244-Y245),MAX(0,Y229-Y237))</f>
        <v>0</v>
      </c>
      <c r="Z246" s="1" t="n">
        <f aca="false">MIN(MAX(0,Y248+Z243-Z244-Z245),MAX(0,Z229-Z237))</f>
        <v>0</v>
      </c>
      <c r="AA246" s="1" t="n">
        <f aca="false">MIN(MAX(0,Z248+AA243-AA244-AA245),MAX(0,AA229-AA237))</f>
        <v>0</v>
      </c>
      <c r="AB246" s="1" t="n">
        <f aca="false">MIN(MAX(0,AA248+AB243-AB244-AB245),MAX(0,AB229-AB237))</f>
        <v>0</v>
      </c>
      <c r="AC246" s="1" t="n">
        <f aca="false">MIN(MAX(0,AB248+AC243-AC244-AC245),MAX(0,AC229-AC237))</f>
        <v>0</v>
      </c>
      <c r="AD246" s="1" t="n">
        <f aca="false">MIN(MAX(0,AC248+AD243-AD244-AD245),MAX(0,AD229-AD237))</f>
        <v>0</v>
      </c>
      <c r="AE246" s="1" t="n">
        <f aca="false">MIN(MAX(0,AD248+AE243-AE244-AE245),MAX(0,AE229-AE237))</f>
        <v>0</v>
      </c>
      <c r="AF246" s="1" t="n">
        <f aca="false">MIN(MAX(0,AE248+AF243-AF244-AF245),MAX(0,AF229-AF237))</f>
        <v>0</v>
      </c>
    </row>
    <row r="247" customFormat="false" ht="14.25" hidden="false" customHeight="true" outlineLevel="0" collapsed="false">
      <c r="B247" s="1" t="s">
        <v>1243</v>
      </c>
      <c r="C247" s="1" t="n">
        <f aca="false">MAX(0,0+C243-C244-C245-C246)</f>
        <v>0.00250182567450083</v>
      </c>
      <c r="D247" s="1" t="n">
        <f aca="false">MAX(0,C248+D243-D244-D245-D246)</f>
        <v>0.0959516693209555</v>
      </c>
      <c r="E247" s="1" t="n">
        <f aca="false">MAX(0,D248+E243-E244-E245-E246)</f>
        <v>0.258897379549673</v>
      </c>
      <c r="F247" s="1" t="n">
        <f aca="false">MAX(0,E248+F243-F244-F245-F246)</f>
        <v>0.558744484283829</v>
      </c>
      <c r="G247" s="1" t="n">
        <f aca="false">MAX(0,F248+G243-G244-G245-G246)</f>
        <v>0.90560723400491</v>
      </c>
      <c r="H247" s="1" t="n">
        <f aca="false">MAX(0,G248+H243-H244-H245-H246)</f>
        <v>1.35275606260386</v>
      </c>
      <c r="I247" s="1" t="n">
        <f aca="false">MAX(0,H248+I243-I244-I245-I246)</f>
        <v>1.94824903616064</v>
      </c>
      <c r="J247" s="1" t="n">
        <f aca="false">MAX(0,I248+J243-J244-J245-J246)</f>
        <v>2.72298983882881</v>
      </c>
      <c r="K247" s="1" t="n">
        <f aca="false">MAX(0,J248+K243-K244-K245-K246)</f>
        <v>3.67516568454029</v>
      </c>
      <c r="L247" s="1" t="n">
        <f aca="false">MAX(0,K248+L243-L244-L245-L246)</f>
        <v>4.8996598466826</v>
      </c>
      <c r="M247" s="1" t="n">
        <f aca="false">MAX(0,L248+M243-M244-M245-M246)</f>
        <v>6.39673222709737</v>
      </c>
      <c r="N247" s="1" t="n">
        <f aca="false">MAX(0,M248+N243-N244-N245-N246)</f>
        <v>8.02534507969221</v>
      </c>
      <c r="O247" s="1" t="n">
        <f aca="false">MAX(0,N248+O243-O244-O245-O246)</f>
        <v>9.7356383845956</v>
      </c>
      <c r="P247" s="1" t="n">
        <f aca="false">MAX(0,O248+P243-P244-P245-P246)</f>
        <v>11.5039362495761</v>
      </c>
      <c r="Q247" s="1" t="n">
        <f aca="false">MAX(0,P248+Q243-Q244-Q245-Q246)</f>
        <v>13.2732177701245</v>
      </c>
      <c r="R247" s="1" t="n">
        <f aca="false">MAX(0,Q248+R243-R244-R245-R246)</f>
        <v>14.9997813486368</v>
      </c>
      <c r="S247" s="1" t="n">
        <f aca="false">MAX(0,R248+S243-S244-S245-S246)</f>
        <v>16.6547933350938</v>
      </c>
      <c r="T247" s="1" t="n">
        <f aca="false">MAX(0,S248+T243-T244-T245-T246)</f>
        <v>18.2168013899451</v>
      </c>
      <c r="U247" s="1" t="n">
        <f aca="false">MAX(0,T248+U243-U244-U245-U246)</f>
        <v>19.6786487874947</v>
      </c>
      <c r="V247" s="1" t="n">
        <f aca="false">MAX(0,U248+V243-V244-V245-V246)</f>
        <v>21.0426556059054</v>
      </c>
      <c r="W247" s="1" t="n">
        <f aca="false">MAX(0,V248+W243-W244-W245-W246)</f>
        <v>22.3136207432641</v>
      </c>
      <c r="X247" s="1" t="n">
        <f aca="false">MAX(0,W248+X243-X244-X245-X246)</f>
        <v>23.4980984325422</v>
      </c>
      <c r="Y247" s="1" t="n">
        <f aca="false">MAX(0,X248+Y243-Y244-Y245-Y246)</f>
        <v>24.6016544656217</v>
      </c>
      <c r="Z247" s="1" t="n">
        <f aca="false">MAX(0,Y248+Z243-Z244-Z245-Z246)</f>
        <v>25.629674358948</v>
      </c>
      <c r="AA247" s="1" t="n">
        <f aca="false">MAX(0,Z248+AA243-AA244-AA245-AA246)</f>
        <v>26.5872713901474</v>
      </c>
      <c r="AB247" s="1" t="n">
        <f aca="false">MAX(0,AA248+AB243-AB244-AB245-AB246)</f>
        <v>27.4792363153814</v>
      </c>
      <c r="AC247" s="1" t="n">
        <f aca="false">MAX(0,AB248+AC243-AC244-AC245-AC246)</f>
        <v>28.3100463374613</v>
      </c>
      <c r="AD247" s="1" t="n">
        <f aca="false">MAX(0,AC248+AD243-AD244-AD245-AD246)</f>
        <v>29.0838833568766</v>
      </c>
      <c r="AE247" s="1" t="n">
        <f aca="false">MAX(0,AD248+AE243-AE244-AE245-AE246)</f>
        <v>29.8046515974729</v>
      </c>
      <c r="AF247" s="1" t="n">
        <f aca="false">MAX(0,AE248+AF243-AF244-AF245-AF246)</f>
        <v>30.4759945400429</v>
      </c>
    </row>
    <row r="248" customFormat="false" ht="14.25" hidden="false" customHeight="true" outlineLevel="0" collapsed="false">
      <c r="B248" s="1" t="s">
        <v>1244</v>
      </c>
      <c r="C248" s="1" t="n">
        <f aca="false">MIN(C247,MAX(0,C276))</f>
        <v>0.00250182567450083</v>
      </c>
      <c r="D248" s="1" t="n">
        <f aca="false">MIN(D247,MAX(0,D276))</f>
        <v>0.0959516693209555</v>
      </c>
      <c r="E248" s="1" t="n">
        <f aca="false">MIN(E247,MAX(0,E276))</f>
        <v>0.258897379549673</v>
      </c>
      <c r="F248" s="1" t="n">
        <f aca="false">MIN(F247,MAX(0,F276))</f>
        <v>0.558744484283829</v>
      </c>
      <c r="G248" s="1" t="n">
        <f aca="false">MIN(G247,MAX(0,G276))</f>
        <v>0.90560723400491</v>
      </c>
      <c r="H248" s="1" t="n">
        <f aca="false">MIN(H247,MAX(0,H276))</f>
        <v>1.35275606260386</v>
      </c>
      <c r="I248" s="1" t="n">
        <f aca="false">MIN(I247,MAX(0,I276))</f>
        <v>1.94824903616064</v>
      </c>
      <c r="J248" s="1" t="n">
        <f aca="false">MIN(J247,MAX(0,J276))</f>
        <v>2.72298983882881</v>
      </c>
      <c r="K248" s="1" t="n">
        <f aca="false">MIN(K247,MAX(0,K276))</f>
        <v>3.67516568454029</v>
      </c>
      <c r="L248" s="1" t="n">
        <f aca="false">MIN(L247,MAX(0,L276))</f>
        <v>4.8996598466826</v>
      </c>
      <c r="M248" s="1" t="n">
        <f aca="false">MIN(M247,MAX(0,M276))</f>
        <v>6.39673222709737</v>
      </c>
      <c r="N248" s="1" t="n">
        <f aca="false">MIN(N247,MAX(0,N276))</f>
        <v>8.02534507969221</v>
      </c>
      <c r="O248" s="1" t="n">
        <f aca="false">MIN(O247,MAX(0,O276))</f>
        <v>9.7356383845956</v>
      </c>
      <c r="P248" s="1" t="n">
        <f aca="false">MIN(P247,MAX(0,P276))</f>
        <v>11.5039362495761</v>
      </c>
      <c r="Q248" s="1" t="n">
        <f aca="false">MIN(Q247,MAX(0,Q276))</f>
        <v>13.2732177701245</v>
      </c>
      <c r="R248" s="1" t="n">
        <f aca="false">MIN(R247,MAX(0,R276))</f>
        <v>14.9997813486368</v>
      </c>
      <c r="S248" s="1" t="n">
        <f aca="false">MIN(S247,MAX(0,S276))</f>
        <v>16.6547933350938</v>
      </c>
      <c r="T248" s="1" t="n">
        <f aca="false">MIN(T247,MAX(0,T276))</f>
        <v>18.2168013899451</v>
      </c>
      <c r="U248" s="1" t="n">
        <f aca="false">MIN(U247,MAX(0,U276))</f>
        <v>19.6786487874947</v>
      </c>
      <c r="V248" s="1" t="n">
        <f aca="false">MIN(V247,MAX(0,V276))</f>
        <v>21.0426556059054</v>
      </c>
      <c r="W248" s="1" t="n">
        <f aca="false">MIN(W247,MAX(0,W276))</f>
        <v>22.3136207432641</v>
      </c>
      <c r="X248" s="1" t="n">
        <f aca="false">MIN(X247,MAX(0,X276))</f>
        <v>23.4980984325422</v>
      </c>
      <c r="Y248" s="1" t="n">
        <f aca="false">MIN(Y247,MAX(0,Y276))</f>
        <v>24.6016544656217</v>
      </c>
      <c r="Z248" s="1" t="n">
        <f aca="false">MIN(Z247,MAX(0,Z276))</f>
        <v>25.629674358948</v>
      </c>
      <c r="AA248" s="1" t="n">
        <f aca="false">MIN(AA247,MAX(0,AA276))</f>
        <v>26.5872713901474</v>
      </c>
      <c r="AB248" s="1" t="n">
        <f aca="false">MIN(AB247,MAX(0,AB276))</f>
        <v>27.4792363153814</v>
      </c>
      <c r="AC248" s="1" t="n">
        <f aca="false">MIN(AC247,MAX(0,AC276))</f>
        <v>28.3100463374613</v>
      </c>
      <c r="AD248" s="1" t="n">
        <f aca="false">MIN(AD247,MAX(0,AD276))</f>
        <v>29.0838833568766</v>
      </c>
      <c r="AE248" s="1" t="n">
        <f aca="false">MIN(AE247,MAX(0,AE276))</f>
        <v>29.8046515974729</v>
      </c>
      <c r="AF248" s="1" t="n">
        <f aca="false">MIN(AF247,MAX(0,AF276))</f>
        <v>30.4759945400429</v>
      </c>
    </row>
    <row r="249" customFormat="false" ht="14.25" hidden="false" customHeight="true" outlineLevel="0" collapsed="false">
      <c r="B249" s="1" t="s">
        <v>1245</v>
      </c>
      <c r="C249" s="1" t="n">
        <f aca="false">C247-C248</f>
        <v>0</v>
      </c>
      <c r="D249" s="1" t="n">
        <f aca="false">D247-D248</f>
        <v>0</v>
      </c>
      <c r="E249" s="1" t="n">
        <f aca="false">E247-E248</f>
        <v>0</v>
      </c>
      <c r="F249" s="1" t="n">
        <f aca="false">F247-F248</f>
        <v>0</v>
      </c>
      <c r="G249" s="1" t="n">
        <f aca="false">G247-G248</f>
        <v>0</v>
      </c>
      <c r="H249" s="1" t="n">
        <f aca="false">H247-H248</f>
        <v>0</v>
      </c>
      <c r="I249" s="1" t="n">
        <f aca="false">I247-I248</f>
        <v>0</v>
      </c>
      <c r="J249" s="1" t="n">
        <f aca="false">J247-J248</f>
        <v>0</v>
      </c>
      <c r="K249" s="1" t="n">
        <f aca="false">K247-K248</f>
        <v>0</v>
      </c>
      <c r="L249" s="1" t="n">
        <f aca="false">L247-L248</f>
        <v>0</v>
      </c>
      <c r="M249" s="1" t="n">
        <f aca="false">M247-M248</f>
        <v>0</v>
      </c>
      <c r="N249" s="1" t="n">
        <f aca="false">N247-N248</f>
        <v>0</v>
      </c>
      <c r="O249" s="1" t="n">
        <f aca="false">O247-O248</f>
        <v>0</v>
      </c>
      <c r="P249" s="1" t="n">
        <f aca="false">P247-P248</f>
        <v>0</v>
      </c>
      <c r="Q249" s="1" t="n">
        <f aca="false">Q247-Q248</f>
        <v>0</v>
      </c>
      <c r="R249" s="1" t="n">
        <f aca="false">R247-R248</f>
        <v>0</v>
      </c>
      <c r="S249" s="1" t="n">
        <f aca="false">S247-S248</f>
        <v>0</v>
      </c>
      <c r="T249" s="1" t="n">
        <f aca="false">T247-T248</f>
        <v>0</v>
      </c>
      <c r="U249" s="1" t="n">
        <f aca="false">U247-U248</f>
        <v>0</v>
      </c>
      <c r="V249" s="1" t="n">
        <f aca="false">V247-V248</f>
        <v>0</v>
      </c>
      <c r="W249" s="1" t="n">
        <f aca="false">W247-W248</f>
        <v>0</v>
      </c>
      <c r="X249" s="1" t="n">
        <f aca="false">X247-X248</f>
        <v>0</v>
      </c>
      <c r="Y249" s="1" t="n">
        <f aca="false">Y247-Y248</f>
        <v>0</v>
      </c>
      <c r="Z249" s="1" t="n">
        <f aca="false">Z247-Z248</f>
        <v>0</v>
      </c>
      <c r="AA249" s="1" t="n">
        <f aca="false">AA247-AA248</f>
        <v>0</v>
      </c>
      <c r="AB249" s="1" t="n">
        <f aca="false">AB247-AB248</f>
        <v>0</v>
      </c>
      <c r="AC249" s="1" t="n">
        <f aca="false">AC247-AC248</f>
        <v>0</v>
      </c>
      <c r="AD249" s="1" t="n">
        <f aca="false">AD247-AD248</f>
        <v>0</v>
      </c>
      <c r="AE249" s="1" t="n">
        <f aca="false">AE247-AE248</f>
        <v>0</v>
      </c>
      <c r="AF249" s="1" t="n">
        <f aca="false">AF247-AF248</f>
        <v>0</v>
      </c>
    </row>
    <row r="250" customFormat="false" ht="14.25" hidden="false" customHeight="true" outlineLevel="0" collapsed="false">
      <c r="B250" s="1" t="s">
        <v>1246</v>
      </c>
      <c r="C250" s="1" t="n">
        <f aca="false">C120-C248</f>
        <v>20.4706224249511</v>
      </c>
      <c r="D250" s="1" t="n">
        <f aca="false">D120-D248</f>
        <v>40.1607587001227</v>
      </c>
      <c r="E250" s="1" t="n">
        <f aca="false">E120-E248</f>
        <v>60.12236881712</v>
      </c>
      <c r="F250" s="1" t="n">
        <f aca="false">F120-F248</f>
        <v>74.5093165254915</v>
      </c>
      <c r="G250" s="1" t="n">
        <f aca="false">G120-G248</f>
        <v>87.3418703261618</v>
      </c>
      <c r="H250" s="1" t="n">
        <f aca="false">H120-H248</f>
        <v>99.2847732277077</v>
      </c>
      <c r="I250" s="1" t="n">
        <f aca="false">I120-I248</f>
        <v>110.933916234074</v>
      </c>
      <c r="J250" s="1" t="n">
        <f aca="false">J120-J248</f>
        <v>122.606110951233</v>
      </c>
      <c r="K250" s="1" t="n">
        <f aca="false">K120-K248</f>
        <v>135.571700814774</v>
      </c>
      <c r="L250" s="1" t="n">
        <f aca="false">L120-L248</f>
        <v>149.739412947784</v>
      </c>
      <c r="M250" s="1" t="n">
        <f aca="false">M120-M248</f>
        <v>146.897564564758</v>
      </c>
      <c r="N250" s="1" t="n">
        <f aca="false">N120-N248</f>
        <v>146.35192895623</v>
      </c>
      <c r="O250" s="1" t="n">
        <f aca="false">O120-O248</f>
        <v>147.567443569294</v>
      </c>
      <c r="P250" s="1" t="n">
        <f aca="false">P120-P248</f>
        <v>147.408491229365</v>
      </c>
      <c r="Q250" s="1" t="n">
        <f aca="false">Q120-Q248</f>
        <v>146.750228265744</v>
      </c>
      <c r="R250" s="1" t="n">
        <f aca="false">R120-R248</f>
        <v>146.191310501355</v>
      </c>
      <c r="S250" s="1" t="n">
        <f aca="false">S120-S248</f>
        <v>145.623831927337</v>
      </c>
      <c r="T250" s="1" t="n">
        <f aca="false">T120-T248</f>
        <v>145.002964181744</v>
      </c>
      <c r="U250" s="1" t="n">
        <f aca="false">U120-U248</f>
        <v>144.34042989052</v>
      </c>
      <c r="V250" s="1" t="n">
        <f aca="false">V120-V248</f>
        <v>143.75890367799</v>
      </c>
      <c r="W250" s="1" t="n">
        <f aca="false">W120-W248</f>
        <v>143.138799116438</v>
      </c>
      <c r="X250" s="1" t="n">
        <f aca="false">X120-X248</f>
        <v>142.378902035055</v>
      </c>
      <c r="Y250" s="1" t="n">
        <f aca="false">Y120-Y248</f>
        <v>141.528335595191</v>
      </c>
      <c r="Z250" s="1" t="n">
        <f aca="false">Z120-Z248</f>
        <v>140.61020854963</v>
      </c>
      <c r="AA250" s="1" t="n">
        <f aca="false">AA120-AA248</f>
        <v>139.625709708856</v>
      </c>
      <c r="AB250" s="1" t="n">
        <f aca="false">AB120-AB248</f>
        <v>138.576122010835</v>
      </c>
      <c r="AC250" s="1" t="n">
        <f aca="false">AC120-AC248</f>
        <v>137.462856986474</v>
      </c>
      <c r="AD250" s="1" t="n">
        <f aca="false">AD120-AD248</f>
        <v>136.287465874163</v>
      </c>
      <c r="AE250" s="1" t="n">
        <f aca="false">AE120-AE248</f>
        <v>135.051654258679</v>
      </c>
      <c r="AF250" s="1" t="n">
        <f aca="false">AF120-AF248</f>
        <v>133.757285066113</v>
      </c>
    </row>
    <row r="251" customFormat="false" ht="14.25" hidden="false" customHeight="true" outlineLevel="0" collapsed="false">
      <c r="B251" s="1" t="s">
        <v>1247</v>
      </c>
      <c r="C251" s="1" t="n">
        <f aca="false">C120-C248-C250</f>
        <v>0</v>
      </c>
      <c r="D251" s="1" t="n">
        <f aca="false">D120-D248-D250</f>
        <v>0</v>
      </c>
      <c r="E251" s="1" t="n">
        <f aca="false">E120-E248-E250</f>
        <v>0</v>
      </c>
      <c r="F251" s="1" t="n">
        <f aca="false">F120-F248-F250</f>
        <v>0</v>
      </c>
      <c r="G251" s="1" t="n">
        <f aca="false">G120-G248-G250</f>
        <v>0</v>
      </c>
      <c r="H251" s="1" t="n">
        <f aca="false">H120-H248-H250</f>
        <v>0</v>
      </c>
      <c r="I251" s="1" t="n">
        <f aca="false">I120-I248-I250</f>
        <v>0</v>
      </c>
      <c r="J251" s="1" t="n">
        <f aca="false">J120-J248-J250</f>
        <v>0</v>
      </c>
      <c r="K251" s="1" t="n">
        <f aca="false">K120-K248-K250</f>
        <v>0</v>
      </c>
      <c r="L251" s="1" t="n">
        <f aca="false">L120-L248-L250</f>
        <v>0</v>
      </c>
      <c r="M251" s="1" t="n">
        <f aca="false">M120-M248-M250</f>
        <v>0</v>
      </c>
      <c r="N251" s="1" t="n">
        <f aca="false">N120-N248-N250</f>
        <v>0</v>
      </c>
      <c r="O251" s="1" t="n">
        <f aca="false">O120-O248-O250</f>
        <v>0</v>
      </c>
      <c r="P251" s="1" t="n">
        <f aca="false">P120-P248-P250</f>
        <v>0</v>
      </c>
      <c r="Q251" s="1" t="n">
        <f aca="false">Q120-Q248-Q250</f>
        <v>0</v>
      </c>
      <c r="R251" s="1" t="n">
        <f aca="false">R120-R248-R250</f>
        <v>0</v>
      </c>
      <c r="S251" s="1" t="n">
        <f aca="false">S120-S248-S250</f>
        <v>0</v>
      </c>
      <c r="T251" s="1" t="n">
        <f aca="false">T120-T248-T250</f>
        <v>0</v>
      </c>
      <c r="U251" s="1" t="n">
        <f aca="false">U120-U248-U250</f>
        <v>0</v>
      </c>
      <c r="V251" s="1" t="n">
        <f aca="false">V120-V248-V250</f>
        <v>0</v>
      </c>
      <c r="W251" s="1" t="n">
        <f aca="false">W120-W248-W250</f>
        <v>0</v>
      </c>
      <c r="X251" s="1" t="n">
        <f aca="false">X120-X248-X250</f>
        <v>0</v>
      </c>
      <c r="Y251" s="1" t="n">
        <f aca="false">Y120-Y248-Y250</f>
        <v>0</v>
      </c>
      <c r="Z251" s="1" t="n">
        <f aca="false">Z120-Z248-Z250</f>
        <v>0</v>
      </c>
      <c r="AA251" s="1" t="n">
        <f aca="false">AA120-AA248-AA250</f>
        <v>0</v>
      </c>
      <c r="AB251" s="1" t="n">
        <f aca="false">AB120-AB248-AB250</f>
        <v>0</v>
      </c>
      <c r="AC251" s="1" t="n">
        <f aca="false">AC120-AC248-AC250</f>
        <v>0</v>
      </c>
      <c r="AD251" s="1" t="n">
        <f aca="false">AD120-AD248-AD250</f>
        <v>0</v>
      </c>
      <c r="AE251" s="1" t="n">
        <f aca="false">AE120-AE248-AE250</f>
        <v>0</v>
      </c>
      <c r="AF251" s="1" t="n">
        <f aca="false">AF120-AF248-AF250</f>
        <v>0</v>
      </c>
    </row>
    <row r="252" customFormat="false" ht="14.25" hidden="false" customHeight="true" outlineLevel="0" collapsed="false">
      <c r="B252" s="1" t="s">
        <v>1248</v>
      </c>
      <c r="C252" s="1" t="n">
        <f aca="false">IF(C120&gt;0,C248/C120,0)</f>
        <v>0.000122200483124816</v>
      </c>
      <c r="D252" s="1" t="n">
        <f aca="false">IF(D120&gt;0,D248/D120,0)</f>
        <v>0.00238349503574407</v>
      </c>
      <c r="E252" s="1" t="n">
        <f aca="false">IF(E120&gt;0,E248/E120,0)</f>
        <v>0.00428771034225103</v>
      </c>
      <c r="F252" s="1" t="n">
        <f aca="false">IF(F120&gt;0,F248/F120,0)</f>
        <v>0.00744317192648775</v>
      </c>
      <c r="G252" s="1" t="n">
        <f aca="false">IF(G120&gt;0,G248/G120,0)</f>
        <v>0.010262131667021</v>
      </c>
      <c r="H252" s="1" t="n">
        <f aca="false">IF(H120&gt;0,H248/H120,0)</f>
        <v>0.0134418648007696</v>
      </c>
      <c r="I252" s="1" t="n">
        <f aca="false">IF(I120&gt;0,I248/I120,0)</f>
        <v>0.01725913948848</v>
      </c>
      <c r="J252" s="1" t="n">
        <f aca="false">IF(J120&gt;0,J248/J120,0)</f>
        <v>0.0217267164741737</v>
      </c>
      <c r="K252" s="1" t="n">
        <f aca="false">IF(K120&gt;0,K248/K120,0)</f>
        <v>0.0263931661583091</v>
      </c>
      <c r="L252" s="1" t="n">
        <f aca="false">IF(L120&gt;0,L248/L120,0)</f>
        <v>0.0316844880025557</v>
      </c>
      <c r="M252" s="1" t="n">
        <f aca="false">IF(M120&gt;0,M248/M120,0)</f>
        <v>0.0417284423554446</v>
      </c>
      <c r="N252" s="1" t="n">
        <f aca="false">IF(N120&gt;0,N248/N120,0)</f>
        <v>0.0519852752279122</v>
      </c>
      <c r="O252" s="1" t="n">
        <f aca="false">IF(O120&gt;0,O248/O120,0)</f>
        <v>0.0618909576574566</v>
      </c>
      <c r="P252" s="1" t="n">
        <f aca="false">IF(P120&gt;0,P248/P120,0)</f>
        <v>0.0723916715141779</v>
      </c>
      <c r="Q252" s="1" t="n">
        <f aca="false">IF(Q120&gt;0,Q248/Q120,0)</f>
        <v>0.082945456424863</v>
      </c>
      <c r="R252" s="1" t="n">
        <f aca="false">IF(R120&gt;0,R248/R120,0)</f>
        <v>0.0930558951892699</v>
      </c>
      <c r="S252" s="1" t="n">
        <f aca="false">IF(S120&gt;0,S248/S120,0)</f>
        <v>0.102630850539683</v>
      </c>
      <c r="T252" s="1" t="n">
        <f aca="false">IF(T120&gt;0,T248/T120,0)</f>
        <v>0.111609040278543</v>
      </c>
      <c r="U252" s="1" t="n">
        <f aca="false">IF(U120&gt;0,U248/U120,0)</f>
        <v>0.119977803473252</v>
      </c>
      <c r="V252" s="1" t="n">
        <f aca="false">IF(V120&gt;0,V248/V120,0)</f>
        <v>0.127684808914072</v>
      </c>
      <c r="W252" s="1" t="n">
        <f aca="false">IF(W120&gt;0,W248/W120,0)</f>
        <v>0.134864275555385</v>
      </c>
      <c r="X252" s="1" t="n">
        <f aca="false">IF(X120&gt;0,X248/X120,0)</f>
        <v>0.141659774208013</v>
      </c>
      <c r="Y252" s="1" t="n">
        <f aca="false">IF(Y120&gt;0,Y248/Y120,0)</f>
        <v>0.148086775040534</v>
      </c>
      <c r="Z252" s="1" t="n">
        <f aca="false">IF(Z120&gt;0,Z248/Z120,0)</f>
        <v>0.15417283693013</v>
      </c>
      <c r="AA252" s="1" t="n">
        <f aca="false">IF(AA120&gt;0,AA248/AA120,0)</f>
        <v>0.159959055028987</v>
      </c>
      <c r="AB252" s="1" t="n">
        <f aca="false">IF(AB120&gt;0,AB248/AB120,0)</f>
        <v>0.165482382455846</v>
      </c>
      <c r="AC252" s="1" t="n">
        <f aca="false">IF(AC120&gt;0,AC248/AC120,0)</f>
        <v>0.170776078416995</v>
      </c>
      <c r="AD252" s="1" t="n">
        <f aca="false">IF(AD120&gt;0,AD248/AD120,0)</f>
        <v>0.175870146141479</v>
      </c>
      <c r="AE252" s="1" t="n">
        <f aca="false">IF(AE120&gt;0,AE248/AE120,0)</f>
        <v>0.180791698823335</v>
      </c>
      <c r="AF252" s="1" t="n">
        <f aca="false">IF(AF120&gt;0,AF248/AF120,0)</f>
        <v>0.185565280149838</v>
      </c>
    </row>
    <row r="253" customFormat="false" ht="14.25" hidden="false" customHeight="true" outlineLevel="0" collapsed="false">
      <c r="B253" s="1" t="s">
        <v>1249</v>
      </c>
    </row>
    <row r="254" customFormat="false" ht="14.25" hidden="false" customHeight="true" outlineLevel="0" collapsed="false">
      <c r="B254" s="1" t="s">
        <v>1250</v>
      </c>
      <c r="C254" s="116" t="n">
        <f aca="false">C112</f>
        <v>0.0236534055447657</v>
      </c>
      <c r="D254" s="116" t="n">
        <f aca="false">D112</f>
        <v>0.0625411439638284</v>
      </c>
      <c r="E254" s="116" t="n">
        <f aca="false">E112</f>
        <v>0.114975258393498</v>
      </c>
      <c r="F254" s="116" t="n">
        <f aca="false">F112</f>
        <v>0.235280488140055</v>
      </c>
      <c r="G254" s="116" t="n">
        <f aca="false">G112</f>
        <v>0.355584595852633</v>
      </c>
      <c r="H254" s="116" t="n">
        <f aca="false">H112</f>
        <v>0.455022126799729</v>
      </c>
      <c r="I254" s="116" t="n">
        <f aca="false">I112</f>
        <v>0.5420104840738</v>
      </c>
      <c r="J254" s="116" t="n">
        <f aca="false">J112</f>
        <v>0.618236002576194</v>
      </c>
      <c r="K254" s="116" t="n">
        <f aca="false">K112</f>
        <v>0.643407388159918</v>
      </c>
      <c r="L254" s="116" t="n">
        <f aca="false">L112</f>
        <v>0.66859912241482</v>
      </c>
      <c r="M254" s="116" t="n">
        <f aca="false">M112</f>
        <v>0.69332452511844</v>
      </c>
      <c r="N254" s="116" t="n">
        <f aca="false">N112</f>
        <v>0.717107009946887</v>
      </c>
      <c r="O254" s="116" t="n">
        <f aca="false">O112</f>
        <v>0.739859769169874</v>
      </c>
      <c r="P254" s="116" t="n">
        <f aca="false">P112</f>
        <v>0.760158000103311</v>
      </c>
      <c r="Q254" s="116" t="n">
        <f aca="false">Q112</f>
        <v>0.778115559962565</v>
      </c>
      <c r="R254" s="116" t="n">
        <f aca="false">R112</f>
        <v>0.794054217840987</v>
      </c>
      <c r="S254" s="116" t="n">
        <f aca="false">S112</f>
        <v>0.808301749719475</v>
      </c>
      <c r="T254" s="116" t="n">
        <f aca="false">T112</f>
        <v>0.821449297802147</v>
      </c>
      <c r="U254" s="116" t="n">
        <f aca="false">U112</f>
        <v>0.834666629214478</v>
      </c>
      <c r="V254" s="116" t="n">
        <f aca="false">V112</f>
        <v>0.847945937350886</v>
      </c>
      <c r="W254" s="116" t="n">
        <f aca="false">W112</f>
        <v>0.860992587365488</v>
      </c>
      <c r="X254" s="116" t="n">
        <f aca="false">X112</f>
        <v>0.873799081078236</v>
      </c>
      <c r="Y254" s="116" t="n">
        <f aca="false">Y112</f>
        <v>0.886357945268069</v>
      </c>
      <c r="Z254" s="116" t="n">
        <f aca="false">Z112</f>
        <v>0.898661730085739</v>
      </c>
      <c r="AA254" s="116" t="n">
        <f aca="false">AA112</f>
        <v>0.910703007534021</v>
      </c>
      <c r="AB254" s="116" t="n">
        <f aca="false">AB112</f>
        <v>0.922481176817215</v>
      </c>
      <c r="AC254" s="116" t="n">
        <f aca="false">AC112</f>
        <v>0.933995656139225</v>
      </c>
      <c r="AD254" s="116" t="n">
        <f aca="false">AD112</f>
        <v>0.945245881363865</v>
      </c>
      <c r="AE254" s="116" t="n">
        <f aca="false">AE112</f>
        <v>0.956231304728382</v>
      </c>
      <c r="AF254" s="116" t="n">
        <f aca="false">AF112</f>
        <v>0.966951393607074</v>
      </c>
    </row>
    <row r="255" customFormat="false" ht="14.25" hidden="false" customHeight="true" outlineLevel="0" collapsed="false">
      <c r="B255" s="1" t="s">
        <v>1251</v>
      </c>
      <c r="C255" s="1" t="n">
        <f aca="false">MIN(C235,C254)</f>
        <v>0.00184457238860399</v>
      </c>
      <c r="D255" s="1" t="n">
        <f aca="false">MIN(D235,D254)</f>
        <v>0.00654229250523607</v>
      </c>
      <c r="E255" s="1" t="n">
        <f aca="false">MIN(E235,E254)</f>
        <v>0.0148680271225033</v>
      </c>
      <c r="F255" s="1" t="n">
        <f aca="false">MIN(F235,F254)</f>
        <v>0.0307053151176349</v>
      </c>
      <c r="G255" s="1" t="n">
        <f aca="false">MIN(G235,G254)</f>
        <v>0.0535697137661963</v>
      </c>
      <c r="H255" s="1" t="n">
        <f aca="false">MIN(H235,H254)</f>
        <v>0.0811634511270276</v>
      </c>
      <c r="I255" s="1" t="n">
        <f aca="false">MIN(I235,I254)</f>
        <v>0.112053980513675</v>
      </c>
      <c r="J255" s="1" t="n">
        <f aca="false">MIN(J235,J254)</f>
        <v>0.145069806996932</v>
      </c>
      <c r="K255" s="1" t="n">
        <f aca="false">MIN(K235,K254)</f>
        <v>0.175956343288611</v>
      </c>
      <c r="L255" s="1" t="n">
        <f aca="false">MIN(L235,L254)</f>
        <v>0.20485091373291</v>
      </c>
      <c r="M255" s="1" t="n">
        <f aca="false">MIN(M235,M254)</f>
        <v>0.230037413824435</v>
      </c>
      <c r="N255" s="1" t="n">
        <f aca="false">MIN(N235,N254)</f>
        <v>0.250627450825859</v>
      </c>
      <c r="O255" s="1" t="n">
        <f aca="false">MIN(O235,O254)</f>
        <v>0.265958589628317</v>
      </c>
      <c r="P255" s="1" t="n">
        <f aca="false">MIN(P235,P254)</f>
        <v>0.272252471961347</v>
      </c>
      <c r="Q255" s="1" t="n">
        <f aca="false">MIN(Q235,Q254)</f>
        <v>0.270091937741706</v>
      </c>
      <c r="R255" s="1" t="n">
        <f aca="false">MIN(R235,R254)</f>
        <v>0.261866810171276</v>
      </c>
      <c r="S255" s="1" t="n">
        <f aca="false">MIN(S235,S254)</f>
        <v>0.249095750533902</v>
      </c>
      <c r="T255" s="1" t="n">
        <f aca="false">MIN(T235,T254)</f>
        <v>0.233030814566158</v>
      </c>
      <c r="U255" s="1" t="n">
        <f aca="false">MIN(U235,U254)</f>
        <v>0.218001954754249</v>
      </c>
      <c r="V255" s="1" t="n">
        <f aca="false">MIN(V235,V254)</f>
        <v>0.203942351423147</v>
      </c>
      <c r="W255" s="1" t="n">
        <f aca="false">MIN(W235,W254)</f>
        <v>0.190789494300126</v>
      </c>
      <c r="X255" s="1" t="n">
        <f aca="false">MIN(X235,X254)</f>
        <v>0.178484904588418</v>
      </c>
      <c r="Y255" s="1" t="n">
        <f aca="false">MIN(Y235,Y254)</f>
        <v>0.166973874965167</v>
      </c>
      <c r="Z255" s="1" t="n">
        <f aca="false">MIN(Z235,Z254)</f>
        <v>0.15620522634771</v>
      </c>
      <c r="AA255" s="1" t="n">
        <f aca="false">MIN(AA235,AA254)</f>
        <v>0.146131080346727</v>
      </c>
      <c r="AB255" s="1" t="n">
        <f aca="false">MIN(AB235,AB254)</f>
        <v>0.13670664639458</v>
      </c>
      <c r="AC255" s="1" t="n">
        <f aca="false">MIN(AC235,AC254)</f>
        <v>0.127890022602377</v>
      </c>
      <c r="AD255" s="1" t="n">
        <f aca="false">MIN(AD235,AD254)</f>
        <v>0.119642009460375</v>
      </c>
      <c r="AE255" s="1" t="n">
        <f aca="false">MIN(AE235,AE254)</f>
        <v>0.1119259355534</v>
      </c>
      <c r="AF255" s="1" t="n">
        <f aca="false">MIN(AF235,AF254)</f>
        <v>0.104707494516404</v>
      </c>
    </row>
    <row r="256" customFormat="false" ht="14.25" hidden="false" customHeight="true" outlineLevel="0" collapsed="false">
      <c r="B256" s="1" t="s">
        <v>1252</v>
      </c>
      <c r="C256" s="1" t="n">
        <f aca="false">MIN(C254-C255,MAX(0,C107-C108+C109+C110+C184-C229-C235))</f>
        <v>0.0218088331561617</v>
      </c>
      <c r="D256" s="1" t="n">
        <f aca="false">MIN(D254-D255,MAX(0,D107-D108+D109+D110+D184-D229-D235))</f>
        <v>0.0559988514585923</v>
      </c>
      <c r="E256" s="1" t="n">
        <f aca="false">MIN(E254-E255,MAX(0,E107-E108+E109+E110+E184-E229-E235))</f>
        <v>0.100107231270995</v>
      </c>
      <c r="F256" s="1" t="n">
        <f aca="false">MIN(F254-F255,MAX(0,F107-F108+F109+F110+F184-F229-F235))</f>
        <v>0.20457517302242</v>
      </c>
      <c r="G256" s="1" t="n">
        <f aca="false">MIN(G254-G255,MAX(0,G107-G108+G109+G110+G184-G229-G235))</f>
        <v>0.302014882086437</v>
      </c>
      <c r="H256" s="1" t="n">
        <f aca="false">MIN(H254-H255,MAX(0,H107-H108+H109+H110+H184-H229-H235))</f>
        <v>0.373858675672701</v>
      </c>
      <c r="I256" s="1" t="n">
        <f aca="false">MIN(I254-I255,MAX(0,I107-I108+I109+I110+I184-I229-I235))</f>
        <v>0.429956503560125</v>
      </c>
      <c r="J256" s="1" t="n">
        <f aca="false">MIN(J254-J255,MAX(0,J107-J108+J109+J110+J184-J229-J235))</f>
        <v>0.473166195579262</v>
      </c>
      <c r="K256" s="1" t="n">
        <f aca="false">MIN(K254-K255,MAX(0,K107-K108+K109+K110+K184-K229-K235))</f>
        <v>0.467451044871307</v>
      </c>
      <c r="L256" s="1" t="n">
        <f aca="false">MIN(L254-L255,MAX(0,L107-L108+L109+L110+L184-L229-L235))</f>
        <v>0.46374820868191</v>
      </c>
      <c r="M256" s="1" t="n">
        <f aca="false">MIN(M254-M255,MAX(0,M107-M108+M109+M110+M184-M229-M235))</f>
        <v>0.463287111294005</v>
      </c>
      <c r="N256" s="1" t="n">
        <f aca="false">MIN(N254-N255,MAX(0,N107-N108+N109+N110+N184-N229-N235))</f>
        <v>0.466479559121028</v>
      </c>
      <c r="O256" s="1" t="n">
        <f aca="false">MIN(O254-O255,MAX(0,O107-O108+O109+O110+O184-O229-O235))</f>
        <v>0.473901179541557</v>
      </c>
      <c r="P256" s="1" t="n">
        <f aca="false">MIN(P254-P255,MAX(0,P107-P108+P109+P110+P184-P229-P235))</f>
        <v>0.487905528141963</v>
      </c>
      <c r="Q256" s="1" t="n">
        <f aca="false">MIN(Q254-Q255,MAX(0,Q107-Q108+Q109+Q110+Q184-Q229-Q235))</f>
        <v>0.50802362222086</v>
      </c>
      <c r="R256" s="1" t="n">
        <f aca="false">MIN(R254-R255,MAX(0,R107-R108+R109+R110+R184-R229-R235))</f>
        <v>0.53218740766971</v>
      </c>
      <c r="S256" s="1" t="n">
        <f aca="false">MIN(S254-S255,MAX(0,S107-S108+S109+S110+S184-S229-S235))</f>
        <v>0.559205999185573</v>
      </c>
      <c r="T256" s="1" t="n">
        <f aca="false">MIN(T254-T255,MAX(0,T107-T108+T109+T110+T184-T229-T235))</f>
        <v>0.588418483235988</v>
      </c>
      <c r="U256" s="1" t="n">
        <f aca="false">MIN(U254-U255,MAX(0,U107-U108+U109+U110+U184-U229-U235))</f>
        <v>0.616664674460229</v>
      </c>
      <c r="V256" s="1" t="n">
        <f aca="false">MIN(V254-V255,MAX(0,V107-V108+V109+V110+V184-V229-V235))</f>
        <v>0.64400358592774</v>
      </c>
      <c r="W256" s="1" t="n">
        <f aca="false">MIN(W254-W255,MAX(0,W107-W108+W109+W110+W184-W229-W235))</f>
        <v>0.670203093065362</v>
      </c>
      <c r="X256" s="1" t="n">
        <f aca="false">MIN(X254-X255,MAX(0,X107-X108+X109+X110+X184-X229-X235))</f>
        <v>0.695314176489818</v>
      </c>
      <c r="Y256" s="1" t="n">
        <f aca="false">MIN(Y254-Y255,MAX(0,Y107-Y108+Y109+Y110+Y184-Y229-Y235))</f>
        <v>0.719384070302902</v>
      </c>
      <c r="Z256" s="1" t="n">
        <f aca="false">MIN(Z254-Z255,MAX(0,Z107-Z108+Z109+Z110+Z184-Z229-Z235))</f>
        <v>0.742456503738029</v>
      </c>
      <c r="AA256" s="1" t="n">
        <f aca="false">MIN(AA254-AA255,MAX(0,AA107-AA108+AA109+AA110+AA184-AA229-AA235))</f>
        <v>0.764571927187293</v>
      </c>
      <c r="AB256" s="1" t="n">
        <f aca="false">MIN(AB254-AB255,MAX(0,AB107-AB108+AB109+AB110+AB184-AB229-AB235))</f>
        <v>0.785774530422635</v>
      </c>
      <c r="AC256" s="1" t="n">
        <f aca="false">MIN(AC254-AC255,MAX(0,AC107-AC108+AC109+AC110+AC184-AC229-AC235))</f>
        <v>0.806105633536848</v>
      </c>
      <c r="AD256" s="1" t="n">
        <f aca="false">MIN(AD254-AD255,MAX(0,AD107-AD108+AD109+AD110+AD184-AD229-AD235))</f>
        <v>0.82560387190349</v>
      </c>
      <c r="AE256" s="1" t="n">
        <f aca="false">MIN(AE254-AE255,MAX(0,AE107-AE108+AE109+AE110+AE184-AE229-AE235))</f>
        <v>0.844305369174982</v>
      </c>
      <c r="AF256" s="1" t="n">
        <f aca="false">MIN(AF254-AF255,MAX(0,AF107-AF108+AF109+AF110+AF184-AF229-AF235))</f>
        <v>0.862243899090669</v>
      </c>
    </row>
    <row r="257" customFormat="false" ht="14.25" hidden="false" customHeight="true" outlineLevel="0" collapsed="false">
      <c r="B257" s="1" t="s">
        <v>1253</v>
      </c>
      <c r="C257" s="1" t="n">
        <f aca="false">C254-C255-C256</f>
        <v>0</v>
      </c>
      <c r="D257" s="1" t="n">
        <f aca="false">D254-D255-D256</f>
        <v>0</v>
      </c>
      <c r="E257" s="1" t="n">
        <f aca="false">E254-E255-E256</f>
        <v>0</v>
      </c>
      <c r="F257" s="1" t="n">
        <f aca="false">F254-F255-F256</f>
        <v>0</v>
      </c>
      <c r="G257" s="1" t="n">
        <f aca="false">G254-G255-G256</f>
        <v>0</v>
      </c>
      <c r="H257" s="1" t="n">
        <f aca="false">H254-H255-H256</f>
        <v>0</v>
      </c>
      <c r="I257" s="1" t="n">
        <f aca="false">I254-I255-I256</f>
        <v>0</v>
      </c>
      <c r="J257" s="1" t="n">
        <f aca="false">J254-J255-J256</f>
        <v>0</v>
      </c>
      <c r="K257" s="1" t="n">
        <f aca="false">K254-K255-K256</f>
        <v>0</v>
      </c>
      <c r="L257" s="1" t="n">
        <f aca="false">L254-L255-L256</f>
        <v>0</v>
      </c>
      <c r="M257" s="1" t="n">
        <f aca="false">M254-M255-M256</f>
        <v>0</v>
      </c>
      <c r="N257" s="1" t="n">
        <f aca="false">N254-N255-N256</f>
        <v>0</v>
      </c>
      <c r="O257" s="1" t="n">
        <f aca="false">O254-O255-O256</f>
        <v>0</v>
      </c>
      <c r="P257" s="1" t="n">
        <f aca="false">P254-P255-P256</f>
        <v>0</v>
      </c>
      <c r="Q257" s="1" t="n">
        <f aca="false">Q254-Q255-Q256</f>
        <v>0</v>
      </c>
      <c r="R257" s="1" t="n">
        <f aca="false">R254-R255-R256</f>
        <v>0</v>
      </c>
      <c r="S257" s="1" t="n">
        <f aca="false">S254-S255-S256</f>
        <v>0</v>
      </c>
      <c r="T257" s="1" t="n">
        <f aca="false">T254-T255-T256</f>
        <v>0</v>
      </c>
      <c r="U257" s="1" t="n">
        <f aca="false">U254-U255-U256</f>
        <v>0</v>
      </c>
      <c r="V257" s="1" t="n">
        <f aca="false">V254-V255-V256</f>
        <v>0</v>
      </c>
      <c r="W257" s="1" t="n">
        <f aca="false">W254-W255-W256</f>
        <v>0</v>
      </c>
      <c r="X257" s="1" t="n">
        <f aca="false">X254-X255-X256</f>
        <v>0</v>
      </c>
      <c r="Y257" s="1" t="n">
        <f aca="false">Y254-Y255-Y256</f>
        <v>0</v>
      </c>
      <c r="Z257" s="1" t="n">
        <f aca="false">Z254-Z255-Z256</f>
        <v>0</v>
      </c>
      <c r="AA257" s="1" t="n">
        <f aca="false">AA254-AA255-AA256</f>
        <v>0</v>
      </c>
      <c r="AB257" s="1" t="n">
        <f aca="false">AB254-AB255-AB256</f>
        <v>0</v>
      </c>
      <c r="AC257" s="1" t="n">
        <f aca="false">AC254-AC255-AC256</f>
        <v>0</v>
      </c>
      <c r="AD257" s="1" t="n">
        <f aca="false">AD254-AD255-AD256</f>
        <v>0</v>
      </c>
      <c r="AE257" s="1" t="n">
        <f aca="false">AE254-AE255-AE256</f>
        <v>0</v>
      </c>
      <c r="AF257" s="1" t="n">
        <f aca="false">AF254-AF255-AF256</f>
        <v>0</v>
      </c>
    </row>
    <row r="259" customFormat="false" ht="14.25" hidden="false" customHeight="true" outlineLevel="0" collapsed="false">
      <c r="B259" s="1" t="s">
        <v>1254</v>
      </c>
    </row>
    <row r="260" customFormat="false" ht="14.25" hidden="false" customHeight="true" outlineLevel="0" collapsed="false">
      <c r="B260" s="1" t="s">
        <v>1255</v>
      </c>
      <c r="C260" s="1" t="n">
        <f aca="false">01_Supuestos!$C$169</f>
        <v>0.05</v>
      </c>
    </row>
    <row r="261" customFormat="false" ht="14.25" hidden="false" customHeight="true" outlineLevel="0" collapsed="false">
      <c r="B261" s="1" t="s">
        <v>1256</v>
      </c>
      <c r="C261" s="1" t="n">
        <f aca="false">(C83-C326)+C181</f>
        <v>5.99497779535458</v>
      </c>
      <c r="D261" s="1" t="n">
        <f aca="false">(D83-D326)+D181</f>
        <v>16.0734862299268</v>
      </c>
      <c r="E261" s="1" t="n">
        <f aca="false">(E83-E326)+E181</f>
        <v>28.864654462448</v>
      </c>
      <c r="F261" s="1" t="n">
        <f aca="false">(F83-F326)+F181</f>
        <v>42.8930996572912</v>
      </c>
      <c r="G261" s="1" t="n">
        <f aca="false">(G83-G326)+G181</f>
        <v>56.9630843514191</v>
      </c>
      <c r="H261" s="1" t="n">
        <f aca="false">(H83-H326)+H181</f>
        <v>70.936945789551</v>
      </c>
      <c r="I261" s="1" t="n">
        <f aca="false">(I83-I326)+I181</f>
        <v>85.1981880540369</v>
      </c>
      <c r="J261" s="1" t="n">
        <f aca="false">(J83-J326)+J181</f>
        <v>99.7900694141875</v>
      </c>
      <c r="K261" s="1" t="n">
        <f aca="false">(K83-K326)+K181</f>
        <v>114.267939734105</v>
      </c>
      <c r="L261" s="1" t="n">
        <f aca="false">(L83-L326)+L181</f>
        <v>129.359082913765</v>
      </c>
      <c r="M261" s="1" t="n">
        <f aca="false">(M83-M326)+M181</f>
        <v>143.282323728859</v>
      </c>
      <c r="N261" s="1" t="n">
        <f aca="false">(N83-N326)+N181</f>
        <v>153.018964586317</v>
      </c>
      <c r="O261" s="1" t="n">
        <f aca="false">(O83-O326)+O181</f>
        <v>158.518085860424</v>
      </c>
      <c r="P261" s="1" t="n">
        <f aca="false">(P83-P326)+P181</f>
        <v>162.719829864827</v>
      </c>
      <c r="Q261" s="1" t="n">
        <f aca="false">(Q83-Q326)+Q181</f>
        <v>166.444827922675</v>
      </c>
      <c r="R261" s="1" t="n">
        <f aca="false">(R83-R326)+R181</f>
        <v>170.253151929042</v>
      </c>
      <c r="S261" s="1" t="n">
        <f aca="false">(S83-S326)+S181</f>
        <v>174.147749424445</v>
      </c>
      <c r="T261" s="1" t="n">
        <f aca="false">(T83-T326)+T181</f>
        <v>178.132950913121</v>
      </c>
      <c r="U261" s="1" t="n">
        <f aca="false">(U83-U326)+U181</f>
        <v>182.216117338374</v>
      </c>
      <c r="V261" s="1" t="n">
        <f aca="false">(V83-V326)+V181</f>
        <v>185.622323215121</v>
      </c>
      <c r="W261" s="1" t="n">
        <f aca="false">(W83-W326)+W181</f>
        <v>188.490223187355</v>
      </c>
      <c r="X261" s="1" t="n">
        <f aca="false">(X83-X326)+X181</f>
        <v>191.228469443745</v>
      </c>
      <c r="Y261" s="1" t="n">
        <f aca="false">(Y83-Y326)+Y181</f>
        <v>193.887289833222</v>
      </c>
      <c r="Z261" s="1" t="n">
        <f aca="false">(Z83-Z326)+Z181</f>
        <v>196.48928524373</v>
      </c>
      <c r="AA261" s="1" t="n">
        <f aca="false">(AA83-AA326)+AA181</f>
        <v>199.034303821335</v>
      </c>
      <c r="AB261" s="1" t="n">
        <f aca="false">(AB83-AB326)+AB181</f>
        <v>201.522242432564</v>
      </c>
      <c r="AC261" s="1" t="n">
        <f aca="false">(AC83-AC326)+AC181</f>
        <v>203.952981761542</v>
      </c>
      <c r="AD261" s="1" t="n">
        <f aca="false">(AD83-AD326)+AD181</f>
        <v>206.326394313743</v>
      </c>
      <c r="AE261" s="1" t="n">
        <f aca="false">(AE83-AE326)+AE181</f>
        <v>208.64235600789</v>
      </c>
      <c r="AF261" s="1" t="n">
        <f aca="false">(AF83-AF326)+AF181</f>
        <v>210.900745900752</v>
      </c>
    </row>
    <row r="262" customFormat="false" ht="14.25" hidden="false" customHeight="true" outlineLevel="0" collapsed="false">
      <c r="B262" s="1" t="s">
        <v>1257</v>
      </c>
      <c r="C262" s="1" t="n">
        <f aca="false">$C$260*C261</f>
        <v>0.299748889767729</v>
      </c>
      <c r="D262" s="1" t="n">
        <f aca="false">$C$260*D261</f>
        <v>0.803674311496339</v>
      </c>
      <c r="E262" s="1" t="n">
        <f aca="false">$C$260*E261</f>
        <v>1.4432327231224</v>
      </c>
      <c r="F262" s="1" t="n">
        <f aca="false">$C$260*F261</f>
        <v>2.14465498286456</v>
      </c>
      <c r="G262" s="1" t="n">
        <f aca="false">$C$260*G261</f>
        <v>2.84815421757095</v>
      </c>
      <c r="H262" s="1" t="n">
        <f aca="false">$C$260*H261</f>
        <v>3.54684728947755</v>
      </c>
      <c r="I262" s="1" t="n">
        <f aca="false">$C$260*I261</f>
        <v>4.25990940270184</v>
      </c>
      <c r="J262" s="1" t="n">
        <f aca="false">$C$260*J261</f>
        <v>4.98950347070938</v>
      </c>
      <c r="K262" s="1" t="n">
        <f aca="false">$C$260*K261</f>
        <v>5.71339698670523</v>
      </c>
      <c r="L262" s="1" t="n">
        <f aca="false">$C$260*L261</f>
        <v>6.46795414568826</v>
      </c>
      <c r="M262" s="1" t="n">
        <f aca="false">$C$260*M261</f>
        <v>7.16411618644293</v>
      </c>
      <c r="N262" s="1" t="n">
        <f aca="false">$C$260*N261</f>
        <v>7.65094822931583</v>
      </c>
      <c r="O262" s="1" t="n">
        <f aca="false">$C$260*O261</f>
        <v>7.92590429302122</v>
      </c>
      <c r="P262" s="1" t="n">
        <f aca="false">$C$260*P261</f>
        <v>8.13599149324136</v>
      </c>
      <c r="Q262" s="1" t="n">
        <f aca="false">$C$260*Q261</f>
        <v>8.32224139613374</v>
      </c>
      <c r="R262" s="1" t="n">
        <f aca="false">$C$260*R261</f>
        <v>8.51265759645212</v>
      </c>
      <c r="S262" s="1" t="n">
        <f aca="false">$C$260*S261</f>
        <v>8.70738747122227</v>
      </c>
      <c r="T262" s="1" t="n">
        <f aca="false">$C$260*T261</f>
        <v>8.90664754565604</v>
      </c>
      <c r="U262" s="1" t="n">
        <f aca="false">$C$260*U261</f>
        <v>9.11080586691869</v>
      </c>
      <c r="V262" s="1" t="n">
        <f aca="false">$C$260*V261</f>
        <v>9.28111616075604</v>
      </c>
      <c r="W262" s="1" t="n">
        <f aca="false">$C$260*W261</f>
        <v>9.42451115936773</v>
      </c>
      <c r="X262" s="1" t="n">
        <f aca="false">$C$260*X261</f>
        <v>9.56142347218724</v>
      </c>
      <c r="Y262" s="1" t="n">
        <f aca="false">$C$260*Y261</f>
        <v>9.6943644916611</v>
      </c>
      <c r="Z262" s="1" t="n">
        <f aca="false">$C$260*Z261</f>
        <v>9.8244642621865</v>
      </c>
      <c r="AA262" s="1" t="n">
        <f aca="false">$C$260*AA261</f>
        <v>9.95171519106676</v>
      </c>
      <c r="AB262" s="1" t="n">
        <f aca="false">$C$260*AB261</f>
        <v>10.0761121216282</v>
      </c>
      <c r="AC262" s="1" t="n">
        <f aca="false">$C$260*AC261</f>
        <v>10.1976490880771</v>
      </c>
      <c r="AD262" s="1" t="n">
        <f aca="false">$C$260*AD261</f>
        <v>10.3163197156872</v>
      </c>
      <c r="AE262" s="1" t="n">
        <f aca="false">$C$260*AE261</f>
        <v>10.4321178003945</v>
      </c>
      <c r="AF262" s="1" t="n">
        <f aca="false">$C$260*AF261</f>
        <v>10.5450372950376</v>
      </c>
    </row>
    <row r="263" customFormat="false" ht="14.25" hidden="false" customHeight="true" outlineLevel="0" collapsed="false">
      <c r="B263" s="1" t="s">
        <v>1258</v>
      </c>
      <c r="C263" s="1" t="n">
        <f aca="false">MAX(0,(C70+0-0)*0.25/0.55)</f>
        <v>0.0363636363636364</v>
      </c>
      <c r="D263" s="1" t="n">
        <f aca="false">MAX(0,(D70+C121-C227)*0.25/0.55)</f>
        <v>0.0740109090909091</v>
      </c>
      <c r="E263" s="1" t="n">
        <f aca="false">MAX(0,(E70+D121-D227)*0.25/0.55)</f>
        <v>0.112987130545455</v>
      </c>
      <c r="F263" s="1" t="n">
        <f aca="false">MAX(0,(F70+E121-E227)*0.25/0.55)</f>
        <v>7.49061336803098</v>
      </c>
      <c r="G263" s="1" t="n">
        <f aca="false">MAX(0,(G70+F121-F227)*0.25/0.55)</f>
        <v>14.8696640340136</v>
      </c>
      <c r="H263" s="1" t="n">
        <f aca="false">MAX(0,(H70+G121-G227)*0.25/0.55)</f>
        <v>22.2501894108194</v>
      </c>
      <c r="I263" s="1" t="n">
        <f aca="false">MAX(0,(I70+H121-H227)*0.25/0.55)</f>
        <v>29.6322415557403</v>
      </c>
      <c r="J263" s="1" t="n">
        <f aca="false">MAX(0,(J70+I121-I227)*0.25/0.55)</f>
        <v>37.0158743636908</v>
      </c>
      <c r="K263" s="1" t="n">
        <f aca="false">MAX(0,(K70+J121-J227)*0.25/0.55)</f>
        <v>40.2040205191044</v>
      </c>
      <c r="L263" s="1" t="n">
        <f aca="false">MAX(0,(L70+K121-K227)*0.25/0.55)</f>
        <v>43.3921666745181</v>
      </c>
      <c r="M263" s="1" t="n">
        <f aca="false">MAX(0,(M70+L121-L227)*0.25/0.55)</f>
        <v>44.6628820486956</v>
      </c>
      <c r="N263" s="1" t="n">
        <f aca="false">MAX(0,(N70+M121-M227)*0.25/0.55)</f>
        <v>45.9354133739816</v>
      </c>
      <c r="O263" s="1" t="n">
        <f aca="false">MAX(0,(O70+N121-N227)*0.25/0.55)</f>
        <v>47.2822337263397</v>
      </c>
      <c r="P263" s="1" t="n">
        <f aca="false">MAX(0,(P70+O121-O227)*0.25/0.55)</f>
        <v>48.6334127063126</v>
      </c>
      <c r="Q263" s="1" t="n">
        <f aca="false">MAX(0,(Q70+P121-P227)*0.25/0.55)</f>
        <v>50.0151040884652</v>
      </c>
      <c r="R263" s="1" t="n">
        <f aca="false">MAX(0,(R70+Q121-Q227)*0.25/0.55)</f>
        <v>51.3709481867591</v>
      </c>
      <c r="S263" s="1" t="n">
        <f aca="false">MAX(0,(S70+R121-R227)*0.25/0.55)</f>
        <v>52.6691743925729</v>
      </c>
      <c r="T263" s="1" t="n">
        <f aca="false">MAX(0,(T70+S121-S227)*0.25/0.55)</f>
        <v>53.9540296440655</v>
      </c>
      <c r="U263" s="1" t="n">
        <f aca="false">MAX(0,(U70+T121-T227)*0.25/0.55)</f>
        <v>55.2411999843357</v>
      </c>
      <c r="V263" s="1" t="n">
        <f aca="false">MAX(0,(V70+U121-U227)*0.25/0.55)</f>
        <v>56.5307671360174</v>
      </c>
      <c r="W263" s="1" t="n">
        <f aca="false">MAX(0,(W70+V121-V227)*0.25/0.55)</f>
        <v>57.8228157065536</v>
      </c>
      <c r="X263" s="1" t="n">
        <f aca="false">MAX(0,(X70+W121-W227)*0.25/0.55)</f>
        <v>59.1174332900296</v>
      </c>
      <c r="Y263" s="1" t="n">
        <f aca="false">MAX(0,(Y70+X121-X227)*0.25/0.55)</f>
        <v>60.4147105726024</v>
      </c>
      <c r="Z263" s="1" t="n">
        <f aca="false">MAX(0,(Z70+Y121-Y227)*0.25/0.55)</f>
        <v>61.71474144165</v>
      </c>
      <c r="AA263" s="1" t="n">
        <f aca="false">MAX(0,(AA70+Z121-Z227)*0.25/0.55)</f>
        <v>63.0176230987749</v>
      </c>
      <c r="AB263" s="1" t="n">
        <f aca="false">MAX(0,(AB70+AA121-AA227)*0.25/0.55)</f>
        <v>64.3234561767964</v>
      </c>
      <c r="AC263" s="1" t="n">
        <f aca="false">MAX(0,(AC70+AB121-AB227)*0.25/0.55)</f>
        <v>65.632344860872</v>
      </c>
      <c r="AD263" s="1" t="n">
        <f aca="false">MAX(0,(AD70+AC121-AC227)*0.25/0.55)</f>
        <v>66.9443970138955</v>
      </c>
      <c r="AE263" s="1" t="n">
        <f aca="false">MAX(0,(AE70+AD121-AD227)*0.25/0.55)</f>
        <v>68.2597243063208</v>
      </c>
      <c r="AF263" s="1" t="n">
        <f aca="false">MAX(0,(AF70+AE121-AE227)*0.25/0.55)</f>
        <v>69.5784423505686</v>
      </c>
    </row>
    <row r="264" customFormat="false" ht="14.25" hidden="false" customHeight="true" outlineLevel="0" collapsed="false">
      <c r="B264" s="1" t="s">
        <v>1259</v>
      </c>
      <c r="C264" s="1" t="n">
        <f aca="false">MAX(0,C262-C263)</f>
        <v>0.263385253404093</v>
      </c>
      <c r="D264" s="1" t="n">
        <f aca="false">MAX(0,D262-D263)</f>
        <v>0.72966340240543</v>
      </c>
      <c r="E264" s="1" t="n">
        <f aca="false">MAX(0,E262-E263)</f>
        <v>1.33024559257695</v>
      </c>
      <c r="F264" s="1" t="n">
        <f aca="false">MAX(0,F262-F263)</f>
        <v>0</v>
      </c>
      <c r="G264" s="1" t="n">
        <f aca="false">MAX(0,G262-G263)</f>
        <v>0</v>
      </c>
      <c r="H264" s="1" t="n">
        <f aca="false">MAX(0,H262-H263)</f>
        <v>0</v>
      </c>
      <c r="I264" s="1" t="n">
        <f aca="false">MAX(0,I262-I263)</f>
        <v>0</v>
      </c>
      <c r="J264" s="1" t="n">
        <f aca="false">MAX(0,J262-J263)</f>
        <v>0</v>
      </c>
      <c r="K264" s="1" t="n">
        <f aca="false">MAX(0,K262-K263)</f>
        <v>0</v>
      </c>
      <c r="L264" s="1" t="n">
        <f aca="false">MAX(0,L262-L263)</f>
        <v>0</v>
      </c>
      <c r="M264" s="1" t="n">
        <f aca="false">MAX(0,M262-M263)</f>
        <v>0</v>
      </c>
      <c r="N264" s="1" t="n">
        <f aca="false">MAX(0,N262-N263)</f>
        <v>0</v>
      </c>
      <c r="O264" s="1" t="n">
        <f aca="false">MAX(0,O262-O263)</f>
        <v>0</v>
      </c>
      <c r="P264" s="1" t="n">
        <f aca="false">MAX(0,P262-P263)</f>
        <v>0</v>
      </c>
      <c r="Q264" s="1" t="n">
        <f aca="false">MAX(0,Q262-Q263)</f>
        <v>0</v>
      </c>
      <c r="R264" s="1" t="n">
        <f aca="false">MAX(0,R262-R263)</f>
        <v>0</v>
      </c>
      <c r="S264" s="1" t="n">
        <f aca="false">MAX(0,S262-S263)</f>
        <v>0</v>
      </c>
      <c r="T264" s="1" t="n">
        <f aca="false">MAX(0,T262-T263)</f>
        <v>0</v>
      </c>
      <c r="U264" s="1" t="n">
        <f aca="false">MAX(0,U262-U263)</f>
        <v>0</v>
      </c>
      <c r="V264" s="1" t="n">
        <f aca="false">MAX(0,V262-V263)</f>
        <v>0</v>
      </c>
      <c r="W264" s="1" t="n">
        <f aca="false">MAX(0,W262-W263)</f>
        <v>0</v>
      </c>
      <c r="X264" s="1" t="n">
        <f aca="false">MAX(0,X262-X263)</f>
        <v>0</v>
      </c>
      <c r="Y264" s="1" t="n">
        <f aca="false">MAX(0,Y262-Y263)</f>
        <v>0</v>
      </c>
      <c r="Z264" s="1" t="n">
        <f aca="false">MAX(0,Z262-Z263)</f>
        <v>0</v>
      </c>
      <c r="AA264" s="1" t="n">
        <f aca="false">MAX(0,AA262-AA263)</f>
        <v>0</v>
      </c>
      <c r="AB264" s="1" t="n">
        <f aca="false">MAX(0,AB262-AB263)</f>
        <v>0</v>
      </c>
      <c r="AC264" s="1" t="n">
        <f aca="false">MAX(0,AC262-AC263)</f>
        <v>0</v>
      </c>
      <c r="AD264" s="1" t="n">
        <f aca="false">MAX(0,AD262-AD263)</f>
        <v>0</v>
      </c>
      <c r="AE264" s="1" t="n">
        <f aca="false">MAX(0,AE262-AE263)</f>
        <v>0</v>
      </c>
      <c r="AF264" s="1" t="n">
        <f aca="false">MAX(0,AF262-AF263)</f>
        <v>0</v>
      </c>
    </row>
    <row r="265" customFormat="false" ht="14.25" hidden="false" customHeight="true" outlineLevel="0" collapsed="false">
      <c r="B265" s="1" t="s">
        <v>1260</v>
      </c>
      <c r="C265" s="1" t="n">
        <f aca="false">C264*MAX(0,$C$10-01_Supuestos!$I$134)</f>
        <v>0.00658463133510231</v>
      </c>
      <c r="D265" s="1" t="n">
        <f aca="false">D264*MAX(0,$C$10-01_Supuestos!$I$134)</f>
        <v>0.0182415850601357</v>
      </c>
      <c r="E265" s="1" t="n">
        <f aca="false">E264*MAX(0,$C$10-01_Supuestos!$I$134)</f>
        <v>0.0332561398144237</v>
      </c>
      <c r="F265" s="1" t="n">
        <f aca="false">F264*MAX(0,$C$10-01_Supuestos!$I$134)</f>
        <v>0</v>
      </c>
      <c r="G265" s="1" t="n">
        <f aca="false">G264*MAX(0,$C$10-01_Supuestos!$I$134)</f>
        <v>0</v>
      </c>
      <c r="H265" s="1" t="n">
        <f aca="false">H264*MAX(0,$C$10-01_Supuestos!$I$134)</f>
        <v>0</v>
      </c>
      <c r="I265" s="1" t="n">
        <f aca="false">I264*MAX(0,$C$10-01_Supuestos!$I$134)</f>
        <v>0</v>
      </c>
      <c r="J265" s="1" t="n">
        <f aca="false">J264*MAX(0,$C$10-01_Supuestos!$I$134)</f>
        <v>0</v>
      </c>
      <c r="K265" s="1" t="n">
        <f aca="false">K264*MAX(0,$C$10-01_Supuestos!$I$134)</f>
        <v>0</v>
      </c>
      <c r="L265" s="1" t="n">
        <f aca="false">L264*MAX(0,$C$10-01_Supuestos!$I$134)</f>
        <v>0</v>
      </c>
      <c r="M265" s="1" t="n">
        <f aca="false">M264*MAX(0,$C$10-01_Supuestos!$I$134)</f>
        <v>0</v>
      </c>
      <c r="N265" s="1" t="n">
        <f aca="false">N264*MAX(0,$C$10-01_Supuestos!$I$134)</f>
        <v>0</v>
      </c>
      <c r="O265" s="1" t="n">
        <f aca="false">O264*MAX(0,$C$10-01_Supuestos!$I$134)</f>
        <v>0</v>
      </c>
      <c r="P265" s="1" t="n">
        <f aca="false">P264*MAX(0,$C$10-01_Supuestos!$I$134)</f>
        <v>0</v>
      </c>
      <c r="Q265" s="1" t="n">
        <f aca="false">Q264*MAX(0,$C$10-01_Supuestos!$I$134)</f>
        <v>0</v>
      </c>
      <c r="R265" s="1" t="n">
        <f aca="false">R264*MAX(0,$C$10-01_Supuestos!$I$134)</f>
        <v>0</v>
      </c>
      <c r="S265" s="1" t="n">
        <f aca="false">S264*MAX(0,$C$10-01_Supuestos!$I$134)</f>
        <v>0</v>
      </c>
      <c r="T265" s="1" t="n">
        <f aca="false">T264*MAX(0,$C$10-01_Supuestos!$I$134)</f>
        <v>0</v>
      </c>
      <c r="U265" s="1" t="n">
        <f aca="false">U264*MAX(0,$C$10-01_Supuestos!$I$134)</f>
        <v>0</v>
      </c>
      <c r="V265" s="1" t="n">
        <f aca="false">V264*MAX(0,$C$10-01_Supuestos!$I$134)</f>
        <v>0</v>
      </c>
      <c r="W265" s="1" t="n">
        <f aca="false">W264*MAX(0,$C$10-01_Supuestos!$I$134)</f>
        <v>0</v>
      </c>
      <c r="X265" s="1" t="n">
        <f aca="false">X264*MAX(0,$C$10-01_Supuestos!$I$134)</f>
        <v>0</v>
      </c>
      <c r="Y265" s="1" t="n">
        <f aca="false">Y264*MAX(0,$C$10-01_Supuestos!$I$134)</f>
        <v>0</v>
      </c>
      <c r="Z265" s="1" t="n">
        <f aca="false">Z264*MAX(0,$C$10-01_Supuestos!$I$134)</f>
        <v>0</v>
      </c>
      <c r="AA265" s="1" t="n">
        <f aca="false">AA264*MAX(0,$C$10-01_Supuestos!$I$134)</f>
        <v>0</v>
      </c>
      <c r="AB265" s="1" t="n">
        <f aca="false">AB264*MAX(0,$C$10-01_Supuestos!$I$134)</f>
        <v>0</v>
      </c>
      <c r="AC265" s="1" t="n">
        <f aca="false">AC264*MAX(0,$C$10-01_Supuestos!$I$134)</f>
        <v>0</v>
      </c>
      <c r="AD265" s="1" t="n">
        <f aca="false">AD264*MAX(0,$C$10-01_Supuestos!$I$134)</f>
        <v>0</v>
      </c>
      <c r="AE265" s="1" t="n">
        <f aca="false">AE264*MAX(0,$C$10-01_Supuestos!$I$134)</f>
        <v>0</v>
      </c>
      <c r="AF265" s="1" t="n">
        <f aca="false">AF264*MAX(0,$C$10-01_Supuestos!$I$134)</f>
        <v>0</v>
      </c>
    </row>
    <row r="266" customFormat="false" ht="14.25" hidden="false" customHeight="true" outlineLevel="0" collapsed="false">
      <c r="B266" s="1" t="s">
        <v>1261</v>
      </c>
      <c r="C266" s="1" t="n">
        <f aca="false">IF(C263&gt;0,C262/C263,0)</f>
        <v>8.24309446861255</v>
      </c>
      <c r="D266" s="1" t="n">
        <f aca="false">IF(D263&gt;0,D262/D263,0)</f>
        <v>10.8588628537067</v>
      </c>
      <c r="E266" s="1" t="n">
        <f aca="false">IF(E263&gt;0,E262/E263,0)</f>
        <v>12.7734257534914</v>
      </c>
      <c r="F266" s="1" t="n">
        <f aca="false">IF(F263&gt;0,F262/F263,0)</f>
        <v>0.286312332180658</v>
      </c>
      <c r="G266" s="1" t="n">
        <f aca="false">IF(G263&gt;0,G262/G263,0)</f>
        <v>0.191541262200406</v>
      </c>
      <c r="H266" s="1" t="n">
        <f aca="false">IF(H263&gt;0,H262/H263,0)</f>
        <v>0.159407509931257</v>
      </c>
      <c r="I266" s="1" t="n">
        <f aca="false">IF(I263&gt;0,I262/I263,0)</f>
        <v>0.143759269601277</v>
      </c>
      <c r="J266" s="1" t="n">
        <f aca="false">IF(J263&gt;0,J262/J263,0)</f>
        <v>0.134793613725997</v>
      </c>
      <c r="K266" s="1" t="n">
        <f aca="false">IF(K263&gt;0,K262/K263,0)</f>
        <v>0.142110090307767</v>
      </c>
      <c r="L266" s="1" t="n">
        <f aca="false">IF(L263&gt;0,L262/L263,0)</f>
        <v>0.149058105215256</v>
      </c>
      <c r="M266" s="1" t="n">
        <f aca="false">IF(M263&gt;0,M262/M263,0)</f>
        <v>0.16040425198338</v>
      </c>
      <c r="N266" s="1" t="n">
        <f aca="false">IF(N263&gt;0,N262/N263,0)</f>
        <v>0.166558819597984</v>
      </c>
      <c r="O266" s="1" t="n">
        <f aca="false">IF(O263&gt;0,O262/O263,0)</f>
        <v>0.167629650047728</v>
      </c>
      <c r="P266" s="1" t="n">
        <f aca="false">IF(P263&gt;0,P262/P263,0)</f>
        <v>0.167292218260992</v>
      </c>
      <c r="Q266" s="1" t="n">
        <f aca="false">IF(Q263&gt;0,Q262/Q263,0)</f>
        <v>0.166394563158633</v>
      </c>
      <c r="R266" s="1" t="n">
        <f aca="false">IF(R263&gt;0,R262/R263,0)</f>
        <v>0.165709567312333</v>
      </c>
      <c r="S266" s="1" t="n">
        <f aca="false">IF(S263&gt;0,S262/S263,0)</f>
        <v>0.165322270030687</v>
      </c>
      <c r="T266" s="1" t="n">
        <f aca="false">IF(T263&gt;0,T262/T263,0)</f>
        <v>0.165078449272708</v>
      </c>
      <c r="U266" s="1" t="n">
        <f aca="false">IF(U263&gt;0,U262/U263,0)</f>
        <v>0.164927732733941</v>
      </c>
      <c r="V266" s="1" t="n">
        <f aca="false">IF(V263&gt;0,V262/V263,0)</f>
        <v>0.164178139285196</v>
      </c>
      <c r="W266" s="1" t="n">
        <f aca="false">IF(W263&gt;0,W262/W263,0)</f>
        <v>0.162989488564452</v>
      </c>
      <c r="X266" s="1" t="n">
        <f aca="false">IF(X263&gt;0,X262/X263,0)</f>
        <v>0.161736106256153</v>
      </c>
      <c r="Y266" s="1" t="n">
        <f aca="false">IF(Y263&gt;0,Y262/Y263,0)</f>
        <v>0.160463642046436</v>
      </c>
      <c r="Z266" s="1" t="n">
        <f aca="false">IF(Z263&gt;0,Z262/Z263,0)</f>
        <v>0.159191532406813</v>
      </c>
      <c r="AA266" s="1" t="n">
        <f aca="false">IF(AA263&gt;0,AA262/AA263,0)</f>
        <v>0.157919558080892</v>
      </c>
      <c r="AB266" s="1" t="n">
        <f aca="false">IF(AB263&gt;0,AB262/AB263,0)</f>
        <v>0.156647554726125</v>
      </c>
      <c r="AC266" s="1" t="n">
        <f aca="false">IF(AC263&gt;0,AC262/AC263,0)</f>
        <v>0.155375358136208</v>
      </c>
      <c r="AD266" s="1" t="n">
        <f aca="false">IF(AD263&gt;0,AD262/AD263,0)</f>
        <v>0.154102810329979</v>
      </c>
      <c r="AE266" s="1" t="n">
        <f aca="false">IF(AE263&gt;0,AE262/AE263,0)</f>
        <v>0.152829767573915</v>
      </c>
      <c r="AF266" s="1" t="n">
        <f aca="false">IF(AF263&gt;0,AF262/AF263,0)</f>
        <v>0.151556098969661</v>
      </c>
    </row>
    <row r="267" customFormat="false" ht="14.25" hidden="false" customHeight="true" outlineLevel="0" collapsed="false">
      <c r="B267" s="1" t="s">
        <v>1262</v>
      </c>
      <c r="C267" s="1" t="n">
        <f aca="false">C120-C264</f>
        <v>20.2097389972215</v>
      </c>
      <c r="D267" s="1" t="n">
        <f aca="false">D120-D264</f>
        <v>39.5270469670382</v>
      </c>
      <c r="E267" s="1" t="n">
        <f aca="false">E120-E264</f>
        <v>59.0510206040927</v>
      </c>
      <c r="F267" s="1" t="n">
        <f aca="false">F120-F264</f>
        <v>75.0680610097753</v>
      </c>
      <c r="G267" s="1" t="n">
        <f aca="false">G120-G264</f>
        <v>88.2474775601667</v>
      </c>
      <c r="H267" s="1" t="n">
        <f aca="false">H120-H264</f>
        <v>100.637529290312</v>
      </c>
      <c r="I267" s="1" t="n">
        <f aca="false">I120-I264</f>
        <v>112.882165270235</v>
      </c>
      <c r="J267" s="1" t="n">
        <f aca="false">J120-J264</f>
        <v>125.329100790062</v>
      </c>
      <c r="K267" s="1" t="n">
        <f aca="false">K120-K264</f>
        <v>139.246866499314</v>
      </c>
      <c r="L267" s="1" t="n">
        <f aca="false">L120-L264</f>
        <v>154.639072794466</v>
      </c>
      <c r="M267" s="1" t="n">
        <f aca="false">M120-M264</f>
        <v>153.294296791856</v>
      </c>
      <c r="N267" s="1" t="n">
        <f aca="false">N120-N264</f>
        <v>154.377274035922</v>
      </c>
      <c r="O267" s="1" t="n">
        <f aca="false">O120-O264</f>
        <v>157.303081953889</v>
      </c>
      <c r="P267" s="1" t="n">
        <f aca="false">P120-P264</f>
        <v>158.912427478941</v>
      </c>
      <c r="Q267" s="1" t="n">
        <f aca="false">Q120-Q264</f>
        <v>160.023446035868</v>
      </c>
      <c r="R267" s="1" t="n">
        <f aca="false">R120-R264</f>
        <v>161.191091849992</v>
      </c>
      <c r="S267" s="1" t="n">
        <f aca="false">S120-S264</f>
        <v>162.278625262431</v>
      </c>
      <c r="T267" s="1" t="n">
        <f aca="false">T120-T264</f>
        <v>163.219765571689</v>
      </c>
      <c r="U267" s="1" t="n">
        <f aca="false">U120-U264</f>
        <v>164.019078678014</v>
      </c>
      <c r="V267" s="1" t="n">
        <f aca="false">V120-V264</f>
        <v>164.801559283896</v>
      </c>
      <c r="W267" s="1" t="n">
        <f aca="false">W120-W264</f>
        <v>165.452419859702</v>
      </c>
      <c r="X267" s="1" t="n">
        <f aca="false">X120-X264</f>
        <v>165.877000467597</v>
      </c>
      <c r="Y267" s="1" t="n">
        <f aca="false">Y120-Y264</f>
        <v>166.129990060813</v>
      </c>
      <c r="Z267" s="1" t="n">
        <f aca="false">Z120-Z264</f>
        <v>166.239882908578</v>
      </c>
      <c r="AA267" s="1" t="n">
        <f aca="false">AA120-AA264</f>
        <v>166.212981099003</v>
      </c>
      <c r="AB267" s="1" t="n">
        <f aca="false">AB120-AB264</f>
        <v>166.055358326216</v>
      </c>
      <c r="AC267" s="1" t="n">
        <f aca="false">AC120-AC264</f>
        <v>165.772903323935</v>
      </c>
      <c r="AD267" s="1" t="n">
        <f aca="false">AD120-AD264</f>
        <v>165.37134923104</v>
      </c>
      <c r="AE267" s="1" t="n">
        <f aca="false">AE120-AE264</f>
        <v>164.856305856152</v>
      </c>
      <c r="AF267" s="1" t="n">
        <f aca="false">AF120-AF264</f>
        <v>164.233279606156</v>
      </c>
    </row>
    <row r="268" customFormat="false" ht="14.25" hidden="false" customHeight="true" outlineLevel="0" collapsed="false">
      <c r="B268" s="1" t="s">
        <v>1263</v>
      </c>
      <c r="C268" s="1" t="n">
        <f aca="false">01_Supuestos!$C$171*C261</f>
        <v>0</v>
      </c>
      <c r="D268" s="1" t="n">
        <f aca="false">01_Supuestos!$C$171*D261</f>
        <v>0</v>
      </c>
      <c r="E268" s="1" t="n">
        <f aca="false">01_Supuestos!$C$171*E261</f>
        <v>0</v>
      </c>
      <c r="F268" s="1" t="n">
        <f aca="false">01_Supuestos!$C$171*F261</f>
        <v>0</v>
      </c>
      <c r="G268" s="1" t="n">
        <f aca="false">01_Supuestos!$C$171*G261</f>
        <v>0</v>
      </c>
      <c r="H268" s="1" t="n">
        <f aca="false">01_Supuestos!$C$171*H261</f>
        <v>0</v>
      </c>
      <c r="I268" s="1" t="n">
        <f aca="false">01_Supuestos!$C$171*I261</f>
        <v>0</v>
      </c>
      <c r="J268" s="1" t="n">
        <f aca="false">01_Supuestos!$C$171*J261</f>
        <v>0</v>
      </c>
      <c r="K268" s="1" t="n">
        <f aca="false">01_Supuestos!$C$171*K261</f>
        <v>0</v>
      </c>
      <c r="L268" s="1" t="n">
        <f aca="false">01_Supuestos!$C$171*L261</f>
        <v>0</v>
      </c>
      <c r="M268" s="1" t="n">
        <f aca="false">01_Supuestos!$C$171*M261</f>
        <v>0</v>
      </c>
      <c r="N268" s="1" t="n">
        <f aca="false">01_Supuestos!$C$171*N261</f>
        <v>0</v>
      </c>
      <c r="O268" s="1" t="n">
        <f aca="false">01_Supuestos!$C$171*O261</f>
        <v>0</v>
      </c>
      <c r="P268" s="1" t="n">
        <f aca="false">01_Supuestos!$C$171*P261</f>
        <v>0</v>
      </c>
      <c r="Q268" s="1" t="n">
        <f aca="false">01_Supuestos!$C$171*Q261</f>
        <v>0</v>
      </c>
      <c r="R268" s="1" t="n">
        <f aca="false">01_Supuestos!$C$171*R261</f>
        <v>0</v>
      </c>
      <c r="S268" s="1" t="n">
        <f aca="false">01_Supuestos!$C$171*S261</f>
        <v>0</v>
      </c>
      <c r="T268" s="1" t="n">
        <f aca="false">01_Supuestos!$C$171*T261</f>
        <v>0</v>
      </c>
      <c r="U268" s="1" t="n">
        <f aca="false">01_Supuestos!$C$171*U261</f>
        <v>0</v>
      </c>
      <c r="V268" s="1" t="n">
        <f aca="false">01_Supuestos!$C$171*V261</f>
        <v>0</v>
      </c>
      <c r="W268" s="1" t="n">
        <f aca="false">01_Supuestos!$C$171*W261</f>
        <v>0</v>
      </c>
      <c r="X268" s="1" t="n">
        <f aca="false">01_Supuestos!$C$171*X261</f>
        <v>0</v>
      </c>
      <c r="Y268" s="1" t="n">
        <f aca="false">01_Supuestos!$C$171*Y261</f>
        <v>0</v>
      </c>
      <c r="Z268" s="1" t="n">
        <f aca="false">01_Supuestos!$C$171*Z261</f>
        <v>0</v>
      </c>
      <c r="AA268" s="1" t="n">
        <f aca="false">01_Supuestos!$C$171*AA261</f>
        <v>0</v>
      </c>
      <c r="AB268" s="1" t="n">
        <f aca="false">01_Supuestos!$C$171*AB261</f>
        <v>0</v>
      </c>
      <c r="AC268" s="1" t="n">
        <f aca="false">01_Supuestos!$C$171*AC261</f>
        <v>0</v>
      </c>
      <c r="AD268" s="1" t="n">
        <f aca="false">01_Supuestos!$C$171*AD261</f>
        <v>0</v>
      </c>
      <c r="AE268" s="1" t="n">
        <f aca="false">01_Supuestos!$C$171*AE261</f>
        <v>0</v>
      </c>
      <c r="AF268" s="1" t="n">
        <f aca="false">01_Supuestos!$C$171*AF261</f>
        <v>0</v>
      </c>
    </row>
    <row r="269" customFormat="false" ht="14.25" hidden="false" customHeight="true" outlineLevel="0" collapsed="false">
      <c r="B269" s="1" t="s">
        <v>1264</v>
      </c>
    </row>
    <row r="270" customFormat="false" ht="14.25" hidden="false" customHeight="true" outlineLevel="0" collapsed="false">
      <c r="B270" s="1" t="s">
        <v>1265</v>
      </c>
      <c r="C270" s="1" t="n">
        <f aca="false">01_Supuestos!$C$173*C261</f>
        <v>0.299748889767729</v>
      </c>
      <c r="D270" s="1" t="n">
        <f aca="false">01_Supuestos!$C$173*D261</f>
        <v>0.803674311496339</v>
      </c>
      <c r="E270" s="1" t="n">
        <f aca="false">01_Supuestos!$C$173*E261</f>
        <v>1.4432327231224</v>
      </c>
      <c r="F270" s="1" t="n">
        <f aca="false">01_Supuestos!$C$173*F261</f>
        <v>2.14465498286456</v>
      </c>
      <c r="G270" s="1" t="n">
        <f aca="false">01_Supuestos!$C$173*G261</f>
        <v>2.84815421757095</v>
      </c>
      <c r="H270" s="1" t="n">
        <f aca="false">01_Supuestos!$C$173*H261</f>
        <v>3.54684728947755</v>
      </c>
      <c r="I270" s="1" t="n">
        <f aca="false">01_Supuestos!$C$173*I261</f>
        <v>4.25990940270184</v>
      </c>
      <c r="J270" s="1" t="n">
        <f aca="false">01_Supuestos!$C$173*J261</f>
        <v>4.98950347070938</v>
      </c>
      <c r="K270" s="1" t="n">
        <f aca="false">01_Supuestos!$C$173*K261</f>
        <v>5.71339698670523</v>
      </c>
      <c r="L270" s="1" t="n">
        <f aca="false">01_Supuestos!$C$173*L261</f>
        <v>6.46795414568826</v>
      </c>
      <c r="M270" s="1" t="n">
        <f aca="false">01_Supuestos!$C$173*M261</f>
        <v>7.16411618644293</v>
      </c>
      <c r="N270" s="1" t="n">
        <f aca="false">01_Supuestos!$C$173*N261</f>
        <v>7.65094822931583</v>
      </c>
      <c r="O270" s="1" t="n">
        <f aca="false">01_Supuestos!$C$173*O261</f>
        <v>7.92590429302122</v>
      </c>
      <c r="P270" s="1" t="n">
        <f aca="false">01_Supuestos!$C$173*P261</f>
        <v>8.13599149324136</v>
      </c>
      <c r="Q270" s="1" t="n">
        <f aca="false">01_Supuestos!$C$173*Q261</f>
        <v>8.32224139613374</v>
      </c>
      <c r="R270" s="1" t="n">
        <f aca="false">01_Supuestos!$C$173*R261</f>
        <v>8.51265759645212</v>
      </c>
      <c r="S270" s="1" t="n">
        <f aca="false">01_Supuestos!$C$173*S261</f>
        <v>8.70738747122227</v>
      </c>
      <c r="T270" s="1" t="n">
        <f aca="false">01_Supuestos!$C$173*T261</f>
        <v>8.90664754565604</v>
      </c>
      <c r="U270" s="1" t="n">
        <f aca="false">01_Supuestos!$C$173*U261</f>
        <v>9.11080586691869</v>
      </c>
      <c r="V270" s="1" t="n">
        <f aca="false">01_Supuestos!$C$173*V261</f>
        <v>9.28111616075604</v>
      </c>
      <c r="W270" s="1" t="n">
        <f aca="false">01_Supuestos!$C$173*W261</f>
        <v>9.42451115936773</v>
      </c>
      <c r="X270" s="1" t="n">
        <f aca="false">01_Supuestos!$C$173*X261</f>
        <v>9.56142347218724</v>
      </c>
      <c r="Y270" s="1" t="n">
        <f aca="false">01_Supuestos!$C$173*Y261</f>
        <v>9.6943644916611</v>
      </c>
      <c r="Z270" s="1" t="n">
        <f aca="false">01_Supuestos!$C$173*Z261</f>
        <v>9.8244642621865</v>
      </c>
      <c r="AA270" s="1" t="n">
        <f aca="false">01_Supuestos!$C$173*AA261</f>
        <v>9.95171519106676</v>
      </c>
      <c r="AB270" s="1" t="n">
        <f aca="false">01_Supuestos!$C$173*AB261</f>
        <v>10.0761121216282</v>
      </c>
      <c r="AC270" s="1" t="n">
        <f aca="false">01_Supuestos!$C$173*AC261</f>
        <v>10.1976490880771</v>
      </c>
      <c r="AD270" s="1" t="n">
        <f aca="false">01_Supuestos!$C$173*AD261</f>
        <v>10.3163197156872</v>
      </c>
      <c r="AE270" s="1" t="n">
        <f aca="false">01_Supuestos!$C$173*AE261</f>
        <v>10.4321178003945</v>
      </c>
      <c r="AF270" s="1" t="n">
        <f aca="false">01_Supuestos!$C$173*AF261</f>
        <v>10.5450372950376</v>
      </c>
    </row>
    <row r="271" customFormat="false" ht="14.25" hidden="false" customHeight="true" outlineLevel="0" collapsed="false">
      <c r="B271" s="1" t="s">
        <v>1266</v>
      </c>
      <c r="C271" s="1" t="n">
        <f aca="false">MIN(C270,C263)</f>
        <v>0.0363636363636364</v>
      </c>
      <c r="D271" s="1" t="n">
        <f aca="false">MIN(D270,D263)</f>
        <v>0.0740109090909091</v>
      </c>
      <c r="E271" s="1" t="n">
        <f aca="false">MIN(E270,E263)</f>
        <v>0.112987130545455</v>
      </c>
      <c r="F271" s="1" t="n">
        <f aca="false">MIN(F270,F263)</f>
        <v>2.14465498286456</v>
      </c>
      <c r="G271" s="1" t="n">
        <f aca="false">MIN(G270,G263)</f>
        <v>2.84815421757095</v>
      </c>
      <c r="H271" s="1" t="n">
        <f aca="false">MIN(H270,H263)</f>
        <v>3.54684728947755</v>
      </c>
      <c r="I271" s="1" t="n">
        <f aca="false">MIN(I270,I263)</f>
        <v>4.25990940270184</v>
      </c>
      <c r="J271" s="1" t="n">
        <f aca="false">MIN(J270,J263)</f>
        <v>4.98950347070938</v>
      </c>
      <c r="K271" s="1" t="n">
        <f aca="false">MIN(K270,K263)</f>
        <v>5.71339698670523</v>
      </c>
      <c r="L271" s="1" t="n">
        <f aca="false">MIN(L270,L263)</f>
        <v>6.46795414568826</v>
      </c>
      <c r="M271" s="1" t="n">
        <f aca="false">MIN(M270,M263)</f>
        <v>7.16411618644293</v>
      </c>
      <c r="N271" s="1" t="n">
        <f aca="false">MIN(N270,N263)</f>
        <v>7.65094822931583</v>
      </c>
      <c r="O271" s="1" t="n">
        <f aca="false">MIN(O270,O263)</f>
        <v>7.92590429302122</v>
      </c>
      <c r="P271" s="1" t="n">
        <f aca="false">MIN(P270,P263)</f>
        <v>8.13599149324136</v>
      </c>
      <c r="Q271" s="1" t="n">
        <f aca="false">MIN(Q270,Q263)</f>
        <v>8.32224139613374</v>
      </c>
      <c r="R271" s="1" t="n">
        <f aca="false">MIN(R270,R263)</f>
        <v>8.51265759645212</v>
      </c>
      <c r="S271" s="1" t="n">
        <f aca="false">MIN(S270,S263)</f>
        <v>8.70738747122227</v>
      </c>
      <c r="T271" s="1" t="n">
        <f aca="false">MIN(T270,T263)</f>
        <v>8.90664754565604</v>
      </c>
      <c r="U271" s="1" t="n">
        <f aca="false">MIN(U270,U263)</f>
        <v>9.11080586691869</v>
      </c>
      <c r="V271" s="1" t="n">
        <f aca="false">MIN(V270,V263)</f>
        <v>9.28111616075604</v>
      </c>
      <c r="W271" s="1" t="n">
        <f aca="false">MIN(W270,W263)</f>
        <v>9.42451115936773</v>
      </c>
      <c r="X271" s="1" t="n">
        <f aca="false">MIN(X270,X263)</f>
        <v>9.56142347218724</v>
      </c>
      <c r="Y271" s="1" t="n">
        <f aca="false">MIN(Y270,Y263)</f>
        <v>9.6943644916611</v>
      </c>
      <c r="Z271" s="1" t="n">
        <f aca="false">MIN(Z270,Z263)</f>
        <v>9.8244642621865</v>
      </c>
      <c r="AA271" s="1" t="n">
        <f aca="false">MIN(AA270,AA263)</f>
        <v>9.95171519106676</v>
      </c>
      <c r="AB271" s="1" t="n">
        <f aca="false">MIN(AB270,AB263)</f>
        <v>10.0761121216282</v>
      </c>
      <c r="AC271" s="1" t="n">
        <f aca="false">MIN(AC270,AC263)</f>
        <v>10.1976490880771</v>
      </c>
      <c r="AD271" s="1" t="n">
        <f aca="false">MIN(AD270,AD263)</f>
        <v>10.3163197156872</v>
      </c>
      <c r="AE271" s="1" t="n">
        <f aca="false">MIN(AE270,AE263)</f>
        <v>10.4321178003945</v>
      </c>
      <c r="AF271" s="1" t="n">
        <f aca="false">MIN(AF270,AF263)</f>
        <v>10.5450372950376</v>
      </c>
    </row>
    <row r="272" customFormat="false" ht="14.25" hidden="false" customHeight="true" outlineLevel="0" collapsed="false">
      <c r="B272" s="1" t="s">
        <v>1267</v>
      </c>
      <c r="C272" s="1" t="n">
        <f aca="false">MIN(C270-C271,MAX(0,C120))</f>
        <v>0.263385253404093</v>
      </c>
      <c r="D272" s="1" t="n">
        <f aca="false">MIN(D270-D271,MAX(0,D120))</f>
        <v>0.72966340240543</v>
      </c>
      <c r="E272" s="1" t="n">
        <f aca="false">MIN(E270-E271,MAX(0,E120))</f>
        <v>1.33024559257695</v>
      </c>
      <c r="F272" s="1" t="n">
        <f aca="false">MIN(F270-F271,MAX(0,F120))</f>
        <v>0</v>
      </c>
      <c r="G272" s="1" t="n">
        <f aca="false">MIN(G270-G271,MAX(0,G120))</f>
        <v>0</v>
      </c>
      <c r="H272" s="1" t="n">
        <f aca="false">MIN(H270-H271,MAX(0,H120))</f>
        <v>0</v>
      </c>
      <c r="I272" s="1" t="n">
        <f aca="false">MIN(I270-I271,MAX(0,I120))</f>
        <v>0</v>
      </c>
      <c r="J272" s="1" t="n">
        <f aca="false">MIN(J270-J271,MAX(0,J120))</f>
        <v>0</v>
      </c>
      <c r="K272" s="1" t="n">
        <f aca="false">MIN(K270-K271,MAX(0,K120))</f>
        <v>0</v>
      </c>
      <c r="L272" s="1" t="n">
        <f aca="false">MIN(L270-L271,MAX(0,L120))</f>
        <v>0</v>
      </c>
      <c r="M272" s="1" t="n">
        <f aca="false">MIN(M270-M271,MAX(0,M120))</f>
        <v>0</v>
      </c>
      <c r="N272" s="1" t="n">
        <f aca="false">MIN(N270-N271,MAX(0,N120))</f>
        <v>0</v>
      </c>
      <c r="O272" s="1" t="n">
        <f aca="false">MIN(O270-O271,MAX(0,O120))</f>
        <v>0</v>
      </c>
      <c r="P272" s="1" t="n">
        <f aca="false">MIN(P270-P271,MAX(0,P120))</f>
        <v>0</v>
      </c>
      <c r="Q272" s="1" t="n">
        <f aca="false">MIN(Q270-Q271,MAX(0,Q120))</f>
        <v>0</v>
      </c>
      <c r="R272" s="1" t="n">
        <f aca="false">MIN(R270-R271,MAX(0,R120))</f>
        <v>0</v>
      </c>
      <c r="S272" s="1" t="n">
        <f aca="false">MIN(S270-S271,MAX(0,S120))</f>
        <v>0</v>
      </c>
      <c r="T272" s="1" t="n">
        <f aca="false">MIN(T270-T271,MAX(0,T120))</f>
        <v>0</v>
      </c>
      <c r="U272" s="1" t="n">
        <f aca="false">MIN(U270-U271,MAX(0,U120))</f>
        <v>0</v>
      </c>
      <c r="V272" s="1" t="n">
        <f aca="false">MIN(V270-V271,MAX(0,V120))</f>
        <v>0</v>
      </c>
      <c r="W272" s="1" t="n">
        <f aca="false">MIN(W270-W271,MAX(0,W120))</f>
        <v>0</v>
      </c>
      <c r="X272" s="1" t="n">
        <f aca="false">MIN(X270-X271,MAX(0,X120))</f>
        <v>0</v>
      </c>
      <c r="Y272" s="1" t="n">
        <f aca="false">MIN(Y270-Y271,MAX(0,Y120))</f>
        <v>0</v>
      </c>
      <c r="Z272" s="1" t="n">
        <f aca="false">MIN(Z270-Z271,MAX(0,Z120))</f>
        <v>0</v>
      </c>
      <c r="AA272" s="1" t="n">
        <f aca="false">MIN(AA270-AA271,MAX(0,AA120))</f>
        <v>0</v>
      </c>
      <c r="AB272" s="1" t="n">
        <f aca="false">MIN(AB270-AB271,MAX(0,AB120))</f>
        <v>0</v>
      </c>
      <c r="AC272" s="1" t="n">
        <f aca="false">MIN(AC270-AC271,MAX(0,AC120))</f>
        <v>0</v>
      </c>
      <c r="AD272" s="1" t="n">
        <f aca="false">MIN(AD270-AD271,MAX(0,AD120))</f>
        <v>0</v>
      </c>
      <c r="AE272" s="1" t="n">
        <f aca="false">MIN(AE270-AE271,MAX(0,AE120))</f>
        <v>0</v>
      </c>
      <c r="AF272" s="1" t="n">
        <f aca="false">MIN(AF270-AF271,MAX(0,AF120))</f>
        <v>0</v>
      </c>
    </row>
    <row r="273" customFormat="false" ht="14.25" hidden="false" customHeight="true" outlineLevel="0" collapsed="false">
      <c r="B273" s="1" t="s">
        <v>1268</v>
      </c>
      <c r="C273" s="1" t="n">
        <f aca="false">C270-C271-C272</f>
        <v>0</v>
      </c>
      <c r="D273" s="1" t="n">
        <f aca="false">D270-D271-D272</f>
        <v>0</v>
      </c>
      <c r="E273" s="1" t="n">
        <f aca="false">E270-E271-E272</f>
        <v>0</v>
      </c>
      <c r="F273" s="1" t="n">
        <f aca="false">F270-F271-F272</f>
        <v>0</v>
      </c>
      <c r="G273" s="1" t="n">
        <f aca="false">G270-G271-G272</f>
        <v>0</v>
      </c>
      <c r="H273" s="1" t="n">
        <f aca="false">H270-H271-H272</f>
        <v>0</v>
      </c>
      <c r="I273" s="1" t="n">
        <f aca="false">I270-I271-I272</f>
        <v>0</v>
      </c>
      <c r="J273" s="1" t="n">
        <f aca="false">J270-J271-J272</f>
        <v>0</v>
      </c>
      <c r="K273" s="1" t="n">
        <f aca="false">K270-K271-K272</f>
        <v>0</v>
      </c>
      <c r="L273" s="1" t="n">
        <f aca="false">L270-L271-L272</f>
        <v>0</v>
      </c>
      <c r="M273" s="1" t="n">
        <f aca="false">M270-M271-M272</f>
        <v>0</v>
      </c>
      <c r="N273" s="1" t="n">
        <f aca="false">N270-N271-N272</f>
        <v>0</v>
      </c>
      <c r="O273" s="1" t="n">
        <f aca="false">O270-O271-O272</f>
        <v>0</v>
      </c>
      <c r="P273" s="1" t="n">
        <f aca="false">P270-P271-P272</f>
        <v>0</v>
      </c>
      <c r="Q273" s="1" t="n">
        <f aca="false">Q270-Q271-Q272</f>
        <v>0</v>
      </c>
      <c r="R273" s="1" t="n">
        <f aca="false">R270-R271-R272</f>
        <v>0</v>
      </c>
      <c r="S273" s="1" t="n">
        <f aca="false">S270-S271-S272</f>
        <v>0</v>
      </c>
      <c r="T273" s="1" t="n">
        <f aca="false">T270-T271-T272</f>
        <v>0</v>
      </c>
      <c r="U273" s="1" t="n">
        <f aca="false">U270-U271-U272</f>
        <v>0</v>
      </c>
      <c r="V273" s="1" t="n">
        <f aca="false">V270-V271-V272</f>
        <v>0</v>
      </c>
      <c r="W273" s="1" t="n">
        <f aca="false">W270-W271-W272</f>
        <v>0</v>
      </c>
      <c r="X273" s="1" t="n">
        <f aca="false">X270-X271-X272</f>
        <v>0</v>
      </c>
      <c r="Y273" s="1" t="n">
        <f aca="false">Y270-Y271-Y272</f>
        <v>0</v>
      </c>
      <c r="Z273" s="1" t="n">
        <f aca="false">Z270-Z271-Z272</f>
        <v>0</v>
      </c>
      <c r="AA273" s="1" t="n">
        <f aca="false">AA270-AA271-AA272</f>
        <v>0</v>
      </c>
      <c r="AB273" s="1" t="n">
        <f aca="false">AB270-AB271-AB272</f>
        <v>0</v>
      </c>
      <c r="AC273" s="1" t="n">
        <f aca="false">AC270-AC271-AC272</f>
        <v>0</v>
      </c>
      <c r="AD273" s="1" t="n">
        <f aca="false">AD270-AD271-AD272</f>
        <v>0</v>
      </c>
      <c r="AE273" s="1" t="n">
        <f aca="false">AE270-AE271-AE272</f>
        <v>0</v>
      </c>
      <c r="AF273" s="1" t="n">
        <f aca="false">AF270-AF271-AF272</f>
        <v>0</v>
      </c>
    </row>
    <row r="274" customFormat="false" ht="14.25" hidden="false" customHeight="true" outlineLevel="0" collapsed="false">
      <c r="B274" s="1" t="s">
        <v>1269</v>
      </c>
      <c r="C274" s="1" t="n">
        <f aca="false">IF(01_Supuestos!$C$174="Sí",01_Supuestos!$C$172*C271,01_Supuestos!$I$134*(C271+MIN(MIN(C270-C271,0),C264))+$C$10*MAX(0,MIN(C270-C271,0)-C264))</f>
        <v>0.000363636363636364</v>
      </c>
      <c r="D274" s="1" t="n">
        <f aca="false">IF(01_Supuestos!$C$174="Sí",01_Supuestos!$C$172*D271,01_Supuestos!$I$134*(D271+MIN(MIN(D270-D271,MAX(0,C120)),D264))+$C$10*MAX(0,MIN(D270-D271,MAX(0,C120))-D264))</f>
        <v>0.00803674311496339</v>
      </c>
      <c r="E274" s="1" t="n">
        <f aca="false">IF(01_Supuestos!$C$174="Sí",01_Supuestos!$C$172*E271,01_Supuestos!$I$134*(E271+MIN(MIN(E270-E271,MAX(0,D120)),E264))+$C$10*MAX(0,MIN(E270-E271,MAX(0,D120))-E264))</f>
        <v>0.014432327231224</v>
      </c>
      <c r="F274" s="1" t="n">
        <f aca="false">IF(01_Supuestos!$C$174="Sí",01_Supuestos!$C$172*F271,01_Supuestos!$I$134*(F271+MIN(MIN(F270-F271,MAX(0,E120)),F264))+$C$10*MAX(0,MIN(F270-F271,MAX(0,E120))-F264))</f>
        <v>0.0214465498286456</v>
      </c>
      <c r="G274" s="1" t="n">
        <f aca="false">IF(01_Supuestos!$C$174="Sí",01_Supuestos!$C$172*G271,01_Supuestos!$I$134*(G271+MIN(MIN(G270-G271,MAX(0,F120)),G264))+$C$10*MAX(0,MIN(G270-G271,MAX(0,F120))-G264))</f>
        <v>0.0284815421757095</v>
      </c>
      <c r="H274" s="1" t="n">
        <f aca="false">IF(01_Supuestos!$C$174="Sí",01_Supuestos!$C$172*H271,01_Supuestos!$I$134*(H271+MIN(MIN(H270-H271,MAX(0,G120)),H264))+$C$10*MAX(0,MIN(H270-H271,MAX(0,G120))-H264))</f>
        <v>0.0354684728947755</v>
      </c>
      <c r="I274" s="1" t="n">
        <f aca="false">IF(01_Supuestos!$C$174="Sí",01_Supuestos!$C$172*I271,01_Supuestos!$I$134*(I271+MIN(MIN(I270-I271,MAX(0,H120)),I264))+$C$10*MAX(0,MIN(I270-I271,MAX(0,H120))-I264))</f>
        <v>0.0425990940270184</v>
      </c>
      <c r="J274" s="1" t="n">
        <f aca="false">IF(01_Supuestos!$C$174="Sí",01_Supuestos!$C$172*J271,01_Supuestos!$I$134*(J271+MIN(MIN(J270-J271,MAX(0,I120)),J264))+$C$10*MAX(0,MIN(J270-J271,MAX(0,I120))-J264))</f>
        <v>0.0498950347070938</v>
      </c>
      <c r="K274" s="1" t="n">
        <f aca="false">IF(01_Supuestos!$C$174="Sí",01_Supuestos!$C$172*K271,01_Supuestos!$I$134*(K271+MIN(MIN(K270-K271,MAX(0,J120)),K264))+$C$10*MAX(0,MIN(K270-K271,MAX(0,J120))-K264))</f>
        <v>0.0571339698670523</v>
      </c>
      <c r="L274" s="1" t="n">
        <f aca="false">IF(01_Supuestos!$C$174="Sí",01_Supuestos!$C$172*L271,01_Supuestos!$I$134*(L271+MIN(MIN(L270-L271,MAX(0,K120)),L264))+$C$10*MAX(0,MIN(L270-L271,MAX(0,K120))-L264))</f>
        <v>0.0646795414568826</v>
      </c>
      <c r="M274" s="1" t="n">
        <f aca="false">IF(01_Supuestos!$C$174="Sí",01_Supuestos!$C$172*M271,01_Supuestos!$I$134*(M271+MIN(MIN(M270-M271,MAX(0,L120)),M264))+$C$10*MAX(0,MIN(M270-M271,MAX(0,L120))-M264))</f>
        <v>0.0716411618644293</v>
      </c>
      <c r="N274" s="1" t="n">
        <f aca="false">IF(01_Supuestos!$C$174="Sí",01_Supuestos!$C$172*N271,01_Supuestos!$I$134*(N271+MIN(MIN(N270-N271,MAX(0,M120)),N264))+$C$10*MAX(0,MIN(N270-N271,MAX(0,M120))-N264))</f>
        <v>0.0765094822931584</v>
      </c>
      <c r="O274" s="1" t="n">
        <f aca="false">IF(01_Supuestos!$C$174="Sí",01_Supuestos!$C$172*O271,01_Supuestos!$I$134*(O271+MIN(MIN(O270-O271,MAX(0,N120)),O264))+$C$10*MAX(0,MIN(O270-O271,MAX(0,N120))-O264))</f>
        <v>0.0792590429302122</v>
      </c>
      <c r="P274" s="1" t="n">
        <f aca="false">IF(01_Supuestos!$C$174="Sí",01_Supuestos!$C$172*P271,01_Supuestos!$I$134*(P271+MIN(MIN(P270-P271,MAX(0,O120)),P264))+$C$10*MAX(0,MIN(P270-P271,MAX(0,O120))-P264))</f>
        <v>0.0813599149324136</v>
      </c>
      <c r="Q274" s="1" t="n">
        <f aca="false">IF(01_Supuestos!$C$174="Sí",01_Supuestos!$C$172*Q271,01_Supuestos!$I$134*(Q271+MIN(MIN(Q270-Q271,MAX(0,P120)),Q264))+$C$10*MAX(0,MIN(Q270-Q271,MAX(0,P120))-Q264))</f>
        <v>0.0832224139613374</v>
      </c>
      <c r="R274" s="1" t="n">
        <f aca="false">IF(01_Supuestos!$C$174="Sí",01_Supuestos!$C$172*R271,01_Supuestos!$I$134*(R271+MIN(MIN(R270-R271,MAX(0,Q120)),R264))+$C$10*MAX(0,MIN(R270-R271,MAX(0,Q120))-R264))</f>
        <v>0.0851265759645212</v>
      </c>
      <c r="S274" s="1" t="n">
        <f aca="false">IF(01_Supuestos!$C$174="Sí",01_Supuestos!$C$172*S271,01_Supuestos!$I$134*(S271+MIN(MIN(S270-S271,MAX(0,R120)),S264))+$C$10*MAX(0,MIN(S270-S271,MAX(0,R120))-S264))</f>
        <v>0.0870738747122227</v>
      </c>
      <c r="T274" s="1" t="n">
        <f aca="false">IF(01_Supuestos!$C$174="Sí",01_Supuestos!$C$172*T271,01_Supuestos!$I$134*(T271+MIN(MIN(T270-T271,MAX(0,S120)),T264))+$C$10*MAX(0,MIN(T270-T271,MAX(0,S120))-T264))</f>
        <v>0.0890664754565604</v>
      </c>
      <c r="U274" s="1" t="n">
        <f aca="false">IF(01_Supuestos!$C$174="Sí",01_Supuestos!$C$172*U271,01_Supuestos!$I$134*(U271+MIN(MIN(U270-U271,MAX(0,T120)),U264))+$C$10*MAX(0,MIN(U270-U271,MAX(0,T120))-U264))</f>
        <v>0.0911080586691869</v>
      </c>
      <c r="V274" s="1" t="n">
        <f aca="false">IF(01_Supuestos!$C$174="Sí",01_Supuestos!$C$172*V271,01_Supuestos!$I$134*(V271+MIN(MIN(V270-V271,MAX(0,U120)),V264))+$C$10*MAX(0,MIN(V270-V271,MAX(0,U120))-V264))</f>
        <v>0.0928111616075604</v>
      </c>
      <c r="W274" s="1" t="n">
        <f aca="false">IF(01_Supuestos!$C$174="Sí",01_Supuestos!$C$172*W271,01_Supuestos!$I$134*(W271+MIN(MIN(W270-W271,MAX(0,V120)),W264))+$C$10*MAX(0,MIN(W270-W271,MAX(0,V120))-W264))</f>
        <v>0.0942451115936773</v>
      </c>
      <c r="X274" s="1" t="n">
        <f aca="false">IF(01_Supuestos!$C$174="Sí",01_Supuestos!$C$172*X271,01_Supuestos!$I$134*(X271+MIN(MIN(X270-X271,MAX(0,W120)),X264))+$C$10*MAX(0,MIN(X270-X271,MAX(0,W120))-X264))</f>
        <v>0.0956142347218724</v>
      </c>
      <c r="Y274" s="1" t="n">
        <f aca="false">IF(01_Supuestos!$C$174="Sí",01_Supuestos!$C$172*Y271,01_Supuestos!$I$134*(Y271+MIN(MIN(Y270-Y271,MAX(0,X120)),Y264))+$C$10*MAX(0,MIN(Y270-Y271,MAX(0,X120))-Y264))</f>
        <v>0.096943644916611</v>
      </c>
      <c r="Z274" s="1" t="n">
        <f aca="false">IF(01_Supuestos!$C$174="Sí",01_Supuestos!$C$172*Z271,01_Supuestos!$I$134*(Z271+MIN(MIN(Z270-Z271,MAX(0,Y120)),Z264))+$C$10*MAX(0,MIN(Z270-Z271,MAX(0,Y120))-Z264))</f>
        <v>0.098244642621865</v>
      </c>
      <c r="AA274" s="1" t="n">
        <f aca="false">IF(01_Supuestos!$C$174="Sí",01_Supuestos!$C$172*AA271,01_Supuestos!$I$134*(AA271+MIN(MIN(AA270-AA271,MAX(0,Z120)),AA264))+$C$10*MAX(0,MIN(AA270-AA271,MAX(0,Z120))-AA264))</f>
        <v>0.0995171519106676</v>
      </c>
      <c r="AB274" s="1" t="n">
        <f aca="false">IF(01_Supuestos!$C$174="Sí",01_Supuestos!$C$172*AB271,01_Supuestos!$I$134*(AB271+MIN(MIN(AB270-AB271,MAX(0,AA120)),AB264))+$C$10*MAX(0,MIN(AB270-AB271,MAX(0,AA120))-AB264))</f>
        <v>0.100761121216282</v>
      </c>
      <c r="AC274" s="1" t="n">
        <f aca="false">IF(01_Supuestos!$C$174="Sí",01_Supuestos!$C$172*AC271,01_Supuestos!$I$134*(AC271+MIN(MIN(AC270-AC271,MAX(0,AB120)),AC264))+$C$10*MAX(0,MIN(AC270-AC271,MAX(0,AB120))-AC264))</f>
        <v>0.101976490880771</v>
      </c>
      <c r="AD274" s="1" t="n">
        <f aca="false">IF(01_Supuestos!$C$174="Sí",01_Supuestos!$C$172*AD271,01_Supuestos!$I$134*(AD271+MIN(MIN(AD270-AD271,MAX(0,AC120)),AD264))+$C$10*MAX(0,MIN(AD270-AD271,MAX(0,AC120))-AD264))</f>
        <v>0.103163197156872</v>
      </c>
      <c r="AE274" s="1" t="n">
        <f aca="false">IF(01_Supuestos!$C$174="Sí",01_Supuestos!$C$172*AE271,01_Supuestos!$I$134*(AE271+MIN(MIN(AE270-AE271,MAX(0,AD120)),AE264))+$C$10*MAX(0,MIN(AE270-AE271,MAX(0,AD120))-AE264))</f>
        <v>0.104321178003945</v>
      </c>
      <c r="AF274" s="1" t="n">
        <f aca="false">IF(01_Supuestos!$C$174="Sí",01_Supuestos!$C$172*AF271,01_Supuestos!$I$134*(AF271+MIN(MIN(AF270-AF271,MAX(0,AE120)),AF264))+$C$10*MAX(0,MIN(AF270-AF271,MAX(0,AE120))-AF264))</f>
        <v>0.105450372950376</v>
      </c>
    </row>
    <row r="275" customFormat="false" ht="14.25" hidden="false" customHeight="true" outlineLevel="0" collapsed="false">
      <c r="B275" s="1" t="s">
        <v>1270</v>
      </c>
      <c r="C275" s="1" t="n">
        <f aca="false">IF(01_Supuestos!$C$174="Sí",$C$171*C271,0)</f>
        <v>0</v>
      </c>
      <c r="D275" s="1" t="n">
        <f aca="false">IF(01_Supuestos!$C$174="Sí",$C$171*D271,0)</f>
        <v>0</v>
      </c>
      <c r="E275" s="1" t="n">
        <f aca="false">IF(01_Supuestos!$C$174="Sí",$C$171*E271,0)</f>
        <v>0</v>
      </c>
      <c r="F275" s="1" t="n">
        <f aca="false">IF(01_Supuestos!$C$174="Sí",$C$171*F271,0)</f>
        <v>0</v>
      </c>
      <c r="G275" s="1" t="n">
        <f aca="false">IF(01_Supuestos!$C$174="Sí",$C$171*G271,0)</f>
        <v>0</v>
      </c>
      <c r="H275" s="1" t="n">
        <f aca="false">IF(01_Supuestos!$C$174="Sí",$C$171*H271,0)</f>
        <v>0</v>
      </c>
      <c r="I275" s="1" t="n">
        <f aca="false">IF(01_Supuestos!$C$174="Sí",$C$171*I271,0)</f>
        <v>0</v>
      </c>
      <c r="J275" s="1" t="n">
        <f aca="false">IF(01_Supuestos!$C$174="Sí",$C$171*J271,0)</f>
        <v>0</v>
      </c>
      <c r="K275" s="1" t="n">
        <f aca="false">IF(01_Supuestos!$C$174="Sí",$C$171*K271,0)</f>
        <v>0</v>
      </c>
      <c r="L275" s="1" t="n">
        <f aca="false">IF(01_Supuestos!$C$174="Sí",$C$171*L271,0)</f>
        <v>0</v>
      </c>
      <c r="M275" s="1" t="n">
        <f aca="false">IF(01_Supuestos!$C$174="Sí",$C$171*M271,0)</f>
        <v>0</v>
      </c>
      <c r="N275" s="1" t="n">
        <f aca="false">IF(01_Supuestos!$C$174="Sí",$C$171*N271,0)</f>
        <v>0</v>
      </c>
      <c r="O275" s="1" t="n">
        <f aca="false">IF(01_Supuestos!$C$174="Sí",$C$171*O271,0)</f>
        <v>0</v>
      </c>
      <c r="P275" s="1" t="n">
        <f aca="false">IF(01_Supuestos!$C$174="Sí",$C$171*P271,0)</f>
        <v>0</v>
      </c>
      <c r="Q275" s="1" t="n">
        <f aca="false">IF(01_Supuestos!$C$174="Sí",$C$171*Q271,0)</f>
        <v>0</v>
      </c>
      <c r="R275" s="1" t="n">
        <f aca="false">IF(01_Supuestos!$C$174="Sí",$C$171*R271,0)</f>
        <v>0</v>
      </c>
      <c r="S275" s="1" t="n">
        <f aca="false">IF(01_Supuestos!$C$174="Sí",$C$171*S271,0)</f>
        <v>0</v>
      </c>
      <c r="T275" s="1" t="n">
        <f aca="false">IF(01_Supuestos!$C$174="Sí",$C$171*T271,0)</f>
        <v>0</v>
      </c>
      <c r="U275" s="1" t="n">
        <f aca="false">IF(01_Supuestos!$C$174="Sí",$C$171*U271,0)</f>
        <v>0</v>
      </c>
      <c r="V275" s="1" t="n">
        <f aca="false">IF(01_Supuestos!$C$174="Sí",$C$171*V271,0)</f>
        <v>0</v>
      </c>
      <c r="W275" s="1" t="n">
        <f aca="false">IF(01_Supuestos!$C$174="Sí",$C$171*W271,0)</f>
        <v>0</v>
      </c>
      <c r="X275" s="1" t="n">
        <f aca="false">IF(01_Supuestos!$C$174="Sí",$C$171*X271,0)</f>
        <v>0</v>
      </c>
      <c r="Y275" s="1" t="n">
        <f aca="false">IF(01_Supuestos!$C$174="Sí",$C$171*Y271,0)</f>
        <v>0</v>
      </c>
      <c r="Z275" s="1" t="n">
        <f aca="false">IF(01_Supuestos!$C$174="Sí",$C$171*Z271,0)</f>
        <v>0</v>
      </c>
      <c r="AA275" s="1" t="n">
        <f aca="false">IF(01_Supuestos!$C$174="Sí",$C$171*AA271,0)</f>
        <v>0</v>
      </c>
      <c r="AB275" s="1" t="n">
        <f aca="false">IF(01_Supuestos!$C$174="Sí",$C$171*AB271,0)</f>
        <v>0</v>
      </c>
      <c r="AC275" s="1" t="n">
        <f aca="false">IF(01_Supuestos!$C$174="Sí",$C$171*AC271,0)</f>
        <v>0</v>
      </c>
      <c r="AD275" s="1" t="n">
        <f aca="false">IF(01_Supuestos!$C$174="Sí",$C$171*AD271,0)</f>
        <v>0</v>
      </c>
      <c r="AE275" s="1" t="n">
        <f aca="false">IF(01_Supuestos!$C$174="Sí",$C$171*AE271,0)</f>
        <v>0</v>
      </c>
      <c r="AF275" s="1" t="n">
        <f aca="false">IF(01_Supuestos!$C$174="Sí",$C$171*AF271,0)</f>
        <v>0</v>
      </c>
    </row>
    <row r="276" customFormat="false" ht="14.25" hidden="false" customHeight="true" outlineLevel="0" collapsed="false">
      <c r="B276" s="1" t="s">
        <v>1271</v>
      </c>
      <c r="C276" s="1" t="n">
        <f aca="false">C120-MAX(C264,C272)</f>
        <v>20.2097389972215</v>
      </c>
      <c r="D276" s="1" t="n">
        <f aca="false">D120-MAX(D264,D272)</f>
        <v>39.5270469670382</v>
      </c>
      <c r="E276" s="1" t="n">
        <f aca="false">E120-MAX(E264,E272)</f>
        <v>59.0510206040927</v>
      </c>
      <c r="F276" s="1" t="n">
        <f aca="false">F120-MAX(F264,F272)</f>
        <v>75.0680610097753</v>
      </c>
      <c r="G276" s="1" t="n">
        <f aca="false">G120-MAX(G264,G272)</f>
        <v>88.2474775601667</v>
      </c>
      <c r="H276" s="1" t="n">
        <f aca="false">H120-MAX(H264,H272)</f>
        <v>100.637529290312</v>
      </c>
      <c r="I276" s="1" t="n">
        <f aca="false">I120-MAX(I264,I272)</f>
        <v>112.882165270235</v>
      </c>
      <c r="J276" s="1" t="n">
        <f aca="false">J120-MAX(J264,J272)</f>
        <v>125.329100790062</v>
      </c>
      <c r="K276" s="1" t="n">
        <f aca="false">K120-MAX(K264,K272)</f>
        <v>139.246866499314</v>
      </c>
      <c r="L276" s="1" t="n">
        <f aca="false">L120-MAX(L264,L272)</f>
        <v>154.639072794466</v>
      </c>
      <c r="M276" s="1" t="n">
        <f aca="false">M120-MAX(M264,M272)</f>
        <v>153.294296791856</v>
      </c>
      <c r="N276" s="1" t="n">
        <f aca="false">N120-MAX(N264,N272)</f>
        <v>154.377274035922</v>
      </c>
      <c r="O276" s="1" t="n">
        <f aca="false">O120-MAX(O264,O272)</f>
        <v>157.303081953889</v>
      </c>
      <c r="P276" s="1" t="n">
        <f aca="false">P120-MAX(P264,P272)</f>
        <v>158.912427478941</v>
      </c>
      <c r="Q276" s="1" t="n">
        <f aca="false">Q120-MAX(Q264,Q272)</f>
        <v>160.023446035868</v>
      </c>
      <c r="R276" s="1" t="n">
        <f aca="false">R120-MAX(R264,R272)</f>
        <v>161.191091849992</v>
      </c>
      <c r="S276" s="1" t="n">
        <f aca="false">S120-MAX(S264,S272)</f>
        <v>162.278625262431</v>
      </c>
      <c r="T276" s="1" t="n">
        <f aca="false">T120-MAX(T264,T272)</f>
        <v>163.219765571689</v>
      </c>
      <c r="U276" s="1" t="n">
        <f aca="false">U120-MAX(U264,U272)</f>
        <v>164.019078678014</v>
      </c>
      <c r="V276" s="1" t="n">
        <f aca="false">V120-MAX(V264,V272)</f>
        <v>164.801559283896</v>
      </c>
      <c r="W276" s="1" t="n">
        <f aca="false">W120-MAX(W264,W272)</f>
        <v>165.452419859702</v>
      </c>
      <c r="X276" s="1" t="n">
        <f aca="false">X120-MAX(X264,X272)</f>
        <v>165.877000467597</v>
      </c>
      <c r="Y276" s="1" t="n">
        <f aca="false">Y120-MAX(Y264,Y272)</f>
        <v>166.129990060813</v>
      </c>
      <c r="Z276" s="1" t="n">
        <f aca="false">Z120-MAX(Z264,Z272)</f>
        <v>166.239882908578</v>
      </c>
      <c r="AA276" s="1" t="n">
        <f aca="false">AA120-MAX(AA264,AA272)</f>
        <v>166.212981099003</v>
      </c>
      <c r="AB276" s="1" t="n">
        <f aca="false">AB120-MAX(AB264,AB272)</f>
        <v>166.055358326216</v>
      </c>
      <c r="AC276" s="1" t="n">
        <f aca="false">AC120-MAX(AC264,AC272)</f>
        <v>165.772903323935</v>
      </c>
      <c r="AD276" s="1" t="n">
        <f aca="false">AD120-MAX(AD264,AD272)</f>
        <v>165.37134923104</v>
      </c>
      <c r="AE276" s="1" t="n">
        <f aca="false">AE120-MAX(AE264,AE272)</f>
        <v>164.856305856152</v>
      </c>
      <c r="AF276" s="1" t="n">
        <f aca="false">AF120-MAX(AF264,AF272)</f>
        <v>164.233279606156</v>
      </c>
    </row>
    <row r="277" customFormat="false" ht="14.25" hidden="false" customHeight="true" outlineLevel="0" collapsed="false">
      <c r="B277" s="84" t="s">
        <v>1272</v>
      </c>
      <c r="C277" s="1" t="n">
        <f aca="false">IF(01_Supuestos!$C$174="Sí",C271,0)</f>
        <v>0</v>
      </c>
      <c r="D277" s="1" t="n">
        <f aca="false">IF(01_Supuestos!$C$174="Sí",D271,0)</f>
        <v>0</v>
      </c>
      <c r="E277" s="1" t="n">
        <f aca="false">IF(01_Supuestos!$C$174="Sí",E271,0)</f>
        <v>0</v>
      </c>
      <c r="F277" s="1" t="n">
        <f aca="false">IF(01_Supuestos!$C$174="Sí",F271,0)</f>
        <v>0</v>
      </c>
      <c r="G277" s="1" t="n">
        <f aca="false">IF(01_Supuestos!$C$174="Sí",G271,0)</f>
        <v>0</v>
      </c>
      <c r="H277" s="1" t="n">
        <f aca="false">IF(01_Supuestos!$C$174="Sí",H271,0)</f>
        <v>0</v>
      </c>
      <c r="I277" s="1" t="n">
        <f aca="false">IF(01_Supuestos!$C$174="Sí",I271,0)</f>
        <v>0</v>
      </c>
      <c r="J277" s="1" t="n">
        <f aca="false">IF(01_Supuestos!$C$174="Sí",J271,0)</f>
        <v>0</v>
      </c>
      <c r="K277" s="1" t="n">
        <f aca="false">IF(01_Supuestos!$C$174="Sí",K271,0)</f>
        <v>0</v>
      </c>
      <c r="L277" s="1" t="n">
        <f aca="false">IF(01_Supuestos!$C$174="Sí",L271,0)</f>
        <v>0</v>
      </c>
      <c r="M277" s="1" t="n">
        <f aca="false">IF(01_Supuestos!$C$174="Sí",M271,0)</f>
        <v>0</v>
      </c>
      <c r="N277" s="1" t="n">
        <f aca="false">IF(01_Supuestos!$C$174="Sí",N271,0)</f>
        <v>0</v>
      </c>
      <c r="O277" s="1" t="n">
        <f aca="false">IF(01_Supuestos!$C$174="Sí",O271,0)</f>
        <v>0</v>
      </c>
      <c r="P277" s="1" t="n">
        <f aca="false">IF(01_Supuestos!$C$174="Sí",P271,0)</f>
        <v>0</v>
      </c>
      <c r="Q277" s="1" t="n">
        <f aca="false">IF(01_Supuestos!$C$174="Sí",Q271,0)</f>
        <v>0</v>
      </c>
      <c r="R277" s="1" t="n">
        <f aca="false">IF(01_Supuestos!$C$174="Sí",R271,0)</f>
        <v>0</v>
      </c>
      <c r="S277" s="1" t="n">
        <f aca="false">IF(01_Supuestos!$C$174="Sí",S271,0)</f>
        <v>0</v>
      </c>
      <c r="T277" s="1" t="n">
        <f aca="false">IF(01_Supuestos!$C$174="Sí",T271,0)</f>
        <v>0</v>
      </c>
      <c r="U277" s="1" t="n">
        <f aca="false">IF(01_Supuestos!$C$174="Sí",U271,0)</f>
        <v>0</v>
      </c>
      <c r="V277" s="1" t="n">
        <f aca="false">IF(01_Supuestos!$C$174="Sí",V271,0)</f>
        <v>0</v>
      </c>
      <c r="W277" s="1" t="n">
        <f aca="false">IF(01_Supuestos!$C$174="Sí",W271,0)</f>
        <v>0</v>
      </c>
      <c r="X277" s="1" t="n">
        <f aca="false">IF(01_Supuestos!$C$174="Sí",X271,0)</f>
        <v>0</v>
      </c>
      <c r="Y277" s="1" t="n">
        <f aca="false">IF(01_Supuestos!$C$174="Sí",Y271,0)</f>
        <v>0</v>
      </c>
      <c r="Z277" s="1" t="n">
        <f aca="false">IF(01_Supuestos!$C$174="Sí",Z271,0)</f>
        <v>0</v>
      </c>
      <c r="AA277" s="1" t="n">
        <f aca="false">IF(01_Supuestos!$C$174="Sí",AA271,0)</f>
        <v>0</v>
      </c>
      <c r="AB277" s="1" t="n">
        <f aca="false">IF(01_Supuestos!$C$174="Sí",AB271,0)</f>
        <v>0</v>
      </c>
      <c r="AC277" s="1" t="n">
        <f aca="false">IF(01_Supuestos!$C$174="Sí",AC271,0)</f>
        <v>0</v>
      </c>
      <c r="AD277" s="1" t="n">
        <f aca="false">IF(01_Supuestos!$C$174="Sí",AD271,0)</f>
        <v>0</v>
      </c>
      <c r="AE277" s="1" t="n">
        <f aca="false">IF(01_Supuestos!$C$174="Sí",AE271,0)</f>
        <v>0</v>
      </c>
      <c r="AF277" s="1" t="n">
        <f aca="false">IF(01_Supuestos!$C$174="Sí",AF271,0)</f>
        <v>0</v>
      </c>
    </row>
    <row r="278" customFormat="false" ht="14.25" hidden="false" customHeight="true" outlineLevel="0" collapsed="false">
      <c r="B278" s="144" t="s">
        <v>1273</v>
      </c>
    </row>
    <row r="279" customFormat="false" ht="14.25" hidden="false" customHeight="true" outlineLevel="0" collapsed="false">
      <c r="B279" s="84" t="s">
        <v>1274</v>
      </c>
      <c r="C279" s="145" t="n">
        <f aca="false">01_Supuestos!$C$175</f>
        <v>0.42</v>
      </c>
    </row>
    <row r="280" customFormat="false" ht="14.25" hidden="false" customHeight="true" outlineLevel="0" collapsed="false">
      <c r="B280" s="84" t="s">
        <v>1275</v>
      </c>
      <c r="C280" s="1" t="n">
        <f aca="false">01_Supuestos!$C$176</f>
        <v>20</v>
      </c>
    </row>
    <row r="281" customFormat="false" ht="14.25" hidden="false" customHeight="true" outlineLevel="0" collapsed="false">
      <c r="B281" s="84" t="s">
        <v>1276</v>
      </c>
      <c r="C281" s="1" t="n">
        <f aca="false">01_Supuestos!$C$177</f>
        <v>5</v>
      </c>
    </row>
    <row r="282" customFormat="false" ht="14.25" hidden="false" customHeight="true" outlineLevel="0" collapsed="false">
      <c r="B282" s="84" t="s">
        <v>1277</v>
      </c>
      <c r="C282" s="1" t="n">
        <f aca="false">01_Supuestos!$C$178</f>
        <v>10</v>
      </c>
    </row>
    <row r="283" customFormat="false" ht="14.25" hidden="false" customHeight="true" outlineLevel="0" collapsed="false">
      <c r="B283" s="144" t="s">
        <v>1278</v>
      </c>
    </row>
    <row r="284" customFormat="false" ht="14.25" hidden="false" customHeight="true" outlineLevel="0" collapsed="false">
      <c r="B284" s="84" t="s">
        <v>1279</v>
      </c>
      <c r="C284" s="1" t="n">
        <f aca="false">$C$279*C87</f>
        <v>2.15158778078157</v>
      </c>
      <c r="D284" s="1" t="n">
        <f aca="false">$C$279*D87</f>
        <v>5.60164986037079</v>
      </c>
      <c r="E284" s="1" t="n">
        <f aca="false">$C$279*E87</f>
        <v>9.7086560997431</v>
      </c>
      <c r="F284" s="1" t="n">
        <f aca="false">$C$279*F87</f>
        <v>12.2301621893589</v>
      </c>
      <c r="G284" s="1" t="n">
        <f aca="false">$C$279*G87</f>
        <v>14.8794201054532</v>
      </c>
      <c r="H284" s="1" t="n">
        <f aca="false">$C$279*H87</f>
        <v>18.185176948938</v>
      </c>
      <c r="I284" s="1" t="n">
        <f aca="false">$C$279*I87</f>
        <v>21.9383193693201</v>
      </c>
      <c r="J284" s="1" t="n">
        <f aca="false">$C$279*J87</f>
        <v>26.0994260542934</v>
      </c>
      <c r="K284" s="1" t="n">
        <f aca="false">$C$279*K87</f>
        <v>31.6869826530955</v>
      </c>
      <c r="L284" s="1" t="n">
        <f aca="false">$C$279*L87</f>
        <v>37.4171296022407</v>
      </c>
      <c r="M284" s="1" t="n">
        <f aca="false">$C$279*M87</f>
        <v>47.2982423405846</v>
      </c>
      <c r="N284" s="1" t="n">
        <f aca="false">$C$279*N87</f>
        <v>53.3771310372805</v>
      </c>
      <c r="O284" s="1" t="n">
        <f aca="false">$C$279*O87</f>
        <v>54.5062211077292</v>
      </c>
      <c r="P284" s="1" t="n">
        <f aca="false">$C$279*P87</f>
        <v>55.7081812573871</v>
      </c>
      <c r="Q284" s="1" t="n">
        <f aca="false">$C$279*Q87</f>
        <v>56.9820050940612</v>
      </c>
      <c r="R284" s="1" t="n">
        <f aca="false">$C$279*R87</f>
        <v>58.3234297112359</v>
      </c>
      <c r="S284" s="1" t="n">
        <f aca="false">$C$279*S87</f>
        <v>59.728116107921</v>
      </c>
      <c r="T284" s="1" t="n">
        <f aca="false">$C$279*T87</f>
        <v>61.187596204937</v>
      </c>
      <c r="U284" s="1" t="n">
        <f aca="false">$C$279*U87</f>
        <v>62.6843079560351</v>
      </c>
      <c r="V284" s="1" t="n">
        <f aca="false">$C$279*V87</f>
        <v>63.8500004473747</v>
      </c>
      <c r="W284" s="1" t="n">
        <f aca="false">$C$279*W87</f>
        <v>64.7905754171819</v>
      </c>
      <c r="X284" s="1" t="n">
        <f aca="false">$C$279*X87</f>
        <v>65.711491172585</v>
      </c>
      <c r="Y284" s="1" t="n">
        <f aca="false">$C$279*Y87</f>
        <v>66.6128038808131</v>
      </c>
      <c r="Z284" s="1" t="n">
        <f aca="false">$C$279*Z87</f>
        <v>67.4945713788817</v>
      </c>
      <c r="AA284" s="1" t="n">
        <f aca="false">$C$279*AA87</f>
        <v>68.3568530589613</v>
      </c>
      <c r="AB284" s="1" t="n">
        <f aca="false">$C$279*AB87</f>
        <v>69.199602551188</v>
      </c>
      <c r="AC284" s="1" t="n">
        <f aca="false">$C$279*AC87</f>
        <v>70.0227748252165</v>
      </c>
      <c r="AD284" s="1" t="n">
        <f aca="false">$C$279*AD87</f>
        <v>70.8263260886862</v>
      </c>
      <c r="AE284" s="1" t="n">
        <f aca="false">$C$279*AE87</f>
        <v>71.610213689544</v>
      </c>
      <c r="AF284" s="1" t="n">
        <f aca="false">$C$279*AF87</f>
        <v>72.3743960219886</v>
      </c>
    </row>
    <row r="285" customFormat="false" ht="14.25" hidden="false" customHeight="true" outlineLevel="0" collapsed="false">
      <c r="B285" s="84" t="s">
        <v>1280</v>
      </c>
      <c r="C285" s="1" t="n">
        <f aca="false">MAX(0/$C$280,0-C284)</f>
        <v>0</v>
      </c>
      <c r="D285" s="1" t="n">
        <f aca="false">MAX(C284*(1-$C$340)/$C$280,C284-D341-D284)</f>
        <v>0.106503595148688</v>
      </c>
      <c r="E285" s="1" t="n">
        <f aca="false">MAX(D284*(1-$C$340)/$C$280,D284-E341-E284)</f>
        <v>0.277281668088354</v>
      </c>
      <c r="F285" s="1" t="n">
        <f aca="false">MAX(E284*(1-$C$340)/$C$280,E284-F341-F284)</f>
        <v>0.480578476937284</v>
      </c>
      <c r="G285" s="1" t="n">
        <f aca="false">MAX(F284*(1-$C$340)/$C$280,F284-G341-G284)</f>
        <v>0.605393028373265</v>
      </c>
      <c r="H285" s="1" t="n">
        <f aca="false">MAX(G284*(1-$C$340)/$C$280,G284-H341-H284)</f>
        <v>0.736531295219932</v>
      </c>
      <c r="I285" s="1" t="n">
        <f aca="false">MAX(H284*(1-$C$340)/$C$280,H284-I341-I284)</f>
        <v>0.900166258972432</v>
      </c>
      <c r="J285" s="1" t="n">
        <f aca="false">MAX(I284*(1-$C$340)/$C$280,I284-J341-J284)</f>
        <v>1.08594680878135</v>
      </c>
      <c r="K285" s="1" t="n">
        <f aca="false">MAX(J284*(1-$C$340)/$C$280,J284-K341-K284)</f>
        <v>1.29192158968752</v>
      </c>
      <c r="L285" s="1" t="n">
        <f aca="false">MAX(K284*(1-$C$340)/$C$280,K284-L341-L284)</f>
        <v>1.56850564132823</v>
      </c>
      <c r="M285" s="1" t="n">
        <f aca="false">MAX(L284*(1-$C$340)/$C$280,L284-M341-M284)</f>
        <v>1.85214791531091</v>
      </c>
      <c r="N285" s="1" t="n">
        <f aca="false">MAX(M284*(1-$C$340)/$C$280,M284-N341-N284)</f>
        <v>2.34126299585894</v>
      </c>
      <c r="O285" s="1" t="n">
        <f aca="false">MAX(N284*(1-$C$340)/$C$280,N284-O341-O284)</f>
        <v>2.64216798634539</v>
      </c>
      <c r="P285" s="1" t="n">
        <f aca="false">MAX(O284*(1-$C$340)/$C$280,O284-P341-P284)</f>
        <v>2.69805794483259</v>
      </c>
      <c r="Q285" s="1" t="n">
        <f aca="false">MAX(P284*(1-$C$340)/$C$280,P284-Q341-Q284)</f>
        <v>2.75755497224066</v>
      </c>
      <c r="R285" s="1" t="n">
        <f aca="false">MAX(Q284*(1-$C$340)/$C$280,Q284-R341-R284)</f>
        <v>2.82060925215603</v>
      </c>
      <c r="S285" s="1" t="n">
        <f aca="false">MAX(R284*(1-$C$340)/$C$280,R284-S341-S284)</f>
        <v>2.88700977070618</v>
      </c>
      <c r="T285" s="1" t="n">
        <f aca="false">MAX(S284*(1-$C$340)/$C$280,S284-T341-T284)</f>
        <v>2.95654174734209</v>
      </c>
      <c r="U285" s="1" t="n">
        <f aca="false">MAX(T284*(1-$C$340)/$C$280,T284-U341-U284)</f>
        <v>3.02878601214438</v>
      </c>
      <c r="V285" s="1" t="n">
        <f aca="false">MAX(U284*(1-$C$340)/$C$280,U284-V341-V284)</f>
        <v>3.10287324382374</v>
      </c>
      <c r="W285" s="1" t="n">
        <f aca="false">MAX(V284*(1-$C$340)/$C$280,V284-W341-W284)</f>
        <v>3.16057502214505</v>
      </c>
      <c r="X285" s="1" t="n">
        <f aca="false">MAX(W284*(1-$C$340)/$C$280,W284-X341-X284)</f>
        <v>3.20713348315051</v>
      </c>
      <c r="Y285" s="1" t="n">
        <f aca="false">MAX(X284*(1-$C$340)/$C$280,X284-Y341-Y284)</f>
        <v>3.25271881304296</v>
      </c>
      <c r="Z285" s="1" t="n">
        <f aca="false">MAX(Y284*(1-$C$340)/$C$280,Y284-Z341-Z284)</f>
        <v>3.29733379210025</v>
      </c>
      <c r="AA285" s="1" t="n">
        <f aca="false">MAX(Z284*(1-$C$340)/$C$280,Z284-AA341-AA284)</f>
        <v>3.34098128325465</v>
      </c>
      <c r="AB285" s="1" t="n">
        <f aca="false">MAX(AA284*(1-$C$340)/$C$280,AA284-AB341-AB284)</f>
        <v>3.38366422641858</v>
      </c>
      <c r="AC285" s="1" t="n">
        <f aca="false">MAX(AB284*(1-$C$340)/$C$280,AB284-AC341-AC284)</f>
        <v>3.42538032628381</v>
      </c>
      <c r="AD285" s="1" t="n">
        <f aca="false">MAX(AC284*(1-$C$340)/$C$280,AC284-AD341-AD284)</f>
        <v>3.46612735384822</v>
      </c>
      <c r="AE285" s="1" t="n">
        <f aca="false">MAX(AD284*(1-$C$340)/$C$280,AD284-AE341-AE284)</f>
        <v>3.50590314138997</v>
      </c>
      <c r="AF285" s="1" t="n">
        <f aca="false">MAX(AE284*(1-$C$340)/$C$280,AE284-AF341-AF284)</f>
        <v>3.54470557763243</v>
      </c>
    </row>
    <row r="286" customFormat="false" ht="14.25" hidden="false" customHeight="true" outlineLevel="0" collapsed="false">
      <c r="B286" s="84" t="s">
        <v>1281</v>
      </c>
      <c r="C286" s="1" t="n">
        <f aca="false">C284-0+C285</f>
        <v>2.15158778078157</v>
      </c>
      <c r="D286" s="1" t="n">
        <f aca="false">D284-C284+D285+D341</f>
        <v>3.57808155254572</v>
      </c>
      <c r="E286" s="1" t="n">
        <f aca="false">E284-D284+E285+E341</f>
        <v>4.44030440606438</v>
      </c>
      <c r="F286" s="1" t="n">
        <f aca="false">F284-E284+F285+F341</f>
        <v>3.0991711275505</v>
      </c>
      <c r="G286" s="1" t="n">
        <f aca="false">G284-F284+G285+G341</f>
        <v>3.37695256636115</v>
      </c>
      <c r="H286" s="1" t="n">
        <f aca="false">H284-G284+H285+H341</f>
        <v>4.1910823397593</v>
      </c>
      <c r="I286" s="1" t="n">
        <f aca="false">I284-H284+I285+I341</f>
        <v>4.83516044884394</v>
      </c>
      <c r="J286" s="1" t="n">
        <f aca="false">J284-I284+J285+J341</f>
        <v>5.4664366874478</v>
      </c>
      <c r="K286" s="1" t="n">
        <f aca="false">K284-J284+K285+K341</f>
        <v>7.14047244903256</v>
      </c>
      <c r="L286" s="1" t="n">
        <f aca="false">L284-K284+L285+L341</f>
        <v>7.61552241700437</v>
      </c>
      <c r="M286" s="1" t="n">
        <f aca="false">M284-L284+M285+M341</f>
        <v>12.1074319496772</v>
      </c>
      <c r="N286" s="1" t="n">
        <f aca="false">N284-M284+N285+N341</f>
        <v>8.89313411596073</v>
      </c>
      <c r="O286" s="1" t="n">
        <f aca="false">O284-N284+O285+O341</f>
        <v>4.30502936716685</v>
      </c>
      <c r="P286" s="1" t="n">
        <f aca="false">P284-O284+P285+P341</f>
        <v>4.44508030556783</v>
      </c>
      <c r="Q286" s="1" t="n">
        <f aca="false">Q284-P284+Q285+Q341</f>
        <v>4.58846062148857</v>
      </c>
      <c r="R286" s="1" t="n">
        <f aca="false">R284-Q284+R285+R341</f>
        <v>4.73185392027135</v>
      </c>
      <c r="S286" s="1" t="n">
        <f aca="false">S284-R284+S285+S341</f>
        <v>4.87493046450367</v>
      </c>
      <c r="T286" s="1" t="n">
        <f aca="false">T284-S284+T285+T341</f>
        <v>5.01330300543728</v>
      </c>
      <c r="U286" s="1" t="n">
        <f aca="false">U284-T284+U285+U341</f>
        <v>5.1373737252919</v>
      </c>
      <c r="V286" s="1" t="n">
        <f aca="false">V284-U284+V285+V341</f>
        <v>4.89540881472365</v>
      </c>
      <c r="W286" s="1" t="n">
        <f aca="false">W284-V284+W285+W341</f>
        <v>4.73964999642605</v>
      </c>
      <c r="X286" s="1" t="n">
        <f aca="false">X284-W284+X285+X341</f>
        <v>4.77595499272534</v>
      </c>
      <c r="Y286" s="1" t="n">
        <f aca="false">Y284-X284+Y285+Y341</f>
        <v>4.81114643299691</v>
      </c>
      <c r="Z286" s="1" t="n">
        <f aca="false">Z284-Y284+Z285+Z341</f>
        <v>4.84522932897705</v>
      </c>
      <c r="AA286" s="1" t="n">
        <f aca="false">AA284-Z284+AA285+AA341</f>
        <v>4.87820867712303</v>
      </c>
      <c r="AB286" s="1" t="n">
        <f aca="false">AB284-AA284+AB285+AB341</f>
        <v>4.90998224923491</v>
      </c>
      <c r="AC286" s="1" t="n">
        <f aca="false">AC284-AB284+AC285+AC341</f>
        <v>4.94054862582419</v>
      </c>
      <c r="AD286" s="1" t="n">
        <f aca="false">AD284-AC284+AD285+AD341</f>
        <v>4.96990636557005</v>
      </c>
      <c r="AE286" s="1" t="n">
        <f aca="false">AE284-AD284+AE285+AE341</f>
        <v>4.99805400313462</v>
      </c>
      <c r="AF286" s="1" t="n">
        <f aca="false">AF284-AE284+AF285+AF341</f>
        <v>5.0249900469725</v>
      </c>
    </row>
    <row r="287" customFormat="false" ht="14.25" hidden="false" customHeight="true" outlineLevel="0" collapsed="false">
      <c r="B287" s="84" t="s">
        <v>1282</v>
      </c>
      <c r="C287" s="1" t="n">
        <f aca="false">C284*(1-$C$340)*$C$175</f>
        <v>0.0915930918278716</v>
      </c>
      <c r="D287" s="1" t="n">
        <f aca="false">D284*(1-$C$340)*$C$175</f>
        <v>0.238462234555984</v>
      </c>
      <c r="E287" s="1" t="n">
        <f aca="false">E284*(1-$C$340)*$C$175</f>
        <v>0.413297490166064</v>
      </c>
      <c r="F287" s="1" t="n">
        <f aca="false">F284*(1-$C$340)*$C$175</f>
        <v>0.520638004401008</v>
      </c>
      <c r="G287" s="1" t="n">
        <f aca="false">G284*(1-$C$340)*$C$175</f>
        <v>0.633416913889142</v>
      </c>
      <c r="H287" s="1" t="n">
        <f aca="false">H284*(1-$C$340)*$C$175</f>
        <v>0.774142982716291</v>
      </c>
      <c r="I287" s="1" t="n">
        <f aca="false">I284*(1-$C$340)*$C$175</f>
        <v>0.933914255551958</v>
      </c>
      <c r="J287" s="1" t="n">
        <f aca="false">J284*(1-$C$340)*$C$175</f>
        <v>1.11105256713127</v>
      </c>
      <c r="K287" s="1" t="n">
        <f aca="false">K284*(1-$C$340)*$C$175</f>
        <v>1.34891485154227</v>
      </c>
      <c r="L287" s="1" t="n">
        <f aca="false">L284*(1-$C$340)*$C$175</f>
        <v>1.59284720716739</v>
      </c>
      <c r="M287" s="1" t="n">
        <f aca="false">M284*(1-$C$340)*$C$175</f>
        <v>2.01348617643869</v>
      </c>
      <c r="N287" s="1" t="n">
        <f aca="false">N284*(1-$C$340)*$C$175</f>
        <v>2.27226446825703</v>
      </c>
      <c r="O287" s="1" t="n">
        <f aca="false">O284*(1-$C$340)*$C$175</f>
        <v>2.32032983255603</v>
      </c>
      <c r="P287" s="1" t="n">
        <f aca="false">P284*(1-$C$340)*$C$175</f>
        <v>2.37149727612697</v>
      </c>
      <c r="Q287" s="1" t="n">
        <f aca="false">Q284*(1-$C$340)*$C$175</f>
        <v>2.42572395685418</v>
      </c>
      <c r="R287" s="1" t="n">
        <f aca="false">R284*(1-$C$340)*$C$175</f>
        <v>2.48282840280731</v>
      </c>
      <c r="S287" s="1" t="n">
        <f aca="false">S284*(1-$C$340)*$C$175</f>
        <v>2.5426259027142</v>
      </c>
      <c r="T287" s="1" t="n">
        <f aca="false">T284*(1-$C$340)*$C$175</f>
        <v>2.60475597044417</v>
      </c>
      <c r="U287" s="1" t="n">
        <f aca="false">U284*(1-$C$340)*$C$175</f>
        <v>2.66847098968842</v>
      </c>
      <c r="V287" s="1" t="n">
        <f aca="false">V284*(1-$C$340)*$C$175</f>
        <v>2.71809451904474</v>
      </c>
      <c r="W287" s="1" t="n">
        <f aca="false">W284*(1-$C$340)*$C$175</f>
        <v>2.75813479550944</v>
      </c>
      <c r="X287" s="1" t="n">
        <f aca="false">X284*(1-$C$340)*$C$175</f>
        <v>2.79733817921694</v>
      </c>
      <c r="Y287" s="1" t="n">
        <f aca="false">Y284*(1-$C$340)*$C$175</f>
        <v>2.83570706120621</v>
      </c>
      <c r="Z287" s="1" t="n">
        <f aca="false">Z284*(1-$C$340)*$C$175</f>
        <v>2.873243903599</v>
      </c>
      <c r="AA287" s="1" t="n">
        <f aca="false">AA284*(1-$C$340)*$C$175</f>
        <v>2.90995123471998</v>
      </c>
      <c r="AB287" s="1" t="n">
        <f aca="false">AB284*(1-$C$340)*$C$175</f>
        <v>2.94582708060407</v>
      </c>
      <c r="AC287" s="1" t="n">
        <f aca="false">AC284*(1-$C$340)*$C$175</f>
        <v>2.98086952430947</v>
      </c>
      <c r="AD287" s="1" t="n">
        <f aca="false">AD284*(1-$C$340)*$C$175</f>
        <v>3.01507670159537</v>
      </c>
      <c r="AE287" s="1" t="n">
        <f aca="false">AE284*(1-$C$340)*$C$175</f>
        <v>3.04844679676389</v>
      </c>
      <c r="AF287" s="1" t="n">
        <f aca="false">AF284*(1-$C$340)*$C$175</f>
        <v>3.08097803865606</v>
      </c>
    </row>
    <row r="288" customFormat="false" ht="14.25" hidden="false" customHeight="true" outlineLevel="0" collapsed="false">
      <c r="B288" s="144" t="s">
        <v>1283</v>
      </c>
    </row>
    <row r="289" customFormat="false" ht="14.25" hidden="false" customHeight="true" outlineLevel="0" collapsed="false">
      <c r="B289" s="84" t="s">
        <v>1279</v>
      </c>
      <c r="C289" s="1" t="n">
        <f aca="false">(1-$C$279)*C87</f>
        <v>2.97124026869837</v>
      </c>
      <c r="D289" s="1" t="n">
        <f aca="false">(1-$C$279)*D87</f>
        <v>7.73561171194062</v>
      </c>
      <c r="E289" s="1" t="n">
        <f aca="false">(1-$C$279)*E87</f>
        <v>13.4071917567881</v>
      </c>
      <c r="F289" s="1" t="n">
        <f aca="false">(1-$C$279)*F87</f>
        <v>16.8892715948289</v>
      </c>
      <c r="G289" s="1" t="n">
        <f aca="false">(1-$C$279)*G87</f>
        <v>20.5477706218163</v>
      </c>
      <c r="H289" s="1" t="n">
        <f aca="false">(1-$C$279)*H87</f>
        <v>25.1128634056763</v>
      </c>
      <c r="I289" s="1" t="n">
        <f aca="false">(1-$C$279)*I87</f>
        <v>30.2957743671564</v>
      </c>
      <c r="J289" s="1" t="n">
        <f aca="false">(1-$C$279)*J87</f>
        <v>36.0420645511671</v>
      </c>
      <c r="K289" s="1" t="n">
        <f aca="false">(1-$C$279)*K87</f>
        <v>43.758214139989</v>
      </c>
      <c r="L289" s="1" t="n">
        <f aca="false">(1-$C$279)*L87</f>
        <v>51.6712742126181</v>
      </c>
      <c r="M289" s="1" t="n">
        <f aca="false">(1-$C$279)*M87</f>
        <v>65.316620375093</v>
      </c>
      <c r="N289" s="1" t="n">
        <f aca="false">(1-$C$279)*N87</f>
        <v>73.7112761943398</v>
      </c>
      <c r="O289" s="1" t="n">
        <f aca="false">(1-$C$279)*O87</f>
        <v>75.2704958154355</v>
      </c>
      <c r="P289" s="1" t="n">
        <f aca="false">(1-$C$279)*P87</f>
        <v>76.9303455459155</v>
      </c>
      <c r="Q289" s="1" t="n">
        <f aca="false">(1-$C$279)*Q87</f>
        <v>78.6894356060845</v>
      </c>
      <c r="R289" s="1" t="n">
        <f aca="false">(1-$C$279)*R87</f>
        <v>80.54187912504</v>
      </c>
      <c r="S289" s="1" t="n">
        <f aca="false">(1-$C$279)*S87</f>
        <v>82.4816841490338</v>
      </c>
      <c r="T289" s="1" t="n">
        <f aca="false">(1-$C$279)*T87</f>
        <v>84.4971566639606</v>
      </c>
      <c r="U289" s="1" t="n">
        <f aca="false">(1-$C$279)*U87</f>
        <v>86.564044320239</v>
      </c>
      <c r="V289" s="1" t="n">
        <f aca="false">(1-$C$279)*V87</f>
        <v>88.1738101416127</v>
      </c>
      <c r="W289" s="1" t="n">
        <f aca="false">(1-$C$279)*W87</f>
        <v>89.4726993856322</v>
      </c>
      <c r="X289" s="1" t="n">
        <f aca="false">(1-$C$279)*X87</f>
        <v>90.7444401907126</v>
      </c>
      <c r="Y289" s="1" t="n">
        <f aca="false">(1-$C$279)*Y87</f>
        <v>91.9891101211228</v>
      </c>
      <c r="Z289" s="1" t="n">
        <f aca="false">(1-$C$279)*Z87</f>
        <v>93.2067890470272</v>
      </c>
      <c r="AA289" s="1" t="n">
        <f aca="false">(1-$C$279)*AA87</f>
        <v>94.3975589861847</v>
      </c>
      <c r="AB289" s="1" t="n">
        <f aca="false">(1-$C$279)*AB87</f>
        <v>95.5613559040215</v>
      </c>
      <c r="AC289" s="1" t="n">
        <f aca="false">(1-$C$279)*AC87</f>
        <v>96.6981176157752</v>
      </c>
      <c r="AD289" s="1" t="n">
        <f aca="false">(1-$C$279)*AD87</f>
        <v>97.8077836462809</v>
      </c>
      <c r="AE289" s="1" t="n">
        <f aca="false">(1-$C$279)*AE87</f>
        <v>98.8902950950846</v>
      </c>
      <c r="AF289" s="1" t="n">
        <f aca="false">(1-$C$279)*AF87</f>
        <v>99.9455945065557</v>
      </c>
    </row>
    <row r="290" customFormat="false" ht="14.25" hidden="false" customHeight="true" outlineLevel="0" collapsed="false">
      <c r="B290" s="84" t="s">
        <v>1284</v>
      </c>
      <c r="C290" s="1" t="n">
        <f aca="false">MAX(0/$C$281,0-C289)</f>
        <v>0</v>
      </c>
      <c r="D290" s="1" t="n">
        <f aca="false">MAX(C289*(1-$C$340)/$C$281+IF(AND(01_Supuestos!$C$189&gt;0,D$39=01_Supuestos!$C$189),01_Supuestos!$C$190*C289*(1-$C$340)*(1-1/$C$281),0),C289-D342-D289)</f>
        <v>0.588305573202276</v>
      </c>
      <c r="E290" s="1" t="n">
        <f aca="false">MAX(D289*(1-$C$340)/$C$281+IF(AND(01_Supuestos!$C$189&gt;0,E$39=01_Supuestos!$C$189),01_Supuestos!$C$190*D289*(1-$C$340)*(1-1/$C$281),0),D289-E342-E289)</f>
        <v>1.53165111896424</v>
      </c>
      <c r="F290" s="1" t="n">
        <f aca="false">MAX(E289*(1-$C$340)/$C$281+IF(AND(01_Supuestos!$C$189&gt;0,F$39=01_Supuestos!$C$189),01_Supuestos!$C$190*E289*(1-$C$340)*(1-1/$C$281),0),E289-F342-F289)</f>
        <v>2.65462396784404</v>
      </c>
      <c r="G290" s="1" t="n">
        <f aca="false">MAX(F289*(1-$C$340)/$C$281+IF(AND(01_Supuestos!$C$189&gt;0,G$39=01_Supuestos!$C$189),01_Supuestos!$C$190*F289*(1-$C$340)*(1-1/$C$281),0),F289-G342-G289)</f>
        <v>3.34407577577613</v>
      </c>
      <c r="H290" s="1" t="n">
        <f aca="false">MAX(G289*(1-$C$340)/$C$281+IF(AND(01_Supuestos!$C$189&gt;0,H$39=01_Supuestos!$C$189),01_Supuestos!$C$190*G289*(1-$C$340)*(1-1/$C$281),0),G289-H342-H289)</f>
        <v>4.06845858311963</v>
      </c>
      <c r="I290" s="1" t="n">
        <f aca="false">MAX(H289*(1-$C$340)/$C$281+IF(AND(01_Supuestos!$C$189&gt;0,I$39=01_Supuestos!$C$189),01_Supuestos!$C$190*H289*(1-$C$340)*(1-1/$C$281),0),H289-I342-I289)</f>
        <v>4.97234695432391</v>
      </c>
      <c r="J290" s="1" t="n">
        <f aca="false">MAX(I289*(1-$C$340)/$C$281+IF(AND(01_Supuestos!$C$189&gt;0,J$39=01_Supuestos!$C$189),01_Supuestos!$C$190*I289*(1-$C$340)*(1-1/$C$281),0),I289-J342-J289)</f>
        <v>5.99856332469696</v>
      </c>
      <c r="K290" s="1" t="n">
        <f aca="false">MAX(J289*(1-$C$340)/$C$281+IF(AND(01_Supuestos!$C$189&gt;0,K$39=01_Supuestos!$C$189),01_Supuestos!$C$190*J289*(1-$C$340)*(1-1/$C$281),0),J289-K342-K289)</f>
        <v>7.13632878113108</v>
      </c>
      <c r="L290" s="1" t="n">
        <f aca="false">MAX(K289*(1-$C$340)/$C$281+IF(AND(01_Supuestos!$C$189&gt;0,L$39=01_Supuestos!$C$189),01_Supuestos!$C$190*K289*(1-$C$340)*(1-1/$C$281),0),K289-L342-L289)</f>
        <v>8.66412639971782</v>
      </c>
      <c r="M290" s="1" t="n">
        <f aca="false">MAX(L289*(1-$C$340)/$C$281+IF(AND(01_Supuestos!$C$189&gt;0,M$39=01_Supuestos!$C$189),01_Supuestos!$C$190*L289*(1-$C$340)*(1-1/$C$281),0),L289-M342-M289)</f>
        <v>10.2309122940984</v>
      </c>
      <c r="N290" s="1" t="n">
        <f aca="false">MAX(M289*(1-$C$340)/$C$281+IF(AND(01_Supuestos!$C$189&gt;0,N$39=01_Supuestos!$C$189),01_Supuestos!$C$190*M289*(1-$C$340)*(1-1/$C$281),0),M289-N342-N289)</f>
        <v>12.9326908342684</v>
      </c>
      <c r="O290" s="1" t="n">
        <f aca="false">MAX(N289*(1-$C$340)/$C$281+IF(AND(01_Supuestos!$C$189&gt;0,O$39=01_Supuestos!$C$189),01_Supuestos!$C$190*N289*(1-$C$340)*(1-1/$C$281),0),N289-O342-O289)</f>
        <v>14.5948326864793</v>
      </c>
      <c r="P290" s="1" t="n">
        <f aca="false">MAX(O289*(1-$C$340)/$C$281+IF(AND(01_Supuestos!$C$189&gt;0,P$39=01_Supuestos!$C$189),01_Supuestos!$C$190*O289*(1-$C$340)*(1-1/$C$281),0),O289-P342-P289)</f>
        <v>14.9035581714562</v>
      </c>
      <c r="Q290" s="1" t="n">
        <f aca="false">MAX(P289*(1-$C$340)/$C$281+IF(AND(01_Supuestos!$C$189&gt;0,Q$39=01_Supuestos!$C$189),01_Supuestos!$C$190*P289*(1-$C$340)*(1-1/$C$281),0),P289-Q342-Q289)</f>
        <v>15.2322084180913</v>
      </c>
      <c r="R290" s="1" t="n">
        <f aca="false">MAX(Q289*(1-$C$340)/$C$281+IF(AND(01_Supuestos!$C$189&gt;0,R$39=01_Supuestos!$C$189),01_Supuestos!$C$190*Q289*(1-$C$340)*(1-1/$C$281),0),Q289-R342-R289)</f>
        <v>15.5805082500047</v>
      </c>
      <c r="S290" s="1" t="n">
        <f aca="false">MAX(R289*(1-$C$340)/$C$281+IF(AND(01_Supuestos!$C$189&gt;0,S$39=01_Supuestos!$C$189),01_Supuestos!$C$190*R289*(1-$C$340)*(1-1/$C$281),0),R289-S342-S289)</f>
        <v>15.9472920667579</v>
      </c>
      <c r="T290" s="1" t="n">
        <f aca="false">MAX(S289*(1-$C$340)/$C$281+IF(AND(01_Supuestos!$C$189&gt;0,T$39=01_Supuestos!$C$189),01_Supuestos!$C$190*S289*(1-$C$340)*(1-1/$C$281),0),S289-T342-T289)</f>
        <v>16.3313734615087</v>
      </c>
      <c r="U290" s="1" t="n">
        <f aca="false">MAX(T289*(1-$C$340)/$C$281+IF(AND(01_Supuestos!$C$189&gt;0,U$39=01_Supuestos!$C$189),01_Supuestos!$C$190*T289*(1-$C$340)*(1-1/$C$281),0),T289-U342-U289)</f>
        <v>16.7304370194642</v>
      </c>
      <c r="V290" s="1" t="n">
        <f aca="false">MAX(U289*(1-$C$340)/$C$281+IF(AND(01_Supuestos!$C$189&gt;0,V$39=01_Supuestos!$C$189),01_Supuestos!$C$190*U289*(1-$C$340)*(1-1/$C$281),0),U289-V342-V289)</f>
        <v>17.1396807754073</v>
      </c>
      <c r="W290" s="1" t="n">
        <f aca="false">MAX(V289*(1-$C$340)/$C$281+IF(AND(01_Supuestos!$C$189&gt;0,W$39=01_Supuestos!$C$189),01_Supuestos!$C$190*V289*(1-$C$340)*(1-1/$C$281),0),V289-W342-W289)</f>
        <v>17.4584144080393</v>
      </c>
      <c r="X290" s="1" t="n">
        <f aca="false">MAX(W289*(1-$C$340)/$C$281+IF(AND(01_Supuestos!$C$189&gt;0,X$39=01_Supuestos!$C$189),01_Supuestos!$C$190*W289*(1-$C$340)*(1-1/$C$281),0),W289-X342-X289)</f>
        <v>17.7155944783552</v>
      </c>
      <c r="Y290" s="1" t="n">
        <f aca="false">MAX(X289*(1-$C$340)/$C$281+IF(AND(01_Supuestos!$C$189&gt;0,Y$39=01_Supuestos!$C$189),01_Supuestos!$C$190*X289*(1-$C$340)*(1-1/$C$281),0),X289-Y342-Y289)</f>
        <v>17.9673991577611</v>
      </c>
      <c r="Z290" s="1" t="n">
        <f aca="false">MAX(Y289*(1-$C$340)/$C$281+IF(AND(01_Supuestos!$C$189&gt;0,Z$39=01_Supuestos!$C$189),01_Supuestos!$C$190*Y289*(1-$C$340)*(1-1/$C$281),0),Y289-Z342-Z289)</f>
        <v>18.2138438039823</v>
      </c>
      <c r="AA290" s="1" t="n">
        <f aca="false">MAX(Z289*(1-$C$340)/$C$281+IF(AND(01_Supuestos!$C$189&gt;0,AA$39=01_Supuestos!$C$189),01_Supuestos!$C$190*Z289*(1-$C$340)*(1-1/$C$281),0),Z289-AA342-AA289)</f>
        <v>18.4549442313114</v>
      </c>
      <c r="AB290" s="1" t="n">
        <f aca="false">MAX(AA289*(1-$C$340)/$C$281+IF(AND(01_Supuestos!$C$189&gt;0,AB$39=01_Supuestos!$C$189),01_Supuestos!$C$190*AA289*(1-$C$340)*(1-1/$C$281),0),AA289-AB342-AB289)</f>
        <v>18.6907166792646</v>
      </c>
      <c r="AC290" s="1" t="n">
        <f aca="false">MAX(AB289*(1-$C$340)/$C$281+IF(AND(01_Supuestos!$C$189&gt;0,AC$39=01_Supuestos!$C$189),01_Supuestos!$C$190*AB289*(1-$C$340)*(1-1/$C$281),0),AB289-AC342-AC289)</f>
        <v>18.9211484689963</v>
      </c>
      <c r="AD290" s="1" t="n">
        <f aca="false">MAX(AC289*(1-$C$340)/$C$281+IF(AND(01_Supuestos!$C$189&gt;0,AD$39=01_Supuestos!$C$189),01_Supuestos!$C$190*AC289*(1-$C$340)*(1-1/$C$281),0),AC289-AD342-AD289)</f>
        <v>19.1462272879235</v>
      </c>
      <c r="AE290" s="1" t="n">
        <f aca="false">MAX(AD289*(1-$C$340)/$C$281+IF(AND(01_Supuestos!$C$189&gt;0,AE$39=01_Supuestos!$C$189),01_Supuestos!$C$190*AD289*(1-$C$340)*(1-1/$C$281),0),AD289-AE342-AE289)</f>
        <v>19.3659411619636</v>
      </c>
      <c r="AF290" s="1" t="n">
        <f aca="false">MAX(AE289*(1-$C$340)/$C$281+IF(AND(01_Supuestos!$C$189&gt;0,AF$39=01_Supuestos!$C$189),01_Supuestos!$C$190*AE289*(1-$C$340)*(1-1/$C$281),0),AE289-AF342-AF289)</f>
        <v>19.5802784288267</v>
      </c>
    </row>
    <row r="291" customFormat="false" ht="14.25" hidden="false" customHeight="true" outlineLevel="0" collapsed="false">
      <c r="B291" s="84" t="s">
        <v>1281</v>
      </c>
      <c r="C291" s="1" t="n">
        <f aca="false">C289-0+C290</f>
        <v>2.97124026869837</v>
      </c>
      <c r="D291" s="1" t="n">
        <f aca="false">D289-C289+D290+D342</f>
        <v>5.38238941913151</v>
      </c>
      <c r="E291" s="1" t="n">
        <f aca="false">E289-D289+E290+E342</f>
        <v>7.28058728093113</v>
      </c>
      <c r="F291" s="1" t="n">
        <f aca="false">F289-E289+F290+F342</f>
        <v>6.27077572345277</v>
      </c>
      <c r="G291" s="1" t="n">
        <f aca="false">G289-F289+G290+G342</f>
        <v>7.17146751871178</v>
      </c>
      <c r="H291" s="1" t="n">
        <f aca="false">H289-G289+H290+H342</f>
        <v>8.8390290731978</v>
      </c>
      <c r="I291" s="1" t="n">
        <f aca="false">I289-H289+I290+I342</f>
        <v>10.4063865498607</v>
      </c>
      <c r="J291" s="1" t="n">
        <f aca="false">J289-I289+J290+J342</f>
        <v>12.0478112523792</v>
      </c>
      <c r="K291" s="1" t="n">
        <f aca="false">K289-J289+K290+K342</f>
        <v>15.2128990154647</v>
      </c>
      <c r="L291" s="1" t="n">
        <f aca="false">L289-K289+L290+L342</f>
        <v>17.0147686137468</v>
      </c>
      <c r="M291" s="1" t="n">
        <f aca="false">M289-L289+M290+M342</f>
        <v>24.3929711986995</v>
      </c>
      <c r="N291" s="1" t="n">
        <f aca="false">N289-M289+N290+N342</f>
        <v>21.9805128572661</v>
      </c>
      <c r="O291" s="1" t="n">
        <f aca="false">O289-N289+O290+O342</f>
        <v>16.8911650695184</v>
      </c>
      <c r="P291" s="1" t="n">
        <f aca="false">P289-O289+P290+P342</f>
        <v>17.3161128600906</v>
      </c>
      <c r="Q291" s="1" t="n">
        <f aca="false">Q289-P289+Q290+Q342</f>
        <v>17.7606019337194</v>
      </c>
      <c r="R291" s="1" t="n">
        <f aca="false">R289-Q289+R290+R342</f>
        <v>18.2198461250211</v>
      </c>
      <c r="S291" s="1" t="n">
        <f aca="false">S289-R289+S290+S342</f>
        <v>18.6925158820021</v>
      </c>
      <c r="T291" s="1" t="n">
        <f aca="false">T289-S289+T290+T342</f>
        <v>19.1716628179259</v>
      </c>
      <c r="U291" s="1" t="n">
        <f aca="false">U289-T289+U290+U342</f>
        <v>19.6422962423822</v>
      </c>
      <c r="V291" s="1" t="n">
        <f aca="false">V289-U289+V290+V342</f>
        <v>19.6150870399834</v>
      </c>
      <c r="W291" s="1" t="n">
        <f aca="false">W289-V289+W290+W342</f>
        <v>19.639041753475</v>
      </c>
      <c r="X291" s="1" t="n">
        <f aca="false">X289-W289+X290+X342</f>
        <v>19.8820622772918</v>
      </c>
      <c r="Y291" s="1" t="n">
        <f aca="false">Y289-X289+Y290+Y342</f>
        <v>20.1195134900785</v>
      </c>
      <c r="Z291" s="1" t="n">
        <f aca="false">Z289-Y289+Z290+Z342</f>
        <v>20.3514138310979</v>
      </c>
      <c r="AA291" s="1" t="n">
        <f aca="false">AA289-Z289+AA290+AA342</f>
        <v>20.5777820609391</v>
      </c>
      <c r="AB291" s="1" t="n">
        <f aca="false">AB289-AA289+AB290+AB342</f>
        <v>20.7984891869633</v>
      </c>
      <c r="AC291" s="1" t="n">
        <f aca="false">AC289-AB289+AC290+AC342</f>
        <v>21.0135237397901</v>
      </c>
      <c r="AD291" s="1" t="n">
        <f aca="false">AD289-AC289+AD290+AD342</f>
        <v>21.222874494587</v>
      </c>
      <c r="AE291" s="1" t="n">
        <f aca="false">AE289-AD289+AE290+AE342</f>
        <v>21.4265304472301</v>
      </c>
      <c r="AF291" s="1" t="n">
        <f aca="false">AF289-AE289+AF290+AF342</f>
        <v>21.6244807912488</v>
      </c>
    </row>
    <row r="292" customFormat="false" ht="14.25" hidden="false" customHeight="true" outlineLevel="0" collapsed="false">
      <c r="B292" s="84" t="s">
        <v>1282</v>
      </c>
      <c r="C292" s="1" t="n">
        <f aca="false">C289*(1-$C$340)*$C$175</f>
        <v>0.126485698238489</v>
      </c>
      <c r="D292" s="1" t="n">
        <f aca="false">D289*(1-$C$340)*$C$175</f>
        <v>0.329304990577312</v>
      </c>
      <c r="E292" s="1" t="n">
        <f aca="false">E289*(1-$C$340)*$C$175</f>
        <v>0.570744153086469</v>
      </c>
      <c r="F292" s="1" t="n">
        <f aca="false">F289*(1-$C$340)*$C$175</f>
        <v>0.718976291791868</v>
      </c>
      <c r="G292" s="1" t="n">
        <f aca="false">G289*(1-$C$340)*$C$175</f>
        <v>0.87471859537072</v>
      </c>
      <c r="H292" s="1" t="n">
        <f aca="false">H289*(1-$C$340)*$C$175</f>
        <v>1.06905459517964</v>
      </c>
      <c r="I292" s="1" t="n">
        <f aca="false">I289*(1-$C$340)*$C$175</f>
        <v>1.28969111480985</v>
      </c>
      <c r="J292" s="1" t="n">
        <f aca="false">J289*(1-$C$340)*$C$175</f>
        <v>1.53431068794318</v>
      </c>
      <c r="K292" s="1" t="n">
        <f aca="false">K289*(1-$C$340)*$C$175</f>
        <v>1.86278717593933</v>
      </c>
      <c r="L292" s="1" t="n">
        <f aca="false">L289*(1-$C$340)*$C$175</f>
        <v>2.19964614323115</v>
      </c>
      <c r="M292" s="1" t="n">
        <f aca="false">M289*(1-$C$340)*$C$175</f>
        <v>2.78052852936771</v>
      </c>
      <c r="N292" s="1" t="n">
        <f aca="false">N289*(1-$C$340)*$C$175</f>
        <v>3.13788902759304</v>
      </c>
      <c r="O292" s="1" t="n">
        <f aca="false">O289*(1-$C$340)*$C$175</f>
        <v>3.20426500686309</v>
      </c>
      <c r="P292" s="1" t="n">
        <f aca="false">P289*(1-$C$340)*$C$175</f>
        <v>3.27492480988962</v>
      </c>
      <c r="Q292" s="1" t="n">
        <f aca="false">Q289*(1-$C$340)*$C$175</f>
        <v>3.34980927375102</v>
      </c>
      <c r="R292" s="1" t="n">
        <f aca="false">R289*(1-$C$340)*$C$175</f>
        <v>3.42866779435295</v>
      </c>
      <c r="S292" s="1" t="n">
        <f aca="false">S289*(1-$C$340)*$C$175</f>
        <v>3.51124529422437</v>
      </c>
      <c r="T292" s="1" t="n">
        <f aca="false">T289*(1-$C$340)*$C$175</f>
        <v>3.5970439591848</v>
      </c>
      <c r="U292" s="1" t="n">
        <f aca="false">U289*(1-$C$340)*$C$175</f>
        <v>3.68503136671257</v>
      </c>
      <c r="V292" s="1" t="n">
        <f aca="false">V289*(1-$C$340)*$C$175</f>
        <v>3.75355909772845</v>
      </c>
      <c r="W292" s="1" t="n">
        <f aca="false">W289*(1-$C$340)*$C$175</f>
        <v>3.80885281284636</v>
      </c>
      <c r="X292" s="1" t="n">
        <f aca="false">X289*(1-$C$340)*$C$175</f>
        <v>3.86299081891863</v>
      </c>
      <c r="Y292" s="1" t="n">
        <f aca="false">Y289*(1-$C$340)*$C$175</f>
        <v>3.9159764178562</v>
      </c>
      <c r="Z292" s="1" t="n">
        <f aca="false">Z289*(1-$C$340)*$C$175</f>
        <v>3.96781300973195</v>
      </c>
      <c r="AA292" s="1" t="n">
        <f aca="false">AA289*(1-$C$340)*$C$175</f>
        <v>4.01850408604188</v>
      </c>
      <c r="AB292" s="1" t="n">
        <f aca="false">AB289*(1-$C$340)*$C$175</f>
        <v>4.0680469208342</v>
      </c>
      <c r="AC292" s="1" t="n">
        <f aca="false">AC289*(1-$C$340)*$C$175</f>
        <v>4.11643886690355</v>
      </c>
      <c r="AD292" s="1" t="n">
        <f aca="false">AD289*(1-$C$340)*$C$175</f>
        <v>4.16367734982218</v>
      </c>
      <c r="AE292" s="1" t="n">
        <f aca="false">AE289*(1-$C$340)*$C$175</f>
        <v>4.20975986219775</v>
      </c>
      <c r="AF292" s="1" t="n">
        <f aca="false">AF289*(1-$C$340)*$C$175</f>
        <v>4.25468395814408</v>
      </c>
    </row>
    <row r="293" customFormat="false" ht="14.25" hidden="false" customHeight="true" outlineLevel="0" collapsed="false">
      <c r="B293" s="144" t="s">
        <v>1285</v>
      </c>
    </row>
    <row r="294" customFormat="false" ht="14.25" hidden="false" customHeight="true" outlineLevel="0" collapsed="false">
      <c r="B294" s="84" t="s">
        <v>1286</v>
      </c>
      <c r="C294" s="116" t="n">
        <f aca="false">C85</f>
        <v>1.41920433268594</v>
      </c>
      <c r="D294" s="116" t="n">
        <f aca="false">D85</f>
        <v>3.7524686378297</v>
      </c>
      <c r="E294" s="116" t="n">
        <f aca="false">E85</f>
        <v>6.8985155036099</v>
      </c>
      <c r="F294" s="116" t="n">
        <f aca="false">F85</f>
        <v>14.1168292884033</v>
      </c>
      <c r="G294" s="116" t="n">
        <f aca="false">G85</f>
        <v>21.335075751158</v>
      </c>
      <c r="H294" s="116" t="n">
        <f aca="false">H85</f>
        <v>27.3013276079837</v>
      </c>
      <c r="I294" s="116" t="n">
        <f aca="false">I85</f>
        <v>32.520629044428</v>
      </c>
      <c r="J294" s="116" t="n">
        <f aca="false">J85</f>
        <v>37.0941601545716</v>
      </c>
      <c r="K294" s="116" t="n">
        <f aca="false">K85</f>
        <v>38.6044432895951</v>
      </c>
      <c r="L294" s="116" t="n">
        <f aca="false">L85</f>
        <v>40.1159473448892</v>
      </c>
      <c r="M294" s="116" t="n">
        <f aca="false">M85</f>
        <v>32.0927578759113</v>
      </c>
      <c r="N294" s="116" t="n">
        <f aca="false">N85</f>
        <v>26.8915128730083</v>
      </c>
      <c r="O294" s="116" t="n">
        <f aca="false">O85</f>
        <v>27.7447413438703</v>
      </c>
      <c r="P294" s="116" t="n">
        <f aca="false">P85</f>
        <v>28.5059250038741</v>
      </c>
      <c r="Q294" s="116" t="n">
        <f aca="false">Q85</f>
        <v>29.1793334985962</v>
      </c>
      <c r="R294" s="116" t="n">
        <f aca="false">R85</f>
        <v>29.777033169037</v>
      </c>
      <c r="S294" s="116" t="n">
        <f aca="false">S85</f>
        <v>30.3113156144803</v>
      </c>
      <c r="T294" s="116" t="n">
        <f aca="false">T85</f>
        <v>30.8043486675805</v>
      </c>
      <c r="U294" s="116" t="n">
        <f aca="false">U85</f>
        <v>31.2999985955429</v>
      </c>
      <c r="V294" s="116" t="n">
        <f aca="false">V85</f>
        <v>31.7979726506582</v>
      </c>
      <c r="W294" s="116" t="n">
        <f aca="false">W85</f>
        <v>32.2872220262058</v>
      </c>
      <c r="X294" s="116" t="n">
        <f aca="false">X85</f>
        <v>32.7674655404339</v>
      </c>
      <c r="Y294" s="116" t="n">
        <f aca="false">Y85</f>
        <v>33.2384229475526</v>
      </c>
      <c r="Z294" s="116" t="n">
        <f aca="false">Z85</f>
        <v>33.6998148782152</v>
      </c>
      <c r="AA294" s="116" t="n">
        <f aca="false">AA85</f>
        <v>34.1513627825258</v>
      </c>
      <c r="AB294" s="116" t="n">
        <f aca="false">AB85</f>
        <v>34.5930441306456</v>
      </c>
      <c r="AC294" s="116" t="n">
        <f aca="false">AC85</f>
        <v>35.0248371052209</v>
      </c>
      <c r="AD294" s="116" t="n">
        <f aca="false">AD85</f>
        <v>35.4467205511449</v>
      </c>
      <c r="AE294" s="116" t="n">
        <f aca="false">AE85</f>
        <v>35.8586739273143</v>
      </c>
      <c r="AF294" s="116" t="n">
        <f aca="false">AF85</f>
        <v>36.2606772602653</v>
      </c>
    </row>
    <row r="295" customFormat="false" ht="14.25" hidden="false" customHeight="true" outlineLevel="0" collapsed="false">
      <c r="B295" s="84" t="s">
        <v>1287</v>
      </c>
      <c r="C295" s="1" t="n">
        <f aca="false">MAX(0/$C$282,0-C294)</f>
        <v>0</v>
      </c>
      <c r="D295" s="1" t="n">
        <f aca="false">MAX(C294/$C$282,C294-D294)</f>
        <v>0.141920433268594</v>
      </c>
      <c r="E295" s="1" t="n">
        <f aca="false">MAX(D294/$C$282,D294-E294)</f>
        <v>0.37524686378297</v>
      </c>
      <c r="F295" s="1" t="n">
        <f aca="false">MAX(E294/$C$282,E294-F294)</f>
        <v>0.68985155036099</v>
      </c>
      <c r="G295" s="1" t="n">
        <f aca="false">MAX(F294/$C$282,F294-G294)</f>
        <v>1.41168292884033</v>
      </c>
      <c r="H295" s="1" t="n">
        <f aca="false">MAX(G294/$C$282,G294-H294)</f>
        <v>2.1335075751158</v>
      </c>
      <c r="I295" s="1" t="n">
        <f aca="false">MAX(H294/$C$282,H294-I294)</f>
        <v>2.73013276079837</v>
      </c>
      <c r="J295" s="1" t="n">
        <f aca="false">MAX(I294/$C$282,I294-J294)</f>
        <v>3.2520629044428</v>
      </c>
      <c r="K295" s="1" t="n">
        <f aca="false">MAX(J294/$C$282,J294-K294)</f>
        <v>3.70941601545716</v>
      </c>
      <c r="L295" s="1" t="n">
        <f aca="false">MAX(K294/$C$282,K294-L294)</f>
        <v>3.86044432895951</v>
      </c>
      <c r="M295" s="1" t="n">
        <f aca="false">MAX(L294/$C$282,L294-M294)</f>
        <v>8.02318946897783</v>
      </c>
      <c r="N295" s="1" t="n">
        <f aca="false">MAX(M294/$C$282,M294-N294)</f>
        <v>5.20124500290308</v>
      </c>
      <c r="O295" s="1" t="n">
        <f aca="false">MAX(N294/$C$282,N294-O294)</f>
        <v>2.68915128730083</v>
      </c>
      <c r="P295" s="1" t="n">
        <f aca="false">MAX(O294/$C$282,O294-P294)</f>
        <v>2.77447413438703</v>
      </c>
      <c r="Q295" s="1" t="n">
        <f aca="false">MAX(P294/$C$282,P294-Q294)</f>
        <v>2.85059250038741</v>
      </c>
      <c r="R295" s="1" t="n">
        <f aca="false">MAX(Q294/$C$282,Q294-R294)</f>
        <v>2.91793334985962</v>
      </c>
      <c r="S295" s="1" t="n">
        <f aca="false">MAX(R294/$C$282,R294-S294)</f>
        <v>2.9777033169037</v>
      </c>
      <c r="T295" s="1" t="n">
        <f aca="false">MAX(S294/$C$282,S294-T294)</f>
        <v>3.03113156144803</v>
      </c>
      <c r="U295" s="1" t="n">
        <f aca="false">MAX(T294/$C$282,T294-U294)</f>
        <v>3.08043486675805</v>
      </c>
      <c r="V295" s="1" t="n">
        <f aca="false">MAX(U294/$C$282,U294-V294)</f>
        <v>3.12999985955429</v>
      </c>
      <c r="W295" s="1" t="n">
        <f aca="false">MAX(V294/$C$282,V294-W294)</f>
        <v>3.17979726506582</v>
      </c>
      <c r="X295" s="1" t="n">
        <f aca="false">MAX(W294/$C$282,W294-X294)</f>
        <v>3.22872220262058</v>
      </c>
      <c r="Y295" s="1" t="n">
        <f aca="false">MAX(X294/$C$282,X294-Y294)</f>
        <v>3.27674655404339</v>
      </c>
      <c r="Z295" s="1" t="n">
        <f aca="false">MAX(Y294/$C$282,Y294-Z294)</f>
        <v>3.32384229475526</v>
      </c>
      <c r="AA295" s="1" t="n">
        <f aca="false">MAX(Z294/$C$282,Z294-AA294)</f>
        <v>3.36998148782152</v>
      </c>
      <c r="AB295" s="1" t="n">
        <f aca="false">MAX(AA294/$C$282,AA294-AB294)</f>
        <v>3.41513627825258</v>
      </c>
      <c r="AC295" s="1" t="n">
        <f aca="false">MAX(AB294/$C$282,AB294-AC294)</f>
        <v>3.45930441306456</v>
      </c>
      <c r="AD295" s="1" t="n">
        <f aca="false">MAX(AC294/$C$282,AC294-AD294)</f>
        <v>3.50248371052209</v>
      </c>
      <c r="AE295" s="1" t="n">
        <f aca="false">MAX(AD294/$C$282,AD294-AE294)</f>
        <v>3.54467205511449</v>
      </c>
      <c r="AF295" s="1" t="n">
        <f aca="false">MAX(AE294/$C$282,AE294-AF294)</f>
        <v>3.58586739273143</v>
      </c>
    </row>
    <row r="296" customFormat="false" ht="14.25" hidden="false" customHeight="true" outlineLevel="0" collapsed="false">
      <c r="B296" s="84" t="s">
        <v>1288</v>
      </c>
      <c r="C296" s="1" t="n">
        <f aca="false">C294-0+C295</f>
        <v>1.41920433268594</v>
      </c>
      <c r="D296" s="1" t="n">
        <f aca="false">D294-C294+D295</f>
        <v>2.47518473841235</v>
      </c>
      <c r="E296" s="1" t="n">
        <f aca="false">E294-D294+E295</f>
        <v>3.52129372956317</v>
      </c>
      <c r="F296" s="1" t="n">
        <f aca="false">F294-E294+F295</f>
        <v>7.90816533515436</v>
      </c>
      <c r="G296" s="1" t="n">
        <f aca="false">G294-F294+G295</f>
        <v>8.62992939159503</v>
      </c>
      <c r="H296" s="1" t="n">
        <f aca="false">H294-G294+H295</f>
        <v>8.09975943194154</v>
      </c>
      <c r="I296" s="1" t="n">
        <f aca="false">I294-H294+I295</f>
        <v>7.94943419724267</v>
      </c>
      <c r="J296" s="1" t="n">
        <f aca="false">J294-I294+J295</f>
        <v>7.82559401458642</v>
      </c>
      <c r="K296" s="1" t="n">
        <f aca="false">K294-J294+K295</f>
        <v>5.21969915048061</v>
      </c>
      <c r="L296" s="1" t="n">
        <f aca="false">L294-K294+L295</f>
        <v>5.37194838425361</v>
      </c>
      <c r="M296" s="1" t="n">
        <f aca="false">M294-L294+M295</f>
        <v>0</v>
      </c>
      <c r="N296" s="1" t="n">
        <f aca="false">N294-M294+N295</f>
        <v>0</v>
      </c>
      <c r="O296" s="1" t="n">
        <f aca="false">O294-N294+O295</f>
        <v>3.54237975816284</v>
      </c>
      <c r="P296" s="1" t="n">
        <f aca="false">P294-O294+P295</f>
        <v>3.53565779439089</v>
      </c>
      <c r="Q296" s="1" t="n">
        <f aca="false">Q294-P294+Q295</f>
        <v>3.52400099510947</v>
      </c>
      <c r="R296" s="1" t="n">
        <f aca="false">R294-Q294+R295</f>
        <v>3.51563302030043</v>
      </c>
      <c r="S296" s="1" t="n">
        <f aca="false">S294-R294+S295</f>
        <v>3.51198576234699</v>
      </c>
      <c r="T296" s="1" t="n">
        <f aca="false">T294-S294+T295</f>
        <v>3.52416461454823</v>
      </c>
      <c r="U296" s="1" t="n">
        <f aca="false">U294-T294+U295</f>
        <v>3.57608479472048</v>
      </c>
      <c r="V296" s="1" t="n">
        <f aca="false">V294-U294+V295</f>
        <v>3.6279739146696</v>
      </c>
      <c r="W296" s="1" t="n">
        <f aca="false">W294-V294+W295</f>
        <v>3.6690466406134</v>
      </c>
      <c r="X296" s="1" t="n">
        <f aca="false">X294-W294+X295</f>
        <v>3.70896571684863</v>
      </c>
      <c r="Y296" s="1" t="n">
        <f aca="false">Y294-X294+Y295</f>
        <v>3.74770396116212</v>
      </c>
      <c r="Z296" s="1" t="n">
        <f aca="false">Z294-Y294+Z295</f>
        <v>3.78523422541787</v>
      </c>
      <c r="AA296" s="1" t="n">
        <f aca="false">AA294-Z294+AA295</f>
        <v>3.8215293921321</v>
      </c>
      <c r="AB296" s="1" t="n">
        <f aca="false">AB294-AA294+AB295</f>
        <v>3.85681762637235</v>
      </c>
      <c r="AC296" s="1" t="n">
        <f aca="false">AC294-AB294+AC295</f>
        <v>3.89109738763995</v>
      </c>
      <c r="AD296" s="1" t="n">
        <f aca="false">AD294-AC294+AD295</f>
        <v>3.92436715644608</v>
      </c>
      <c r="AE296" s="1" t="n">
        <f aca="false">AE294-AD294+AE295</f>
        <v>3.95662543128389</v>
      </c>
      <c r="AF296" s="1" t="n">
        <f aca="false">AF294-AE294+AF295</f>
        <v>3.98787072568235</v>
      </c>
    </row>
    <row r="297" customFormat="false" ht="14.25" hidden="false" customHeight="true" outlineLevel="0" collapsed="false">
      <c r="B297" s="84" t="s">
        <v>1289</v>
      </c>
      <c r="C297" s="1" t="n">
        <f aca="false">C294*01_Supuestos!$I$126</f>
        <v>0.0567681733074377</v>
      </c>
      <c r="D297" s="1" t="n">
        <f aca="false">D294*01_Supuestos!$I$126</f>
        <v>0.150098745513188</v>
      </c>
      <c r="E297" s="1" t="n">
        <f aca="false">E294*01_Supuestos!$I$126</f>
        <v>0.275940620144396</v>
      </c>
      <c r="F297" s="1" t="n">
        <f aca="false">F294*01_Supuestos!$I$126</f>
        <v>0.564673171536131</v>
      </c>
      <c r="G297" s="1" t="n">
        <f aca="false">G294*01_Supuestos!$I$126</f>
        <v>0.853403030046319</v>
      </c>
      <c r="H297" s="1" t="n">
        <f aca="false">H294*01_Supuestos!$I$126</f>
        <v>1.09205310431935</v>
      </c>
      <c r="I297" s="1" t="n">
        <f aca="false">I294*01_Supuestos!$I$126</f>
        <v>1.30082516177712</v>
      </c>
      <c r="J297" s="1" t="n">
        <f aca="false">J294*01_Supuestos!$I$126</f>
        <v>1.48376640618287</v>
      </c>
      <c r="K297" s="1" t="n">
        <f aca="false">K294*01_Supuestos!$I$126</f>
        <v>1.5441777315838</v>
      </c>
      <c r="L297" s="1" t="n">
        <f aca="false">L294*01_Supuestos!$I$126</f>
        <v>1.60463789379557</v>
      </c>
      <c r="M297" s="1" t="n">
        <f aca="false">M294*01_Supuestos!$I$126</f>
        <v>1.28371031503645</v>
      </c>
      <c r="N297" s="1" t="n">
        <f aca="false">N294*01_Supuestos!$I$126</f>
        <v>1.07566051492033</v>
      </c>
      <c r="O297" s="1" t="n">
        <f aca="false">O294*01_Supuestos!$I$126</f>
        <v>1.10978965375481</v>
      </c>
      <c r="P297" s="1" t="n">
        <f aca="false">P294*01_Supuestos!$I$126</f>
        <v>1.14023700015497</v>
      </c>
      <c r="Q297" s="1" t="n">
        <f aca="false">Q294*01_Supuestos!$I$126</f>
        <v>1.16717333994385</v>
      </c>
      <c r="R297" s="1" t="n">
        <f aca="false">R294*01_Supuestos!$I$126</f>
        <v>1.19108132676148</v>
      </c>
      <c r="S297" s="1" t="n">
        <f aca="false">S294*01_Supuestos!$I$126</f>
        <v>1.21245262457921</v>
      </c>
      <c r="T297" s="1" t="n">
        <f aca="false">T294*01_Supuestos!$I$126</f>
        <v>1.23217394670322</v>
      </c>
      <c r="U297" s="1" t="n">
        <f aca="false">U294*01_Supuestos!$I$126</f>
        <v>1.25199994382172</v>
      </c>
      <c r="V297" s="1" t="n">
        <f aca="false">V294*01_Supuestos!$I$126</f>
        <v>1.27191890602633</v>
      </c>
      <c r="W297" s="1" t="n">
        <f aca="false">W294*01_Supuestos!$I$126</f>
        <v>1.29148888104823</v>
      </c>
      <c r="X297" s="1" t="n">
        <f aca="false">X294*01_Supuestos!$I$126</f>
        <v>1.31069862161735</v>
      </c>
      <c r="Y297" s="1" t="n">
        <f aca="false">Y294*01_Supuestos!$I$126</f>
        <v>1.3295369179021</v>
      </c>
      <c r="Z297" s="1" t="n">
        <f aca="false">Z294*01_Supuestos!$I$126</f>
        <v>1.34799259512861</v>
      </c>
      <c r="AA297" s="1" t="n">
        <f aca="false">AA294*01_Supuestos!$I$126</f>
        <v>1.36605451130103</v>
      </c>
      <c r="AB297" s="1" t="n">
        <f aca="false">AB294*01_Supuestos!$I$126</f>
        <v>1.38372176522582</v>
      </c>
      <c r="AC297" s="1" t="n">
        <f aca="false">AC294*01_Supuestos!$I$126</f>
        <v>1.40099348420884</v>
      </c>
      <c r="AD297" s="1" t="n">
        <f aca="false">AD294*01_Supuestos!$I$126</f>
        <v>1.4178688220458</v>
      </c>
      <c r="AE297" s="1" t="n">
        <f aca="false">AE294*01_Supuestos!$I$126</f>
        <v>1.43434695709257</v>
      </c>
      <c r="AF297" s="1" t="n">
        <f aca="false">AF294*01_Supuestos!$I$126</f>
        <v>1.45042709041061</v>
      </c>
    </row>
    <row r="298" customFormat="false" ht="14.25" hidden="false" customHeight="true" outlineLevel="0" collapsed="false">
      <c r="B298" s="84" t="s">
        <v>1290</v>
      </c>
      <c r="C298" s="116" t="n">
        <f aca="false">C86</f>
        <v>0.344317493798204</v>
      </c>
      <c r="D298" s="116" t="n">
        <f aca="false">D86</f>
        <v>0.899459484744269</v>
      </c>
      <c r="E298" s="116" t="n">
        <f aca="false">E86</f>
        <v>1.57970333474427</v>
      </c>
      <c r="F298" s="116" t="n">
        <f aca="false">F86</f>
        <v>2.27559279329427</v>
      </c>
      <c r="G298" s="116" t="n">
        <f aca="false">G86</f>
        <v>2.98748770939092</v>
      </c>
      <c r="H298" s="116" t="n">
        <f aca="false">H86</f>
        <v>3.71575620855779</v>
      </c>
      <c r="I298" s="116" t="n">
        <f aca="false">I86</f>
        <v>4.4607748832055</v>
      </c>
      <c r="J298" s="116" t="n">
        <f aca="false">J86</f>
        <v>5.22292898737011</v>
      </c>
      <c r="K298" s="116" t="n">
        <f aca="false">K86</f>
        <v>6.0026126359305</v>
      </c>
      <c r="L298" s="116" t="n">
        <f aca="false">L86</f>
        <v>6.80022900840779</v>
      </c>
      <c r="M298" s="116" t="n">
        <f aca="false">M86</f>
        <v>7.61619055745205</v>
      </c>
      <c r="N298" s="116" t="n">
        <f aca="false">N86</f>
        <v>8.10420632129624</v>
      </c>
      <c r="O298" s="116" t="n">
        <f aca="false">O86</f>
        <v>8.29060306668605</v>
      </c>
      <c r="P298" s="116" t="n">
        <f aca="false">P86</f>
        <v>8.48128693721983</v>
      </c>
      <c r="Q298" s="116" t="n">
        <f aca="false">Q86</f>
        <v>8.67635653677589</v>
      </c>
      <c r="R298" s="116" t="n">
        <f aca="false">R86</f>
        <v>8.87591273712173</v>
      </c>
      <c r="S298" s="116" t="n">
        <f aca="false">S86</f>
        <v>9.08005873007553</v>
      </c>
      <c r="T298" s="116" t="n">
        <f aca="false">T86</f>
        <v>9.28890008086727</v>
      </c>
      <c r="U298" s="116" t="n">
        <f aca="false">U86</f>
        <v>9.50254478272721</v>
      </c>
      <c r="V298" s="116" t="n">
        <f aca="false">V86</f>
        <v>9.67483069682345</v>
      </c>
      <c r="W298" s="116" t="n">
        <f aca="false">W86</f>
        <v>9.81844720152737</v>
      </c>
      <c r="X298" s="116" t="n">
        <f aca="false">X86</f>
        <v>9.95912615282797</v>
      </c>
      <c r="Y298" s="116" t="n">
        <f aca="false">Y86</f>
        <v>10.0968598394468</v>
      </c>
      <c r="Z298" s="116" t="n">
        <f aca="false">Z86</f>
        <v>10.2316408054802</v>
      </c>
      <c r="AA298" s="116" t="n">
        <f aca="false">AA86</f>
        <v>10.3634618330354</v>
      </c>
      <c r="AB298" s="116" t="n">
        <f aca="false">AB86</f>
        <v>10.4923159255713</v>
      </c>
      <c r="AC298" s="116" t="n">
        <f aca="false">AC86</f>
        <v>10.6181962919059</v>
      </c>
      <c r="AD298" s="116" t="n">
        <f aca="false">AD86</f>
        <v>10.741096330848</v>
      </c>
      <c r="AE298" s="116" t="n">
        <f aca="false">AE86</f>
        <v>10.861009616418</v>
      </c>
      <c r="AF298" s="116" t="n">
        <f aca="false">AF86</f>
        <v>10.9779298836216</v>
      </c>
    </row>
    <row r="299" customFormat="false" ht="14.25" hidden="false" customHeight="true" outlineLevel="0" collapsed="false">
      <c r="B299" s="144" t="s">
        <v>1291</v>
      </c>
      <c r="C299" s="1" t="n">
        <f aca="false">C286+C291+C296</f>
        <v>6.54203238216588</v>
      </c>
      <c r="D299" s="1" t="n">
        <f aca="false">D286+D291+D296</f>
        <v>11.4356557100896</v>
      </c>
      <c r="E299" s="1" t="n">
        <f aca="false">E286+E291+E296</f>
        <v>15.2421854165587</v>
      </c>
      <c r="F299" s="1" t="n">
        <f aca="false">F286+F291+F296</f>
        <v>17.2781121861576</v>
      </c>
      <c r="G299" s="1" t="n">
        <f aca="false">G286+G291+G296</f>
        <v>19.178349476668</v>
      </c>
      <c r="H299" s="1" t="n">
        <f aca="false">H286+H291+H296</f>
        <v>21.1298708448986</v>
      </c>
      <c r="I299" s="1" t="n">
        <f aca="false">I286+I291+I296</f>
        <v>23.1909811959474</v>
      </c>
      <c r="J299" s="1" t="n">
        <f aca="false">J286+J291+J296</f>
        <v>25.3398419544134</v>
      </c>
      <c r="K299" s="1" t="n">
        <f aca="false">K286+K291+K296</f>
        <v>27.5730706149779</v>
      </c>
      <c r="L299" s="1" t="n">
        <f aca="false">L286+L291+L296</f>
        <v>30.0022394150048</v>
      </c>
      <c r="M299" s="1" t="n">
        <f aca="false">M286+M291+M296</f>
        <v>36.5004031483767</v>
      </c>
      <c r="N299" s="1" t="n">
        <f aca="false">N286+N291+N296</f>
        <v>30.8736469732269</v>
      </c>
      <c r="O299" s="1" t="n">
        <f aca="false">O286+O291+O296</f>
        <v>24.7385741948481</v>
      </c>
      <c r="P299" s="1" t="n">
        <f aca="false">P286+P291+P296</f>
        <v>25.2968509600493</v>
      </c>
      <c r="Q299" s="1" t="n">
        <f aca="false">Q286+Q291+Q296</f>
        <v>25.8730635503174</v>
      </c>
      <c r="R299" s="1" t="n">
        <f aca="false">R286+R291+R296</f>
        <v>26.4673330655929</v>
      </c>
      <c r="S299" s="1" t="n">
        <f aca="false">S286+S291+S296</f>
        <v>27.0794321088527</v>
      </c>
      <c r="T299" s="1" t="n">
        <f aca="false">T286+T291+T296</f>
        <v>27.7091304379114</v>
      </c>
      <c r="U299" s="1" t="n">
        <f aca="false">U286+U291+U296</f>
        <v>28.3557547623946</v>
      </c>
      <c r="V299" s="1" t="n">
        <f aca="false">V286+V291+V296</f>
        <v>28.1384697693766</v>
      </c>
      <c r="W299" s="1" t="n">
        <f aca="false">W286+W291+W296</f>
        <v>28.0477383905144</v>
      </c>
      <c r="X299" s="1" t="n">
        <f aca="false">X286+X291+X296</f>
        <v>28.3669829868658</v>
      </c>
      <c r="Y299" s="1" t="n">
        <f aca="false">Y286+Y291+Y296</f>
        <v>28.6783638842375</v>
      </c>
      <c r="Z299" s="1" t="n">
        <f aca="false">Z286+Z291+Z296</f>
        <v>28.9818773854928</v>
      </c>
      <c r="AA299" s="1" t="n">
        <f aca="false">AA286+AA291+AA296</f>
        <v>29.2775201301943</v>
      </c>
      <c r="AB299" s="1" t="n">
        <f aca="false">AB286+AB291+AB296</f>
        <v>29.5652890625705</v>
      </c>
      <c r="AC299" s="1" t="n">
        <f aca="false">AC286+AC291+AC296</f>
        <v>29.8451697532543</v>
      </c>
      <c r="AD299" s="1" t="n">
        <f aca="false">AD286+AD291+AD296</f>
        <v>30.1171480166031</v>
      </c>
      <c r="AE299" s="1" t="n">
        <f aca="false">AE286+AE291+AE296</f>
        <v>30.3812098816486</v>
      </c>
      <c r="AF299" s="1" t="n">
        <f aca="false">AF286+AF291+AF296</f>
        <v>30.6373415639036</v>
      </c>
    </row>
    <row r="300" customFormat="false" ht="14.25" hidden="false" customHeight="true" outlineLevel="0" collapsed="false">
      <c r="B300" s="144" t="s">
        <v>1292</v>
      </c>
      <c r="C300" s="1" t="n">
        <f aca="false">C285+C290+C295</f>
        <v>0</v>
      </c>
      <c r="D300" s="1" t="n">
        <f aca="false">D285+D290+D295</f>
        <v>0.836729601619559</v>
      </c>
      <c r="E300" s="1" t="n">
        <f aca="false">E285+E290+E295</f>
        <v>2.18417965083557</v>
      </c>
      <c r="F300" s="1" t="n">
        <f aca="false">F285+F290+F295</f>
        <v>3.82505399514232</v>
      </c>
      <c r="G300" s="1" t="n">
        <f aca="false">G285+G290+G295</f>
        <v>5.36115173298972</v>
      </c>
      <c r="H300" s="1" t="n">
        <f aca="false">H285+H290+H295</f>
        <v>6.93849745345536</v>
      </c>
      <c r="I300" s="1" t="n">
        <f aca="false">I285+I290+I295</f>
        <v>8.60264597409471</v>
      </c>
      <c r="J300" s="1" t="n">
        <f aca="false">J285+J290+J295</f>
        <v>10.3365730379211</v>
      </c>
      <c r="K300" s="1" t="n">
        <f aca="false">K285+K290+K295</f>
        <v>12.1376663862758</v>
      </c>
      <c r="L300" s="1" t="n">
        <f aca="false">L285+L290+L295</f>
        <v>14.0930763700056</v>
      </c>
      <c r="M300" s="1" t="n">
        <f aca="false">M285+M290+M295</f>
        <v>20.1062496783871</v>
      </c>
      <c r="N300" s="1" t="n">
        <f aca="false">N285+N290+N295</f>
        <v>20.4751988330304</v>
      </c>
      <c r="O300" s="1" t="n">
        <f aca="false">O285+O290+O295</f>
        <v>19.9261519601255</v>
      </c>
      <c r="P300" s="1" t="n">
        <f aca="false">P285+P290+P295</f>
        <v>20.3760902506759</v>
      </c>
      <c r="Q300" s="1" t="n">
        <f aca="false">Q285+Q290+Q295</f>
        <v>20.8403558907194</v>
      </c>
      <c r="R300" s="1" t="n">
        <f aca="false">R285+R290+R295</f>
        <v>21.3190508520204</v>
      </c>
      <c r="S300" s="1" t="n">
        <f aca="false">S285+S290+S295</f>
        <v>21.8120051543678</v>
      </c>
      <c r="T300" s="1" t="n">
        <f aca="false">T285+T290+T295</f>
        <v>22.3190467702988</v>
      </c>
      <c r="U300" s="1" t="n">
        <f aca="false">U285+U290+U295</f>
        <v>22.8396578983666</v>
      </c>
      <c r="V300" s="1" t="n">
        <f aca="false">V285+V290+V295</f>
        <v>23.3725538787854</v>
      </c>
      <c r="W300" s="1" t="n">
        <f aca="false">W285+W290+W295</f>
        <v>23.7987866952502</v>
      </c>
      <c r="X300" s="1" t="n">
        <f aca="false">X285+X290+X295</f>
        <v>24.1514501641263</v>
      </c>
      <c r="Y300" s="1" t="n">
        <f aca="false">Y285+Y290+Y295</f>
        <v>24.4968645248474</v>
      </c>
      <c r="Z300" s="1" t="n">
        <f aca="false">Z285+Z290+Z295</f>
        <v>24.8350198908378</v>
      </c>
      <c r="AA300" s="1" t="n">
        <f aca="false">AA285+AA290+AA295</f>
        <v>25.1659070023875</v>
      </c>
      <c r="AB300" s="1" t="n">
        <f aca="false">AB285+AB290+AB295</f>
        <v>25.4895171839357</v>
      </c>
      <c r="AC300" s="1" t="n">
        <f aca="false">AC285+AC290+AC295</f>
        <v>25.8058332083446</v>
      </c>
      <c r="AD300" s="1" t="n">
        <f aca="false">AD285+AD290+AD295</f>
        <v>26.1148383522938</v>
      </c>
      <c r="AE300" s="1" t="n">
        <f aca="false">AE285+AE290+AE295</f>
        <v>26.4165163584681</v>
      </c>
      <c r="AF300" s="1" t="n">
        <f aca="false">AF285+AF290+AF295</f>
        <v>26.7108513991906</v>
      </c>
    </row>
    <row r="301" customFormat="false" ht="14.25" hidden="false" customHeight="true" outlineLevel="0" collapsed="false">
      <c r="B301" s="144" t="s">
        <v>1293</v>
      </c>
      <c r="C301" s="1" t="n">
        <f aca="false">C284+C289+C294</f>
        <v>6.54203238216588</v>
      </c>
      <c r="D301" s="1" t="n">
        <f aca="false">D284+D289+D294</f>
        <v>17.0897302101411</v>
      </c>
      <c r="E301" s="1" t="n">
        <f aca="false">E284+E289+E294</f>
        <v>30.0143633601411</v>
      </c>
      <c r="F301" s="1" t="n">
        <f aca="false">F284+F289+F294</f>
        <v>43.2362630725911</v>
      </c>
      <c r="G301" s="1" t="n">
        <f aca="false">G284+G289+G294</f>
        <v>56.7622664784275</v>
      </c>
      <c r="H301" s="1" t="n">
        <f aca="false">H284+H289+H294</f>
        <v>70.599367962598</v>
      </c>
      <c r="I301" s="1" t="n">
        <f aca="false">I284+I289+I294</f>
        <v>84.7547227809045</v>
      </c>
      <c r="J301" s="1" t="n">
        <f aca="false">J284+J289+J294</f>
        <v>99.2356507600321</v>
      </c>
      <c r="K301" s="1" t="n">
        <f aca="false">K284+K289+K294</f>
        <v>114.04964008268</v>
      </c>
      <c r="L301" s="1" t="n">
        <f aca="false">L284+L289+L294</f>
        <v>129.204351159748</v>
      </c>
      <c r="M301" s="1" t="n">
        <f aca="false">M284+M289+M294</f>
        <v>144.707620591589</v>
      </c>
      <c r="N301" s="1" t="n">
        <f aca="false">N284+N289+N294</f>
        <v>153.979920104629</v>
      </c>
      <c r="O301" s="1" t="n">
        <f aca="false">O284+O289+O294</f>
        <v>157.521458267035</v>
      </c>
      <c r="P301" s="1" t="n">
        <f aca="false">P284+P289+P294</f>
        <v>161.144451807177</v>
      </c>
      <c r="Q301" s="1" t="n">
        <f aca="false">Q284+Q289+Q294</f>
        <v>164.850774198742</v>
      </c>
      <c r="R301" s="1" t="n">
        <f aca="false">R284+R289+R294</f>
        <v>168.642342005313</v>
      </c>
      <c r="S301" s="1" t="n">
        <f aca="false">S284+S289+S294</f>
        <v>172.521115871435</v>
      </c>
      <c r="T301" s="1" t="n">
        <f aca="false">T284+T289+T294</f>
        <v>176.489101536478</v>
      </c>
      <c r="U301" s="1" t="n">
        <f aca="false">U284+U289+U294</f>
        <v>180.548350871817</v>
      </c>
      <c r="V301" s="1" t="n">
        <f aca="false">V284+V289+V294</f>
        <v>183.821783239646</v>
      </c>
      <c r="W301" s="1" t="n">
        <f aca="false">W284+W289+W294</f>
        <v>186.55049682902</v>
      </c>
      <c r="X301" s="1" t="n">
        <f aca="false">X284+X289+X294</f>
        <v>189.223396903731</v>
      </c>
      <c r="Y301" s="1" t="n">
        <f aca="false">Y284+Y289+Y294</f>
        <v>191.840336949488</v>
      </c>
      <c r="Z301" s="1" t="n">
        <f aca="false">Z284+Z289+Z294</f>
        <v>194.401175304124</v>
      </c>
      <c r="AA301" s="1" t="n">
        <f aca="false">AA284+AA289+AA294</f>
        <v>196.905774827672</v>
      </c>
      <c r="AB301" s="1" t="n">
        <f aca="false">AB284+AB289+AB294</f>
        <v>199.354002585855</v>
      </c>
      <c r="AC301" s="1" t="n">
        <f aca="false">AC284+AC289+AC294</f>
        <v>201.745729546213</v>
      </c>
      <c r="AD301" s="1" t="n">
        <f aca="false">AD284+AD289+AD294</f>
        <v>204.080830286112</v>
      </c>
      <c r="AE301" s="1" t="n">
        <f aca="false">AE284+AE289+AE294</f>
        <v>206.359182711943</v>
      </c>
      <c r="AF301" s="1" t="n">
        <f aca="false">AF284+AF289+AF294</f>
        <v>208.58066778881</v>
      </c>
    </row>
    <row r="302" customFormat="false" ht="14.25" hidden="false" customHeight="true" outlineLevel="0" collapsed="false">
      <c r="B302" s="144" t="s">
        <v>1294</v>
      </c>
      <c r="C302" s="1" t="n">
        <f aca="false">C287+C292+C297</f>
        <v>0.274846963373799</v>
      </c>
      <c r="D302" s="1" t="n">
        <f aca="false">D287+D292+D297</f>
        <v>0.717865970646485</v>
      </c>
      <c r="E302" s="1" t="n">
        <f aca="false">E287+E292+E297</f>
        <v>1.25998226339693</v>
      </c>
      <c r="F302" s="1" t="n">
        <f aca="false">F287+F292+F297</f>
        <v>1.80428746772901</v>
      </c>
      <c r="G302" s="1" t="n">
        <f aca="false">G287+G292+G297</f>
        <v>2.36153853930618</v>
      </c>
      <c r="H302" s="1" t="n">
        <f aca="false">H287+H292+H297</f>
        <v>2.93525068221528</v>
      </c>
      <c r="I302" s="1" t="n">
        <f aca="false">I287+I292+I297</f>
        <v>3.52443053213893</v>
      </c>
      <c r="J302" s="1" t="n">
        <f aca="false">J287+J292+J297</f>
        <v>4.12912966125732</v>
      </c>
      <c r="K302" s="1" t="n">
        <f aca="false">K287+K292+K297</f>
        <v>4.75587975906541</v>
      </c>
      <c r="L302" s="1" t="n">
        <f aca="false">L287+L292+L297</f>
        <v>5.3971312441941</v>
      </c>
      <c r="M302" s="1" t="n">
        <f aca="false">M287+M292+M297</f>
        <v>6.07772502084285</v>
      </c>
      <c r="N302" s="1" t="n">
        <f aca="false">N287+N292+N297</f>
        <v>6.48581401077041</v>
      </c>
      <c r="O302" s="1" t="n">
        <f aca="false">O287+O292+O297</f>
        <v>6.63438449317393</v>
      </c>
      <c r="P302" s="1" t="n">
        <f aca="false">P287+P292+P297</f>
        <v>6.78665908617156</v>
      </c>
      <c r="Q302" s="1" t="n">
        <f aca="false">Q287+Q292+Q297</f>
        <v>6.94270657054905</v>
      </c>
      <c r="R302" s="1" t="n">
        <f aca="false">R287+R292+R297</f>
        <v>7.10257752392174</v>
      </c>
      <c r="S302" s="1" t="n">
        <f aca="false">S287+S292+S297</f>
        <v>7.26632382151778</v>
      </c>
      <c r="T302" s="1" t="n">
        <f aca="false">T287+T292+T297</f>
        <v>7.43397387633219</v>
      </c>
      <c r="U302" s="1" t="n">
        <f aca="false">U287+U292+U297</f>
        <v>7.60550230022271</v>
      </c>
      <c r="V302" s="1" t="n">
        <f aca="false">V287+V292+V297</f>
        <v>7.74357252279952</v>
      </c>
      <c r="W302" s="1" t="n">
        <f aca="false">W287+W292+W297</f>
        <v>7.85847648940403</v>
      </c>
      <c r="X302" s="1" t="n">
        <f aca="false">X287+X292+X297</f>
        <v>7.97102761975293</v>
      </c>
      <c r="Y302" s="1" t="n">
        <f aca="false">Y287+Y292+Y297</f>
        <v>8.08122039696451</v>
      </c>
      <c r="Z302" s="1" t="n">
        <f aca="false">Z287+Z292+Z297</f>
        <v>8.18904950845955</v>
      </c>
      <c r="AA302" s="1" t="n">
        <f aca="false">AA287+AA292+AA297</f>
        <v>8.2945098320629</v>
      </c>
      <c r="AB302" s="1" t="n">
        <f aca="false">AB287+AB292+AB297</f>
        <v>8.39759576666409</v>
      </c>
      <c r="AC302" s="1" t="n">
        <f aca="false">AC287+AC292+AC297</f>
        <v>8.49830187542185</v>
      </c>
      <c r="AD302" s="1" t="n">
        <f aca="false">AD287+AD292+AD297</f>
        <v>8.59662287346335</v>
      </c>
      <c r="AE302" s="1" t="n">
        <f aca="false">AE287+AE292+AE297</f>
        <v>8.69255361605421</v>
      </c>
      <c r="AF302" s="1" t="n">
        <f aca="false">AF287+AF292+AF297</f>
        <v>8.78608908721074</v>
      </c>
    </row>
    <row r="303" customFormat="false" ht="14.25" hidden="false" customHeight="true" outlineLevel="0" collapsed="false">
      <c r="B303" s="84" t="s">
        <v>1295</v>
      </c>
      <c r="C303" s="1" t="n">
        <f aca="false">ROUND(C301+C298-C83,6)</f>
        <v>0</v>
      </c>
      <c r="D303" s="1" t="n">
        <f aca="false">ROUND(D301+D298-D83,6)</f>
        <v>0</v>
      </c>
      <c r="E303" s="1" t="n">
        <f aca="false">ROUND(E301+E298-E83,6)</f>
        <v>0</v>
      </c>
      <c r="F303" s="1" t="n">
        <f aca="false">ROUND(F301+F298-F83,6)</f>
        <v>0</v>
      </c>
      <c r="G303" s="1" t="n">
        <f aca="false">ROUND(G301+G298-G83,6)</f>
        <v>0</v>
      </c>
      <c r="H303" s="1" t="n">
        <f aca="false">ROUND(H301+H298-H83,6)</f>
        <v>0</v>
      </c>
      <c r="I303" s="1" t="n">
        <f aca="false">ROUND(I301+I298-I83,6)</f>
        <v>0</v>
      </c>
      <c r="J303" s="1" t="n">
        <f aca="false">ROUND(J301+J298-J83,6)</f>
        <v>0</v>
      </c>
      <c r="K303" s="1" t="n">
        <f aca="false">ROUND(K301+K298-K83,6)</f>
        <v>0</v>
      </c>
      <c r="L303" s="1" t="n">
        <f aca="false">ROUND(L301+L298-L83,6)</f>
        <v>0</v>
      </c>
      <c r="M303" s="1" t="n">
        <f aca="false">ROUND(M301+M298-M83,6)</f>
        <v>0</v>
      </c>
      <c r="N303" s="1" t="n">
        <f aca="false">ROUND(N301+N298-N83,6)</f>
        <v>0</v>
      </c>
      <c r="O303" s="1" t="n">
        <f aca="false">ROUND(O301+O298-O83,6)</f>
        <v>0</v>
      </c>
      <c r="P303" s="1" t="n">
        <f aca="false">ROUND(P301+P298-P83,6)</f>
        <v>0</v>
      </c>
      <c r="Q303" s="1" t="n">
        <f aca="false">ROUND(Q301+Q298-Q83,6)</f>
        <v>0</v>
      </c>
      <c r="R303" s="1" t="n">
        <f aca="false">ROUND(R301+R298-R83,6)</f>
        <v>0</v>
      </c>
      <c r="S303" s="1" t="n">
        <f aca="false">ROUND(S301+S298-S83,6)</f>
        <v>0</v>
      </c>
      <c r="T303" s="1" t="n">
        <f aca="false">ROUND(T301+T298-T83,6)</f>
        <v>0</v>
      </c>
      <c r="U303" s="1" t="n">
        <f aca="false">ROUND(U301+U298-U83,6)</f>
        <v>0</v>
      </c>
      <c r="V303" s="1" t="n">
        <f aca="false">ROUND(V301+V298-V83,6)</f>
        <v>0</v>
      </c>
      <c r="W303" s="1" t="n">
        <f aca="false">ROUND(W301+W298-W83,6)</f>
        <v>0</v>
      </c>
      <c r="X303" s="1" t="n">
        <f aca="false">ROUND(X301+X298-X83,6)</f>
        <v>0</v>
      </c>
      <c r="Y303" s="1" t="n">
        <f aca="false">ROUND(Y301+Y298-Y83,6)</f>
        <v>0</v>
      </c>
      <c r="Z303" s="1" t="n">
        <f aca="false">ROUND(Z301+Z298-Z83,6)</f>
        <v>0</v>
      </c>
      <c r="AA303" s="1" t="n">
        <f aca="false">ROUND(AA301+AA298-AA83,6)</f>
        <v>0</v>
      </c>
      <c r="AB303" s="1" t="n">
        <f aca="false">ROUND(AB301+AB298-AB83,6)</f>
        <v>0</v>
      </c>
      <c r="AC303" s="1" t="n">
        <f aca="false">ROUND(AC301+AC298-AC83,6)</f>
        <v>0</v>
      </c>
      <c r="AD303" s="1" t="n">
        <f aca="false">ROUND(AD301+AD298-AD83,6)</f>
        <v>0</v>
      </c>
      <c r="AE303" s="1" t="n">
        <f aca="false">ROUND(AE301+AE298-AE83,6)</f>
        <v>0</v>
      </c>
      <c r="AF303" s="1" t="n">
        <f aca="false">ROUND(AF301+AF298-AF83,6)</f>
        <v>0</v>
      </c>
    </row>
    <row r="304" customFormat="false" ht="14.25" hidden="false" customHeight="true" outlineLevel="0" collapsed="false">
      <c r="B304" s="84" t="s">
        <v>1296</v>
      </c>
      <c r="C304" s="1" t="n">
        <f aca="false">ROUND(C302-(C107-C55*C88),6)</f>
        <v>0</v>
      </c>
      <c r="D304" s="1" t="n">
        <f aca="false">ROUND(D302-(D107-D55*D88),6)</f>
        <v>0</v>
      </c>
      <c r="E304" s="1" t="n">
        <f aca="false">ROUND(E302-(E107-E55*E88),6)</f>
        <v>0</v>
      </c>
      <c r="F304" s="1" t="n">
        <f aca="false">ROUND(F302-(F107-F55*F88),6)</f>
        <v>0</v>
      </c>
      <c r="G304" s="1" t="n">
        <f aca="false">ROUND(G302-(G107-G55*G88),6)</f>
        <v>0</v>
      </c>
      <c r="H304" s="1" t="n">
        <f aca="false">ROUND(H302-(H107-H55*H88),6)</f>
        <v>0</v>
      </c>
      <c r="I304" s="1" t="n">
        <f aca="false">ROUND(I302-(I107-I55*I88),6)</f>
        <v>0</v>
      </c>
      <c r="J304" s="1" t="n">
        <f aca="false">ROUND(J302-(J107-J55*J88),6)</f>
        <v>0</v>
      </c>
      <c r="K304" s="1" t="n">
        <f aca="false">ROUND(K302-(K107-K55*K88),6)</f>
        <v>0</v>
      </c>
      <c r="L304" s="1" t="n">
        <f aca="false">ROUND(L302-(L107-L55*L88),6)</f>
        <v>0</v>
      </c>
      <c r="M304" s="1" t="n">
        <f aca="false">ROUND(M302-(M107-M55*M88),6)</f>
        <v>0</v>
      </c>
      <c r="N304" s="1" t="n">
        <f aca="false">ROUND(N302-(N107-N55*N88),6)</f>
        <v>0</v>
      </c>
      <c r="O304" s="1" t="n">
        <f aca="false">ROUND(O302-(O107-O55*O88),6)</f>
        <v>0</v>
      </c>
      <c r="P304" s="1" t="n">
        <f aca="false">ROUND(P302-(P107-P55*P88),6)</f>
        <v>0</v>
      </c>
      <c r="Q304" s="1" t="n">
        <f aca="false">ROUND(Q302-(Q107-Q55*Q88),6)</f>
        <v>0</v>
      </c>
      <c r="R304" s="1" t="n">
        <f aca="false">ROUND(R302-(R107-R55*R88),6)</f>
        <v>0</v>
      </c>
      <c r="S304" s="1" t="n">
        <f aca="false">ROUND(S302-(S107-S55*S88),6)</f>
        <v>0</v>
      </c>
      <c r="T304" s="1" t="n">
        <f aca="false">ROUND(T302-(T107-T55*T88),6)</f>
        <v>0</v>
      </c>
      <c r="U304" s="1" t="n">
        <f aca="false">ROUND(U302-(U107-U55*U88),6)</f>
        <v>0</v>
      </c>
      <c r="V304" s="1" t="n">
        <f aca="false">ROUND(V302-(V107-V55*V88),6)</f>
        <v>0</v>
      </c>
      <c r="W304" s="1" t="n">
        <f aca="false">ROUND(W302-(W107-W55*W88),6)</f>
        <v>0</v>
      </c>
      <c r="X304" s="1" t="n">
        <f aca="false">ROUND(X302-(X107-X55*X88),6)</f>
        <v>0</v>
      </c>
      <c r="Y304" s="1" t="n">
        <f aca="false">ROUND(Y302-(Y107-Y55*Y88),6)</f>
        <v>0</v>
      </c>
      <c r="Z304" s="1" t="n">
        <f aca="false">ROUND(Z302-(Z107-Z55*Z88),6)</f>
        <v>0</v>
      </c>
      <c r="AA304" s="1" t="n">
        <f aca="false">ROUND(AA302-(AA107-AA55*AA88),6)</f>
        <v>0</v>
      </c>
      <c r="AB304" s="1" t="n">
        <f aca="false">ROUND(AB302-(AB107-AB55*AB88),6)</f>
        <v>0</v>
      </c>
      <c r="AC304" s="1" t="n">
        <f aca="false">ROUND(AC302-(AC107-AC55*AC88),6)</f>
        <v>0</v>
      </c>
      <c r="AD304" s="1" t="n">
        <f aca="false">ROUND(AD302-(AD107-AD55*AD88),6)</f>
        <v>0</v>
      </c>
      <c r="AE304" s="1" t="n">
        <f aca="false">ROUND(AE302-(AE107-AE55*AE88),6)</f>
        <v>0</v>
      </c>
      <c r="AF304" s="1" t="n">
        <f aca="false">ROUND(AF302-(AF107-AF55*AF88),6)</f>
        <v>0</v>
      </c>
    </row>
    <row r="305" customFormat="false" ht="14.25" hidden="false" customHeight="true" outlineLevel="0" collapsed="false">
      <c r="B305" s="84" t="s">
        <v>1297</v>
      </c>
      <c r="C305" s="1" t="n">
        <f aca="false">ROUND(0+C299-C300-C301,6)</f>
        <v>0</v>
      </c>
      <c r="D305" s="1" t="n">
        <f aca="false">ROUND(C301+D299-D300-D343-D301,6)</f>
        <v>0</v>
      </c>
      <c r="E305" s="1" t="n">
        <f aca="false">ROUND(D301+E299-E300-E343-E301,6)</f>
        <v>0</v>
      </c>
      <c r="F305" s="1" t="n">
        <f aca="false">ROUND(E301+F299-F300-F343-F301,6)</f>
        <v>0</v>
      </c>
      <c r="G305" s="1" t="n">
        <f aca="false">ROUND(F301+G299-G300-G343-G301,6)</f>
        <v>0</v>
      </c>
      <c r="H305" s="1" t="n">
        <f aca="false">ROUND(G301+H299-H300-H343-H301,6)</f>
        <v>0</v>
      </c>
      <c r="I305" s="1" t="n">
        <f aca="false">ROUND(H301+I299-I300-I343-I301,6)</f>
        <v>0</v>
      </c>
      <c r="J305" s="1" t="n">
        <f aca="false">ROUND(I301+J299-J300-J343-J301,6)</f>
        <v>0</v>
      </c>
      <c r="K305" s="1" t="n">
        <f aca="false">ROUND(J301+K299-K300-K343-K301,6)</f>
        <v>0</v>
      </c>
      <c r="L305" s="1" t="n">
        <f aca="false">ROUND(K301+L299-L300-L343-L301,6)</f>
        <v>0</v>
      </c>
      <c r="M305" s="1" t="n">
        <f aca="false">ROUND(L301+M299-M300-M343-M301,6)</f>
        <v>0</v>
      </c>
      <c r="N305" s="1" t="n">
        <f aca="false">ROUND(M301+N299-N300-N343-N301,6)</f>
        <v>0</v>
      </c>
      <c r="O305" s="1" t="n">
        <f aca="false">ROUND(N301+O299-O300-O343-O301,6)</f>
        <v>0</v>
      </c>
      <c r="P305" s="1" t="n">
        <f aca="false">ROUND(O301+P299-P300-P343-P301,6)</f>
        <v>0</v>
      </c>
      <c r="Q305" s="1" t="n">
        <f aca="false">ROUND(P301+Q299-Q300-Q343-Q301,6)</f>
        <v>0</v>
      </c>
      <c r="R305" s="1" t="n">
        <f aca="false">ROUND(Q301+R299-R300-R343-R301,6)</f>
        <v>0</v>
      </c>
      <c r="S305" s="1" t="n">
        <f aca="false">ROUND(R301+S299-S300-S343-S301,6)</f>
        <v>0</v>
      </c>
      <c r="T305" s="1" t="n">
        <f aca="false">ROUND(S301+T299-T300-T343-T301,6)</f>
        <v>0</v>
      </c>
      <c r="U305" s="1" t="n">
        <f aca="false">ROUND(T301+U299-U300-U343-U301,6)</f>
        <v>0</v>
      </c>
      <c r="V305" s="1" t="n">
        <f aca="false">ROUND(U301+V299-V300-V343-V301,6)</f>
        <v>0</v>
      </c>
      <c r="W305" s="1" t="n">
        <f aca="false">ROUND(V301+W299-W300-W343-W301,6)</f>
        <v>0</v>
      </c>
      <c r="X305" s="1" t="n">
        <f aca="false">ROUND(W301+X299-X300-X343-X301,6)</f>
        <v>0</v>
      </c>
      <c r="Y305" s="1" t="n">
        <f aca="false">ROUND(X301+Y299-Y300-Y343-Y301,6)</f>
        <v>0</v>
      </c>
      <c r="Z305" s="1" t="n">
        <f aca="false">ROUND(Y301+Z299-Z300-Z343-Z301,6)</f>
        <v>0</v>
      </c>
      <c r="AA305" s="1" t="n">
        <f aca="false">ROUND(Z301+AA299-AA300-AA343-AA301,6)</f>
        <v>0</v>
      </c>
      <c r="AB305" s="1" t="n">
        <f aca="false">ROUND(AA301+AB299-AB300-AB343-AB301,6)</f>
        <v>0</v>
      </c>
      <c r="AC305" s="1" t="n">
        <f aca="false">ROUND(AB301+AC299-AC300-AC343-AC301,6)</f>
        <v>0</v>
      </c>
      <c r="AD305" s="1" t="n">
        <f aca="false">ROUND(AC301+AD299-AD300-AD343-AD301,6)</f>
        <v>0</v>
      </c>
      <c r="AE305" s="1" t="n">
        <f aca="false">ROUND(AD301+AE299-AE300-AE343-AE301,6)</f>
        <v>0</v>
      </c>
      <c r="AF305" s="1" t="n">
        <f aca="false">ROUND(AE301+AF299-AF300-AF343-AF301,6)</f>
        <v>0</v>
      </c>
    </row>
    <row r="306" customFormat="false" ht="14.25" hidden="false" customHeight="true" outlineLevel="0" collapsed="false">
      <c r="B306" s="144" t="s">
        <v>1298</v>
      </c>
    </row>
    <row r="307" customFormat="false" ht="14.25" hidden="false" customHeight="true" outlineLevel="0" collapsed="false">
      <c r="B307" s="84" t="s">
        <v>1299</v>
      </c>
      <c r="C307" s="116" t="n">
        <f aca="false">C81</f>
        <v>11.8267027723829</v>
      </c>
      <c r="D307" s="116" t="n">
        <f aca="false">D81</f>
        <v>31.2705719819142</v>
      </c>
      <c r="E307" s="116" t="n">
        <f aca="false">E81</f>
        <v>57.4876291967492</v>
      </c>
      <c r="F307" s="116" t="n">
        <f aca="false">F81</f>
        <v>117.640244070027</v>
      </c>
      <c r="G307" s="116" t="n">
        <f aca="false">G81</f>
        <v>177.792297926316</v>
      </c>
      <c r="H307" s="116" t="n">
        <f aca="false">H81</f>
        <v>227.511063399864</v>
      </c>
      <c r="I307" s="116" t="n">
        <f aca="false">I81</f>
        <v>271.0052420369</v>
      </c>
      <c r="J307" s="116" t="n">
        <f aca="false">J81</f>
        <v>309.118001288097</v>
      </c>
      <c r="K307" s="116" t="n">
        <f aca="false">K81</f>
        <v>321.703694079959</v>
      </c>
      <c r="L307" s="116" t="n">
        <f aca="false">L81</f>
        <v>334.29956120741</v>
      </c>
      <c r="M307" s="116" t="n">
        <f aca="false">M81</f>
        <v>346.66226255922</v>
      </c>
      <c r="N307" s="116" t="n">
        <f aca="false">N81</f>
        <v>358.553504973444</v>
      </c>
      <c r="O307" s="116" t="n">
        <f aca="false">O81</f>
        <v>369.929884584937</v>
      </c>
      <c r="P307" s="116" t="n">
        <f aca="false">P81</f>
        <v>380.079000051655</v>
      </c>
      <c r="Q307" s="116" t="n">
        <f aca="false">Q81</f>
        <v>389.057779981283</v>
      </c>
      <c r="R307" s="116" t="n">
        <f aca="false">R81</f>
        <v>397.027108920493</v>
      </c>
      <c r="S307" s="116" t="n">
        <f aca="false">S81</f>
        <v>404.150874859737</v>
      </c>
      <c r="T307" s="116" t="n">
        <f aca="false">T81</f>
        <v>410.724648901073</v>
      </c>
      <c r="U307" s="116" t="n">
        <f aca="false">U81</f>
        <v>417.333314607239</v>
      </c>
      <c r="V307" s="116" t="n">
        <f aca="false">V81</f>
        <v>423.972968675443</v>
      </c>
      <c r="W307" s="116" t="n">
        <f aca="false">W81</f>
        <v>430.496293682744</v>
      </c>
      <c r="X307" s="116" t="n">
        <f aca="false">X81</f>
        <v>436.899540539118</v>
      </c>
      <c r="Y307" s="116" t="n">
        <f aca="false">Y81</f>
        <v>443.178972634035</v>
      </c>
      <c r="Z307" s="116" t="n">
        <f aca="false">Z81</f>
        <v>449.330865042869</v>
      </c>
      <c r="AA307" s="116" t="n">
        <f aca="false">AA81</f>
        <v>455.35150376701</v>
      </c>
      <c r="AB307" s="116" t="n">
        <f aca="false">AB81</f>
        <v>461.240588408607</v>
      </c>
      <c r="AC307" s="116" t="n">
        <f aca="false">AC81</f>
        <v>466.997828069613</v>
      </c>
      <c r="AD307" s="116" t="n">
        <f aca="false">AD81</f>
        <v>472.622940681932</v>
      </c>
      <c r="AE307" s="116" t="n">
        <f aca="false">AE81</f>
        <v>478.115652364191</v>
      </c>
      <c r="AF307" s="116" t="n">
        <f aca="false">AF81</f>
        <v>483.475696803537</v>
      </c>
    </row>
    <row r="308" customFormat="false" ht="14.25" hidden="false" customHeight="true" outlineLevel="0" collapsed="false">
      <c r="B308" s="84" t="s">
        <v>1300</v>
      </c>
      <c r="C308" s="1" t="n">
        <f aca="false">C301</f>
        <v>6.54203238216588</v>
      </c>
      <c r="D308" s="1" t="n">
        <f aca="false">D301</f>
        <v>17.0897302101411</v>
      </c>
      <c r="E308" s="1" t="n">
        <f aca="false">E301</f>
        <v>30.0143633601411</v>
      </c>
      <c r="F308" s="1" t="n">
        <f aca="false">F301</f>
        <v>43.2362630725911</v>
      </c>
      <c r="G308" s="1" t="n">
        <f aca="false">G301</f>
        <v>56.7622664784275</v>
      </c>
      <c r="H308" s="1" t="n">
        <f aca="false">H301</f>
        <v>70.599367962598</v>
      </c>
      <c r="I308" s="1" t="n">
        <f aca="false">I301</f>
        <v>84.7547227809045</v>
      </c>
      <c r="J308" s="1" t="n">
        <f aca="false">J301</f>
        <v>99.2356507600321</v>
      </c>
      <c r="K308" s="1" t="n">
        <f aca="false">K301</f>
        <v>114.04964008268</v>
      </c>
      <c r="L308" s="1" t="n">
        <f aca="false">L301</f>
        <v>129.204351159748</v>
      </c>
      <c r="M308" s="1" t="n">
        <f aca="false">M301</f>
        <v>144.707620591589</v>
      </c>
      <c r="N308" s="1" t="n">
        <f aca="false">N301</f>
        <v>153.979920104629</v>
      </c>
      <c r="O308" s="1" t="n">
        <f aca="false">O301</f>
        <v>157.521458267035</v>
      </c>
      <c r="P308" s="1" t="n">
        <f aca="false">P301</f>
        <v>161.144451807177</v>
      </c>
      <c r="Q308" s="1" t="n">
        <f aca="false">Q301</f>
        <v>164.850774198742</v>
      </c>
      <c r="R308" s="1" t="n">
        <f aca="false">R301</f>
        <v>168.642342005313</v>
      </c>
      <c r="S308" s="1" t="n">
        <f aca="false">S301</f>
        <v>172.521115871435</v>
      </c>
      <c r="T308" s="1" t="n">
        <f aca="false">T301</f>
        <v>176.489101536478</v>
      </c>
      <c r="U308" s="1" t="n">
        <f aca="false">U301</f>
        <v>180.548350871817</v>
      </c>
      <c r="V308" s="1" t="n">
        <f aca="false">V301</f>
        <v>183.821783239646</v>
      </c>
      <c r="W308" s="1" t="n">
        <f aca="false">W301</f>
        <v>186.55049682902</v>
      </c>
      <c r="X308" s="1" t="n">
        <f aca="false">X301</f>
        <v>189.223396903731</v>
      </c>
      <c r="Y308" s="1" t="n">
        <f aca="false">Y301</f>
        <v>191.840336949488</v>
      </c>
      <c r="Z308" s="1" t="n">
        <f aca="false">Z301</f>
        <v>194.401175304124</v>
      </c>
      <c r="AA308" s="1" t="n">
        <f aca="false">AA301</f>
        <v>196.905774827672</v>
      </c>
      <c r="AB308" s="1" t="n">
        <f aca="false">AB301</f>
        <v>199.354002585855</v>
      </c>
      <c r="AC308" s="1" t="n">
        <f aca="false">AC301</f>
        <v>201.745729546213</v>
      </c>
      <c r="AD308" s="1" t="n">
        <f aca="false">AD301</f>
        <v>204.080830286112</v>
      </c>
      <c r="AE308" s="1" t="n">
        <f aca="false">AE301</f>
        <v>206.359182711943</v>
      </c>
      <c r="AF308" s="1" t="n">
        <f aca="false">AF301</f>
        <v>208.58066778881</v>
      </c>
    </row>
    <row r="309" customFormat="false" ht="14.25" hidden="false" customHeight="true" outlineLevel="0" collapsed="false">
      <c r="B309" s="84" t="s">
        <v>1301</v>
      </c>
      <c r="C309" s="1" t="n">
        <f aca="false">C307-C308</f>
        <v>5.28467039021698</v>
      </c>
      <c r="D309" s="1" t="n">
        <f aca="false">D307-D308</f>
        <v>14.1808417717731</v>
      </c>
      <c r="E309" s="1" t="n">
        <f aca="false">E307-E308</f>
        <v>27.4732658366081</v>
      </c>
      <c r="F309" s="1" t="n">
        <f aca="false">F307-F308</f>
        <v>74.4039809974362</v>
      </c>
      <c r="G309" s="1" t="n">
        <f aca="false">G307-G308</f>
        <v>121.030031447889</v>
      </c>
      <c r="H309" s="1" t="n">
        <f aca="false">H307-H308</f>
        <v>156.911695437266</v>
      </c>
      <c r="I309" s="1" t="n">
        <f aca="false">I307-I308</f>
        <v>186.250519255996</v>
      </c>
      <c r="J309" s="1" t="n">
        <f aca="false">J307-J308</f>
        <v>209.882350528065</v>
      </c>
      <c r="K309" s="1" t="n">
        <f aca="false">K307-K308</f>
        <v>207.654053997279</v>
      </c>
      <c r="L309" s="1" t="n">
        <f aca="false">L307-L308</f>
        <v>205.095210047662</v>
      </c>
      <c r="M309" s="1" t="n">
        <f aca="false">M307-M308</f>
        <v>201.954641967631</v>
      </c>
      <c r="N309" s="1" t="n">
        <f aca="false">N307-N308</f>
        <v>204.573584868815</v>
      </c>
      <c r="O309" s="1" t="n">
        <f aca="false">O307-O308</f>
        <v>212.408426317902</v>
      </c>
      <c r="P309" s="1" t="n">
        <f aca="false">P307-P308</f>
        <v>218.934548244478</v>
      </c>
      <c r="Q309" s="1" t="n">
        <f aca="false">Q307-Q308</f>
        <v>224.207005782541</v>
      </c>
      <c r="R309" s="1" t="n">
        <f aca="false">R307-R308</f>
        <v>228.384766915181</v>
      </c>
      <c r="S309" s="1" t="n">
        <f aca="false">S307-S308</f>
        <v>231.629758988302</v>
      </c>
      <c r="T309" s="1" t="n">
        <f aca="false">T307-T308</f>
        <v>234.235547364595</v>
      </c>
      <c r="U309" s="1" t="n">
        <f aca="false">U307-U308</f>
        <v>236.784963735422</v>
      </c>
      <c r="V309" s="1" t="n">
        <f aca="false">V307-V308</f>
        <v>240.151185435798</v>
      </c>
      <c r="W309" s="1" t="n">
        <f aca="false">W307-W308</f>
        <v>243.945796853724</v>
      </c>
      <c r="X309" s="1" t="n">
        <f aca="false">X307-X308</f>
        <v>247.676143635387</v>
      </c>
      <c r="Y309" s="1" t="n">
        <f aca="false">Y307-Y308</f>
        <v>251.338635684546</v>
      </c>
      <c r="Z309" s="1" t="n">
        <f aca="false">Z307-Z308</f>
        <v>254.929689738745</v>
      </c>
      <c r="AA309" s="1" t="n">
        <f aca="false">AA307-AA308</f>
        <v>258.445728939339</v>
      </c>
      <c r="AB309" s="1" t="n">
        <f aca="false">AB307-AB308</f>
        <v>261.886585822752</v>
      </c>
      <c r="AC309" s="1" t="n">
        <f aca="false">AC307-AC308</f>
        <v>265.2520985234</v>
      </c>
      <c r="AD309" s="1" t="n">
        <f aca="false">AD307-AD308</f>
        <v>268.54211039582</v>
      </c>
      <c r="AE309" s="1" t="n">
        <f aca="false">AE307-AE308</f>
        <v>271.756469652248</v>
      </c>
      <c r="AF309" s="1" t="n">
        <f aca="false">AF307-AF308</f>
        <v>274.895029014727</v>
      </c>
    </row>
    <row r="310" customFormat="false" ht="14.25" hidden="false" customHeight="true" outlineLevel="0" collapsed="false">
      <c r="B310" s="84" t="s">
        <v>1302</v>
      </c>
      <c r="C310" s="1" t="n">
        <f aca="false">IF(C307&gt;0,100*C308/C307,0)</f>
        <v>55.3157757328824</v>
      </c>
      <c r="D310" s="1" t="n">
        <f aca="false">IF(D307&gt;0,100*D308/D307,0)</f>
        <v>54.6511596270935</v>
      </c>
      <c r="E310" s="1" t="n">
        <f aca="false">IF(E307&gt;0,100*E308/E307,0)</f>
        <v>52.2101255166013</v>
      </c>
      <c r="F310" s="1" t="n">
        <f aca="false">IF(F307&gt;0,100*F308/F307,0)</f>
        <v>36.7529525413548</v>
      </c>
      <c r="G310" s="1" t="n">
        <f aca="false">IF(G307&gt;0,100*G308/G307,0)</f>
        <v>31.9261672977261</v>
      </c>
      <c r="H310" s="1" t="n">
        <f aca="false">IF(H307&gt;0,100*H308/H307,0)</f>
        <v>31.0311801578262</v>
      </c>
      <c r="I310" s="1" t="n">
        <f aca="false">IF(I307&gt;0,100*I308/I307,0)</f>
        <v>31.2742005076656</v>
      </c>
      <c r="J310" s="1" t="n">
        <f aca="false">IF(J307&gt;0,100*J308/J307,0)</f>
        <v>32.1028378633779</v>
      </c>
      <c r="K310" s="1" t="n">
        <f aca="false">IF(K307&gt;0,100*K308/K307,0)</f>
        <v>35.4517657650312</v>
      </c>
      <c r="L310" s="1" t="n">
        <f aca="false">IF(L307&gt;0,100*L308/L307,0)</f>
        <v>38.649273332305</v>
      </c>
      <c r="M310" s="1" t="n">
        <f aca="false">IF(M307&gt;0,100*M308/M307,0)</f>
        <v>41.7431131739841</v>
      </c>
      <c r="N310" s="1" t="n">
        <f aca="false">IF(N307&gt;0,100*N308/N307,0)</f>
        <v>42.9447538425355</v>
      </c>
      <c r="O310" s="1" t="n">
        <f aca="false">IF(O307&gt;0,100*O308/O307,0)</f>
        <v>42.5814363291505</v>
      </c>
      <c r="P310" s="1" t="n">
        <f aca="false">IF(P307&gt;0,100*P308/P307,0)</f>
        <v>42.3976204381921</v>
      </c>
      <c r="Q310" s="1" t="n">
        <f aca="false">IF(Q307&gt;0,100*Q308/Q307,0)</f>
        <v>42.3717973733034</v>
      </c>
      <c r="R310" s="1" t="n">
        <f aca="false">IF(R307&gt;0,100*R308/R307,0)</f>
        <v>42.4762788777439</v>
      </c>
      <c r="S310" s="1" t="n">
        <f aca="false">IF(S307&gt;0,100*S308/S307,0)</f>
        <v>42.687304816873</v>
      </c>
      <c r="T310" s="1" t="n">
        <f aca="false">IF(T307&gt;0,100*T308/T307,0)</f>
        <v>42.9701752764751</v>
      </c>
      <c r="U310" s="1" t="n">
        <f aca="false">IF(U307&gt;0,100*U308/U307,0)</f>
        <v>43.2623863354247</v>
      </c>
      <c r="V310" s="1" t="n">
        <f aca="false">IF(V307&gt;0,100*V308/V307,0)</f>
        <v>43.3569583018307</v>
      </c>
      <c r="W310" s="1" t="n">
        <f aca="false">IF(W307&gt;0,100*W308/W307,0)</f>
        <v>43.3338218160129</v>
      </c>
      <c r="X310" s="1" t="n">
        <f aca="false">IF(X307&gt;0,100*X308/X307,0)</f>
        <v>43.3105048978162</v>
      </c>
      <c r="Y310" s="1" t="n">
        <f aca="false">IF(Y307&gt;0,100*Y308/Y307,0)</f>
        <v>43.2873283245559</v>
      </c>
      <c r="Z310" s="1" t="n">
        <f aca="false">IF(Z307&gt;0,100*Z308/Z307,0)</f>
        <v>43.2645941839711</v>
      </c>
      <c r="AA310" s="1" t="n">
        <f aca="false">IF(AA307&gt;0,100*AA308/AA307,0)</f>
        <v>43.2425880223781</v>
      </c>
      <c r="AB310" s="1" t="n">
        <f aca="false">IF(AB307&gt;0,100*AB308/AB307,0)</f>
        <v>43.2212618741284</v>
      </c>
      <c r="AC310" s="1" t="n">
        <f aca="false">IF(AC307&gt;0,100*AC308/AC307,0)</f>
        <v>43.2005712703528</v>
      </c>
      <c r="AD310" s="1" t="n">
        <f aca="false">IF(AD307&gt;0,100*AD308/AD307,0)</f>
        <v>43.1804749028158</v>
      </c>
      <c r="AE310" s="1" t="n">
        <f aca="false">IF(AE307&gt;0,100*AE308/AE307,0)</f>
        <v>43.1609343244748</v>
      </c>
      <c r="AF310" s="1" t="n">
        <f aca="false">IF(AF307&gt;0,100*AF308/AF307,0)</f>
        <v>43.1419136820785</v>
      </c>
    </row>
    <row r="311" customFormat="false" ht="14.25" hidden="false" customHeight="true" outlineLevel="0" collapsed="false">
      <c r="B311" s="84" t="s">
        <v>1303</v>
      </c>
      <c r="C311" s="1" t="n">
        <f aca="false">ROUND(MAX(0,C308-C307),6)</f>
        <v>0</v>
      </c>
      <c r="D311" s="1" t="n">
        <f aca="false">ROUND(MAX(0,D308-D307),6)</f>
        <v>0</v>
      </c>
      <c r="E311" s="1" t="n">
        <f aca="false">ROUND(MAX(0,E308-E307),6)</f>
        <v>0</v>
      </c>
      <c r="F311" s="1" t="n">
        <f aca="false">ROUND(MAX(0,F308-F307),6)</f>
        <v>0</v>
      </c>
      <c r="G311" s="1" t="n">
        <f aca="false">ROUND(MAX(0,G308-G307),6)</f>
        <v>0</v>
      </c>
      <c r="H311" s="1" t="n">
        <f aca="false">ROUND(MAX(0,H308-H307),6)</f>
        <v>0</v>
      </c>
      <c r="I311" s="1" t="n">
        <f aca="false">ROUND(MAX(0,I308-I307),6)</f>
        <v>0</v>
      </c>
      <c r="J311" s="1" t="n">
        <f aca="false">ROUND(MAX(0,J308-J307),6)</f>
        <v>0</v>
      </c>
      <c r="K311" s="1" t="n">
        <f aca="false">ROUND(MAX(0,K308-K307),6)</f>
        <v>0</v>
      </c>
      <c r="L311" s="1" t="n">
        <f aca="false">ROUND(MAX(0,L308-L307),6)</f>
        <v>0</v>
      </c>
      <c r="M311" s="1" t="n">
        <f aca="false">ROUND(MAX(0,M308-M307),6)</f>
        <v>0</v>
      </c>
      <c r="N311" s="1" t="n">
        <f aca="false">ROUND(MAX(0,N308-N307),6)</f>
        <v>0</v>
      </c>
      <c r="O311" s="1" t="n">
        <f aca="false">ROUND(MAX(0,O308-O307),6)</f>
        <v>0</v>
      </c>
      <c r="P311" s="1" t="n">
        <f aca="false">ROUND(MAX(0,P308-P307),6)</f>
        <v>0</v>
      </c>
      <c r="Q311" s="1" t="n">
        <f aca="false">ROUND(MAX(0,Q308-Q307),6)</f>
        <v>0</v>
      </c>
      <c r="R311" s="1" t="n">
        <f aca="false">ROUND(MAX(0,R308-R307),6)</f>
        <v>0</v>
      </c>
      <c r="S311" s="1" t="n">
        <f aca="false">ROUND(MAX(0,S308-S307),6)</f>
        <v>0</v>
      </c>
      <c r="T311" s="1" t="n">
        <f aca="false">ROUND(MAX(0,T308-T307),6)</f>
        <v>0</v>
      </c>
      <c r="U311" s="1" t="n">
        <f aca="false">ROUND(MAX(0,U308-U307),6)</f>
        <v>0</v>
      </c>
      <c r="V311" s="1" t="n">
        <f aca="false">ROUND(MAX(0,V308-V307),6)</f>
        <v>0</v>
      </c>
      <c r="W311" s="1" t="n">
        <f aca="false">ROUND(MAX(0,W308-W307),6)</f>
        <v>0</v>
      </c>
      <c r="X311" s="1" t="n">
        <f aca="false">ROUND(MAX(0,X308-X307),6)</f>
        <v>0</v>
      </c>
      <c r="Y311" s="1" t="n">
        <f aca="false">ROUND(MAX(0,Y308-Y307),6)</f>
        <v>0</v>
      </c>
      <c r="Z311" s="1" t="n">
        <f aca="false">ROUND(MAX(0,Z308-Z307),6)</f>
        <v>0</v>
      </c>
      <c r="AA311" s="1" t="n">
        <f aca="false">ROUND(MAX(0,AA308-AA307),6)</f>
        <v>0</v>
      </c>
      <c r="AB311" s="1" t="n">
        <f aca="false">ROUND(MAX(0,AB308-AB307),6)</f>
        <v>0</v>
      </c>
      <c r="AC311" s="1" t="n">
        <f aca="false">ROUND(MAX(0,AC308-AC307),6)</f>
        <v>0</v>
      </c>
      <c r="AD311" s="1" t="n">
        <f aca="false">ROUND(MAX(0,AD308-AD307),6)</f>
        <v>0</v>
      </c>
      <c r="AE311" s="1" t="n">
        <f aca="false">ROUND(MAX(0,AE308-AE307),6)</f>
        <v>0</v>
      </c>
      <c r="AF311" s="1" t="n">
        <f aca="false">ROUND(MAX(0,AF308-AF307),6)</f>
        <v>0</v>
      </c>
    </row>
    <row r="312" customFormat="false" ht="14.25" hidden="false" customHeight="true" outlineLevel="0" collapsed="false">
      <c r="B312" s="144" t="s">
        <v>1304</v>
      </c>
    </row>
    <row r="313" customFormat="false" ht="14.25" hidden="false" customHeight="true" outlineLevel="0" collapsed="false">
      <c r="B313" s="84" t="s">
        <v>1305</v>
      </c>
      <c r="C313" s="116" t="n">
        <f aca="false">C111</f>
        <v>0.55357665388876</v>
      </c>
      <c r="D313" s="116" t="n">
        <f aca="false">D111</f>
        <v>1.42828368911724</v>
      </c>
      <c r="E313" s="116" t="n">
        <f aca="false">E111</f>
        <v>2.56406832333937</v>
      </c>
      <c r="F313" s="116" t="n">
        <f aca="false">F111</f>
        <v>5.25232231519187</v>
      </c>
      <c r="G313" s="116" t="n">
        <f aca="false">G111</f>
        <v>7.80108948551008</v>
      </c>
      <c r="H313" s="116" t="n">
        <f aca="false">H111</f>
        <v>9.73116546168079</v>
      </c>
      <c r="I313" s="116" t="n">
        <f aca="false">I111</f>
        <v>11.2792050011858</v>
      </c>
      <c r="J313" s="116" t="n">
        <f aca="false">J111</f>
        <v>12.5091975008267</v>
      </c>
      <c r="K313" s="116" t="n">
        <f aca="false">K111</f>
        <v>12.4841295794165</v>
      </c>
      <c r="L313" s="116" t="n">
        <f aca="false">L111</f>
        <v>12.4794900332596</v>
      </c>
      <c r="M313" s="116" t="n">
        <f aca="false">M111</f>
        <v>12.512414471571</v>
      </c>
      <c r="N313" s="116" t="n">
        <f aca="false">N111</f>
        <v>12.5917626576767</v>
      </c>
      <c r="O313" s="116" t="n">
        <f aca="false">O111</f>
        <v>12.7241359868209</v>
      </c>
      <c r="P313" s="116" t="n">
        <f aca="false">P111</f>
        <v>12.9472962336558</v>
      </c>
      <c r="Q313" s="116" t="n">
        <f aca="false">Q111</f>
        <v>13.2553942813638</v>
      </c>
      <c r="R313" s="116" t="n">
        <f aca="false">R111</f>
        <v>13.6195072119713</v>
      </c>
      <c r="S313" s="116" t="n">
        <f aca="false">S111</f>
        <v>14.024429714961</v>
      </c>
      <c r="T313" s="116" t="n">
        <f aca="false">T111</f>
        <v>14.4576234701719</v>
      </c>
      <c r="U313" s="116" t="n">
        <f aca="false">U111</f>
        <v>14.8757720780868</v>
      </c>
      <c r="V313" s="116" t="n">
        <f aca="false">V111</f>
        <v>15.2795277045336</v>
      </c>
      <c r="W313" s="116" t="n">
        <f aca="false">W111</f>
        <v>15.669500222863</v>
      </c>
      <c r="X313" s="116" t="n">
        <f aca="false">X111</f>
        <v>16.0462599531352</v>
      </c>
      <c r="Y313" s="116" t="n">
        <f aca="false">Y111</f>
        <v>16.4103402240666</v>
      </c>
      <c r="Z313" s="116" t="n">
        <f aca="false">Z111</f>
        <v>16.7622397691973</v>
      </c>
      <c r="AA313" s="116" t="n">
        <f aca="false">AA111</f>
        <v>17.1024249679981</v>
      </c>
      <c r="AB313" s="116" t="n">
        <f aca="false">AB111</f>
        <v>17.4313319419445</v>
      </c>
      <c r="AC313" s="116" t="n">
        <f aca="false">AC111</f>
        <v>17.7493685149341</v>
      </c>
      <c r="AD313" s="116" t="n">
        <f aca="false">AD111</f>
        <v>18.056916046823</v>
      </c>
      <c r="AE313" s="116" t="n">
        <f aca="false">AE111</f>
        <v>18.3543311482834</v>
      </c>
      <c r="AF313" s="116" t="n">
        <f aca="false">AF111</f>
        <v>18.6419472846603</v>
      </c>
    </row>
    <row r="314" customFormat="false" ht="14.25" hidden="false" customHeight="true" outlineLevel="0" collapsed="false">
      <c r="B314" s="84" t="s">
        <v>1306</v>
      </c>
      <c r="C314" s="1" t="n">
        <f aca="false">C302</f>
        <v>0.274846963373799</v>
      </c>
      <c r="D314" s="1" t="n">
        <f aca="false">D302</f>
        <v>0.717865970646485</v>
      </c>
      <c r="E314" s="1" t="n">
        <f aca="false">E302</f>
        <v>1.25998226339693</v>
      </c>
      <c r="F314" s="1" t="n">
        <f aca="false">F302</f>
        <v>1.80428746772901</v>
      </c>
      <c r="G314" s="1" t="n">
        <f aca="false">G302</f>
        <v>2.36153853930618</v>
      </c>
      <c r="H314" s="1" t="n">
        <f aca="false">H302</f>
        <v>2.93525068221528</v>
      </c>
      <c r="I314" s="1" t="n">
        <f aca="false">I302</f>
        <v>3.52443053213893</v>
      </c>
      <c r="J314" s="1" t="n">
        <f aca="false">J302</f>
        <v>4.12912966125732</v>
      </c>
      <c r="K314" s="1" t="n">
        <f aca="false">K302</f>
        <v>4.75587975906541</v>
      </c>
      <c r="L314" s="1" t="n">
        <f aca="false">L302</f>
        <v>5.3971312441941</v>
      </c>
      <c r="M314" s="1" t="n">
        <f aca="false">M302</f>
        <v>6.07772502084285</v>
      </c>
      <c r="N314" s="1" t="n">
        <f aca="false">N302</f>
        <v>6.48581401077041</v>
      </c>
      <c r="O314" s="1" t="n">
        <f aca="false">O302</f>
        <v>6.63438449317393</v>
      </c>
      <c r="P314" s="1" t="n">
        <f aca="false">P302</f>
        <v>6.78665908617156</v>
      </c>
      <c r="Q314" s="1" t="n">
        <f aca="false">Q302</f>
        <v>6.94270657054905</v>
      </c>
      <c r="R314" s="1" t="n">
        <f aca="false">R302</f>
        <v>7.10257752392174</v>
      </c>
      <c r="S314" s="1" t="n">
        <f aca="false">S302</f>
        <v>7.26632382151778</v>
      </c>
      <c r="T314" s="1" t="n">
        <f aca="false">T302</f>
        <v>7.43397387633219</v>
      </c>
      <c r="U314" s="1" t="n">
        <f aca="false">U302</f>
        <v>7.60550230022271</v>
      </c>
      <c r="V314" s="1" t="n">
        <f aca="false">V302</f>
        <v>7.74357252279952</v>
      </c>
      <c r="W314" s="1" t="n">
        <f aca="false">W302</f>
        <v>7.85847648940403</v>
      </c>
      <c r="X314" s="1" t="n">
        <f aca="false">X302</f>
        <v>7.97102761975293</v>
      </c>
      <c r="Y314" s="1" t="n">
        <f aca="false">Y302</f>
        <v>8.08122039696451</v>
      </c>
      <c r="Z314" s="1" t="n">
        <f aca="false">Z302</f>
        <v>8.18904950845955</v>
      </c>
      <c r="AA314" s="1" t="n">
        <f aca="false">AA302</f>
        <v>8.2945098320629</v>
      </c>
      <c r="AB314" s="1" t="n">
        <f aca="false">AB302</f>
        <v>8.39759576666409</v>
      </c>
      <c r="AC314" s="1" t="n">
        <f aca="false">AC302</f>
        <v>8.49830187542185</v>
      </c>
      <c r="AD314" s="1" t="n">
        <f aca="false">AD302</f>
        <v>8.59662287346335</v>
      </c>
      <c r="AE314" s="1" t="n">
        <f aca="false">AE302</f>
        <v>8.69255361605421</v>
      </c>
      <c r="AF314" s="1" t="n">
        <f aca="false">AF302</f>
        <v>8.78608908721074</v>
      </c>
    </row>
    <row r="315" customFormat="false" ht="14.25" hidden="false" customHeight="true" outlineLevel="0" collapsed="false">
      <c r="B315" s="84" t="s">
        <v>1307</v>
      </c>
      <c r="C315" s="116" t="n">
        <f aca="false">C56</f>
        <v>1.07</v>
      </c>
      <c r="D315" s="116" t="n">
        <f aca="false">D56</f>
        <v>1.09675</v>
      </c>
      <c r="E315" s="116" t="n">
        <f aca="false">E56</f>
        <v>1.12416875</v>
      </c>
      <c r="F315" s="116" t="n">
        <f aca="false">F56</f>
        <v>1.15227296875</v>
      </c>
      <c r="G315" s="116" t="n">
        <f aca="false">G56</f>
        <v>1.18107979296875</v>
      </c>
      <c r="H315" s="116" t="n">
        <f aca="false">H56</f>
        <v>1.21060678779297</v>
      </c>
      <c r="I315" s="116" t="n">
        <f aca="false">I56</f>
        <v>1.24087195748779</v>
      </c>
      <c r="J315" s="116" t="n">
        <f aca="false">J56</f>
        <v>1.27189375642499</v>
      </c>
      <c r="K315" s="116" t="n">
        <f aca="false">K56</f>
        <v>1.30369110033561</v>
      </c>
      <c r="L315" s="116" t="n">
        <f aca="false">L56</f>
        <v>1.336283377844</v>
      </c>
      <c r="M315" s="116" t="n">
        <f aca="false">M56</f>
        <v>1.3696904622901</v>
      </c>
      <c r="N315" s="116" t="n">
        <f aca="false">N56</f>
        <v>1.40393272384735</v>
      </c>
      <c r="O315" s="116" t="n">
        <f aca="false">O56</f>
        <v>1.43903104194354</v>
      </c>
      <c r="P315" s="116" t="n">
        <f aca="false">P56</f>
        <v>1.47500681799213</v>
      </c>
      <c r="Q315" s="116" t="n">
        <f aca="false">Q56</f>
        <v>1.51188198844193</v>
      </c>
      <c r="R315" s="116" t="n">
        <f aca="false">R56</f>
        <v>1.54967903815298</v>
      </c>
      <c r="S315" s="116" t="n">
        <f aca="false">S56</f>
        <v>1.5884210141068</v>
      </c>
      <c r="T315" s="116" t="n">
        <f aca="false">T56</f>
        <v>1.62813153945947</v>
      </c>
      <c r="U315" s="116" t="n">
        <f aca="false">U56</f>
        <v>1.66883482794596</v>
      </c>
      <c r="V315" s="116" t="n">
        <f aca="false">V56</f>
        <v>1.71055569864461</v>
      </c>
      <c r="W315" s="116" t="n">
        <f aca="false">W56</f>
        <v>1.75331959111072</v>
      </c>
      <c r="X315" s="116" t="n">
        <f aca="false">X56</f>
        <v>1.79715258088849</v>
      </c>
      <c r="Y315" s="116" t="n">
        <f aca="false">Y56</f>
        <v>1.8420813954107</v>
      </c>
      <c r="Z315" s="116" t="n">
        <f aca="false">Z56</f>
        <v>1.88813343029597</v>
      </c>
      <c r="AA315" s="116" t="n">
        <f aca="false">AA56</f>
        <v>1.93533676605337</v>
      </c>
      <c r="AB315" s="116" t="n">
        <f aca="false">AB56</f>
        <v>1.9837201852047</v>
      </c>
      <c r="AC315" s="116" t="n">
        <f aca="false">AC56</f>
        <v>2.03331318983482</v>
      </c>
      <c r="AD315" s="116" t="n">
        <f aca="false">AD56</f>
        <v>2.08414601958069</v>
      </c>
      <c r="AE315" s="116" t="n">
        <f aca="false">AE56</f>
        <v>2.13624967007021</v>
      </c>
      <c r="AF315" s="116" t="n">
        <f aca="false">AF56</f>
        <v>2.18965591182196</v>
      </c>
    </row>
    <row r="316" customFormat="false" ht="14.25" hidden="false" customHeight="true" outlineLevel="0" collapsed="false">
      <c r="B316" s="84" t="s">
        <v>1308</v>
      </c>
      <c r="C316" s="1" t="n">
        <f aca="false">IF(C313&gt;0,100*(C314+C315)/C313,0)</f>
        <v>242.937803450801</v>
      </c>
      <c r="D316" s="1" t="n">
        <f aca="false">IF(D313&gt;0,100*(D314+D315)/D313,0)</f>
        <v>127.048707793339</v>
      </c>
      <c r="E316" s="1" t="n">
        <f aca="false">IF(E313&gt;0,100*(E314+E315)/E313,0)</f>
        <v>92.9831312096973</v>
      </c>
      <c r="F316" s="1" t="n">
        <f aca="false">IF(F313&gt;0,100*(F314+F315)/F313,0)</f>
        <v>56.290537005458</v>
      </c>
      <c r="G316" s="1" t="n">
        <f aca="false">IF(G313&gt;0,100*(G314+G315)/G313,0)</f>
        <v>45.4118407288504</v>
      </c>
      <c r="H316" s="1" t="n">
        <f aca="false">IF(H313&gt;0,100*(H314+H315)/H313,0)</f>
        <v>42.6039150843106</v>
      </c>
      <c r="I316" s="1" t="n">
        <f aca="false">IF(I313&gt;0,100*(I314+I315)/I313,0)</f>
        <v>42.2485670676765</v>
      </c>
      <c r="J316" s="1" t="n">
        <f aca="false">IF(J313&gt;0,100*(J314+J315)/J313,0)</f>
        <v>43.1764181301429</v>
      </c>
      <c r="K316" s="1" t="n">
        <f aca="false">IF(K313&gt;0,100*(K314+K315)/K313,0)</f>
        <v>48.5381925976792</v>
      </c>
      <c r="L316" s="1" t="n">
        <f aca="false">IF(L313&gt;0,100*(L314+L315)/L313,0)</f>
        <v>53.9558475874622</v>
      </c>
      <c r="M316" s="1" t="n">
        <f aca="false">IF(M313&gt;0,100*(M314+M315)/M313,0)</f>
        <v>59.5202109077667</v>
      </c>
      <c r="N316" s="1" t="n">
        <f aca="false">IF(N313&gt;0,100*(N314+N315)/N313,0)</f>
        <v>62.6580007034018</v>
      </c>
      <c r="O316" s="1" t="n">
        <f aca="false">IF(O313&gt;0,100*(O314+O315)/O313,0)</f>
        <v>63.4496168814884</v>
      </c>
      <c r="P316" s="1" t="n">
        <f aca="false">IF(P313&gt;0,100*(P314+P315)/P313,0)</f>
        <v>63.8099704762139</v>
      </c>
      <c r="Q316" s="1" t="n">
        <f aca="false">IF(Q313&gt;0,100*(Q314+Q315)/Q313,0)</f>
        <v>63.7822487926863</v>
      </c>
      <c r="R316" s="1" t="n">
        <f aca="false">IF(R313&gt;0,100*(R314+R315)/R313,0)</f>
        <v>63.528411325114</v>
      </c>
      <c r="S316" s="1" t="n">
        <f aca="false">IF(S313&gt;0,100*(S314+S315)/S313,0)</f>
        <v>63.1380028677995</v>
      </c>
      <c r="T316" s="1" t="n">
        <f aca="false">IF(T313&gt;0,100*(T314+T315)/T313,0)</f>
        <v>62.6804635940897</v>
      </c>
      <c r="U316" s="1" t="n">
        <f aca="false">IF(U313&gt;0,100*(U314+U315)/U313,0)</f>
        <v>62.3452489019409</v>
      </c>
      <c r="V316" s="1" t="n">
        <f aca="false">IF(V313&gt;0,100*(V314+V315)/V313,0)</f>
        <v>61.8744793966308</v>
      </c>
      <c r="W316" s="1" t="n">
        <f aca="false">IF(W313&gt;0,100*(W314+W315)/W313,0)</f>
        <v>61.3407954549209</v>
      </c>
      <c r="X316" s="1" t="n">
        <f aca="false">IF(X313&gt;0,100*(X314+X315)/X313,0)</f>
        <v>60.8751212380357</v>
      </c>
      <c r="Y316" s="1" t="n">
        <f aca="false">IF(Y313&gt;0,100*(Y314+Y315)/Y313,0)</f>
        <v>60.469811453526</v>
      </c>
      <c r="Z316" s="1" t="n">
        <f aca="false">IF(Z313&gt;0,100*(Z314+Z315)/Z313,0)</f>
        <v>60.1183557657588</v>
      </c>
      <c r="AA316" s="1" t="n">
        <f aca="false">IF(AA313&gt;0,100*(AA314+AA315)/AA313,0)</f>
        <v>59.8151818660701</v>
      </c>
      <c r="AB316" s="1" t="n">
        <f aca="false">IF(AB313&gt;0,100*(AB314+AB315)/AB313,0)</f>
        <v>59.555494591257</v>
      </c>
      <c r="AC316" s="1" t="n">
        <f aca="false">IF(AC313&gt;0,100*(AC314+AC315)/AC313,0)</f>
        <v>59.335153565579</v>
      </c>
      <c r="AD316" s="1" t="n">
        <f aca="false">IF(AD313&gt;0,100*(AD314+AD315)/AD313,0)</f>
        <v>59.1505707029261</v>
      </c>
      <c r="AE316" s="1" t="n">
        <f aca="false">IF(AE313&gt;0,100*(AE314+AE315)/AE313,0)</f>
        <v>58.9986265292877</v>
      </c>
      <c r="AF316" s="1" t="n">
        <f aca="false">IF(AF313&gt;0,100*(AF314+AF315)/AF313,0)</f>
        <v>58.8766014163349</v>
      </c>
    </row>
    <row r="317" customFormat="false" ht="14.25" hidden="false" customHeight="true" outlineLevel="0" collapsed="false">
      <c r="B317" s="1" t="s">
        <v>1309</v>
      </c>
      <c r="C317" s="1" t="n">
        <f aca="false">$C$329*C291</f>
        <v>2.97124026869837</v>
      </c>
      <c r="D317" s="1" t="n">
        <f aca="false">$C$329*D291</f>
        <v>5.38238941913151</v>
      </c>
      <c r="E317" s="1" t="n">
        <f aca="false">$C$329*E291</f>
        <v>7.28058728093113</v>
      </c>
      <c r="F317" s="1" t="n">
        <f aca="false">$C$329*F291</f>
        <v>6.27077572345277</v>
      </c>
      <c r="G317" s="1" t="n">
        <f aca="false">$C$329*G291</f>
        <v>7.17146751871178</v>
      </c>
      <c r="H317" s="1" t="n">
        <f aca="false">$C$329*H291</f>
        <v>8.8390290731978</v>
      </c>
      <c r="I317" s="1" t="n">
        <f aca="false">$C$329*I291</f>
        <v>10.4063865498607</v>
      </c>
      <c r="J317" s="1" t="n">
        <f aca="false">$C$329*J291</f>
        <v>12.0478112523792</v>
      </c>
      <c r="K317" s="1" t="n">
        <f aca="false">$C$329*K291</f>
        <v>15.2128990154647</v>
      </c>
      <c r="L317" s="1" t="n">
        <f aca="false">$C$329*L291</f>
        <v>17.0147686137468</v>
      </c>
      <c r="M317" s="1" t="n">
        <f aca="false">$C$329*M291</f>
        <v>24.3929711986995</v>
      </c>
      <c r="N317" s="1" t="n">
        <f aca="false">$C$329*N291</f>
        <v>21.9805128572661</v>
      </c>
      <c r="O317" s="1" t="n">
        <f aca="false">$C$329*O291</f>
        <v>16.8911650695184</v>
      </c>
      <c r="P317" s="1" t="n">
        <f aca="false">$C$329*P291</f>
        <v>17.3161128600906</v>
      </c>
      <c r="Q317" s="1" t="n">
        <f aca="false">$C$329*Q291</f>
        <v>17.7606019337194</v>
      </c>
      <c r="R317" s="1" t="n">
        <f aca="false">$C$329*R291</f>
        <v>18.2198461250211</v>
      </c>
      <c r="S317" s="1" t="n">
        <f aca="false">$C$329*S291</f>
        <v>18.6925158820021</v>
      </c>
      <c r="T317" s="1" t="n">
        <f aca="false">$C$329*T291</f>
        <v>19.1716628179259</v>
      </c>
      <c r="U317" s="1" t="n">
        <f aca="false">$C$329*U291</f>
        <v>19.6422962423822</v>
      </c>
      <c r="V317" s="1" t="n">
        <f aca="false">$C$329*V291</f>
        <v>19.6150870399834</v>
      </c>
      <c r="W317" s="1" t="n">
        <f aca="false">$C$329*W291</f>
        <v>19.639041753475</v>
      </c>
      <c r="X317" s="1" t="n">
        <f aca="false">$C$329*X291</f>
        <v>19.8820622772918</v>
      </c>
      <c r="Y317" s="1" t="n">
        <f aca="false">$C$329*Y291</f>
        <v>20.1195134900785</v>
      </c>
      <c r="Z317" s="1" t="n">
        <f aca="false">$C$329*Z291</f>
        <v>20.3514138310979</v>
      </c>
      <c r="AA317" s="1" t="n">
        <f aca="false">$C$329*AA291</f>
        <v>20.5777820609391</v>
      </c>
      <c r="AB317" s="1" t="n">
        <f aca="false">$C$329*AB291</f>
        <v>20.7984891869633</v>
      </c>
      <c r="AC317" s="1" t="n">
        <f aca="false">$C$329*AC291</f>
        <v>21.0135237397901</v>
      </c>
      <c r="AD317" s="1" t="n">
        <f aca="false">$C$329*AD291</f>
        <v>21.222874494587</v>
      </c>
      <c r="AE317" s="1" t="n">
        <f aca="false">$C$329*AE291</f>
        <v>21.4265304472301</v>
      </c>
      <c r="AF317" s="1" t="n">
        <f aca="false">$C$329*AF291</f>
        <v>21.6244807912488</v>
      </c>
    </row>
    <row r="318" customFormat="false" ht="14.25" hidden="false" customHeight="true" outlineLevel="0" collapsed="false">
      <c r="B318" s="146" t="s">
        <v>1310</v>
      </c>
      <c r="C318" s="1" t="n">
        <f aca="false">$C$329*(C290+(1-$C$279)*C332)</f>
        <v>0</v>
      </c>
      <c r="D318" s="1" t="n">
        <f aca="false">$C$329*(D290+(1-$C$279)*D332)</f>
        <v>0.598704914142721</v>
      </c>
      <c r="E318" s="1" t="n">
        <f aca="false">$C$329*(E290+(1-$C$279)*E332)</f>
        <v>1.55872575995603</v>
      </c>
      <c r="F318" s="1" t="n">
        <f aca="false">$C$329*(F290+(1-$C$279)*F332)</f>
        <v>2.7015491389928</v>
      </c>
      <c r="G318" s="1" t="n">
        <f aca="false">$C$329*(G290+(1-$C$279)*G332)</f>
        <v>3.40318822635803</v>
      </c>
      <c r="H318" s="1" t="n">
        <f aca="false">$C$329*(H290+(1-$C$279)*H332)</f>
        <v>4.14037578029598</v>
      </c>
      <c r="I318" s="1" t="n">
        <f aca="false">$C$329*(I290+(1-$C$279)*I332)</f>
        <v>5.06024197624378</v>
      </c>
      <c r="J318" s="1" t="n">
        <f aca="false">$C$329*(J290+(1-$C$279)*J332)</f>
        <v>6.10459853498201</v>
      </c>
      <c r="K318" s="1" t="n">
        <f aca="false">$C$329*(K290+(1-$C$279)*K332)</f>
        <v>7.26247600706016</v>
      </c>
      <c r="L318" s="1" t="n">
        <f aca="false">$C$329*(L290+(1-$C$279)*L332)</f>
        <v>8.81728014920778</v>
      </c>
      <c r="M318" s="1" t="n">
        <f aca="false">$C$329*(M290+(1-$C$279)*M332)</f>
        <v>10.4117617538425</v>
      </c>
      <c r="N318" s="1" t="n">
        <f aca="false">$C$329*(N290+(1-$C$279)*N332)</f>
        <v>13.1612990055812</v>
      </c>
      <c r="O318" s="1" t="n">
        <f aca="false">$C$329*(O290+(1-$C$279)*O332)</f>
        <v>14.8528221531595</v>
      </c>
      <c r="P318" s="1" t="n">
        <f aca="false">$C$329*(P290+(1-$C$279)*P332)</f>
        <v>15.1670049068103</v>
      </c>
      <c r="Q318" s="1" t="n">
        <f aca="false">$C$329*(Q290+(1-$C$279)*Q332)</f>
        <v>15.501464627502</v>
      </c>
      <c r="R318" s="1" t="n">
        <f aca="false">$C$329*(R290+(1-$C$279)*R332)</f>
        <v>15.855921274626</v>
      </c>
      <c r="S318" s="1" t="n">
        <f aca="false">$C$329*(S290+(1-$C$279)*S332)</f>
        <v>16.2291886436956</v>
      </c>
      <c r="T318" s="1" t="n">
        <f aca="false">$C$329*(T290+(1-$C$279)*T332)</f>
        <v>16.6200593560303</v>
      </c>
      <c r="U318" s="1" t="n">
        <f aca="false">$C$329*(U290+(1-$C$279)*U332)</f>
        <v>17.0261770677881</v>
      </c>
      <c r="V318" s="1" t="n">
        <f aca="false">$C$329*(V290+(1-$C$279)*V332)</f>
        <v>17.4426549305282</v>
      </c>
      <c r="W318" s="1" t="n">
        <f aca="false">$C$329*(W290+(1-$C$279)*W332)</f>
        <v>17.767022743535</v>
      </c>
      <c r="X318" s="1" t="n">
        <f aca="false">$C$329*(X290+(1-$C$279)*X332)</f>
        <v>18.0287489262049</v>
      </c>
      <c r="Y318" s="1" t="n">
        <f aca="false">$C$329*(Y290+(1-$C$279)*Y332)</f>
        <v>18.2850046984286</v>
      </c>
      <c r="Z318" s="1" t="n">
        <f aca="false">$C$329*(Z290+(1-$C$279)*Z332)</f>
        <v>18.5358056894063</v>
      </c>
      <c r="AA318" s="1" t="n">
        <f aca="false">$C$329*(AA290+(1-$C$279)*AA332)</f>
        <v>18.781167992976</v>
      </c>
      <c r="AB318" s="1" t="n">
        <f aca="false">$C$329*(AB290+(1-$C$279)*AB332)</f>
        <v>19.0211081357162</v>
      </c>
      <c r="AC318" s="1" t="n">
        <f aca="false">$C$329*(AC290+(1-$C$279)*AC332)</f>
        <v>19.2556132146603</v>
      </c>
      <c r="AD318" s="1" t="n">
        <f aca="false">$C$329*(AD290+(1-$C$279)*AD332)</f>
        <v>19.4846706995787</v>
      </c>
      <c r="AE318" s="1" t="n">
        <f aca="false">$C$329*(AE290+(1-$C$279)*AE332)</f>
        <v>19.7082684047256</v>
      </c>
      <c r="AF318" s="1" t="n">
        <f aca="false">$C$329*(AF290+(1-$C$279)*AF332)</f>
        <v>19.9263944616595</v>
      </c>
    </row>
    <row r="319" customFormat="false" ht="14.25" hidden="false" customHeight="true" outlineLevel="0" collapsed="false">
      <c r="B319" s="1" t="s">
        <v>1311</v>
      </c>
      <c r="C319" s="1" t="n">
        <f aca="false">SUMPRODUCT($C$317:C317,((01_Supuestos!$C$185-((1-$C$8)/$C$281*(1-((1-1/$C$281)*(1-$C$8))^(C$39-$C$39:C$39))/(1-((1-1/$C$281)*(1-$C$8)))+(01_Supuestos!$C$189&gt;0)*((01_Supuestos!$C$189-$C$39:C$39)&gt;=1)*((01_Supuestos!$C$189-$C$39:C$39)&lt;=(C$39-$C$39:C$39))*(01_Supuestos!$C$190*((1-1/$C$281)*(1-$C$8))^(01_Supuestos!$C$189-$C$39:C$39)-01_Supuestos!$C$190*(1-$C$8)/$C$281*(((1-1/$C$281)*(1-$C$8))^(01_Supuestos!$C$189-$C$39:C$39)-((1-1/$C$281)*(1-$C$8))^(C$39-$C$39:C$39))/(1-((1-1/$C$281)*(1-$C$8))))))&gt;0)*(01_Supuestos!$C$185-((1-$C$8)/$C$281*(1-((1-1/$C$281)*(1-$C$8))^(C$39-$C$39:C$39))/(1-((1-1/$C$281)*(1-$C$8)))+(01_Supuestos!$C$189&gt;0)*((01_Supuestos!$C$189-$C$39:C$39)&gt;=1)*((01_Supuestos!$C$189-$C$39:C$39)&lt;=(C$39-$C$39:C$39))*(01_Supuestos!$C$190*((1-1/$C$281)*(1-$C$8))^(01_Supuestos!$C$189-$C$39:C$39)-01_Supuestos!$C$190*(1-$C$8)/$C$281*(((1-1/$C$281)*(1-$C$8))^(01_Supuestos!$C$189-$C$39:C$39)-((1-1/$C$281)*(1-$C$8))^(C$39-$C$39:C$39))/(1-((1-1/$C$281)*(1-$C$8)))))))</f>
        <v>0.89137208060951</v>
      </c>
      <c r="D319" s="1" t="n">
        <f aca="false">SUMPRODUCT($C$317:D317,((01_Supuestos!$C$185-((1-$C$8)/$C$281*(1-((1-1/$C$281)*(1-$C$8))^(D$39-$C$39:D$39))/(1-((1-1/$C$281)*(1-$C$8)))+(01_Supuestos!$C$189&gt;0)*((01_Supuestos!$C$189-$C$39:D$39)&gt;=1)*((01_Supuestos!$C$189-$C$39:D$39)&lt;=(D$39-$C$39:D$39))*(01_Supuestos!$C$190*((1-1/$C$281)*(1-$C$8))^(01_Supuestos!$C$189-$C$39:D$39)-01_Supuestos!$C$190*(1-$C$8)/$C$281*(((1-1/$C$281)*(1-$C$8))^(01_Supuestos!$C$189-$C$39:D$39)-((1-1/$C$281)*(1-$C$8))^(D$39-$C$39:D$39))/(1-((1-1/$C$281)*(1-$C$8))))))&gt;0)*(01_Supuestos!$C$185-((1-$C$8)/$C$281*(1-((1-1/$C$281)*(1-$C$8))^(D$39-$C$39:D$39))/(1-((1-1/$C$281)*(1-$C$8)))+(01_Supuestos!$C$189&gt;0)*((01_Supuestos!$C$189-$C$39:D$39)&gt;=1)*((01_Supuestos!$C$189-$C$39:D$39)&lt;=(D$39-$C$39:D$39))*(01_Supuestos!$C$190*((1-1/$C$281)*(1-$C$8))^(01_Supuestos!$C$189-$C$39:D$39)-01_Supuestos!$C$190*(1-$C$8)/$C$281*(((1-1/$C$281)*(1-$C$8))^(01_Supuestos!$C$189-$C$39:D$39)-((1-1/$C$281)*(1-$C$8))^(D$39-$C$39:D$39))/(1-((1-1/$C$281)*(1-$C$8)))))))</f>
        <v>1.9157034649586</v>
      </c>
      <c r="E319" s="1" t="n">
        <f aca="false">SUMPRODUCT($C$317:E317,((01_Supuestos!$C$185-((1-$C$8)/$C$281*(1-((1-1/$C$281)*(1-$C$8))^(E$39-$C$39:E$39))/(1-((1-1/$C$281)*(1-$C$8)))+(01_Supuestos!$C$189&gt;0)*((01_Supuestos!$C$189-$C$39:E$39)&gt;=1)*((01_Supuestos!$C$189-$C$39:E$39)&lt;=(E$39-$C$39:E$39))*(01_Supuestos!$C$190*((1-1/$C$281)*(1-$C$8))^(01_Supuestos!$C$189-$C$39:E$39)-01_Supuestos!$C$190*(1-$C$8)/$C$281*(((1-1/$C$281)*(1-$C$8))^(01_Supuestos!$C$189-$C$39:E$39)-((1-1/$C$281)*(1-$C$8))^(E$39-$C$39:E$39))/(1-((1-1/$C$281)*(1-$C$8))))))&gt;0)*(01_Supuestos!$C$185-((1-$C$8)/$C$281*(1-((1-1/$C$281)*(1-$C$8))^(E$39-$C$39:E$39))/(1-((1-1/$C$281)*(1-$C$8)))+(01_Supuestos!$C$189&gt;0)*((01_Supuestos!$C$189-$C$39:E$39)&gt;=1)*((01_Supuestos!$C$189-$C$39:E$39)&lt;=(E$39-$C$39:E$39))*(01_Supuestos!$C$190*((1-1/$C$281)*(1-$C$8))^(01_Supuestos!$C$189-$C$39:E$39)-01_Supuestos!$C$190*(1-$C$8)/$C$281*(((1-1/$C$281)*(1-$C$8))^(01_Supuestos!$C$189-$C$39:E$39)-((1-1/$C$281)*(1-$C$8))^(E$39-$C$39:E$39))/(1-((1-1/$C$281)*(1-$C$8)))))))</f>
        <v>2.72941223243736</v>
      </c>
      <c r="F319" s="1" t="n">
        <f aca="false">SUMPRODUCT($C$317:F317,((01_Supuestos!$C$185-((1-$C$8)/$C$281*(1-((1-1/$C$281)*(1-$C$8))^(F$39-$C$39:F$39))/(1-((1-1/$C$281)*(1-$C$8)))+(01_Supuestos!$C$189&gt;0)*((01_Supuestos!$C$189-$C$39:F$39)&gt;=1)*((01_Supuestos!$C$189-$C$39:F$39)&lt;=(F$39-$C$39:F$39))*(01_Supuestos!$C$190*((1-1/$C$281)*(1-$C$8))^(01_Supuestos!$C$189-$C$39:F$39)-01_Supuestos!$C$190*(1-$C$8)/$C$281*(((1-1/$C$281)*(1-$C$8))^(01_Supuestos!$C$189-$C$39:F$39)-((1-1/$C$281)*(1-$C$8))^(F$39-$C$39:F$39))/(1-((1-1/$C$281)*(1-$C$8))))))&gt;0)*(01_Supuestos!$C$185-((1-$C$8)/$C$281*(1-((1-1/$C$281)*(1-$C$8))^(F$39-$C$39:F$39))/(1-((1-1/$C$281)*(1-$C$8)))+(01_Supuestos!$C$189&gt;0)*((01_Supuestos!$C$189-$C$39:F$39)&gt;=1)*((01_Supuestos!$C$189-$C$39:F$39)&lt;=(F$39-$C$39:F$39))*(01_Supuestos!$C$190*((1-1/$C$281)*(1-$C$8))^(01_Supuestos!$C$189-$C$39:F$39)-01_Supuestos!$C$190*(1-$C$8)/$C$281*(((1-1/$C$281)*(1-$C$8))^(01_Supuestos!$C$189-$C$39:F$39)-((1-1/$C$281)*(1-$C$8))^(F$39-$C$39:F$39))/(1-((1-1/$C$281)*(1-$C$8)))))))</f>
        <v>2.61875620859415</v>
      </c>
      <c r="G319" s="1" t="n">
        <f aca="false">SUMPRODUCT($C$317:G317,((01_Supuestos!$C$185-((1-$C$8)/$C$281*(1-((1-1/$C$281)*(1-$C$8))^(G$39-$C$39:G$39))/(1-((1-1/$C$281)*(1-$C$8)))+(01_Supuestos!$C$189&gt;0)*((01_Supuestos!$C$189-$C$39:G$39)&gt;=1)*((01_Supuestos!$C$189-$C$39:G$39)&lt;=(G$39-$C$39:G$39))*(01_Supuestos!$C$190*((1-1/$C$281)*(1-$C$8))^(01_Supuestos!$C$189-$C$39:G$39)-01_Supuestos!$C$190*(1-$C$8)/$C$281*(((1-1/$C$281)*(1-$C$8))^(01_Supuestos!$C$189-$C$39:G$39)-((1-1/$C$281)*(1-$C$8))^(G$39-$C$39:G$39))/(1-((1-1/$C$281)*(1-$C$8))))))&gt;0)*(01_Supuestos!$C$185-((1-$C$8)/$C$281*(1-((1-1/$C$281)*(1-$C$8))^(G$39-$C$39:G$39))/(1-((1-1/$C$281)*(1-$C$8)))+(01_Supuestos!$C$189&gt;0)*((01_Supuestos!$C$189-$C$39:G$39)&gt;=1)*((01_Supuestos!$C$189-$C$39:G$39)&lt;=(G$39-$C$39:G$39))*(01_Supuestos!$C$190*((1-1/$C$281)*(1-$C$8))^(01_Supuestos!$C$189-$C$39:G$39)-01_Supuestos!$C$190*(1-$C$8)/$C$281*(((1-1/$C$281)*(1-$C$8))^(01_Supuestos!$C$189-$C$39:G$39)-((1-1/$C$281)*(1-$C$8))^(G$39-$C$39:G$39))/(1-((1-1/$C$281)*(1-$C$8)))))))</f>
        <v>2.7866698363993</v>
      </c>
      <c r="H319" s="1" t="n">
        <f aca="false">SUMPRODUCT($C$317:H317,((01_Supuestos!$C$185-((1-$C$8)/$C$281*(1-((1-1/$C$281)*(1-$C$8))^(H$39-$C$39:H$39))/(1-((1-1/$C$281)*(1-$C$8)))+(01_Supuestos!$C$189&gt;0)*((01_Supuestos!$C$189-$C$39:H$39)&gt;=1)*((01_Supuestos!$C$189-$C$39:H$39)&lt;=(H$39-$C$39:H$39))*(01_Supuestos!$C$190*((1-1/$C$281)*(1-$C$8))^(01_Supuestos!$C$189-$C$39:H$39)-01_Supuestos!$C$190*(1-$C$8)/$C$281*(((1-1/$C$281)*(1-$C$8))^(01_Supuestos!$C$189-$C$39:H$39)-((1-1/$C$281)*(1-$C$8))^(H$39-$C$39:H$39))/(1-((1-1/$C$281)*(1-$C$8))))))&gt;0)*(01_Supuestos!$C$185-((1-$C$8)/$C$281*(1-((1-1/$C$281)*(1-$C$8))^(H$39-$C$39:H$39))/(1-((1-1/$C$281)*(1-$C$8)))+(01_Supuestos!$C$189&gt;0)*((01_Supuestos!$C$189-$C$39:H$39)&gt;=1)*((01_Supuestos!$C$189-$C$39:H$39)&lt;=(H$39-$C$39:H$39))*(01_Supuestos!$C$190*((1-1/$C$281)*(1-$C$8))^(01_Supuestos!$C$189-$C$39:H$39)-01_Supuestos!$C$190*(1-$C$8)/$C$281*(((1-1/$C$281)*(1-$C$8))^(01_Supuestos!$C$189-$C$39:H$39)-((1-1/$C$281)*(1-$C$8))^(H$39-$C$39:H$39))/(1-((1-1/$C$281)*(1-$C$8)))))))</f>
        <v>3.37817838160484</v>
      </c>
      <c r="I319" s="1" t="n">
        <f aca="false">SUMPRODUCT($C$317:I317,((01_Supuestos!$C$185-((1-$C$8)/$C$281*(1-((1-1/$C$281)*(1-$C$8))^(I$39-$C$39:I$39))/(1-((1-1/$C$281)*(1-$C$8)))+(01_Supuestos!$C$189&gt;0)*((01_Supuestos!$C$189-$C$39:I$39)&gt;=1)*((01_Supuestos!$C$189-$C$39:I$39)&lt;=(I$39-$C$39:I$39))*(01_Supuestos!$C$190*((1-1/$C$281)*(1-$C$8))^(01_Supuestos!$C$189-$C$39:I$39)-01_Supuestos!$C$190*(1-$C$8)/$C$281*(((1-1/$C$281)*(1-$C$8))^(01_Supuestos!$C$189-$C$39:I$39)-((1-1/$C$281)*(1-$C$8))^(I$39-$C$39:I$39))/(1-((1-1/$C$281)*(1-$C$8))))))&gt;0)*(01_Supuestos!$C$185-((1-$C$8)/$C$281*(1-((1-1/$C$281)*(1-$C$8))^(I$39-$C$39:I$39))/(1-((1-1/$C$281)*(1-$C$8)))+(01_Supuestos!$C$189&gt;0)*((01_Supuestos!$C$189-$C$39:I$39)&gt;=1)*((01_Supuestos!$C$189-$C$39:I$39)&lt;=(I$39-$C$39:I$39))*(01_Supuestos!$C$190*((1-1/$C$281)*(1-$C$8))^(01_Supuestos!$C$189-$C$39:I$39)-01_Supuestos!$C$190*(1-$C$8)/$C$281*(((1-1/$C$281)*(1-$C$8))^(01_Supuestos!$C$189-$C$39:I$39)-((1-1/$C$281)*(1-$C$8))^(I$39-$C$39:I$39))/(1-((1-1/$C$281)*(1-$C$8)))))))</f>
        <v>4.01730961007316</v>
      </c>
      <c r="J319" s="1" t="n">
        <f aca="false">SUMPRODUCT($C$317:J317,((01_Supuestos!$C$185-((1-$C$8)/$C$281*(1-((1-1/$C$281)*(1-$C$8))^(J$39-$C$39:J$39))/(1-((1-1/$C$281)*(1-$C$8)))+(01_Supuestos!$C$189&gt;0)*((01_Supuestos!$C$189-$C$39:J$39)&gt;=1)*((01_Supuestos!$C$189-$C$39:J$39)&lt;=(J$39-$C$39:J$39))*(01_Supuestos!$C$190*((1-1/$C$281)*(1-$C$8))^(01_Supuestos!$C$189-$C$39:J$39)-01_Supuestos!$C$190*(1-$C$8)/$C$281*(((1-1/$C$281)*(1-$C$8))^(01_Supuestos!$C$189-$C$39:J$39)-((1-1/$C$281)*(1-$C$8))^(J$39-$C$39:J$39))/(1-((1-1/$C$281)*(1-$C$8))))))&gt;0)*(01_Supuestos!$C$185-((1-$C$8)/$C$281*(1-((1-1/$C$281)*(1-$C$8))^(J$39-$C$39:J$39))/(1-((1-1/$C$281)*(1-$C$8)))+(01_Supuestos!$C$189&gt;0)*((01_Supuestos!$C$189-$C$39:J$39)&gt;=1)*((01_Supuestos!$C$189-$C$39:J$39)&lt;=(J$39-$C$39:J$39))*(01_Supuestos!$C$190*((1-1/$C$281)*(1-$C$8))^(01_Supuestos!$C$189-$C$39:J$39)-01_Supuestos!$C$190*(1-$C$8)/$C$281*(((1-1/$C$281)*(1-$C$8))^(01_Supuestos!$C$189-$C$39:J$39)-((1-1/$C$281)*(1-$C$8))^(J$39-$C$39:J$39))/(1-((1-1/$C$281)*(1-$C$8)))))))</f>
        <v>4.66851033321466</v>
      </c>
      <c r="K319" s="1" t="n">
        <f aca="false">SUMPRODUCT($C$317:K317,((01_Supuestos!$C$185-((1-$C$8)/$C$281*(1-((1-1/$C$281)*(1-$C$8))^(K$39-$C$39:K$39))/(1-((1-1/$C$281)*(1-$C$8)))+(01_Supuestos!$C$189&gt;0)*((01_Supuestos!$C$189-$C$39:K$39)&gt;=1)*((01_Supuestos!$C$189-$C$39:K$39)&lt;=(K$39-$C$39:K$39))*(01_Supuestos!$C$190*((1-1/$C$281)*(1-$C$8))^(01_Supuestos!$C$189-$C$39:K$39)-01_Supuestos!$C$190*(1-$C$8)/$C$281*(((1-1/$C$281)*(1-$C$8))^(01_Supuestos!$C$189-$C$39:K$39)-((1-1/$C$281)*(1-$C$8))^(K$39-$C$39:K$39))/(1-((1-1/$C$281)*(1-$C$8))))))&gt;0)*(01_Supuestos!$C$185-((1-$C$8)/$C$281*(1-((1-1/$C$281)*(1-$C$8))^(K$39-$C$39:K$39))/(1-((1-1/$C$281)*(1-$C$8)))+(01_Supuestos!$C$189&gt;0)*((01_Supuestos!$C$189-$C$39:K$39)&gt;=1)*((01_Supuestos!$C$189-$C$39:K$39)&lt;=(K$39-$C$39:K$39))*(01_Supuestos!$C$190*((1-1/$C$281)*(1-$C$8))^(01_Supuestos!$C$189-$C$39:K$39)-01_Supuestos!$C$190*(1-$C$8)/$C$281*(((1-1/$C$281)*(1-$C$8))^(01_Supuestos!$C$189-$C$39:K$39)-((1-1/$C$281)*(1-$C$8))^(K$39-$C$39:K$39))/(1-((1-1/$C$281)*(1-$C$8)))))))</f>
        <v>5.78431298450542</v>
      </c>
      <c r="L319" s="1" t="n">
        <f aca="false">SUMPRODUCT($C$317:L317,((01_Supuestos!$C$185-((1-$C$8)/$C$281*(1-((1-1/$C$281)*(1-$C$8))^(L$39-$C$39:L$39))/(1-((1-1/$C$281)*(1-$C$8)))+(01_Supuestos!$C$189&gt;0)*((01_Supuestos!$C$189-$C$39:L$39)&gt;=1)*((01_Supuestos!$C$189-$C$39:L$39)&lt;=(L$39-$C$39:L$39))*(01_Supuestos!$C$190*((1-1/$C$281)*(1-$C$8))^(01_Supuestos!$C$189-$C$39:L$39)-01_Supuestos!$C$190*(1-$C$8)/$C$281*(((1-1/$C$281)*(1-$C$8))^(01_Supuestos!$C$189-$C$39:L$39)-((1-1/$C$281)*(1-$C$8))^(L$39-$C$39:L$39))/(1-((1-1/$C$281)*(1-$C$8))))))&gt;0)*(01_Supuestos!$C$185-((1-$C$8)/$C$281*(1-((1-1/$C$281)*(1-$C$8))^(L$39-$C$39:L$39))/(1-((1-1/$C$281)*(1-$C$8)))+(01_Supuestos!$C$189&gt;0)*((01_Supuestos!$C$189-$C$39:L$39)&gt;=1)*((01_Supuestos!$C$189-$C$39:L$39)&lt;=(L$39-$C$39:L$39))*(01_Supuestos!$C$190*((1-1/$C$281)*(1-$C$8))^(01_Supuestos!$C$189-$C$39:L$39)-01_Supuestos!$C$190*(1-$C$8)/$C$281*(((1-1/$C$281)*(1-$C$8))^(01_Supuestos!$C$189-$C$39:L$39)-((1-1/$C$281)*(1-$C$8))^(L$39-$C$39:L$39))/(1-((1-1/$C$281)*(1-$C$8)))))))</f>
        <v>6.64549725439061</v>
      </c>
      <c r="M319" s="1" t="n">
        <f aca="false">SUMPRODUCT($C$317:M317,((01_Supuestos!$C$185-((1-$C$8)/$C$281*(1-((1-1/$C$281)*(1-$C$8))^(M$39-$C$39:M$39))/(1-((1-1/$C$281)*(1-$C$8)))+(01_Supuestos!$C$189&gt;0)*((01_Supuestos!$C$189-$C$39:M$39)&gt;=1)*((01_Supuestos!$C$189-$C$39:M$39)&lt;=(M$39-$C$39:M$39))*(01_Supuestos!$C$190*((1-1/$C$281)*(1-$C$8))^(01_Supuestos!$C$189-$C$39:M$39)-01_Supuestos!$C$190*(1-$C$8)/$C$281*(((1-1/$C$281)*(1-$C$8))^(01_Supuestos!$C$189-$C$39:M$39)-((1-1/$C$281)*(1-$C$8))^(M$39-$C$39:M$39))/(1-((1-1/$C$281)*(1-$C$8))))))&gt;0)*(01_Supuestos!$C$185-((1-$C$8)/$C$281*(1-((1-1/$C$281)*(1-$C$8))^(M$39-$C$39:M$39))/(1-((1-1/$C$281)*(1-$C$8)))+(01_Supuestos!$C$189&gt;0)*((01_Supuestos!$C$189-$C$39:M$39)&gt;=1)*((01_Supuestos!$C$189-$C$39:M$39)&lt;=(M$39-$C$39:M$39))*(01_Supuestos!$C$190*((1-1/$C$281)*(1-$C$8))^(01_Supuestos!$C$189-$C$39:M$39)-01_Supuestos!$C$190*(1-$C$8)/$C$281*(((1-1/$C$281)*(1-$C$8))^(01_Supuestos!$C$189-$C$39:M$39)-((1-1/$C$281)*(1-$C$8))^(M$39-$C$39:M$39))/(1-((1-1/$C$281)*(1-$C$8)))))))</f>
        <v>9.04148742018239</v>
      </c>
      <c r="N319" s="1" t="n">
        <f aca="false">SUMPRODUCT($C$317:N317,((01_Supuestos!$C$185-((1-$C$8)/$C$281*(1-((1-1/$C$281)*(1-$C$8))^(N$39-$C$39:N$39))/(1-((1-1/$C$281)*(1-$C$8)))+(01_Supuestos!$C$189&gt;0)*((01_Supuestos!$C$189-$C$39:N$39)&gt;=1)*((01_Supuestos!$C$189-$C$39:N$39)&lt;=(N$39-$C$39:N$39))*(01_Supuestos!$C$190*((1-1/$C$281)*(1-$C$8))^(01_Supuestos!$C$189-$C$39:N$39)-01_Supuestos!$C$190*(1-$C$8)/$C$281*(((1-1/$C$281)*(1-$C$8))^(01_Supuestos!$C$189-$C$39:N$39)-((1-1/$C$281)*(1-$C$8))^(N$39-$C$39:N$39))/(1-((1-1/$C$281)*(1-$C$8))))))&gt;0)*(01_Supuestos!$C$185-((1-$C$8)/$C$281*(1-((1-1/$C$281)*(1-$C$8))^(N$39-$C$39:N$39))/(1-((1-1/$C$281)*(1-$C$8)))+(01_Supuestos!$C$189&gt;0)*((01_Supuestos!$C$189-$C$39:N$39)&gt;=1)*((01_Supuestos!$C$189-$C$39:N$39)&lt;=(N$39-$C$39:N$39))*(01_Supuestos!$C$190*((1-1/$C$281)*(1-$C$8))^(01_Supuestos!$C$189-$C$39:N$39)-01_Supuestos!$C$190*(1-$C$8)/$C$281*(((1-1/$C$281)*(1-$C$8))^(01_Supuestos!$C$189-$C$39:N$39)-((1-1/$C$281)*(1-$C$8))^(N$39-$C$39:N$39))/(1-((1-1/$C$281)*(1-$C$8)))))))</f>
        <v>9.06516183960809</v>
      </c>
      <c r="O319" s="1" t="n">
        <f aca="false">SUMPRODUCT($C$317:O317,((01_Supuestos!$C$185-((1-$C$8)/$C$281*(1-((1-1/$C$281)*(1-$C$8))^(O$39-$C$39:O$39))/(1-((1-1/$C$281)*(1-$C$8)))+(01_Supuestos!$C$189&gt;0)*((01_Supuestos!$C$189-$C$39:O$39)&gt;=1)*((01_Supuestos!$C$189-$C$39:O$39)&lt;=(O$39-$C$39:O$39))*(01_Supuestos!$C$190*((1-1/$C$281)*(1-$C$8))^(01_Supuestos!$C$189-$C$39:O$39)-01_Supuestos!$C$190*(1-$C$8)/$C$281*(((1-1/$C$281)*(1-$C$8))^(01_Supuestos!$C$189-$C$39:O$39)-((1-1/$C$281)*(1-$C$8))^(O$39-$C$39:O$39))/(1-((1-1/$C$281)*(1-$C$8))))))&gt;0)*(01_Supuestos!$C$185-((1-$C$8)/$C$281*(1-((1-1/$C$281)*(1-$C$8))^(O$39-$C$39:O$39))/(1-((1-1/$C$281)*(1-$C$8)))+(01_Supuestos!$C$189&gt;0)*((01_Supuestos!$C$189-$C$39:O$39)&gt;=1)*((01_Supuestos!$C$189-$C$39:O$39)&lt;=(O$39-$C$39:O$39))*(01_Supuestos!$C$190*((1-1/$C$281)*(1-$C$8))^(01_Supuestos!$C$189-$C$39:O$39)-01_Supuestos!$C$190*(1-$C$8)/$C$281*(((1-1/$C$281)*(1-$C$8))^(01_Supuestos!$C$189-$C$39:O$39)-((1-1/$C$281)*(1-$C$8))^(O$39-$C$39:O$39))/(1-((1-1/$C$281)*(1-$C$8)))))))</f>
        <v>7.29397547329659</v>
      </c>
      <c r="P319" s="1" t="n">
        <f aca="false">SUMPRODUCT($C$317:P317,((01_Supuestos!$C$185-((1-$C$8)/$C$281*(1-((1-1/$C$281)*(1-$C$8))^(P$39-$C$39:P$39))/(1-((1-1/$C$281)*(1-$C$8)))+(01_Supuestos!$C$189&gt;0)*((01_Supuestos!$C$189-$C$39:P$39)&gt;=1)*((01_Supuestos!$C$189-$C$39:P$39)&lt;=(P$39-$C$39:P$39))*(01_Supuestos!$C$190*((1-1/$C$281)*(1-$C$8))^(01_Supuestos!$C$189-$C$39:P$39)-01_Supuestos!$C$190*(1-$C$8)/$C$281*(((1-1/$C$281)*(1-$C$8))^(01_Supuestos!$C$189-$C$39:P$39)-((1-1/$C$281)*(1-$C$8))^(P$39-$C$39:P$39))/(1-((1-1/$C$281)*(1-$C$8))))))&gt;0)*(01_Supuestos!$C$185-((1-$C$8)/$C$281*(1-((1-1/$C$281)*(1-$C$8))^(P$39-$C$39:P$39))/(1-((1-1/$C$281)*(1-$C$8)))+(01_Supuestos!$C$189&gt;0)*((01_Supuestos!$C$189-$C$39:P$39)&gt;=1)*((01_Supuestos!$C$189-$C$39:P$39)&lt;=(P$39-$C$39:P$39))*(01_Supuestos!$C$190*((1-1/$C$281)*(1-$C$8))^(01_Supuestos!$C$189-$C$39:P$39)-01_Supuestos!$C$190*(1-$C$8)/$C$281*(((1-1/$C$281)*(1-$C$8))^(01_Supuestos!$C$189-$C$39:P$39)-((1-1/$C$281)*(1-$C$8))^(P$39-$C$39:P$39))/(1-((1-1/$C$281)*(1-$C$8)))))))</f>
        <v>6.9059088795694</v>
      </c>
      <c r="Q319" s="1" t="n">
        <f aca="false">SUMPRODUCT($C$317:Q317,((01_Supuestos!$C$185-((1-$C$8)/$C$281*(1-((1-1/$C$281)*(1-$C$8))^(Q$39-$C$39:Q$39))/(1-((1-1/$C$281)*(1-$C$8)))+(01_Supuestos!$C$189&gt;0)*((01_Supuestos!$C$189-$C$39:Q$39)&gt;=1)*((01_Supuestos!$C$189-$C$39:Q$39)&lt;=(Q$39-$C$39:Q$39))*(01_Supuestos!$C$190*((1-1/$C$281)*(1-$C$8))^(01_Supuestos!$C$189-$C$39:Q$39)-01_Supuestos!$C$190*(1-$C$8)/$C$281*(((1-1/$C$281)*(1-$C$8))^(01_Supuestos!$C$189-$C$39:Q$39)-((1-1/$C$281)*(1-$C$8))^(Q$39-$C$39:Q$39))/(1-((1-1/$C$281)*(1-$C$8))))))&gt;0)*(01_Supuestos!$C$185-((1-$C$8)/$C$281*(1-((1-1/$C$281)*(1-$C$8))^(Q$39-$C$39:Q$39))/(1-((1-1/$C$281)*(1-$C$8)))+(01_Supuestos!$C$189&gt;0)*((01_Supuestos!$C$189-$C$39:Q$39)&gt;=1)*((01_Supuestos!$C$189-$C$39:Q$39)&lt;=(Q$39-$C$39:Q$39))*(01_Supuestos!$C$190*((1-1/$C$281)*(1-$C$8))^(01_Supuestos!$C$189-$C$39:Q$39)-01_Supuestos!$C$190*(1-$C$8)/$C$281*(((1-1/$C$281)*(1-$C$8))^(01_Supuestos!$C$189-$C$39:Q$39)-((1-1/$C$281)*(1-$C$8))^(Q$39-$C$39:Q$39))/(1-((1-1/$C$281)*(1-$C$8)))))))</f>
        <v>7.08230281284298</v>
      </c>
      <c r="R319" s="1" t="n">
        <f aca="false">SUMPRODUCT($C$317:R317,((01_Supuestos!$C$185-((1-$C$8)/$C$281*(1-((1-1/$C$281)*(1-$C$8))^(R$39-$C$39:R$39))/(1-((1-1/$C$281)*(1-$C$8)))+(01_Supuestos!$C$189&gt;0)*((01_Supuestos!$C$189-$C$39:R$39)&gt;=1)*((01_Supuestos!$C$189-$C$39:R$39)&lt;=(R$39-$C$39:R$39))*(01_Supuestos!$C$190*((1-1/$C$281)*(1-$C$8))^(01_Supuestos!$C$189-$C$39:R$39)-01_Supuestos!$C$190*(1-$C$8)/$C$281*(((1-1/$C$281)*(1-$C$8))^(01_Supuestos!$C$189-$C$39:R$39)-((1-1/$C$281)*(1-$C$8))^(R$39-$C$39:R$39))/(1-((1-1/$C$281)*(1-$C$8))))))&gt;0)*(01_Supuestos!$C$185-((1-$C$8)/$C$281*(1-((1-1/$C$281)*(1-$C$8))^(R$39-$C$39:R$39))/(1-((1-1/$C$281)*(1-$C$8)))+(01_Supuestos!$C$189&gt;0)*((01_Supuestos!$C$189-$C$39:R$39)&gt;=1)*((01_Supuestos!$C$189-$C$39:R$39)&lt;=(R$39-$C$39:R$39))*(01_Supuestos!$C$190*((1-1/$C$281)*(1-$C$8))^(01_Supuestos!$C$189-$C$39:R$39)-01_Supuestos!$C$190*(1-$C$8)/$C$281*(((1-1/$C$281)*(1-$C$8))^(01_Supuestos!$C$189-$C$39:R$39)-((1-1/$C$281)*(1-$C$8))^(R$39-$C$39:R$39))/(1-((1-1/$C$281)*(1-$C$8)))))))</f>
        <v>7.26510281339211</v>
      </c>
      <c r="S319" s="1" t="n">
        <f aca="false">SUMPRODUCT($C$317:S317,((01_Supuestos!$C$185-((1-$C$8)/$C$281*(1-((1-1/$C$281)*(1-$C$8))^(S$39-$C$39:S$39))/(1-((1-1/$C$281)*(1-$C$8)))+(01_Supuestos!$C$189&gt;0)*((01_Supuestos!$C$189-$C$39:S$39)&gt;=1)*((01_Supuestos!$C$189-$C$39:S$39)&lt;=(S$39-$C$39:S$39))*(01_Supuestos!$C$190*((1-1/$C$281)*(1-$C$8))^(01_Supuestos!$C$189-$C$39:S$39)-01_Supuestos!$C$190*(1-$C$8)/$C$281*(((1-1/$C$281)*(1-$C$8))^(01_Supuestos!$C$189-$C$39:S$39)-((1-1/$C$281)*(1-$C$8))^(S$39-$C$39:S$39))/(1-((1-1/$C$281)*(1-$C$8))))))&gt;0)*(01_Supuestos!$C$185-((1-$C$8)/$C$281*(1-((1-1/$C$281)*(1-$C$8))^(S$39-$C$39:S$39))/(1-((1-1/$C$281)*(1-$C$8)))+(01_Supuestos!$C$189&gt;0)*((01_Supuestos!$C$189-$C$39:S$39)&gt;=1)*((01_Supuestos!$C$189-$C$39:S$39)&lt;=(S$39-$C$39:S$39))*(01_Supuestos!$C$190*((1-1/$C$281)*(1-$C$8))^(01_Supuestos!$C$189-$C$39:S$39)-01_Supuestos!$C$190*(1-$C$8)/$C$281*(((1-1/$C$281)*(1-$C$8))^(01_Supuestos!$C$189-$C$39:S$39)-((1-1/$C$281)*(1-$C$8))^(S$39-$C$39:S$39))/(1-((1-1/$C$281)*(1-$C$8)))))))</f>
        <v>7.45342517706526</v>
      </c>
      <c r="T319" s="1" t="n">
        <f aca="false">SUMPRODUCT($C$317:T317,((01_Supuestos!$C$185-((1-$C$8)/$C$281*(1-((1-1/$C$281)*(1-$C$8))^(T$39-$C$39:T$39))/(1-((1-1/$C$281)*(1-$C$8)))+(01_Supuestos!$C$189&gt;0)*((01_Supuestos!$C$189-$C$39:T$39)&gt;=1)*((01_Supuestos!$C$189-$C$39:T$39)&lt;=(T$39-$C$39:T$39))*(01_Supuestos!$C$190*((1-1/$C$281)*(1-$C$8))^(01_Supuestos!$C$189-$C$39:T$39)-01_Supuestos!$C$190*(1-$C$8)/$C$281*(((1-1/$C$281)*(1-$C$8))^(01_Supuestos!$C$189-$C$39:T$39)-((1-1/$C$281)*(1-$C$8))^(T$39-$C$39:T$39))/(1-((1-1/$C$281)*(1-$C$8))))))&gt;0)*(01_Supuestos!$C$185-((1-$C$8)/$C$281*(1-((1-1/$C$281)*(1-$C$8))^(T$39-$C$39:T$39))/(1-((1-1/$C$281)*(1-$C$8)))+(01_Supuestos!$C$189&gt;0)*((01_Supuestos!$C$189-$C$39:T$39)&gt;=1)*((01_Supuestos!$C$189-$C$39:T$39)&lt;=(T$39-$C$39:T$39))*(01_Supuestos!$C$190*((1-1/$C$281)*(1-$C$8))^(01_Supuestos!$C$189-$C$39:T$39)-01_Supuestos!$C$190*(1-$C$8)/$C$281*(((1-1/$C$281)*(1-$C$8))^(01_Supuestos!$C$189-$C$39:T$39)-((1-1/$C$281)*(1-$C$8))^(T$39-$C$39:T$39))/(1-((1-1/$C$281)*(1-$C$8)))))))</f>
        <v>7.64505070422457</v>
      </c>
      <c r="U319" s="1" t="n">
        <f aca="false">SUMPRODUCT($C$317:U317,((01_Supuestos!$C$185-((1-$C$8)/$C$281*(1-((1-1/$C$281)*(1-$C$8))^(U$39-$C$39:U$39))/(1-((1-1/$C$281)*(1-$C$8)))+(01_Supuestos!$C$189&gt;0)*((01_Supuestos!$C$189-$C$39:U$39)&gt;=1)*((01_Supuestos!$C$189-$C$39:U$39)&lt;=(U$39-$C$39:U$39))*(01_Supuestos!$C$190*((1-1/$C$281)*(1-$C$8))^(01_Supuestos!$C$189-$C$39:U$39)-01_Supuestos!$C$190*(1-$C$8)/$C$281*(((1-1/$C$281)*(1-$C$8))^(01_Supuestos!$C$189-$C$39:U$39)-((1-1/$C$281)*(1-$C$8))^(U$39-$C$39:U$39))/(1-((1-1/$C$281)*(1-$C$8))))))&gt;0)*(01_Supuestos!$C$185-((1-$C$8)/$C$281*(1-((1-1/$C$281)*(1-$C$8))^(U$39-$C$39:U$39))/(1-((1-1/$C$281)*(1-$C$8)))+(01_Supuestos!$C$189&gt;0)*((01_Supuestos!$C$189-$C$39:U$39)&gt;=1)*((01_Supuestos!$C$189-$C$39:U$39)&lt;=(U$39-$C$39:U$39))*(01_Supuestos!$C$190*((1-1/$C$281)*(1-$C$8))^(01_Supuestos!$C$189-$C$39:U$39)-01_Supuestos!$C$190*(1-$C$8)/$C$281*(((1-1/$C$281)*(1-$C$8))^(01_Supuestos!$C$189-$C$39:U$39)-((1-1/$C$281)*(1-$C$8))^(U$39-$C$39:U$39))/(1-((1-1/$C$281)*(1-$C$8)))))))</f>
        <v>7.83477831617055</v>
      </c>
      <c r="V319" s="1" t="n">
        <f aca="false">SUMPRODUCT($C$317:V317,((01_Supuestos!$C$185-((1-$C$8)/$C$281*(1-((1-1/$C$281)*(1-$C$8))^(V$39-$C$39:V$39))/(1-((1-1/$C$281)*(1-$C$8)))+(01_Supuestos!$C$189&gt;0)*((01_Supuestos!$C$189-$C$39:V$39)&gt;=1)*((01_Supuestos!$C$189-$C$39:V$39)&lt;=(V$39-$C$39:V$39))*(01_Supuestos!$C$190*((1-1/$C$281)*(1-$C$8))^(01_Supuestos!$C$189-$C$39:V$39)-01_Supuestos!$C$190*(1-$C$8)/$C$281*(((1-1/$C$281)*(1-$C$8))^(01_Supuestos!$C$189-$C$39:V$39)-((1-1/$C$281)*(1-$C$8))^(V$39-$C$39:V$39))/(1-((1-1/$C$281)*(1-$C$8))))))&gt;0)*(01_Supuestos!$C$185-((1-$C$8)/$C$281*(1-((1-1/$C$281)*(1-$C$8))^(V$39-$C$39:V$39))/(1-((1-1/$C$281)*(1-$C$8)))+(01_Supuestos!$C$189&gt;0)*((01_Supuestos!$C$189-$C$39:V$39)&gt;=1)*((01_Supuestos!$C$189-$C$39:V$39)&lt;=(V$39-$C$39:V$39))*(01_Supuestos!$C$190*((1-1/$C$281)*(1-$C$8))^(01_Supuestos!$C$189-$C$39:V$39)-01_Supuestos!$C$190*(1-$C$8)/$C$281*(((1-1/$C$281)*(1-$C$8))^(01_Supuestos!$C$189-$C$39:V$39)-((1-1/$C$281)*(1-$C$8))^(V$39-$C$39:V$39))/(1-((1-1/$C$281)*(1-$C$8)))))))</f>
        <v>7.87429072134833</v>
      </c>
      <c r="W319" s="1" t="n">
        <f aca="false">SUMPRODUCT($C$317:W317,((01_Supuestos!$C$185-((1-$C$8)/$C$281*(1-((1-1/$C$281)*(1-$C$8))^(W$39-$C$39:W$39))/(1-((1-1/$C$281)*(1-$C$8)))+(01_Supuestos!$C$189&gt;0)*((01_Supuestos!$C$189-$C$39:W$39)&gt;=1)*((01_Supuestos!$C$189-$C$39:W$39)&lt;=(W$39-$C$39:W$39))*(01_Supuestos!$C$190*((1-1/$C$281)*(1-$C$8))^(01_Supuestos!$C$189-$C$39:W$39)-01_Supuestos!$C$190*(1-$C$8)/$C$281*(((1-1/$C$281)*(1-$C$8))^(01_Supuestos!$C$189-$C$39:W$39)-((1-1/$C$281)*(1-$C$8))^(W$39-$C$39:W$39))/(1-((1-1/$C$281)*(1-$C$8))))))&gt;0)*(01_Supuestos!$C$185-((1-$C$8)/$C$281*(1-((1-1/$C$281)*(1-$C$8))^(W$39-$C$39:W$39))/(1-((1-1/$C$281)*(1-$C$8)))+(01_Supuestos!$C$189&gt;0)*((01_Supuestos!$C$189-$C$39:W$39)&gt;=1)*((01_Supuestos!$C$189-$C$39:W$39)&lt;=(W$39-$C$39:W$39))*(01_Supuestos!$C$190*((1-1/$C$281)*(1-$C$8))^(01_Supuestos!$C$189-$C$39:W$39)-01_Supuestos!$C$190*(1-$C$8)/$C$281*(((1-1/$C$281)*(1-$C$8))^(01_Supuestos!$C$189-$C$39:W$39)-((1-1/$C$281)*(1-$C$8))^(W$39-$C$39:W$39))/(1-((1-1/$C$281)*(1-$C$8)))))))</f>
        <v>7.87872084319281</v>
      </c>
      <c r="X319" s="1" t="n">
        <f aca="false">SUMPRODUCT($C$317:X317,((01_Supuestos!$C$185-((1-$C$8)/$C$281*(1-((1-1/$C$281)*(1-$C$8))^(X$39-$C$39:X$39))/(1-((1-1/$C$281)*(1-$C$8)))+(01_Supuestos!$C$189&gt;0)*((01_Supuestos!$C$189-$C$39:X$39)&gt;=1)*((01_Supuestos!$C$189-$C$39:X$39)&lt;=(X$39-$C$39:X$39))*(01_Supuestos!$C$190*((1-1/$C$281)*(1-$C$8))^(01_Supuestos!$C$189-$C$39:X$39)-01_Supuestos!$C$190*(1-$C$8)/$C$281*(((1-1/$C$281)*(1-$C$8))^(01_Supuestos!$C$189-$C$39:X$39)-((1-1/$C$281)*(1-$C$8))^(X$39-$C$39:X$39))/(1-((1-1/$C$281)*(1-$C$8))))))&gt;0)*(01_Supuestos!$C$185-((1-$C$8)/$C$281*(1-((1-1/$C$281)*(1-$C$8))^(X$39-$C$39:X$39))/(1-((1-1/$C$281)*(1-$C$8)))+(01_Supuestos!$C$189&gt;0)*((01_Supuestos!$C$189-$C$39:X$39)&gt;=1)*((01_Supuestos!$C$189-$C$39:X$39)&lt;=(X$39-$C$39:X$39))*(01_Supuestos!$C$190*((1-1/$C$281)*(1-$C$8))^(01_Supuestos!$C$189-$C$39:X$39)-01_Supuestos!$C$190*(1-$C$8)/$C$281*(((1-1/$C$281)*(1-$C$8))^(01_Supuestos!$C$189-$C$39:X$39)-((1-1/$C$281)*(1-$C$8))^(X$39-$C$39:X$39))/(1-((1-1/$C$281)*(1-$C$8)))))))</f>
        <v>7.95405361281457</v>
      </c>
      <c r="Y319" s="1" t="n">
        <f aca="false">SUMPRODUCT($C$317:Y317,((01_Supuestos!$C$185-((1-$C$8)/$C$281*(1-((1-1/$C$281)*(1-$C$8))^(Y$39-$C$39:Y$39))/(1-((1-1/$C$281)*(1-$C$8)))+(01_Supuestos!$C$189&gt;0)*((01_Supuestos!$C$189-$C$39:Y$39)&gt;=1)*((01_Supuestos!$C$189-$C$39:Y$39)&lt;=(Y$39-$C$39:Y$39))*(01_Supuestos!$C$190*((1-1/$C$281)*(1-$C$8))^(01_Supuestos!$C$189-$C$39:Y$39)-01_Supuestos!$C$190*(1-$C$8)/$C$281*(((1-1/$C$281)*(1-$C$8))^(01_Supuestos!$C$189-$C$39:Y$39)-((1-1/$C$281)*(1-$C$8))^(Y$39-$C$39:Y$39))/(1-((1-1/$C$281)*(1-$C$8))))))&gt;0)*(01_Supuestos!$C$185-((1-$C$8)/$C$281*(1-((1-1/$C$281)*(1-$C$8))^(Y$39-$C$39:Y$39))/(1-((1-1/$C$281)*(1-$C$8)))+(01_Supuestos!$C$189&gt;0)*((01_Supuestos!$C$189-$C$39:Y$39)&gt;=1)*((01_Supuestos!$C$189-$C$39:Y$39)&lt;=(Y$39-$C$39:Y$39))*(01_Supuestos!$C$190*((1-1/$C$281)*(1-$C$8))^(01_Supuestos!$C$189-$C$39:Y$39)-01_Supuestos!$C$190*(1-$C$8)/$C$281*(((1-1/$C$281)*(1-$C$8))^(01_Supuestos!$C$189-$C$39:Y$39)-((1-1/$C$281)*(1-$C$8))^(Y$39-$C$39:Y$39))/(1-((1-1/$C$281)*(1-$C$8)))))))</f>
        <v>8.0499069557132</v>
      </c>
      <c r="Z319" s="1" t="n">
        <f aca="false">SUMPRODUCT($C$317:Z317,((01_Supuestos!$C$185-((1-$C$8)/$C$281*(1-((1-1/$C$281)*(1-$C$8))^(Z$39-$C$39:Z$39))/(1-((1-1/$C$281)*(1-$C$8)))+(01_Supuestos!$C$189&gt;0)*((01_Supuestos!$C$189-$C$39:Z$39)&gt;=1)*((01_Supuestos!$C$189-$C$39:Z$39)&lt;=(Z$39-$C$39:Z$39))*(01_Supuestos!$C$190*((1-1/$C$281)*(1-$C$8))^(01_Supuestos!$C$189-$C$39:Z$39)-01_Supuestos!$C$190*(1-$C$8)/$C$281*(((1-1/$C$281)*(1-$C$8))^(01_Supuestos!$C$189-$C$39:Z$39)-((1-1/$C$281)*(1-$C$8))^(Z$39-$C$39:Z$39))/(1-((1-1/$C$281)*(1-$C$8))))))&gt;0)*(01_Supuestos!$C$185-((1-$C$8)/$C$281*(1-((1-1/$C$281)*(1-$C$8))^(Z$39-$C$39:Z$39))/(1-((1-1/$C$281)*(1-$C$8)))+(01_Supuestos!$C$189&gt;0)*((01_Supuestos!$C$189-$C$39:Z$39)&gt;=1)*((01_Supuestos!$C$189-$C$39:Z$39)&lt;=(Z$39-$C$39:Z$39))*(01_Supuestos!$C$190*((1-1/$C$281)*(1-$C$8))^(01_Supuestos!$C$189-$C$39:Z$39)-01_Supuestos!$C$190*(1-$C$8)/$C$281*(((1-1/$C$281)*(1-$C$8))^(01_Supuestos!$C$189-$C$39:Z$39)-((1-1/$C$281)*(1-$C$8))^(Z$39-$C$39:Z$39))/(1-((1-1/$C$281)*(1-$C$8)))))))</f>
        <v>8.14353086587432</v>
      </c>
      <c r="AA319" s="1" t="n">
        <f aca="false">SUMPRODUCT($C$317:AA317,((01_Supuestos!$C$185-((1-$C$8)/$C$281*(1-((1-1/$C$281)*(1-$C$8))^(AA$39-$C$39:AA$39))/(1-((1-1/$C$281)*(1-$C$8)))+(01_Supuestos!$C$189&gt;0)*((01_Supuestos!$C$189-$C$39:AA$39)&gt;=1)*((01_Supuestos!$C$189-$C$39:AA$39)&lt;=(AA$39-$C$39:AA$39))*(01_Supuestos!$C$190*((1-1/$C$281)*(1-$C$8))^(01_Supuestos!$C$189-$C$39:AA$39)-01_Supuestos!$C$190*(1-$C$8)/$C$281*(((1-1/$C$281)*(1-$C$8))^(01_Supuestos!$C$189-$C$39:AA$39)-((1-1/$C$281)*(1-$C$8))^(AA$39-$C$39:AA$39))/(1-((1-1/$C$281)*(1-$C$8))))))&gt;0)*(01_Supuestos!$C$185-((1-$C$8)/$C$281*(1-((1-1/$C$281)*(1-$C$8))^(AA$39-$C$39:AA$39))/(1-((1-1/$C$281)*(1-$C$8)))+(01_Supuestos!$C$189&gt;0)*((01_Supuestos!$C$189-$C$39:AA$39)&gt;=1)*((01_Supuestos!$C$189-$C$39:AA$39)&lt;=(AA$39-$C$39:AA$39))*(01_Supuestos!$C$190*((1-1/$C$281)*(1-$C$8))^(01_Supuestos!$C$189-$C$39:AA$39)-01_Supuestos!$C$190*(1-$C$8)/$C$281*(((1-1/$C$281)*(1-$C$8))^(01_Supuestos!$C$189-$C$39:AA$39)-((1-1/$C$281)*(1-$C$8))^(AA$39-$C$39:AA$39))/(1-((1-1/$C$281)*(1-$C$8)))))))</f>
        <v>8.23493283937196</v>
      </c>
      <c r="AB319" s="1" t="n">
        <f aca="false">SUMPRODUCT($C$317:AB317,((01_Supuestos!$C$185-((1-$C$8)/$C$281*(1-((1-1/$C$281)*(1-$C$8))^(AB$39-$C$39:AB$39))/(1-((1-1/$C$281)*(1-$C$8)))+(01_Supuestos!$C$189&gt;0)*((01_Supuestos!$C$189-$C$39:AB$39)&gt;=1)*((01_Supuestos!$C$189-$C$39:AB$39)&lt;=(AB$39-$C$39:AB$39))*(01_Supuestos!$C$190*((1-1/$C$281)*(1-$C$8))^(01_Supuestos!$C$189-$C$39:AB$39)-01_Supuestos!$C$190*(1-$C$8)/$C$281*(((1-1/$C$281)*(1-$C$8))^(01_Supuestos!$C$189-$C$39:AB$39)-((1-1/$C$281)*(1-$C$8))^(AB$39-$C$39:AB$39))/(1-((1-1/$C$281)*(1-$C$8))))))&gt;0)*(01_Supuestos!$C$185-((1-$C$8)/$C$281*(1-((1-1/$C$281)*(1-$C$8))^(AB$39-$C$39:AB$39))/(1-((1-1/$C$281)*(1-$C$8)))+(01_Supuestos!$C$189&gt;0)*((01_Supuestos!$C$189-$C$39:AB$39)&gt;=1)*((01_Supuestos!$C$189-$C$39:AB$39)&lt;=(AB$39-$C$39:AB$39))*(01_Supuestos!$C$190*((1-1/$C$281)*(1-$C$8))^(01_Supuestos!$C$189-$C$39:AB$39)-01_Supuestos!$C$190*(1-$C$8)/$C$281*(((1-1/$C$281)*(1-$C$8))^(01_Supuestos!$C$189-$C$39:AB$39)-((1-1/$C$281)*(1-$C$8))^(AB$39-$C$39:AB$39))/(1-((1-1/$C$281)*(1-$C$8)))))))</f>
        <v>8.32407607886212</v>
      </c>
      <c r="AC319" s="1" t="n">
        <f aca="false">SUMPRODUCT($C$317:AC317,((01_Supuestos!$C$185-((1-$C$8)/$C$281*(1-((1-1/$C$281)*(1-$C$8))^(AC$39-$C$39:AC$39))/(1-((1-1/$C$281)*(1-$C$8)))+(01_Supuestos!$C$189&gt;0)*((01_Supuestos!$C$189-$C$39:AC$39)&gt;=1)*((01_Supuestos!$C$189-$C$39:AC$39)&lt;=(AC$39-$C$39:AC$39))*(01_Supuestos!$C$190*((1-1/$C$281)*(1-$C$8))^(01_Supuestos!$C$189-$C$39:AC$39)-01_Supuestos!$C$190*(1-$C$8)/$C$281*(((1-1/$C$281)*(1-$C$8))^(01_Supuestos!$C$189-$C$39:AC$39)-((1-1/$C$281)*(1-$C$8))^(AC$39-$C$39:AC$39))/(1-((1-1/$C$281)*(1-$C$8))))))&gt;0)*(01_Supuestos!$C$185-((1-$C$8)/$C$281*(1-((1-1/$C$281)*(1-$C$8))^(AC$39-$C$39:AC$39))/(1-((1-1/$C$281)*(1-$C$8)))+(01_Supuestos!$C$189&gt;0)*((01_Supuestos!$C$189-$C$39:AC$39)&gt;=1)*((01_Supuestos!$C$189-$C$39:AC$39)&lt;=(AC$39-$C$39:AC$39))*(01_Supuestos!$C$190*((1-1/$C$281)*(1-$C$8))^(01_Supuestos!$C$189-$C$39:AC$39)-01_Supuestos!$C$190*(1-$C$8)/$C$281*(((1-1/$C$281)*(1-$C$8))^(01_Supuestos!$C$189-$C$39:AC$39)-((1-1/$C$281)*(1-$C$8))^(AC$39-$C$39:AC$39))/(1-((1-1/$C$281)*(1-$C$8)))))))</f>
        <v>8.41094407657642</v>
      </c>
      <c r="AD319" s="1" t="n">
        <f aca="false">SUMPRODUCT($C$317:AD317,((01_Supuestos!$C$185-((1-$C$8)/$C$281*(1-((1-1/$C$281)*(1-$C$8))^(AD$39-$C$39:AD$39))/(1-((1-1/$C$281)*(1-$C$8)))+(01_Supuestos!$C$189&gt;0)*((01_Supuestos!$C$189-$C$39:AD$39)&gt;=1)*((01_Supuestos!$C$189-$C$39:AD$39)&lt;=(AD$39-$C$39:AD$39))*(01_Supuestos!$C$190*((1-1/$C$281)*(1-$C$8))^(01_Supuestos!$C$189-$C$39:AD$39)-01_Supuestos!$C$190*(1-$C$8)/$C$281*(((1-1/$C$281)*(1-$C$8))^(01_Supuestos!$C$189-$C$39:AD$39)-((1-1/$C$281)*(1-$C$8))^(AD$39-$C$39:AD$39))/(1-((1-1/$C$281)*(1-$C$8))))))&gt;0)*(01_Supuestos!$C$185-((1-$C$8)/$C$281*(1-((1-1/$C$281)*(1-$C$8))^(AD$39-$C$39:AD$39))/(1-((1-1/$C$281)*(1-$C$8)))+(01_Supuestos!$C$189&gt;0)*((01_Supuestos!$C$189-$C$39:AD$39)&gt;=1)*((01_Supuestos!$C$189-$C$39:AD$39)&lt;=(AD$39-$C$39:AD$39))*(01_Supuestos!$C$190*((1-1/$C$281)*(1-$C$8))^(01_Supuestos!$C$189-$C$39:AD$39)-01_Supuestos!$C$190*(1-$C$8)/$C$281*(((1-1/$C$281)*(1-$C$8))^(01_Supuestos!$C$189-$C$39:AD$39)-((1-1/$C$281)*(1-$C$8))^(AD$39-$C$39:AD$39))/(1-((1-1/$C$281)*(1-$C$8)))))))</f>
        <v>8.49553230321683</v>
      </c>
      <c r="AE319" s="1" t="n">
        <f aca="false">SUMPRODUCT($C$317:AE317,((01_Supuestos!$C$185-((1-$C$8)/$C$281*(1-((1-1/$C$281)*(1-$C$8))^(AE$39-$C$39:AE$39))/(1-((1-1/$C$281)*(1-$C$8)))+(01_Supuestos!$C$189&gt;0)*((01_Supuestos!$C$189-$C$39:AE$39)&gt;=1)*((01_Supuestos!$C$189-$C$39:AE$39)&lt;=(AE$39-$C$39:AE$39))*(01_Supuestos!$C$190*((1-1/$C$281)*(1-$C$8))^(01_Supuestos!$C$189-$C$39:AE$39)-01_Supuestos!$C$190*(1-$C$8)/$C$281*(((1-1/$C$281)*(1-$C$8))^(01_Supuestos!$C$189-$C$39:AE$39)-((1-1/$C$281)*(1-$C$8))^(AE$39-$C$39:AE$39))/(1-((1-1/$C$281)*(1-$C$8))))))&gt;0)*(01_Supuestos!$C$185-((1-$C$8)/$C$281*(1-((1-1/$C$281)*(1-$C$8))^(AE$39-$C$39:AE$39))/(1-((1-1/$C$281)*(1-$C$8)))+(01_Supuestos!$C$189&gt;0)*((01_Supuestos!$C$189-$C$39:AE$39)&gt;=1)*((01_Supuestos!$C$189-$C$39:AE$39)&lt;=(AE$39-$C$39:AE$39))*(01_Supuestos!$C$190*((1-1/$C$281)*(1-$C$8))^(01_Supuestos!$C$189-$C$39:AE$39)-01_Supuestos!$C$190*(1-$C$8)/$C$281*(((1-1/$C$281)*(1-$C$8))^(01_Supuestos!$C$189-$C$39:AE$39)-((1-1/$C$281)*(1-$C$8))^(AE$39-$C$39:AE$39))/(1-((1-1/$C$281)*(1-$C$8)))))))</f>
        <v>8.57783632047068</v>
      </c>
      <c r="AF319" s="1" t="n">
        <f aca="false">SUMPRODUCT($C$317:AF317,((01_Supuestos!$C$185-((1-$C$8)/$C$281*(1-((1-1/$C$281)*(1-$C$8))^(AF$39-$C$39:AF$39))/(1-((1-1/$C$281)*(1-$C$8)))+(01_Supuestos!$C$189&gt;0)*((01_Supuestos!$C$189-$C$39:AF$39)&gt;=1)*((01_Supuestos!$C$189-$C$39:AF$39)&lt;=(AF$39-$C$39:AF$39))*(01_Supuestos!$C$190*((1-1/$C$281)*(1-$C$8))^(01_Supuestos!$C$189-$C$39:AF$39)-01_Supuestos!$C$190*(1-$C$8)/$C$281*(((1-1/$C$281)*(1-$C$8))^(01_Supuestos!$C$189-$C$39:AF$39)-((1-1/$C$281)*(1-$C$8))^(AF$39-$C$39:AF$39))/(1-((1-1/$C$281)*(1-$C$8))))))&gt;0)*(01_Supuestos!$C$185-((1-$C$8)/$C$281*(1-((1-1/$C$281)*(1-$C$8))^(AF$39-$C$39:AF$39))/(1-((1-1/$C$281)*(1-$C$8)))+(01_Supuestos!$C$189&gt;0)*((01_Supuestos!$C$189-$C$39:AF$39)&gt;=1)*((01_Supuestos!$C$189-$C$39:AF$39)&lt;=(AF$39-$C$39:AF$39))*(01_Supuestos!$C$190*((1-1/$C$281)*(1-$C$8))^(01_Supuestos!$C$189-$C$39:AF$39)-01_Supuestos!$C$190*(1-$C$8)/$C$281*(((1-1/$C$281)*(1-$C$8))^(01_Supuestos!$C$189-$C$39:AF$39)-((1-1/$C$281)*(1-$C$8))^(AF$39-$C$39:AF$39))/(1-((1-1/$C$281)*(1-$C$8)))))))</f>
        <v>8.65785177167903</v>
      </c>
    </row>
    <row r="320" customFormat="false" ht="14.25" hidden="false" customHeight="true" outlineLevel="0" collapsed="false">
      <c r="B320" s="1" t="s">
        <v>1312</v>
      </c>
      <c r="C320" s="1" t="n">
        <f aca="false">01_Supuestos!$C$185*C317</f>
        <v>0.89137208060951</v>
      </c>
      <c r="D320" s="1" t="n">
        <f aca="false">01_Supuestos!$C$185*D317</f>
        <v>1.61471682573945</v>
      </c>
      <c r="E320" s="1" t="n">
        <f aca="false">01_Supuestos!$C$185*E317</f>
        <v>2.18417618427934</v>
      </c>
      <c r="F320" s="1" t="n">
        <f aca="false">01_Supuestos!$C$185*F317</f>
        <v>1.88123271703583</v>
      </c>
      <c r="G320" s="1" t="n">
        <f aca="false">01_Supuestos!$C$185*G317</f>
        <v>2.15144025561353</v>
      </c>
      <c r="H320" s="1" t="n">
        <f aca="false">01_Supuestos!$C$185*H317</f>
        <v>2.65170872195934</v>
      </c>
      <c r="I320" s="1" t="n">
        <f aca="false">01_Supuestos!$C$185*I317</f>
        <v>3.12191596495822</v>
      </c>
      <c r="J320" s="1" t="n">
        <f aca="false">01_Supuestos!$C$185*J317</f>
        <v>3.61434337571376</v>
      </c>
      <c r="K320" s="1" t="n">
        <f aca="false">01_Supuestos!$C$185*K317</f>
        <v>4.56386970463941</v>
      </c>
      <c r="L320" s="1" t="n">
        <f aca="false">01_Supuestos!$C$185*L317</f>
        <v>5.10443058412404</v>
      </c>
      <c r="M320" s="1" t="n">
        <f aca="false">01_Supuestos!$C$185*M317</f>
        <v>7.31789135960984</v>
      </c>
      <c r="N320" s="1" t="n">
        <f aca="false">01_Supuestos!$C$185*N317</f>
        <v>6.59415385717984</v>
      </c>
      <c r="O320" s="1" t="n">
        <f aca="false">01_Supuestos!$C$185*O317</f>
        <v>5.06734952085553</v>
      </c>
      <c r="P320" s="1" t="n">
        <f aca="false">01_Supuestos!$C$185*P317</f>
        <v>5.19483385802718</v>
      </c>
      <c r="Q320" s="1" t="n">
        <f aca="false">01_Supuestos!$C$185*Q317</f>
        <v>5.32818058011581</v>
      </c>
      <c r="R320" s="1" t="n">
        <f aca="false">01_Supuestos!$C$185*R317</f>
        <v>5.46595383750634</v>
      </c>
      <c r="S320" s="1" t="n">
        <f aca="false">01_Supuestos!$C$185*S317</f>
        <v>5.60775476460062</v>
      </c>
      <c r="T320" s="1" t="n">
        <f aca="false">01_Supuestos!$C$185*T317</f>
        <v>5.75149884537776</v>
      </c>
      <c r="U320" s="1" t="n">
        <f aca="false">01_Supuestos!$C$185*U317</f>
        <v>5.89268887271467</v>
      </c>
      <c r="V320" s="1" t="n">
        <f aca="false">01_Supuestos!$C$185*V317</f>
        <v>5.88452611199501</v>
      </c>
      <c r="W320" s="1" t="n">
        <f aca="false">01_Supuestos!$C$185*W317</f>
        <v>5.8917125260425</v>
      </c>
      <c r="X320" s="1" t="n">
        <f aca="false">01_Supuestos!$C$185*X317</f>
        <v>5.96461868318755</v>
      </c>
      <c r="Y320" s="1" t="n">
        <f aca="false">01_Supuestos!$C$185*Y317</f>
        <v>6.03585404702354</v>
      </c>
      <c r="Z320" s="1" t="n">
        <f aca="false">01_Supuestos!$C$185*Z317</f>
        <v>6.10542414932937</v>
      </c>
      <c r="AA320" s="1" t="n">
        <f aca="false">01_Supuestos!$C$185*AA317</f>
        <v>6.17333461828174</v>
      </c>
      <c r="AB320" s="1" t="n">
        <f aca="false">01_Supuestos!$C$185*AB317</f>
        <v>6.23954675608899</v>
      </c>
      <c r="AC320" s="1" t="n">
        <f aca="false">01_Supuestos!$C$185*AC317</f>
        <v>6.30405712193704</v>
      </c>
      <c r="AD320" s="1" t="n">
        <f aca="false">01_Supuestos!$C$185*AD317</f>
        <v>6.36686234837609</v>
      </c>
      <c r="AE320" s="1" t="n">
        <f aca="false">01_Supuestos!$C$185*AE317</f>
        <v>6.42795913416902</v>
      </c>
      <c r="AF320" s="1" t="n">
        <f aca="false">01_Supuestos!$C$185*AF317</f>
        <v>6.48734423737463</v>
      </c>
    </row>
    <row r="321" customFormat="false" ht="14.25" hidden="false" customHeight="true" outlineLevel="0" collapsed="false">
      <c r="B321" s="1" t="s">
        <v>1313</v>
      </c>
      <c r="C321" s="1" t="n">
        <f aca="false">C320-C323</f>
        <v>0.89137208060951</v>
      </c>
      <c r="D321" s="1" t="n">
        <f aca="false">C321+D320-D323</f>
        <v>1.9157034649586</v>
      </c>
      <c r="E321" s="1" t="n">
        <f aca="false">D321+E320-E323</f>
        <v>2.72941223243736</v>
      </c>
      <c r="F321" s="1" t="n">
        <f aca="false">E321+F320-F323</f>
        <v>2.61875620859415</v>
      </c>
      <c r="G321" s="1" t="n">
        <f aca="false">F321+G320-G323</f>
        <v>2.7866698363993</v>
      </c>
      <c r="H321" s="1" t="n">
        <f aca="false">G321+H320-H323</f>
        <v>3.37817838160484</v>
      </c>
      <c r="I321" s="1" t="n">
        <f aca="false">H321+I320-I323</f>
        <v>4.01730961007316</v>
      </c>
      <c r="J321" s="1" t="n">
        <f aca="false">I321+J320-J323</f>
        <v>4.66851033321466</v>
      </c>
      <c r="K321" s="1" t="n">
        <f aca="false">J321+K320-K323</f>
        <v>5.78431298450542</v>
      </c>
      <c r="L321" s="1" t="n">
        <f aca="false">K321+L320-L323</f>
        <v>6.64549725439061</v>
      </c>
      <c r="M321" s="1" t="n">
        <f aca="false">L321+M320-M323</f>
        <v>9.04148742018239</v>
      </c>
      <c r="N321" s="1" t="n">
        <f aca="false">M321+N320-N323</f>
        <v>9.06516183960809</v>
      </c>
      <c r="O321" s="1" t="n">
        <f aca="false">N321+O320-O323</f>
        <v>7.29397547329659</v>
      </c>
      <c r="P321" s="1" t="n">
        <f aca="false">O321+P320-P323</f>
        <v>6.9059088795694</v>
      </c>
      <c r="Q321" s="1" t="n">
        <f aca="false">P321+Q320-Q323</f>
        <v>7.08230281284298</v>
      </c>
      <c r="R321" s="1" t="n">
        <f aca="false">Q321+R320-R323</f>
        <v>7.26510281339211</v>
      </c>
      <c r="S321" s="1" t="n">
        <f aca="false">R321+S320-S323</f>
        <v>7.45342517706526</v>
      </c>
      <c r="T321" s="1" t="n">
        <f aca="false">S321+T320-T323</f>
        <v>7.64505070422457</v>
      </c>
      <c r="U321" s="1" t="n">
        <f aca="false">T321+U320-U323</f>
        <v>7.83477831617055</v>
      </c>
      <c r="V321" s="1" t="n">
        <f aca="false">U321+V320-V323</f>
        <v>7.87429072134833</v>
      </c>
      <c r="W321" s="1" t="n">
        <f aca="false">V321+W320-W323</f>
        <v>7.87872084319281</v>
      </c>
      <c r="X321" s="1" t="n">
        <f aca="false">W321+X320-X323</f>
        <v>7.95405361281457</v>
      </c>
      <c r="Y321" s="1" t="n">
        <f aca="false">X321+Y320-Y323</f>
        <v>8.0499069557132</v>
      </c>
      <c r="Z321" s="1" t="n">
        <f aca="false">Y321+Z320-Z323</f>
        <v>8.14353086587432</v>
      </c>
      <c r="AA321" s="1" t="n">
        <f aca="false">Z321+AA320-AA323</f>
        <v>8.23493283937196</v>
      </c>
      <c r="AB321" s="1" t="n">
        <f aca="false">AA321+AB320-AB323</f>
        <v>8.32407607886212</v>
      </c>
      <c r="AC321" s="1" t="n">
        <f aca="false">AB321+AC320-AC323</f>
        <v>8.41094407657642</v>
      </c>
      <c r="AD321" s="1" t="n">
        <f aca="false">AC321+AD320-AD323</f>
        <v>8.49553230321683</v>
      </c>
      <c r="AE321" s="1" t="n">
        <f aca="false">AD321+AE320-AE323</f>
        <v>8.57783632047068</v>
      </c>
      <c r="AF321" s="1" t="n">
        <f aca="false">AE321+AF320-AF323</f>
        <v>8.65785177167903</v>
      </c>
    </row>
    <row r="322" customFormat="false" ht="14.25" hidden="false" customHeight="true" outlineLevel="0" collapsed="false">
      <c r="B322" s="1" t="s">
        <v>1314</v>
      </c>
      <c r="C322" s="1" t="n">
        <f aca="false">$C$172*C83</f>
        <v>2.06590496278923</v>
      </c>
      <c r="D322" s="1" t="n">
        <f aca="false">$C$172*D83</f>
        <v>5.39675690846561</v>
      </c>
      <c r="E322" s="1" t="n">
        <f aca="false">$C$172*E83</f>
        <v>9.47822000846561</v>
      </c>
      <c r="F322" s="1" t="n">
        <f aca="false">$C$172*F83</f>
        <v>13.6535567597656</v>
      </c>
      <c r="G322" s="1" t="n">
        <f aca="false">$C$172*G83</f>
        <v>17.9249262563455</v>
      </c>
      <c r="H322" s="1" t="n">
        <f aca="false">$C$172*H83</f>
        <v>22.2945372513467</v>
      </c>
      <c r="I322" s="1" t="n">
        <f aca="false">$C$172*I83</f>
        <v>26.764649299233</v>
      </c>
      <c r="J322" s="1" t="n">
        <f aca="false">$C$172*J83</f>
        <v>31.3375739242207</v>
      </c>
      <c r="K322" s="1" t="n">
        <f aca="false">$C$172*K83</f>
        <v>36.015675815583</v>
      </c>
      <c r="L322" s="1" t="n">
        <f aca="false">$C$172*L83</f>
        <v>40.8013740504467</v>
      </c>
      <c r="M322" s="1" t="n">
        <f aca="false">$C$172*M83</f>
        <v>45.6971433447123</v>
      </c>
      <c r="N322" s="1" t="n">
        <f aca="false">$C$172*N83</f>
        <v>48.6252379277774</v>
      </c>
      <c r="O322" s="1" t="n">
        <f aca="false">$C$172*O83</f>
        <v>49.7436184001163</v>
      </c>
      <c r="P322" s="1" t="n">
        <f aca="false">$C$172*P83</f>
        <v>50.887721623319</v>
      </c>
      <c r="Q322" s="1" t="n">
        <f aca="false">$C$172*Q83</f>
        <v>52.0581392206553</v>
      </c>
      <c r="R322" s="1" t="n">
        <f aca="false">$C$172*R83</f>
        <v>53.2554764227304</v>
      </c>
      <c r="S322" s="1" t="n">
        <f aca="false">$C$172*S83</f>
        <v>54.4803523804532</v>
      </c>
      <c r="T322" s="1" t="n">
        <f aca="false">$C$172*T83</f>
        <v>55.7334004852036</v>
      </c>
      <c r="U322" s="1" t="n">
        <f aca="false">$C$172*U83</f>
        <v>57.0152686963633</v>
      </c>
      <c r="V322" s="1" t="n">
        <f aca="false">$C$172*V83</f>
        <v>58.0489841809407</v>
      </c>
      <c r="W322" s="1" t="n">
        <f aca="false">$C$172*W83</f>
        <v>58.9106832091642</v>
      </c>
      <c r="X322" s="1" t="n">
        <f aca="false">$C$172*X83</f>
        <v>59.7547569169678</v>
      </c>
      <c r="Y322" s="1" t="n">
        <f aca="false">$C$172*Y83</f>
        <v>60.5811590366806</v>
      </c>
      <c r="Z322" s="1" t="n">
        <f aca="false">$C$172*Z83</f>
        <v>61.3898448328813</v>
      </c>
      <c r="AA322" s="1" t="n">
        <f aca="false">$C$172*AA83</f>
        <v>62.1807709982121</v>
      </c>
      <c r="AB322" s="1" t="n">
        <f aca="false">$C$172*AB83</f>
        <v>62.9538955534279</v>
      </c>
      <c r="AC322" s="1" t="n">
        <f aca="false">$C$172*AC83</f>
        <v>63.7091777514356</v>
      </c>
      <c r="AD322" s="1" t="n">
        <f aca="false">$C$172*AD83</f>
        <v>64.446577985088</v>
      </c>
      <c r="AE322" s="1" t="n">
        <f aca="false">$C$172*AE83</f>
        <v>65.1660576985083</v>
      </c>
      <c r="AF322" s="1" t="n">
        <f aca="false">$C$172*AF83</f>
        <v>65.8675793017293</v>
      </c>
    </row>
    <row r="323" customFormat="false" ht="14.25" hidden="false" customHeight="true" outlineLevel="0" collapsed="false">
      <c r="B323" s="1" t="s">
        <v>1315</v>
      </c>
      <c r="C323" s="1" t="n">
        <f aca="false">MAX(0,MIN(C318,C320,C320-C319))</f>
        <v>0</v>
      </c>
      <c r="D323" s="1" t="n">
        <f aca="false">MAX(0,MIN(D318,C321+D320,C321+D320-D319))</f>
        <v>0.590385441390365</v>
      </c>
      <c r="E323" s="1" t="n">
        <f aca="false">MAX(0,MIN(E318,D321+E320,D321+E320-E319))</f>
        <v>1.37046741680058</v>
      </c>
      <c r="F323" s="1" t="n">
        <f aca="false">MAX(0,MIN(F318,E321+F320,E321+F320-F319))</f>
        <v>1.99188874087904</v>
      </c>
      <c r="G323" s="1" t="n">
        <f aca="false">MAX(0,MIN(G318,F321+G320,F321+G320-G319))</f>
        <v>1.98352662780839</v>
      </c>
      <c r="H323" s="1" t="n">
        <f aca="false">MAX(0,MIN(H318,G321+H320,G321+H320-H319))</f>
        <v>2.06020017675379</v>
      </c>
      <c r="I323" s="1" t="n">
        <f aca="false">MAX(0,MIN(I318,H321+I320,H321+I320-I319))</f>
        <v>2.48278473648991</v>
      </c>
      <c r="J323" s="1" t="n">
        <f aca="false">MAX(0,MIN(J318,I321+J320,I321+J320-J319))</f>
        <v>2.96314265257227</v>
      </c>
      <c r="K323" s="1" t="n">
        <f aca="false">MAX(0,MIN(K318,J321+K320,J321+K320-K319))</f>
        <v>3.44806705334864</v>
      </c>
      <c r="L323" s="1" t="n">
        <f aca="false">MAX(0,MIN(L318,K321+L320,K321+L320-L319))</f>
        <v>4.24324631423885</v>
      </c>
      <c r="M323" s="1" t="n">
        <f aca="false">MAX(0,MIN(M318,L321+M320,L321+M320-M319))</f>
        <v>4.92190119381806</v>
      </c>
      <c r="N323" s="1" t="n">
        <f aca="false">MAX(0,MIN(N318,M321+N320,M321+N320-N319))</f>
        <v>6.57047943775413</v>
      </c>
      <c r="O323" s="1" t="n">
        <f aca="false">MAX(0,MIN(O318,N321+O320,N321+O320-O319))</f>
        <v>6.83853588716703</v>
      </c>
      <c r="P323" s="1" t="n">
        <f aca="false">MAX(0,MIN(P318,O321+P320,O321+P320-P319))</f>
        <v>5.58290045175437</v>
      </c>
      <c r="Q323" s="1" t="n">
        <f aca="false">MAX(0,MIN(Q318,P321+Q320,P321+Q320-Q319))</f>
        <v>5.15178664684222</v>
      </c>
      <c r="R323" s="1" t="n">
        <f aca="false">MAX(0,MIN(R318,Q321+R320,Q321+R320-R319))</f>
        <v>5.28315383695721</v>
      </c>
      <c r="S323" s="1" t="n">
        <f aca="false">MAX(0,MIN(S318,R321+S320,R321+S320-S319))</f>
        <v>5.41943240092747</v>
      </c>
      <c r="T323" s="1" t="n">
        <f aca="false">MAX(0,MIN(T318,S321+T320,S321+T320-T319))</f>
        <v>5.55987331821845</v>
      </c>
      <c r="U323" s="1" t="n">
        <f aca="false">MAX(0,MIN(U318,T321+U320,T321+U320-U319))</f>
        <v>5.70296126076868</v>
      </c>
      <c r="V323" s="1" t="n">
        <f aca="false">MAX(0,MIN(V318,U321+V320,U321+V320-V319))</f>
        <v>5.84501370681724</v>
      </c>
      <c r="W323" s="1" t="n">
        <f aca="false">MAX(0,MIN(W318,V321+W320,V321+W320-W319))</f>
        <v>5.88728240419802</v>
      </c>
      <c r="X323" s="1" t="n">
        <f aca="false">MAX(0,MIN(X318,W321+X320,W321+X320-X319))</f>
        <v>5.8892859135658</v>
      </c>
      <c r="Y323" s="1" t="n">
        <f aca="false">MAX(0,MIN(Y318,X321+Y320,X321+Y320-Y319))</f>
        <v>5.94000070412491</v>
      </c>
      <c r="Z323" s="1" t="n">
        <f aca="false">MAX(0,MIN(Z318,Y321+Z320,Y321+Z320-Z319))</f>
        <v>6.01180023916825</v>
      </c>
      <c r="AA323" s="1" t="n">
        <f aca="false">MAX(0,MIN(AA318,Z321+AA320,Z321+AA320-AA319))</f>
        <v>6.0819326447841</v>
      </c>
      <c r="AB323" s="1" t="n">
        <f aca="false">MAX(0,MIN(AB318,AA321+AB320,AA321+AB320-AB319))</f>
        <v>6.15040351659883</v>
      </c>
      <c r="AC323" s="1" t="n">
        <f aca="false">MAX(0,MIN(AC318,AB321+AC320,AB321+AC320-AC319))</f>
        <v>6.21718912422274</v>
      </c>
      <c r="AD323" s="1" t="n">
        <f aca="false">MAX(0,MIN(AD318,AC321+AD320,AC321+AD320-AD319))</f>
        <v>6.28227412173568</v>
      </c>
      <c r="AE323" s="1" t="n">
        <f aca="false">MAX(0,MIN(AE318,AD321+AE320,AD321+AE320-AE319))</f>
        <v>6.34565511691517</v>
      </c>
      <c r="AF323" s="1" t="n">
        <f aca="false">MAX(0,MIN(AF318,AE321+AF320,AE321+AF320-AF319))</f>
        <v>6.40732878616627</v>
      </c>
    </row>
    <row r="324" customFormat="false" ht="14.25" hidden="false" customHeight="true" outlineLevel="0" collapsed="false">
      <c r="B324" s="1" t="s">
        <v>1316</v>
      </c>
      <c r="C324" s="1" t="n">
        <f aca="false">ROUND(MAX(0,C323-C318),6)</f>
        <v>0</v>
      </c>
      <c r="D324" s="1" t="n">
        <f aca="false">ROUND(MAX(0,D323-D318),6)</f>
        <v>0</v>
      </c>
      <c r="E324" s="1" t="n">
        <f aca="false">ROUND(MAX(0,E323-E318),6)</f>
        <v>0</v>
      </c>
      <c r="F324" s="1" t="n">
        <f aca="false">ROUND(MAX(0,F323-F318),6)</f>
        <v>0</v>
      </c>
      <c r="G324" s="1" t="n">
        <f aca="false">ROUND(MAX(0,G323-G318),6)</f>
        <v>0</v>
      </c>
      <c r="H324" s="1" t="n">
        <f aca="false">ROUND(MAX(0,H323-H318),6)</f>
        <v>0</v>
      </c>
      <c r="I324" s="1" t="n">
        <f aca="false">ROUND(MAX(0,I323-I318),6)</f>
        <v>0</v>
      </c>
      <c r="J324" s="1" t="n">
        <f aca="false">ROUND(MAX(0,J323-J318),6)</f>
        <v>0</v>
      </c>
      <c r="K324" s="1" t="n">
        <f aca="false">ROUND(MAX(0,K323-K318),6)</f>
        <v>0</v>
      </c>
      <c r="L324" s="1" t="n">
        <f aca="false">ROUND(MAX(0,L323-L318),6)</f>
        <v>0</v>
      </c>
      <c r="M324" s="1" t="n">
        <f aca="false">ROUND(MAX(0,M323-M318),6)</f>
        <v>0</v>
      </c>
      <c r="N324" s="1" t="n">
        <f aca="false">ROUND(MAX(0,N323-N318),6)</f>
        <v>0</v>
      </c>
      <c r="O324" s="1" t="n">
        <f aca="false">ROUND(MAX(0,O323-O318),6)</f>
        <v>0</v>
      </c>
      <c r="P324" s="1" t="n">
        <f aca="false">ROUND(MAX(0,P323-P318),6)</f>
        <v>0</v>
      </c>
      <c r="Q324" s="1" t="n">
        <f aca="false">ROUND(MAX(0,Q323-Q318),6)</f>
        <v>0</v>
      </c>
      <c r="R324" s="1" t="n">
        <f aca="false">ROUND(MAX(0,R323-R318),6)</f>
        <v>0</v>
      </c>
      <c r="S324" s="1" t="n">
        <f aca="false">ROUND(MAX(0,S323-S318),6)</f>
        <v>0</v>
      </c>
      <c r="T324" s="1" t="n">
        <f aca="false">ROUND(MAX(0,T323-T318),6)</f>
        <v>0</v>
      </c>
      <c r="U324" s="1" t="n">
        <f aca="false">ROUND(MAX(0,U323-U318),6)</f>
        <v>0</v>
      </c>
      <c r="V324" s="1" t="n">
        <f aca="false">ROUND(MAX(0,V323-V318),6)</f>
        <v>0</v>
      </c>
      <c r="W324" s="1" t="n">
        <f aca="false">ROUND(MAX(0,W323-W318),6)</f>
        <v>0</v>
      </c>
      <c r="X324" s="1" t="n">
        <f aca="false">ROUND(MAX(0,X323-X318),6)</f>
        <v>0</v>
      </c>
      <c r="Y324" s="1" t="n">
        <f aca="false">ROUND(MAX(0,Y323-Y318),6)</f>
        <v>0</v>
      </c>
      <c r="Z324" s="1" t="n">
        <f aca="false">ROUND(MAX(0,Z323-Z318),6)</f>
        <v>0</v>
      </c>
      <c r="AA324" s="1" t="n">
        <f aca="false">ROUND(MAX(0,AA323-AA318),6)</f>
        <v>0</v>
      </c>
      <c r="AB324" s="1" t="n">
        <f aca="false">ROUND(MAX(0,AB323-AB318),6)</f>
        <v>0</v>
      </c>
      <c r="AC324" s="1" t="n">
        <f aca="false">ROUND(MAX(0,AC323-AC318),6)</f>
        <v>0</v>
      </c>
      <c r="AD324" s="1" t="n">
        <f aca="false">ROUND(MAX(0,AD323-AD318),6)</f>
        <v>0</v>
      </c>
      <c r="AE324" s="1" t="n">
        <f aca="false">ROUND(MAX(0,AE323-AE318),6)</f>
        <v>0</v>
      </c>
      <c r="AF324" s="1" t="n">
        <f aca="false">ROUND(MAX(0,AF323-AF318),6)</f>
        <v>0</v>
      </c>
    </row>
    <row r="325" customFormat="false" ht="14.25" hidden="false" customHeight="true" outlineLevel="0" collapsed="false">
      <c r="B325" s="1" t="s">
        <v>1317</v>
      </c>
      <c r="C325" s="1" t="n">
        <f aca="false">ROUND(MAX(0,C323-(C290+(1-$C$279)*C332)),6)</f>
        <v>0</v>
      </c>
      <c r="D325" s="1" t="n">
        <f aca="false">ROUND(MAX(0,D323-(D290+(1-$C$279)*D332)),6)</f>
        <v>0</v>
      </c>
      <c r="E325" s="1" t="n">
        <f aca="false">ROUND(MAX(0,E323-(E290+(1-$C$279)*E332)),6)</f>
        <v>0</v>
      </c>
      <c r="F325" s="1" t="n">
        <f aca="false">ROUND(MAX(0,F323-(F290+(1-$C$279)*F332)),6)</f>
        <v>0</v>
      </c>
      <c r="G325" s="1" t="n">
        <f aca="false">ROUND(MAX(0,G323-(G290+(1-$C$279)*G332)),6)</f>
        <v>0</v>
      </c>
      <c r="H325" s="1" t="n">
        <f aca="false">ROUND(MAX(0,H323-(H290+(1-$C$279)*H332)),6)</f>
        <v>0</v>
      </c>
      <c r="I325" s="1" t="n">
        <f aca="false">ROUND(MAX(0,I323-(I290+(1-$C$279)*I332)),6)</f>
        <v>0</v>
      </c>
      <c r="J325" s="1" t="n">
        <f aca="false">ROUND(MAX(0,J323-(J290+(1-$C$279)*J332)),6)</f>
        <v>0</v>
      </c>
      <c r="K325" s="1" t="n">
        <f aca="false">ROUND(MAX(0,K323-(K290+(1-$C$279)*K332)),6)</f>
        <v>0</v>
      </c>
      <c r="L325" s="1" t="n">
        <f aca="false">ROUND(MAX(0,L323-(L290+(1-$C$279)*L332)),6)</f>
        <v>0</v>
      </c>
      <c r="M325" s="1" t="n">
        <f aca="false">ROUND(MAX(0,M323-(M290+(1-$C$279)*M332)),6)</f>
        <v>0</v>
      </c>
      <c r="N325" s="1" t="n">
        <f aca="false">ROUND(MAX(0,N323-(N290+(1-$C$279)*N332)),6)</f>
        <v>0</v>
      </c>
      <c r="O325" s="1" t="n">
        <f aca="false">ROUND(MAX(0,O323-(O290+(1-$C$279)*O332)),6)</f>
        <v>0</v>
      </c>
      <c r="P325" s="1" t="n">
        <f aca="false">ROUND(MAX(0,P323-(P290+(1-$C$279)*P332)),6)</f>
        <v>0</v>
      </c>
      <c r="Q325" s="1" t="n">
        <f aca="false">ROUND(MAX(0,Q323-(Q290+(1-$C$279)*Q332)),6)</f>
        <v>0</v>
      </c>
      <c r="R325" s="1" t="n">
        <f aca="false">ROUND(MAX(0,R323-(R290+(1-$C$279)*R332)),6)</f>
        <v>0</v>
      </c>
      <c r="S325" s="1" t="n">
        <f aca="false">ROUND(MAX(0,S323-(S290+(1-$C$279)*S332)),6)</f>
        <v>0</v>
      </c>
      <c r="T325" s="1" t="n">
        <f aca="false">ROUND(MAX(0,T323-(T290+(1-$C$279)*T332)),6)</f>
        <v>0</v>
      </c>
      <c r="U325" s="1" t="n">
        <f aca="false">ROUND(MAX(0,U323-(U290+(1-$C$279)*U332)),6)</f>
        <v>0</v>
      </c>
      <c r="V325" s="1" t="n">
        <f aca="false">ROUND(MAX(0,V323-(V290+(1-$C$279)*V332)),6)</f>
        <v>0</v>
      </c>
      <c r="W325" s="1" t="n">
        <f aca="false">ROUND(MAX(0,W323-(W290+(1-$C$279)*W332)),6)</f>
        <v>0</v>
      </c>
      <c r="X325" s="1" t="n">
        <f aca="false">ROUND(MAX(0,X323-(X290+(1-$C$279)*X332)),6)</f>
        <v>0</v>
      </c>
      <c r="Y325" s="1" t="n">
        <f aca="false">ROUND(MAX(0,Y323-(Y290+(1-$C$279)*Y332)),6)</f>
        <v>0</v>
      </c>
      <c r="Z325" s="1" t="n">
        <f aca="false">ROUND(MAX(0,Z323-(Z290+(1-$C$279)*Z332)),6)</f>
        <v>0</v>
      </c>
      <c r="AA325" s="1" t="n">
        <f aca="false">ROUND(MAX(0,AA323-(AA290+(1-$C$279)*AA332)),6)</f>
        <v>0</v>
      </c>
      <c r="AB325" s="1" t="n">
        <f aca="false">ROUND(MAX(0,AB323-(AB290+(1-$C$279)*AB332)),6)</f>
        <v>0</v>
      </c>
      <c r="AC325" s="1" t="n">
        <f aca="false">ROUND(MAX(0,AC323-(AC290+(1-$C$279)*AC332)),6)</f>
        <v>0</v>
      </c>
      <c r="AD325" s="1" t="n">
        <f aca="false">ROUND(MAX(0,AD323-(AD290+(1-$C$279)*AD332)),6)</f>
        <v>0</v>
      </c>
      <c r="AE325" s="1" t="n">
        <f aca="false">ROUND(MAX(0,AE323-(AE290+(1-$C$279)*AE332)),6)</f>
        <v>0</v>
      </c>
      <c r="AF325" s="1" t="n">
        <f aca="false">ROUND(MAX(0,AF323-(AF290+(1-$C$279)*AF332)),6)</f>
        <v>0</v>
      </c>
    </row>
    <row r="326" customFormat="false" ht="14.25" hidden="false" customHeight="true" outlineLevel="0" collapsed="false">
      <c r="B326" s="1" t="s">
        <v>1318</v>
      </c>
      <c r="C326" s="1" t="n">
        <f aca="false">IF(01_Supuestos!$C$184="Sí",C321,$C$172*C83)</f>
        <v>0.89137208060951</v>
      </c>
      <c r="D326" s="1" t="n">
        <f aca="false">IF(01_Supuestos!$C$184="Sí",D321,$C$172*D83)</f>
        <v>1.9157034649586</v>
      </c>
      <c r="E326" s="1" t="n">
        <f aca="false">IF(01_Supuestos!$C$184="Sí",E321,$C$172*E83)</f>
        <v>2.72941223243736</v>
      </c>
      <c r="F326" s="1" t="n">
        <f aca="false">IF(01_Supuestos!$C$184="Sí",F321,$C$172*F83)</f>
        <v>2.61875620859415</v>
      </c>
      <c r="G326" s="1" t="n">
        <f aca="false">IF(01_Supuestos!$C$184="Sí",G321,$C$172*G83)</f>
        <v>2.7866698363993</v>
      </c>
      <c r="H326" s="1" t="n">
        <f aca="false">IF(01_Supuestos!$C$184="Sí",H321,$C$172*H83)</f>
        <v>3.37817838160484</v>
      </c>
      <c r="I326" s="1" t="n">
        <f aca="false">IF(01_Supuestos!$C$184="Sí",I321,$C$172*I83)</f>
        <v>4.01730961007316</v>
      </c>
      <c r="J326" s="1" t="n">
        <f aca="false">IF(01_Supuestos!$C$184="Sí",J321,$C$172*J83)</f>
        <v>4.66851033321466</v>
      </c>
      <c r="K326" s="1" t="n">
        <f aca="false">IF(01_Supuestos!$C$184="Sí",K321,$C$172*K83)</f>
        <v>5.78431298450542</v>
      </c>
      <c r="L326" s="1" t="n">
        <f aca="false">IF(01_Supuestos!$C$184="Sí",L321,$C$172*L83)</f>
        <v>6.64549725439061</v>
      </c>
      <c r="M326" s="1" t="n">
        <f aca="false">IF(01_Supuestos!$C$184="Sí",M321,$C$172*M83)</f>
        <v>9.04148742018239</v>
      </c>
      <c r="N326" s="1" t="n">
        <f aca="false">IF(01_Supuestos!$C$184="Sí",N321,$C$172*N83)</f>
        <v>9.06516183960809</v>
      </c>
      <c r="O326" s="1" t="n">
        <f aca="false">IF(01_Supuestos!$C$184="Sí",O321,$C$172*O83)</f>
        <v>7.29397547329659</v>
      </c>
      <c r="P326" s="1" t="n">
        <f aca="false">IF(01_Supuestos!$C$184="Sí",P321,$C$172*P83)</f>
        <v>6.9059088795694</v>
      </c>
      <c r="Q326" s="1" t="n">
        <f aca="false">IF(01_Supuestos!$C$184="Sí",Q321,$C$172*Q83)</f>
        <v>7.08230281284298</v>
      </c>
      <c r="R326" s="1" t="n">
        <f aca="false">IF(01_Supuestos!$C$184="Sí",R321,$C$172*R83)</f>
        <v>7.26510281339211</v>
      </c>
      <c r="S326" s="1" t="n">
        <f aca="false">IF(01_Supuestos!$C$184="Sí",S321,$C$172*S83)</f>
        <v>7.45342517706526</v>
      </c>
      <c r="T326" s="1" t="n">
        <f aca="false">IF(01_Supuestos!$C$184="Sí",T321,$C$172*T83)</f>
        <v>7.64505070422457</v>
      </c>
      <c r="U326" s="1" t="n">
        <f aca="false">IF(01_Supuestos!$C$184="Sí",U321,$C$172*U83)</f>
        <v>7.83477831617055</v>
      </c>
      <c r="V326" s="1" t="n">
        <f aca="false">IF(01_Supuestos!$C$184="Sí",V321,$C$172*V83)</f>
        <v>7.87429072134833</v>
      </c>
      <c r="W326" s="1" t="n">
        <f aca="false">IF(01_Supuestos!$C$184="Sí",W321,$C$172*W83)</f>
        <v>7.87872084319281</v>
      </c>
      <c r="X326" s="1" t="n">
        <f aca="false">IF(01_Supuestos!$C$184="Sí",X321,$C$172*X83)</f>
        <v>7.95405361281457</v>
      </c>
      <c r="Y326" s="1" t="n">
        <f aca="false">IF(01_Supuestos!$C$184="Sí",Y321,$C$172*Y83)</f>
        <v>8.0499069557132</v>
      </c>
      <c r="Z326" s="1" t="n">
        <f aca="false">IF(01_Supuestos!$C$184="Sí",Z321,$C$172*Z83)</f>
        <v>8.14353086587432</v>
      </c>
      <c r="AA326" s="1" t="n">
        <f aca="false">IF(01_Supuestos!$C$184="Sí",AA321,$C$172*AA83)</f>
        <v>8.23493283937196</v>
      </c>
      <c r="AB326" s="1" t="n">
        <f aca="false">IF(01_Supuestos!$C$184="Sí",AB321,$C$172*AB83)</f>
        <v>8.32407607886212</v>
      </c>
      <c r="AC326" s="1" t="n">
        <f aca="false">IF(01_Supuestos!$C$184="Sí",AC321,$C$172*AC83)</f>
        <v>8.41094407657642</v>
      </c>
      <c r="AD326" s="1" t="n">
        <f aca="false">IF(01_Supuestos!$C$184="Sí",AD321,$C$172*AD83)</f>
        <v>8.49553230321683</v>
      </c>
      <c r="AE326" s="1" t="n">
        <f aca="false">IF(01_Supuestos!$C$184="Sí",AE321,$C$172*AE83)</f>
        <v>8.57783632047068</v>
      </c>
      <c r="AF326" s="1" t="n">
        <f aca="false">IF(01_Supuestos!$C$184="Sí",AF321,$C$172*AF83)</f>
        <v>8.65785177167903</v>
      </c>
    </row>
    <row r="327" customFormat="false" ht="14.25" hidden="false" customHeight="true" outlineLevel="0" collapsed="false">
      <c r="B327" s="1" t="s">
        <v>1319</v>
      </c>
      <c r="C327" s="1" t="n">
        <f aca="false">IF(01_Supuestos!$C$184="Sí",MAX(0.001,$C$328*(1-$C$279)),$C$172)</f>
        <v>0.174</v>
      </c>
      <c r="D327" s="1" t="n">
        <f aca="false">IF(01_Supuestos!$C$184="Sí",MAX(0.001,IF(C299&gt;0,C320/C299,$C$328*(1-$C$279))),$C$172)</f>
        <v>0.136253082916475</v>
      </c>
      <c r="E327" s="1" t="n">
        <f aca="false">IF(01_Supuestos!$C$184="Sí",MAX(0.001,IF(D299&gt;0,D320/D299,$C$328*(1-$C$279))),$C$172)</f>
        <v>0.141200195832654</v>
      </c>
      <c r="F327" s="1" t="n">
        <f aca="false">IF(01_Supuestos!$C$184="Sí",MAX(0.001,IF(E299&gt;0,E320/E299,$C$328*(1-$C$279))),$C$172)</f>
        <v>0.143298098309873</v>
      </c>
      <c r="G327" s="1" t="n">
        <f aca="false">IF(01_Supuestos!$C$184="Sí",MAX(0.001,IF(F299&gt;0,F320/F299,$C$328*(1-$C$279))),$C$172)</f>
        <v>0.10887952901145</v>
      </c>
      <c r="H327" s="1" t="n">
        <f aca="false">IF(01_Supuestos!$C$184="Sí",MAX(0.001,IF(G299&gt;0,G320/G299,$C$328*(1-$C$279))),$C$172)</f>
        <v>0.112180678437993</v>
      </c>
      <c r="I327" s="1" t="n">
        <f aca="false">IF(01_Supuestos!$C$184="Sí",MAX(0.001,IF(H299&gt;0,H320/H299,$C$328*(1-$C$279))),$C$172)</f>
        <v>0.125495737357975</v>
      </c>
      <c r="J327" s="1" t="n">
        <f aca="false">IF(01_Supuestos!$C$184="Sí",MAX(0.001,IF(I299&gt;0,I320/I299,$C$328*(1-$C$279))),$C$172)</f>
        <v>0.134617674801262</v>
      </c>
      <c r="K327" s="1" t="n">
        <f aca="false">IF(01_Supuestos!$C$184="Sí",MAX(0.001,IF(J299&gt;0,J320/J299,$C$328*(1-$C$279))),$C$172)</f>
        <v>0.142634803414165</v>
      </c>
      <c r="L327" s="1" t="n">
        <f aca="false">IF(01_Supuestos!$C$184="Sí",MAX(0.001,IF(K299&gt;0,K320/K299,$C$328*(1-$C$279))),$C$172)</f>
        <v>0.165519095365472</v>
      </c>
      <c r="M327" s="1" t="n">
        <f aca="false">IF(01_Supuestos!$C$184="Sí",MAX(0.001,IF(L299&gt;0,L320/L299,$C$328*(1-$C$279))),$C$172)</f>
        <v>0.170134986042782</v>
      </c>
      <c r="N327" s="1" t="n">
        <f aca="false">IF(01_Supuestos!$C$184="Sí",MAX(0.001,IF(M299&gt;0,M320/M299,$C$328*(1-$C$279))),$C$172)</f>
        <v>0.20048795981409</v>
      </c>
      <c r="O327" s="1" t="n">
        <f aca="false">IF(01_Supuestos!$C$184="Sí",MAX(0.001,IF(N299&gt;0,N320/N299,$C$328*(1-$C$279))),$C$172)</f>
        <v>0.213585193317077</v>
      </c>
      <c r="P327" s="1" t="n">
        <f aca="false">IF(01_Supuestos!$C$184="Sí",MAX(0.001,IF(O299&gt;0,O320/O299,$C$328*(1-$C$279))),$C$172)</f>
        <v>0.204835957033887</v>
      </c>
      <c r="Q327" s="1" t="n">
        <f aca="false">IF(01_Supuestos!$C$184="Sí",MAX(0.001,IF(P299&gt;0,P320/P299,$C$328*(1-$C$279))),$C$172)</f>
        <v>0.205354961620767</v>
      </c>
      <c r="R327" s="1" t="n">
        <f aca="false">IF(01_Supuestos!$C$184="Sí",MAX(0.001,IF(Q299&gt;0,Q320/Q299,$C$328*(1-$C$279))),$C$172)</f>
        <v>0.205935434346755</v>
      </c>
      <c r="S327" s="1" t="n">
        <f aca="false">IF(01_Supuestos!$C$184="Sí",MAX(0.001,IF(R299&gt;0,R320/R299,$C$328*(1-$C$279))),$C$172)</f>
        <v>0.206516985446183</v>
      </c>
      <c r="T327" s="1" t="n">
        <f aca="false">IF(01_Supuestos!$C$184="Sí",MAX(0.001,IF(S299&gt;0,S320/S299,$C$328*(1-$C$279))),$C$172)</f>
        <v>0.207085390197948</v>
      </c>
      <c r="U327" s="1" t="n">
        <f aca="false">IF(01_Supuestos!$C$184="Sí",MAX(0.001,IF(T299&gt;0,T320/T299,$C$328*(1-$C$279))),$C$172)</f>
        <v>0.207566919440699</v>
      </c>
      <c r="V327" s="1" t="n">
        <f aca="false">IF(01_Supuestos!$C$184="Sí",MAX(0.001,IF(U299&gt;0,U320/U299,$C$328*(1-$C$279))),$C$172)</f>
        <v>0.207812802801128</v>
      </c>
      <c r="W327" s="1" t="n">
        <f aca="false">IF(01_Supuestos!$C$184="Sí",MAX(0.001,IF(V299&gt;0,V320/V299,$C$328*(1-$C$279))),$C$172)</f>
        <v>0.209127438706678</v>
      </c>
      <c r="X327" s="1" t="n">
        <f aca="false">IF(01_Supuestos!$C$184="Sí",MAX(0.001,IF(W299&gt;0,W320/W299,$C$328*(1-$C$279))),$C$172)</f>
        <v>0.210060163996504</v>
      </c>
      <c r="Y327" s="1" t="n">
        <f aca="false">IF(01_Supuestos!$C$184="Sí",MAX(0.001,IF(X299&gt;0,X320/X299,$C$328*(1-$C$279))),$C$172)</f>
        <v>0.210266234021053</v>
      </c>
      <c r="Z327" s="1" t="n">
        <f aca="false">IF(01_Supuestos!$C$184="Sí",MAX(0.001,IF(Y299&gt;0,Y320/Y299,$C$328*(1-$C$279))),$C$172)</f>
        <v>0.210467168607935</v>
      </c>
      <c r="AA327" s="1" t="n">
        <f aca="false">IF(01_Supuestos!$C$184="Sí",MAX(0.001,IF(Z299&gt;0,Z320/Z299,$C$328*(1-$C$279))),$C$172)</f>
        <v>0.210663514586032</v>
      </c>
      <c r="AB327" s="1" t="n">
        <f aca="false">IF(01_Supuestos!$C$184="Sí",MAX(0.001,IF(AA299&gt;0,AA320/AA299,$C$328*(1-$C$279))),$C$172)</f>
        <v>0.210855789384809</v>
      </c>
      <c r="AC327" s="1" t="n">
        <f aca="false">IF(01_Supuestos!$C$184="Sí",MAX(0.001,IF(AB299&gt;0,AB320/AB299,$C$328*(1-$C$279))),$C$172)</f>
        <v>0.211042981615499</v>
      </c>
      <c r="AD327" s="1" t="n">
        <f aca="false">IF(01_Supuestos!$C$184="Sí",MAX(0.001,IF(AC299&gt;0,AC320/AC299,$C$328*(1-$C$279))),$C$172)</f>
        <v>0.211225373286733</v>
      </c>
      <c r="AE327" s="1" t="n">
        <f aca="false">IF(01_Supuestos!$C$184="Sí",MAX(0.001,IF(AD299&gt;0,AD320/AD299,$C$328*(1-$C$279))),$C$172)</f>
        <v>0.211403229311957</v>
      </c>
      <c r="AF327" s="1" t="n">
        <f aca="false">IF(01_Supuestos!$C$184="Sí",MAX(0.001,IF(AE299&gt;0,AE320/AE299,$C$328*(1-$C$279))),$C$172)</f>
        <v>0.211576798923066</v>
      </c>
    </row>
    <row r="328" customFormat="false" ht="14.25" hidden="false" customHeight="true" outlineLevel="0" collapsed="false">
      <c r="B328" s="1" t="s">
        <v>1320</v>
      </c>
      <c r="C328" s="1" t="n">
        <v>0.3</v>
      </c>
      <c r="D328" s="1" t="s">
        <v>1942</v>
      </c>
    </row>
    <row r="329" customFormat="false" ht="14.25" hidden="false" customHeight="true" outlineLevel="0" collapsed="false">
      <c r="B329" s="1" t="s">
        <v>1322</v>
      </c>
      <c r="C329" s="1" t="n">
        <f aca="false">IF(01_Supuestos!$C$185&gt;0,MIN(1,$C$328/01_Supuestos!$C$185),0)</f>
        <v>1</v>
      </c>
    </row>
    <row r="330" customFormat="false" ht="14.25" hidden="false" customHeight="true" outlineLevel="0" collapsed="false">
      <c r="B330" s="1" t="s">
        <v>1323</v>
      </c>
      <c r="C330" s="1" t="n">
        <f aca="false">C343</f>
        <v>0</v>
      </c>
      <c r="D330" s="1" t="n">
        <f aca="false">D343</f>
        <v>0.0512282804947994</v>
      </c>
      <c r="E330" s="1" t="n">
        <f aca="false">E343</f>
        <v>0.133372615723114</v>
      </c>
      <c r="F330" s="1" t="n">
        <f aca="false">F343</f>
        <v>0.231158478565312</v>
      </c>
      <c r="G330" s="1" t="n">
        <f aca="false">G343</f>
        <v>0.291194337841878</v>
      </c>
      <c r="H330" s="1" t="n">
        <f aca="false">H343</f>
        <v>0.354271907272695</v>
      </c>
      <c r="I330" s="1" t="n">
        <f aca="false">I343</f>
        <v>0.432980403546143</v>
      </c>
      <c r="J330" s="1" t="n">
        <f aca="false">J343</f>
        <v>0.522340937364765</v>
      </c>
      <c r="K330" s="1" t="n">
        <f aca="false">K343</f>
        <v>0.621414906054605</v>
      </c>
      <c r="L330" s="1" t="n">
        <f aca="false">L343</f>
        <v>0.754451967930845</v>
      </c>
      <c r="M330" s="1" t="n">
        <f aca="false">M343</f>
        <v>0.890884038148588</v>
      </c>
      <c r="N330" s="1" t="n">
        <f aca="false">N343</f>
        <v>1.12614862715678</v>
      </c>
      <c r="O330" s="1" t="n">
        <f aca="false">O343</f>
        <v>1.2708840723162</v>
      </c>
      <c r="P330" s="1" t="n">
        <f aca="false">P343</f>
        <v>1.29776716923165</v>
      </c>
      <c r="Q330" s="1" t="n">
        <f aca="false">Q343</f>
        <v>1.32638526803303</v>
      </c>
      <c r="R330" s="1" t="n">
        <f aca="false">R343</f>
        <v>1.35671440700146</v>
      </c>
      <c r="S330" s="1" t="n">
        <f aca="false">S343</f>
        <v>1.38865308836276</v>
      </c>
      <c r="T330" s="1" t="n">
        <f aca="false">T343</f>
        <v>1.42209800256955</v>
      </c>
      <c r="U330" s="1" t="n">
        <f aca="false">U343</f>
        <v>1.45684752868898</v>
      </c>
      <c r="V330" s="1" t="n">
        <f aca="false">V343</f>
        <v>1.49248352276274</v>
      </c>
      <c r="W330" s="1" t="n">
        <f aca="false">W343</f>
        <v>1.52023810588987</v>
      </c>
      <c r="X330" s="1" t="n">
        <f aca="false">X343</f>
        <v>1.54263274802814</v>
      </c>
      <c r="Y330" s="1" t="n">
        <f aca="false">Y343</f>
        <v>1.56455931363298</v>
      </c>
      <c r="Z330" s="1" t="n">
        <f aca="false">Z343</f>
        <v>1.58601914001936</v>
      </c>
      <c r="AA330" s="1" t="n">
        <f aca="false">AA343</f>
        <v>1.60701360425909</v>
      </c>
      <c r="AB330" s="1" t="n">
        <f aca="false">AB343</f>
        <v>1.62754412045146</v>
      </c>
      <c r="AC330" s="1" t="n">
        <f aca="false">AC343</f>
        <v>1.6476095845521</v>
      </c>
      <c r="AD330" s="1" t="n">
        <f aca="false">AD343</f>
        <v>1.66720892440992</v>
      </c>
      <c r="AE330" s="1" t="n">
        <f aca="false">AE343</f>
        <v>1.68634109734967</v>
      </c>
      <c r="AF330" s="1" t="n">
        <f aca="false">AF343</f>
        <v>1.70500508784629</v>
      </c>
    </row>
    <row r="331" customFormat="false" ht="14.25" hidden="false" customHeight="true" outlineLevel="0" collapsed="false">
      <c r="B331" s="1" t="s">
        <v>1324</v>
      </c>
      <c r="C331" s="1" t="n">
        <f aca="false">C330*$C$338</f>
        <v>0</v>
      </c>
      <c r="D331" s="1" t="n">
        <f aca="false">D330*$C$338</f>
        <v>0.0179298981731798</v>
      </c>
      <c r="E331" s="1" t="n">
        <f aca="false">E330*$C$338</f>
        <v>0.0466804155030899</v>
      </c>
      <c r="F331" s="1" t="n">
        <f aca="false">F330*$C$338</f>
        <v>0.0809054674978592</v>
      </c>
      <c r="G331" s="1" t="n">
        <f aca="false">G330*$C$338</f>
        <v>0.101918018244657</v>
      </c>
      <c r="H331" s="1" t="n">
        <f aca="false">H330*$C$338</f>
        <v>0.123995167545443</v>
      </c>
      <c r="I331" s="1" t="n">
        <f aca="false">I330*$C$338</f>
        <v>0.15154314124115</v>
      </c>
      <c r="J331" s="1" t="n">
        <f aca="false">J330*$C$338</f>
        <v>0.182819328077668</v>
      </c>
      <c r="K331" s="1" t="n">
        <f aca="false">K330*$C$338</f>
        <v>0.217495217119112</v>
      </c>
      <c r="L331" s="1" t="n">
        <f aca="false">L330*$C$338</f>
        <v>0.264058188775796</v>
      </c>
      <c r="M331" s="1" t="n">
        <f aca="false">M330*$C$338</f>
        <v>0.311809413352006</v>
      </c>
      <c r="N331" s="1" t="n">
        <f aca="false">N330*$C$338</f>
        <v>0.394152019504871</v>
      </c>
      <c r="O331" s="1" t="n">
        <f aca="false">O330*$C$338</f>
        <v>0.444809425310671</v>
      </c>
      <c r="P331" s="1" t="n">
        <f aca="false">P330*$C$338</f>
        <v>0.454218509231076</v>
      </c>
      <c r="Q331" s="1" t="n">
        <f aca="false">Q330*$C$338</f>
        <v>0.464234843811559</v>
      </c>
      <c r="R331" s="1" t="n">
        <f aca="false">R330*$C$338</f>
        <v>0.47485004245051</v>
      </c>
      <c r="S331" s="1" t="n">
        <f aca="false">S330*$C$338</f>
        <v>0.486028580926966</v>
      </c>
      <c r="T331" s="1" t="n">
        <f aca="false">T330*$C$338</f>
        <v>0.497734300899342</v>
      </c>
      <c r="U331" s="1" t="n">
        <f aca="false">U330*$C$338</f>
        <v>0.509896635041142</v>
      </c>
      <c r="V331" s="1" t="n">
        <f aca="false">V330*$C$338</f>
        <v>0.52236923296696</v>
      </c>
      <c r="W331" s="1" t="n">
        <f aca="false">W330*$C$338</f>
        <v>0.532083337061456</v>
      </c>
      <c r="X331" s="1" t="n">
        <f aca="false">X330*$C$338</f>
        <v>0.53992146180985</v>
      </c>
      <c r="Y331" s="1" t="n">
        <f aca="false">Y330*$C$338</f>
        <v>0.547595759771541</v>
      </c>
      <c r="Z331" s="1" t="n">
        <f aca="false">Z330*$C$338</f>
        <v>0.555106699006776</v>
      </c>
      <c r="AA331" s="1" t="n">
        <f aca="false">AA330*$C$338</f>
        <v>0.562454761490681</v>
      </c>
      <c r="AB331" s="1" t="n">
        <f aca="false">AB330*$C$338</f>
        <v>0.569640442158011</v>
      </c>
      <c r="AC331" s="1" t="n">
        <f aca="false">AC330*$C$338</f>
        <v>0.576663354593233</v>
      </c>
      <c r="AD331" s="1" t="n">
        <f aca="false">AD330*$C$338</f>
        <v>0.583523123543471</v>
      </c>
      <c r="AE331" s="1" t="n">
        <f aca="false">AE330*$C$338</f>
        <v>0.590219384072385</v>
      </c>
      <c r="AF331" s="1" t="n">
        <f aca="false">AF330*$C$338</f>
        <v>0.5967517807462</v>
      </c>
    </row>
    <row r="332" customFormat="false" ht="14.25" hidden="false" customHeight="true" outlineLevel="0" collapsed="false">
      <c r="B332" s="1" t="s">
        <v>1325</v>
      </c>
      <c r="C332" s="1" t="n">
        <f aca="false">IF($C$339&lt;=0,C331,IF($C$339=1,0,0))</f>
        <v>0</v>
      </c>
      <c r="D332" s="1" t="n">
        <f aca="false">IF($C$339&lt;=0,D331,IF($C$339=1,C331,0))</f>
        <v>0.0179298981731798</v>
      </c>
      <c r="E332" s="1" t="n">
        <f aca="false">IF($C$339&lt;=0,E331,IF($C$339=1,D331,C331))</f>
        <v>0.0466804155030899</v>
      </c>
      <c r="F332" s="1" t="n">
        <f aca="false">IF($C$339&lt;=0,F331,IF($C$339=1,E331,D331))</f>
        <v>0.0809054674978592</v>
      </c>
      <c r="G332" s="1" t="n">
        <f aca="false">IF($C$339&lt;=0,G331,IF($C$339=1,F331,E331))</f>
        <v>0.101918018244657</v>
      </c>
      <c r="H332" s="1" t="n">
        <f aca="false">IF($C$339&lt;=0,H331,IF($C$339=1,G331,F331))</f>
        <v>0.123995167545443</v>
      </c>
      <c r="I332" s="1" t="n">
        <f aca="false">IF($C$339&lt;=0,I331,IF($C$339=1,H331,G331))</f>
        <v>0.15154314124115</v>
      </c>
      <c r="J332" s="1" t="n">
        <f aca="false">IF($C$339&lt;=0,J331,IF($C$339=1,I331,H331))</f>
        <v>0.182819328077668</v>
      </c>
      <c r="K332" s="1" t="n">
        <f aca="false">IF($C$339&lt;=0,K331,IF($C$339=1,J331,I331))</f>
        <v>0.217495217119112</v>
      </c>
      <c r="L332" s="1" t="n">
        <f aca="false">IF($C$339&lt;=0,L331,IF($C$339=1,K331,J331))</f>
        <v>0.264058188775796</v>
      </c>
      <c r="M332" s="1" t="n">
        <f aca="false">IF($C$339&lt;=0,M331,IF($C$339=1,L331,K331))</f>
        <v>0.311809413352006</v>
      </c>
      <c r="N332" s="1" t="n">
        <f aca="false">IF($C$339&lt;=0,N331,IF($C$339=1,M331,L331))</f>
        <v>0.394152019504871</v>
      </c>
      <c r="O332" s="1" t="n">
        <f aca="false">IF($C$339&lt;=0,O331,IF($C$339=1,N331,M331))</f>
        <v>0.444809425310671</v>
      </c>
      <c r="P332" s="1" t="n">
        <f aca="false">IF($C$339&lt;=0,P331,IF($C$339=1,O331,N331))</f>
        <v>0.454218509231076</v>
      </c>
      <c r="Q332" s="1" t="n">
        <f aca="false">IF($C$339&lt;=0,Q331,IF($C$339=1,P331,O331))</f>
        <v>0.464234843811559</v>
      </c>
      <c r="R332" s="1" t="n">
        <f aca="false">IF($C$339&lt;=0,R331,IF($C$339=1,Q331,P331))</f>
        <v>0.47485004245051</v>
      </c>
      <c r="S332" s="1" t="n">
        <f aca="false">IF($C$339&lt;=0,S331,IF($C$339=1,R331,Q331))</f>
        <v>0.486028580926966</v>
      </c>
      <c r="T332" s="1" t="n">
        <f aca="false">IF($C$339&lt;=0,T331,IF($C$339=1,S331,R331))</f>
        <v>0.497734300899342</v>
      </c>
      <c r="U332" s="1" t="n">
        <f aca="false">IF($C$339&lt;=0,U331,IF($C$339=1,T331,S331))</f>
        <v>0.509896635041142</v>
      </c>
      <c r="V332" s="1" t="n">
        <f aca="false">IF($C$339&lt;=0,V331,IF($C$339=1,U331,T331))</f>
        <v>0.52236923296696</v>
      </c>
      <c r="W332" s="1" t="n">
        <f aca="false">IF($C$339&lt;=0,W331,IF($C$339=1,V331,U331))</f>
        <v>0.532083337061456</v>
      </c>
      <c r="X332" s="1" t="n">
        <f aca="false">IF($C$339&lt;=0,X331,IF($C$339=1,W331,V331))</f>
        <v>0.53992146180985</v>
      </c>
      <c r="Y332" s="1" t="n">
        <f aca="false">IF($C$339&lt;=0,Y331,IF($C$339=1,X331,W331))</f>
        <v>0.547595759771541</v>
      </c>
      <c r="Z332" s="1" t="n">
        <f aca="false">IF($C$339&lt;=0,Z331,IF($C$339=1,Y331,X331))</f>
        <v>0.555106699006776</v>
      </c>
      <c r="AA332" s="1" t="n">
        <f aca="false">IF($C$339&lt;=0,AA331,IF($C$339=1,Z331,Y331))</f>
        <v>0.562454761490681</v>
      </c>
      <c r="AB332" s="1" t="n">
        <f aca="false">IF($C$339&lt;=0,AB331,IF($C$339=1,AA331,Z331))</f>
        <v>0.569640442158011</v>
      </c>
      <c r="AC332" s="1" t="n">
        <f aca="false">IF($C$339&lt;=0,AC331,IF($C$339=1,AB331,AA331))</f>
        <v>0.576663354593233</v>
      </c>
      <c r="AD332" s="1" t="n">
        <f aca="false">IF($C$339&lt;=0,AD331,IF($C$339=1,AC331,AB331))</f>
        <v>0.583523123543471</v>
      </c>
      <c r="AE332" s="1" t="n">
        <f aca="false">IF($C$339&lt;=0,AE331,IF($C$339=1,AD331,AC331))</f>
        <v>0.590219384072385</v>
      </c>
      <c r="AF332" s="1" t="n">
        <f aca="false">IF($C$339&lt;=0,AF331,IF($C$339=1,AE331,AD331))</f>
        <v>0.5967517807462</v>
      </c>
    </row>
    <row r="333" customFormat="false" ht="14.25" hidden="false" customHeight="true" outlineLevel="0" collapsed="false">
      <c r="B333" s="1" t="s">
        <v>1326</v>
      </c>
      <c r="C333" s="1" t="n">
        <f aca="false">C330-C331</f>
        <v>0</v>
      </c>
      <c r="D333" s="1" t="n">
        <f aca="false">D330-D331</f>
        <v>0.0332983823216196</v>
      </c>
      <c r="E333" s="1" t="n">
        <f aca="false">E330-E331</f>
        <v>0.0866922002200241</v>
      </c>
      <c r="F333" s="1" t="n">
        <f aca="false">F330-F331</f>
        <v>0.150253011067453</v>
      </c>
      <c r="G333" s="1" t="n">
        <f aca="false">G330-G331</f>
        <v>0.189276319597221</v>
      </c>
      <c r="H333" s="1" t="n">
        <f aca="false">H330-H331</f>
        <v>0.230276739727252</v>
      </c>
      <c r="I333" s="1" t="n">
        <f aca="false">I330-I331</f>
        <v>0.281437262304993</v>
      </c>
      <c r="J333" s="1" t="n">
        <f aca="false">J330-J331</f>
        <v>0.339521609287097</v>
      </c>
      <c r="K333" s="1" t="n">
        <f aca="false">K330-K331</f>
        <v>0.403919688935493</v>
      </c>
      <c r="L333" s="1" t="n">
        <f aca="false">L330-L331</f>
        <v>0.490393779155049</v>
      </c>
      <c r="M333" s="1" t="n">
        <f aca="false">M330-M331</f>
        <v>0.579074624796582</v>
      </c>
      <c r="N333" s="1" t="n">
        <f aca="false">N330-N331</f>
        <v>0.731996607651904</v>
      </c>
      <c r="O333" s="1" t="n">
        <f aca="false">O330-O331</f>
        <v>0.826074647005532</v>
      </c>
      <c r="P333" s="1" t="n">
        <f aca="false">P330-P331</f>
        <v>0.84354866000057</v>
      </c>
      <c r="Q333" s="1" t="n">
        <f aca="false">Q330-Q331</f>
        <v>0.862150424221467</v>
      </c>
      <c r="R333" s="1" t="n">
        <f aca="false">R330-R331</f>
        <v>0.881864364550947</v>
      </c>
      <c r="S333" s="1" t="n">
        <f aca="false">S330-S331</f>
        <v>0.902624507435793</v>
      </c>
      <c r="T333" s="1" t="n">
        <f aca="false">T330-T331</f>
        <v>0.924363701670206</v>
      </c>
      <c r="U333" s="1" t="n">
        <f aca="false">U330-U331</f>
        <v>0.946950893647834</v>
      </c>
      <c r="V333" s="1" t="n">
        <f aca="false">V330-V331</f>
        <v>0.970114289795782</v>
      </c>
      <c r="W333" s="1" t="n">
        <f aca="false">W330-W331</f>
        <v>0.988154768828418</v>
      </c>
      <c r="X333" s="1" t="n">
        <f aca="false">X330-X331</f>
        <v>1.00271128621829</v>
      </c>
      <c r="Y333" s="1" t="n">
        <f aca="false">Y330-Y331</f>
        <v>1.01696355386143</v>
      </c>
      <c r="Z333" s="1" t="n">
        <f aca="false">Z330-Z331</f>
        <v>1.03091244101258</v>
      </c>
      <c r="AA333" s="1" t="n">
        <f aca="false">AA330-AA331</f>
        <v>1.04455884276841</v>
      </c>
      <c r="AB333" s="1" t="n">
        <f aca="false">AB330-AB331</f>
        <v>1.05790367829345</v>
      </c>
      <c r="AC333" s="1" t="n">
        <f aca="false">AC330-AC331</f>
        <v>1.07094622995886</v>
      </c>
      <c r="AD333" s="1" t="n">
        <f aca="false">AD330-AD331</f>
        <v>1.08368580086645</v>
      </c>
      <c r="AE333" s="1" t="n">
        <f aca="false">AE330-AE331</f>
        <v>1.09612171327729</v>
      </c>
      <c r="AF333" s="1" t="n">
        <f aca="false">AF330-AF331</f>
        <v>1.10825330710009</v>
      </c>
    </row>
    <row r="334" customFormat="false" ht="14.25" hidden="false" customHeight="true" outlineLevel="0" collapsed="false">
      <c r="B334" s="1" t="s">
        <v>1327</v>
      </c>
      <c r="C334" s="1" t="n">
        <f aca="false">ROUND(C333-C343*(1-$C$338),6)</f>
        <v>0</v>
      </c>
      <c r="D334" s="1" t="n">
        <f aca="false">ROUND(D333-D343*(1-$C$338),6)</f>
        <v>0</v>
      </c>
      <c r="E334" s="1" t="n">
        <f aca="false">ROUND(E333-E343*(1-$C$338),6)</f>
        <v>0</v>
      </c>
      <c r="F334" s="1" t="n">
        <f aca="false">ROUND(F333-F343*(1-$C$338),6)</f>
        <v>0</v>
      </c>
      <c r="G334" s="1" t="n">
        <f aca="false">ROUND(G333-G343*(1-$C$338),6)</f>
        <v>0</v>
      </c>
      <c r="H334" s="1" t="n">
        <f aca="false">ROUND(H333-H343*(1-$C$338),6)</f>
        <v>0</v>
      </c>
      <c r="I334" s="1" t="n">
        <f aca="false">ROUND(I333-I343*(1-$C$338),6)</f>
        <v>0</v>
      </c>
      <c r="J334" s="1" t="n">
        <f aca="false">ROUND(J333-J343*(1-$C$338),6)</f>
        <v>0</v>
      </c>
      <c r="K334" s="1" t="n">
        <f aca="false">ROUND(K333-K343*(1-$C$338),6)</f>
        <v>0</v>
      </c>
      <c r="L334" s="1" t="n">
        <f aca="false">ROUND(L333-L343*(1-$C$338),6)</f>
        <v>0</v>
      </c>
      <c r="M334" s="1" t="n">
        <f aca="false">ROUND(M333-M343*(1-$C$338),6)</f>
        <v>0</v>
      </c>
      <c r="N334" s="1" t="n">
        <f aca="false">ROUND(N333-N343*(1-$C$338),6)</f>
        <v>0</v>
      </c>
      <c r="O334" s="1" t="n">
        <f aca="false">ROUND(O333-O343*(1-$C$338),6)</f>
        <v>0</v>
      </c>
      <c r="P334" s="1" t="n">
        <f aca="false">ROUND(P333-P343*(1-$C$338),6)</f>
        <v>0</v>
      </c>
      <c r="Q334" s="1" t="n">
        <f aca="false">ROUND(Q333-Q343*(1-$C$338),6)</f>
        <v>0</v>
      </c>
      <c r="R334" s="1" t="n">
        <f aca="false">ROUND(R333-R343*(1-$C$338),6)</f>
        <v>0</v>
      </c>
      <c r="S334" s="1" t="n">
        <f aca="false">ROUND(S333-S343*(1-$C$338),6)</f>
        <v>0</v>
      </c>
      <c r="T334" s="1" t="n">
        <f aca="false">ROUND(T333-T343*(1-$C$338),6)</f>
        <v>0</v>
      </c>
      <c r="U334" s="1" t="n">
        <f aca="false">ROUND(U333-U343*(1-$C$338),6)</f>
        <v>0</v>
      </c>
      <c r="V334" s="1" t="n">
        <f aca="false">ROUND(V333-V343*(1-$C$338),6)</f>
        <v>0</v>
      </c>
      <c r="W334" s="1" t="n">
        <f aca="false">ROUND(W333-W343*(1-$C$338),6)</f>
        <v>0</v>
      </c>
      <c r="X334" s="1" t="n">
        <f aca="false">ROUND(X333-X343*(1-$C$338),6)</f>
        <v>0</v>
      </c>
      <c r="Y334" s="1" t="n">
        <f aca="false">ROUND(Y333-Y343*(1-$C$338),6)</f>
        <v>0</v>
      </c>
      <c r="Z334" s="1" t="n">
        <f aca="false">ROUND(Z333-Z343*(1-$C$338),6)</f>
        <v>0</v>
      </c>
      <c r="AA334" s="1" t="n">
        <f aca="false">ROUND(AA333-AA343*(1-$C$338),6)</f>
        <v>0</v>
      </c>
      <c r="AB334" s="1" t="n">
        <f aca="false">ROUND(AB333-AB343*(1-$C$338),6)</f>
        <v>0</v>
      </c>
      <c r="AC334" s="1" t="n">
        <f aca="false">ROUND(AC333-AC343*(1-$C$338),6)</f>
        <v>0</v>
      </c>
      <c r="AD334" s="1" t="n">
        <f aca="false">ROUND(AD333-AD343*(1-$C$338),6)</f>
        <v>0</v>
      </c>
      <c r="AE334" s="1" t="n">
        <f aca="false">ROUND(AE333-AE343*(1-$C$338),6)</f>
        <v>0</v>
      </c>
      <c r="AF334" s="1" t="n">
        <f aca="false">ROUND(AF333-AF343*(1-$C$338),6)</f>
        <v>0</v>
      </c>
    </row>
    <row r="335" customFormat="false" ht="14.25" hidden="false" customHeight="true" outlineLevel="0" collapsed="false">
      <c r="B335" s="1" t="s">
        <v>1328</v>
      </c>
      <c r="C335" s="1" t="n">
        <f aca="false">C331-C332</f>
        <v>0</v>
      </c>
      <c r="D335" s="1" t="n">
        <f aca="false">C335+D331-D332</f>
        <v>0</v>
      </c>
      <c r="E335" s="1" t="n">
        <f aca="false">D335+E331-E332</f>
        <v>0</v>
      </c>
      <c r="F335" s="1" t="n">
        <f aca="false">E335+F331-F332</f>
        <v>0</v>
      </c>
      <c r="G335" s="1" t="n">
        <f aca="false">F335+G331-G332</f>
        <v>0</v>
      </c>
      <c r="H335" s="1" t="n">
        <f aca="false">G335+H331-H332</f>
        <v>0</v>
      </c>
      <c r="I335" s="1" t="n">
        <f aca="false">H335+I331-I332</f>
        <v>0</v>
      </c>
      <c r="J335" s="1" t="n">
        <f aca="false">I335+J331-J332</f>
        <v>0</v>
      </c>
      <c r="K335" s="1" t="n">
        <f aca="false">J335+K331-K332</f>
        <v>0</v>
      </c>
      <c r="L335" s="1" t="n">
        <f aca="false">K335+L331-L332</f>
        <v>0</v>
      </c>
      <c r="M335" s="1" t="n">
        <f aca="false">L335+M331-M332</f>
        <v>0</v>
      </c>
      <c r="N335" s="1" t="n">
        <f aca="false">M335+N331-N332</f>
        <v>0</v>
      </c>
      <c r="O335" s="1" t="n">
        <f aca="false">N335+O331-O332</f>
        <v>0</v>
      </c>
      <c r="P335" s="1" t="n">
        <f aca="false">O335+P331-P332</f>
        <v>0</v>
      </c>
      <c r="Q335" s="1" t="n">
        <f aca="false">P335+Q331-Q332</f>
        <v>0</v>
      </c>
      <c r="R335" s="1" t="n">
        <f aca="false">Q335+R331-R332</f>
        <v>0</v>
      </c>
      <c r="S335" s="1" t="n">
        <f aca="false">R335+S331-S332</f>
        <v>0</v>
      </c>
      <c r="T335" s="1" t="n">
        <f aca="false">S335+T331-T332</f>
        <v>0</v>
      </c>
      <c r="U335" s="1" t="n">
        <f aca="false">T335+U331-U332</f>
        <v>0</v>
      </c>
      <c r="V335" s="1" t="n">
        <f aca="false">U335+V331-V332</f>
        <v>0</v>
      </c>
      <c r="W335" s="1" t="n">
        <f aca="false">V335+W331-W332</f>
        <v>0</v>
      </c>
      <c r="X335" s="1" t="n">
        <f aca="false">W335+X331-X332</f>
        <v>0</v>
      </c>
      <c r="Y335" s="1" t="n">
        <f aca="false">X335+Y331-Y332</f>
        <v>0</v>
      </c>
      <c r="Z335" s="1" t="n">
        <f aca="false">Y335+Z331-Z332</f>
        <v>0</v>
      </c>
      <c r="AA335" s="1" t="n">
        <f aca="false">Z335+AA331-AA332</f>
        <v>0</v>
      </c>
      <c r="AB335" s="1" t="n">
        <f aca="false">AA335+AB331-AB332</f>
        <v>0</v>
      </c>
      <c r="AC335" s="1" t="n">
        <f aca="false">AB335+AC331-AC332</f>
        <v>0</v>
      </c>
      <c r="AD335" s="1" t="n">
        <f aca="false">AC335+AD331-AD332</f>
        <v>0</v>
      </c>
      <c r="AE335" s="1" t="n">
        <f aca="false">AD335+AE331-AE332</f>
        <v>0</v>
      </c>
      <c r="AF335" s="1" t="n">
        <f aca="false">AE335+AF331-AF332</f>
        <v>0</v>
      </c>
    </row>
    <row r="336" customFormat="false" ht="14.25" hidden="false" customHeight="true" outlineLevel="0" collapsed="false">
      <c r="B336" s="1" t="s">
        <v>1329</v>
      </c>
      <c r="C336" s="1" t="n">
        <f aca="false">ROUND(SUM($C$108:C108)-SUM($C$333:C333)-C335,6)</f>
        <v>0</v>
      </c>
      <c r="D336" s="1" t="n">
        <f aca="false">ROUND(SUM($C$108:D108)-SUM($C$333:D333)-D335,6)</f>
        <v>0</v>
      </c>
      <c r="E336" s="1" t="n">
        <f aca="false">ROUND(SUM($C$108:E108)-SUM($C$333:E333)-E335,6)</f>
        <v>0</v>
      </c>
      <c r="F336" s="1" t="n">
        <f aca="false">ROUND(SUM($C$108:F108)-SUM($C$333:F333)-F335,6)</f>
        <v>0</v>
      </c>
      <c r="G336" s="1" t="n">
        <f aca="false">ROUND(SUM($C$108:G108)-SUM($C$333:G333)-G335,6)</f>
        <v>0</v>
      </c>
      <c r="H336" s="1" t="n">
        <f aca="false">ROUND(SUM($C$108:H108)-SUM($C$333:H333)-H335,6)</f>
        <v>0</v>
      </c>
      <c r="I336" s="1" t="n">
        <f aca="false">ROUND(SUM($C$108:I108)-SUM($C$333:I333)-I335,6)</f>
        <v>0</v>
      </c>
      <c r="J336" s="1" t="n">
        <f aca="false">ROUND(SUM($C$108:J108)-SUM($C$333:J333)-J335,6)</f>
        <v>0</v>
      </c>
      <c r="K336" s="1" t="n">
        <f aca="false">ROUND(SUM($C$108:K108)-SUM($C$333:K333)-K335,6)</f>
        <v>0</v>
      </c>
      <c r="L336" s="1" t="n">
        <f aca="false">ROUND(SUM($C$108:L108)-SUM($C$333:L333)-L335,6)</f>
        <v>0</v>
      </c>
      <c r="M336" s="1" t="n">
        <f aca="false">ROUND(SUM($C$108:M108)-SUM($C$333:M333)-M335,6)</f>
        <v>0</v>
      </c>
      <c r="N336" s="1" t="n">
        <f aca="false">ROUND(SUM($C$108:N108)-SUM($C$333:N333)-N335,6)</f>
        <v>0</v>
      </c>
      <c r="O336" s="1" t="n">
        <f aca="false">ROUND(SUM($C$108:O108)-SUM($C$333:O333)-O335,6)</f>
        <v>0</v>
      </c>
      <c r="P336" s="1" t="n">
        <f aca="false">ROUND(SUM($C$108:P108)-SUM($C$333:P333)-P335,6)</f>
        <v>0</v>
      </c>
      <c r="Q336" s="1" t="n">
        <f aca="false">ROUND(SUM($C$108:Q108)-SUM($C$333:Q333)-Q335,6)</f>
        <v>0</v>
      </c>
      <c r="R336" s="1" t="n">
        <f aca="false">ROUND(SUM($C$108:R108)-SUM($C$333:R333)-R335,6)</f>
        <v>0</v>
      </c>
      <c r="S336" s="1" t="n">
        <f aca="false">ROUND(SUM($C$108:S108)-SUM($C$333:S333)-S335,6)</f>
        <v>0</v>
      </c>
      <c r="T336" s="1" t="n">
        <f aca="false">ROUND(SUM($C$108:T108)-SUM($C$333:T333)-T335,6)</f>
        <v>0</v>
      </c>
      <c r="U336" s="1" t="n">
        <f aca="false">ROUND(SUM($C$108:U108)-SUM($C$333:U333)-U335,6)</f>
        <v>0</v>
      </c>
      <c r="V336" s="1" t="n">
        <f aca="false">ROUND(SUM($C$108:V108)-SUM($C$333:V333)-V335,6)</f>
        <v>0</v>
      </c>
      <c r="W336" s="1" t="n">
        <f aca="false">ROUND(SUM($C$108:W108)-SUM($C$333:W333)-W335,6)</f>
        <v>0</v>
      </c>
      <c r="X336" s="1" t="n">
        <f aca="false">ROUND(SUM($C$108:X108)-SUM($C$333:X333)-X335,6)</f>
        <v>0</v>
      </c>
      <c r="Y336" s="1" t="n">
        <f aca="false">ROUND(SUM($C$108:Y108)-SUM($C$333:Y333)-Y335,6)</f>
        <v>0</v>
      </c>
      <c r="Z336" s="1" t="n">
        <f aca="false">ROUND(SUM($C$108:Z108)-SUM($C$333:Z333)-Z335,6)</f>
        <v>0</v>
      </c>
      <c r="AA336" s="1" t="n">
        <f aca="false">ROUND(SUM($C$108:AA108)-SUM($C$333:AA333)-AA335,6)</f>
        <v>0</v>
      </c>
      <c r="AB336" s="1" t="n">
        <f aca="false">ROUND(SUM($C$108:AB108)-SUM($C$333:AB333)-AB335,6)</f>
        <v>0</v>
      </c>
      <c r="AC336" s="1" t="n">
        <f aca="false">ROUND(SUM($C$108:AC108)-SUM($C$333:AC333)-AC335,6)</f>
        <v>0</v>
      </c>
      <c r="AD336" s="1" t="n">
        <f aca="false">ROUND(SUM($C$108:AD108)-SUM($C$333:AD333)-AD335,6)</f>
        <v>0</v>
      </c>
      <c r="AE336" s="1" t="n">
        <f aca="false">ROUND(SUM($C$108:AE108)-SUM($C$333:AE333)-AE335,6)</f>
        <v>0</v>
      </c>
      <c r="AF336" s="1" t="n">
        <f aca="false">ROUND(SUM($C$108:AF108)-SUM($C$333:AF333)-AF335,6)</f>
        <v>0</v>
      </c>
    </row>
    <row r="338" customFormat="false" ht="14.25" hidden="false" customHeight="true" outlineLevel="0" collapsed="false">
      <c r="B338" s="1" t="s">
        <v>1330</v>
      </c>
      <c r="C338" s="1" t="n">
        <f aca="false">01_Supuestos!$C$191</f>
        <v>0.35</v>
      </c>
      <c r="D338" s="1" t="s">
        <v>1347</v>
      </c>
    </row>
    <row r="339" customFormat="false" ht="14.25" hidden="false" customHeight="true" outlineLevel="0" collapsed="false">
      <c r="B339" s="1" t="s">
        <v>1332</v>
      </c>
      <c r="C339" s="1" t="n">
        <f aca="false">01_Supuestos!$C$192</f>
        <v>0</v>
      </c>
    </row>
    <row r="340" customFormat="false" ht="14.25" hidden="false" customHeight="true" outlineLevel="0" collapsed="false">
      <c r="B340" s="1" t="s">
        <v>1333</v>
      </c>
      <c r="C340" s="1" t="n">
        <v>0.01</v>
      </c>
      <c r="D340" s="1" t="s">
        <v>1348</v>
      </c>
    </row>
    <row r="341" customFormat="false" ht="14.25" hidden="false" customHeight="true" outlineLevel="0" collapsed="false">
      <c r="B341" s="1" t="s">
        <v>1335</v>
      </c>
      <c r="C341" s="1" t="n">
        <f aca="false">0*$C$340</f>
        <v>0</v>
      </c>
      <c r="D341" s="1" t="n">
        <f aca="false">C284*$C$340</f>
        <v>0.0215158778078157</v>
      </c>
      <c r="E341" s="1" t="n">
        <f aca="false">D284*$C$340</f>
        <v>0.0560164986037079</v>
      </c>
      <c r="F341" s="1" t="n">
        <f aca="false">E284*$C$340</f>
        <v>0.097086560997431</v>
      </c>
      <c r="G341" s="1" t="n">
        <f aca="false">F284*$C$340</f>
        <v>0.122301621893589</v>
      </c>
      <c r="H341" s="1" t="n">
        <f aca="false">G284*$C$340</f>
        <v>0.148794201054532</v>
      </c>
      <c r="I341" s="1" t="n">
        <f aca="false">H284*$C$340</f>
        <v>0.18185176948938</v>
      </c>
      <c r="J341" s="1" t="n">
        <f aca="false">I284*$C$340</f>
        <v>0.219383193693201</v>
      </c>
      <c r="K341" s="1" t="n">
        <f aca="false">J284*$C$340</f>
        <v>0.260994260542934</v>
      </c>
      <c r="L341" s="1" t="n">
        <f aca="false">K284*$C$340</f>
        <v>0.316869826530955</v>
      </c>
      <c r="M341" s="1" t="n">
        <f aca="false">L284*$C$340</f>
        <v>0.374171296022407</v>
      </c>
      <c r="N341" s="1" t="n">
        <f aca="false">M284*$C$340</f>
        <v>0.472982423405846</v>
      </c>
      <c r="O341" s="1" t="n">
        <f aca="false">N284*$C$340</f>
        <v>0.533771310372805</v>
      </c>
      <c r="P341" s="1" t="n">
        <f aca="false">O284*$C$340</f>
        <v>0.545062211077292</v>
      </c>
      <c r="Q341" s="1" t="n">
        <f aca="false">P284*$C$340</f>
        <v>0.557081812573871</v>
      </c>
      <c r="R341" s="1" t="n">
        <f aca="false">Q284*$C$340</f>
        <v>0.569820050940612</v>
      </c>
      <c r="S341" s="1" t="n">
        <f aca="false">R284*$C$340</f>
        <v>0.583234297112359</v>
      </c>
      <c r="T341" s="1" t="n">
        <f aca="false">S284*$C$340</f>
        <v>0.59728116107921</v>
      </c>
      <c r="U341" s="1" t="n">
        <f aca="false">T284*$C$340</f>
        <v>0.61187596204937</v>
      </c>
      <c r="V341" s="1" t="n">
        <f aca="false">U284*$C$340</f>
        <v>0.626843079560351</v>
      </c>
      <c r="W341" s="1" t="n">
        <f aca="false">V284*$C$340</f>
        <v>0.638500004473747</v>
      </c>
      <c r="X341" s="1" t="n">
        <f aca="false">W284*$C$340</f>
        <v>0.647905754171819</v>
      </c>
      <c r="Y341" s="1" t="n">
        <f aca="false">X284*$C$340</f>
        <v>0.65711491172585</v>
      </c>
      <c r="Z341" s="1" t="n">
        <f aca="false">Y284*$C$340</f>
        <v>0.666128038808131</v>
      </c>
      <c r="AA341" s="1" t="n">
        <f aca="false">Z284*$C$340</f>
        <v>0.674945713788817</v>
      </c>
      <c r="AB341" s="1" t="n">
        <f aca="false">AA284*$C$340</f>
        <v>0.683568530589613</v>
      </c>
      <c r="AC341" s="1" t="n">
        <f aca="false">AB284*$C$340</f>
        <v>0.69199602551188</v>
      </c>
      <c r="AD341" s="1" t="n">
        <f aca="false">AC284*$C$340</f>
        <v>0.700227748252165</v>
      </c>
      <c r="AE341" s="1" t="n">
        <f aca="false">AD284*$C$340</f>
        <v>0.708263260886862</v>
      </c>
      <c r="AF341" s="1" t="n">
        <f aca="false">AE284*$C$340</f>
        <v>0.71610213689544</v>
      </c>
    </row>
    <row r="342" customFormat="false" ht="14.25" hidden="false" customHeight="true" outlineLevel="0" collapsed="false">
      <c r="B342" s="1" t="s">
        <v>1336</v>
      </c>
      <c r="C342" s="1" t="n">
        <f aca="false">0*$C$340</f>
        <v>0</v>
      </c>
      <c r="D342" s="1" t="n">
        <f aca="false">C289*$C$340</f>
        <v>0.0297124026869837</v>
      </c>
      <c r="E342" s="1" t="n">
        <f aca="false">D289*$C$340</f>
        <v>0.0773561171194062</v>
      </c>
      <c r="F342" s="1" t="n">
        <f aca="false">E289*$C$340</f>
        <v>0.134071917567881</v>
      </c>
      <c r="G342" s="1" t="n">
        <f aca="false">F289*$C$340</f>
        <v>0.168892715948289</v>
      </c>
      <c r="H342" s="1" t="n">
        <f aca="false">G289*$C$340</f>
        <v>0.205477706218163</v>
      </c>
      <c r="I342" s="1" t="n">
        <f aca="false">H289*$C$340</f>
        <v>0.251128634056763</v>
      </c>
      <c r="J342" s="1" t="n">
        <f aca="false">I289*$C$340</f>
        <v>0.302957743671564</v>
      </c>
      <c r="K342" s="1" t="n">
        <f aca="false">J289*$C$340</f>
        <v>0.360420645511671</v>
      </c>
      <c r="L342" s="1" t="n">
        <f aca="false">K289*$C$340</f>
        <v>0.43758214139989</v>
      </c>
      <c r="M342" s="1" t="n">
        <f aca="false">L289*$C$340</f>
        <v>0.516712742126181</v>
      </c>
      <c r="N342" s="1" t="n">
        <f aca="false">M289*$C$340</f>
        <v>0.65316620375093</v>
      </c>
      <c r="O342" s="1" t="n">
        <f aca="false">N289*$C$340</f>
        <v>0.737112761943398</v>
      </c>
      <c r="P342" s="1" t="n">
        <f aca="false">O289*$C$340</f>
        <v>0.752704958154355</v>
      </c>
      <c r="Q342" s="1" t="n">
        <f aca="false">P289*$C$340</f>
        <v>0.769303455459156</v>
      </c>
      <c r="R342" s="1" t="n">
        <f aca="false">Q289*$C$340</f>
        <v>0.786894356060845</v>
      </c>
      <c r="S342" s="1" t="n">
        <f aca="false">R289*$C$340</f>
        <v>0.8054187912504</v>
      </c>
      <c r="T342" s="1" t="n">
        <f aca="false">S289*$C$340</f>
        <v>0.824816841490338</v>
      </c>
      <c r="U342" s="1" t="n">
        <f aca="false">T289*$C$340</f>
        <v>0.844971566639606</v>
      </c>
      <c r="V342" s="1" t="n">
        <f aca="false">U289*$C$340</f>
        <v>0.86564044320239</v>
      </c>
      <c r="W342" s="1" t="n">
        <f aca="false">V289*$C$340</f>
        <v>0.881738101416127</v>
      </c>
      <c r="X342" s="1" t="n">
        <f aca="false">W289*$C$340</f>
        <v>0.894726993856322</v>
      </c>
      <c r="Y342" s="1" t="n">
        <f aca="false">X289*$C$340</f>
        <v>0.907444401907126</v>
      </c>
      <c r="Z342" s="1" t="n">
        <f aca="false">Y289*$C$340</f>
        <v>0.919891101211228</v>
      </c>
      <c r="AA342" s="1" t="n">
        <f aca="false">Z289*$C$340</f>
        <v>0.932067890470272</v>
      </c>
      <c r="AB342" s="1" t="n">
        <f aca="false">AA289*$C$340</f>
        <v>0.943975589861847</v>
      </c>
      <c r="AC342" s="1" t="n">
        <f aca="false">AB289*$C$340</f>
        <v>0.955613559040215</v>
      </c>
      <c r="AD342" s="1" t="n">
        <f aca="false">AC289*$C$340</f>
        <v>0.966981176157752</v>
      </c>
      <c r="AE342" s="1" t="n">
        <f aca="false">AD289*$C$340</f>
        <v>0.978077836462809</v>
      </c>
      <c r="AF342" s="1" t="n">
        <f aca="false">AE289*$C$340</f>
        <v>0.988902950950846</v>
      </c>
    </row>
    <row r="343" customFormat="false" ht="14.25" hidden="false" customHeight="true" outlineLevel="0" collapsed="false">
      <c r="B343" s="1" t="s">
        <v>1337</v>
      </c>
      <c r="C343" s="1" t="n">
        <f aca="false">C341+C342</f>
        <v>0</v>
      </c>
      <c r="D343" s="1" t="n">
        <f aca="false">D341+D342</f>
        <v>0.0512282804947994</v>
      </c>
      <c r="E343" s="1" t="n">
        <f aca="false">E341+E342</f>
        <v>0.133372615723114</v>
      </c>
      <c r="F343" s="1" t="n">
        <f aca="false">F341+F342</f>
        <v>0.231158478565312</v>
      </c>
      <c r="G343" s="1" t="n">
        <f aca="false">G341+G342</f>
        <v>0.291194337841878</v>
      </c>
      <c r="H343" s="1" t="n">
        <f aca="false">H341+H342</f>
        <v>0.354271907272695</v>
      </c>
      <c r="I343" s="1" t="n">
        <f aca="false">I341+I342</f>
        <v>0.432980403546143</v>
      </c>
      <c r="J343" s="1" t="n">
        <f aca="false">J341+J342</f>
        <v>0.522340937364765</v>
      </c>
      <c r="K343" s="1" t="n">
        <f aca="false">K341+K342</f>
        <v>0.621414906054605</v>
      </c>
      <c r="L343" s="1" t="n">
        <f aca="false">L341+L342</f>
        <v>0.754451967930845</v>
      </c>
      <c r="M343" s="1" t="n">
        <f aca="false">M341+M342</f>
        <v>0.890884038148588</v>
      </c>
      <c r="N343" s="1" t="n">
        <f aca="false">N341+N342</f>
        <v>1.12614862715678</v>
      </c>
      <c r="O343" s="1" t="n">
        <f aca="false">O341+O342</f>
        <v>1.2708840723162</v>
      </c>
      <c r="P343" s="1" t="n">
        <f aca="false">P341+P342</f>
        <v>1.29776716923165</v>
      </c>
      <c r="Q343" s="1" t="n">
        <f aca="false">Q341+Q342</f>
        <v>1.32638526803303</v>
      </c>
      <c r="R343" s="1" t="n">
        <f aca="false">R341+R342</f>
        <v>1.35671440700146</v>
      </c>
      <c r="S343" s="1" t="n">
        <f aca="false">S341+S342</f>
        <v>1.38865308836276</v>
      </c>
      <c r="T343" s="1" t="n">
        <f aca="false">T341+T342</f>
        <v>1.42209800256955</v>
      </c>
      <c r="U343" s="1" t="n">
        <f aca="false">U341+U342</f>
        <v>1.45684752868898</v>
      </c>
      <c r="V343" s="1" t="n">
        <f aca="false">V341+V342</f>
        <v>1.49248352276274</v>
      </c>
      <c r="W343" s="1" t="n">
        <f aca="false">W341+W342</f>
        <v>1.52023810588987</v>
      </c>
      <c r="X343" s="1" t="n">
        <f aca="false">X341+X342</f>
        <v>1.54263274802814</v>
      </c>
      <c r="Y343" s="1" t="n">
        <f aca="false">Y341+Y342</f>
        <v>1.56455931363298</v>
      </c>
      <c r="Z343" s="1" t="n">
        <f aca="false">Z341+Z342</f>
        <v>1.58601914001936</v>
      </c>
      <c r="AA343" s="1" t="n">
        <f aca="false">AA341+AA342</f>
        <v>1.60701360425909</v>
      </c>
      <c r="AB343" s="1" t="n">
        <f aca="false">AB341+AB342</f>
        <v>1.62754412045146</v>
      </c>
      <c r="AC343" s="1" t="n">
        <f aca="false">AC341+AC342</f>
        <v>1.6476095845521</v>
      </c>
      <c r="AD343" s="1" t="n">
        <f aca="false">AD341+AD342</f>
        <v>1.66720892440992</v>
      </c>
      <c r="AE343" s="1" t="n">
        <f aca="false">AE341+AE342</f>
        <v>1.68634109734967</v>
      </c>
      <c r="AF343" s="1" t="n">
        <f aca="false">AF341+AF342</f>
        <v>1.70500508784629</v>
      </c>
    </row>
    <row r="345" customFormat="false" ht="14.25" hidden="false" customHeight="true" outlineLevel="0" collapsed="false">
      <c r="B345" s="1" t="s">
        <v>1338</v>
      </c>
      <c r="C345" s="1" t="n">
        <v>0</v>
      </c>
      <c r="D345" s="1" t="n">
        <f aca="false">IF(AND(D$39&gt;=4,D$39&lt;=01_Supuestos!$I$145,01_Supuestos!$C$200="Sí"),IF(C122&gt;=01_Supuestos!$C$201,01_Supuestos!$C$202*01_Supuestos!$I$89/1000000000000,0),0)</f>
        <v>0</v>
      </c>
      <c r="E345" s="1" t="n">
        <f aca="false">IF(AND(E$39&gt;=4,E$39&lt;=01_Supuestos!$I$145,01_Supuestos!$C$200="Sí"),IF(D122&gt;=01_Supuestos!$C$201,01_Supuestos!$C$202*01_Supuestos!$I$89/1000000000000,0),0)</f>
        <v>0</v>
      </c>
      <c r="F345" s="1" t="n">
        <f aca="false">IF(AND(F$39&gt;=4,F$39&lt;=01_Supuestos!$I$145,01_Supuestos!$C$200="Sí"),IF(E122&gt;=01_Supuestos!$C$201,01_Supuestos!$C$202*01_Supuestos!$I$89/1000000000000,0),0)</f>
        <v>1.134486</v>
      </c>
      <c r="G345" s="1" t="n">
        <f aca="false">IF(AND(G$39&gt;=4,G$39&lt;=01_Supuestos!$I$145,01_Supuestos!$C$200="Sí"),IF(F122&gt;=01_Supuestos!$C$201,01_Supuestos!$C$202*01_Supuestos!$I$89/1000000000000,0),0)</f>
        <v>1.134486</v>
      </c>
      <c r="H345" s="1" t="n">
        <f aca="false">IF(AND(H$39&gt;=4,H$39&lt;=01_Supuestos!$I$145,01_Supuestos!$C$200="Sí"),IF(G122&gt;=01_Supuestos!$C$201,01_Supuestos!$C$202*01_Supuestos!$I$89/1000000000000,0),0)</f>
        <v>1.134486</v>
      </c>
      <c r="I345" s="1" t="n">
        <f aca="false">IF(AND(I$39&gt;=4,I$39&lt;=01_Supuestos!$I$145,01_Supuestos!$C$200="Sí"),IF(H122&gt;=01_Supuestos!$C$201,01_Supuestos!$C$202*01_Supuestos!$I$89/1000000000000,0),0)</f>
        <v>1.134486</v>
      </c>
      <c r="J345" s="1" t="n">
        <f aca="false">IF(AND(J$39&gt;=4,J$39&lt;=01_Supuestos!$I$145,01_Supuestos!$C$200="Sí"),IF(I122&gt;=01_Supuestos!$C$201,01_Supuestos!$C$202*01_Supuestos!$I$89/1000000000000,0),0)</f>
        <v>1.134486</v>
      </c>
      <c r="K345" s="1" t="n">
        <f aca="false">IF(AND(K$39&gt;=4,K$39&lt;=01_Supuestos!$I$145,01_Supuestos!$C$200="Sí"),IF(J122&gt;=01_Supuestos!$C$201,01_Supuestos!$C$202*01_Supuestos!$I$89/1000000000000,0),0)</f>
        <v>1.134486</v>
      </c>
      <c r="L345" s="1" t="n">
        <f aca="false">IF(AND(L$39&gt;=4,L$39&lt;=01_Supuestos!$I$145,01_Supuestos!$C$200="Sí"),IF(K122&gt;=01_Supuestos!$C$201,01_Supuestos!$C$202*01_Supuestos!$I$89/1000000000000,0),0)</f>
        <v>1.134486</v>
      </c>
      <c r="M345" s="1" t="n">
        <f aca="false">IF(AND(M$39&gt;=4,M$39&lt;=01_Supuestos!$I$145,01_Supuestos!$C$200="Sí"),IF(L122&gt;=01_Supuestos!$C$201,01_Supuestos!$C$202*01_Supuestos!$I$89/1000000000000,0),0)</f>
        <v>1.134486</v>
      </c>
      <c r="N345" s="1" t="n">
        <f aca="false">IF(AND(N$39&gt;=4,N$39&lt;=01_Supuestos!$I$145,01_Supuestos!$C$200="Sí"),IF(M122&gt;=01_Supuestos!$C$201,01_Supuestos!$C$202*01_Supuestos!$I$89/1000000000000,0),0)</f>
        <v>1.134486</v>
      </c>
      <c r="O345" s="1" t="n">
        <f aca="false">IF(AND(O$39&gt;=4,O$39&lt;=01_Supuestos!$I$145,01_Supuestos!$C$200="Sí"),IF(N122&gt;=01_Supuestos!$C$201,01_Supuestos!$C$202*01_Supuestos!$I$89/1000000000000,0),0)</f>
        <v>1.134486</v>
      </c>
      <c r="P345" s="1" t="n">
        <f aca="false">IF(AND(P$39&gt;=4,P$39&lt;=01_Supuestos!$I$145,01_Supuestos!$C$200="Sí"),IF(O122&gt;=01_Supuestos!$C$201,01_Supuestos!$C$202*01_Supuestos!$I$89/1000000000000,0),0)</f>
        <v>1.134486</v>
      </c>
      <c r="Q345" s="1" t="n">
        <f aca="false">IF(AND(Q$39&gt;=4,Q$39&lt;=01_Supuestos!$I$145,01_Supuestos!$C$200="Sí"),IF(P122&gt;=01_Supuestos!$C$201,01_Supuestos!$C$202*01_Supuestos!$I$89/1000000000000,0),0)</f>
        <v>1.134486</v>
      </c>
      <c r="R345" s="1" t="n">
        <f aca="false">IF(AND(R$39&gt;=4,R$39&lt;=01_Supuestos!$I$145,01_Supuestos!$C$200="Sí"),IF(Q122&gt;=01_Supuestos!$C$201,01_Supuestos!$C$202*01_Supuestos!$I$89/1000000000000,0),0)</f>
        <v>1.134486</v>
      </c>
      <c r="S345" s="1" t="n">
        <f aca="false">IF(AND(S$39&gt;=4,S$39&lt;=01_Supuestos!$I$145,01_Supuestos!$C$200="Sí"),IF(R122&gt;=01_Supuestos!$C$201,01_Supuestos!$C$202*01_Supuestos!$I$89/1000000000000,0),0)</f>
        <v>1.134486</v>
      </c>
      <c r="T345" s="1" t="n">
        <f aca="false">IF(AND(T$39&gt;=4,T$39&lt;=01_Supuestos!$I$145,01_Supuestos!$C$200="Sí"),IF(S122&gt;=01_Supuestos!$C$201,01_Supuestos!$C$202*01_Supuestos!$I$89/1000000000000,0),0)</f>
        <v>1.134486</v>
      </c>
      <c r="U345" s="1" t="n">
        <f aca="false">IF(AND(U$39&gt;=4,U$39&lt;=01_Supuestos!$I$145,01_Supuestos!$C$200="Sí"),IF(T122&gt;=01_Supuestos!$C$201,01_Supuestos!$C$202*01_Supuestos!$I$89/1000000000000,0),0)</f>
        <v>1.134486</v>
      </c>
      <c r="V345" s="1" t="n">
        <f aca="false">IF(AND(V$39&gt;=4,V$39&lt;=01_Supuestos!$I$145,01_Supuestos!$C$200="Sí"),IF(U122&gt;=01_Supuestos!$C$201,01_Supuestos!$C$202*01_Supuestos!$I$89/1000000000000,0),0)</f>
        <v>1.134486</v>
      </c>
      <c r="W345" s="1" t="n">
        <f aca="false">IF(AND(W$39&gt;=4,W$39&lt;=01_Supuestos!$I$145,01_Supuestos!$C$200="Sí"),IF(V122&gt;=01_Supuestos!$C$201,01_Supuestos!$C$202*01_Supuestos!$I$89/1000000000000,0),0)</f>
        <v>1.134486</v>
      </c>
      <c r="X345" s="1" t="n">
        <f aca="false">IF(AND(X$39&gt;=4,X$39&lt;=01_Supuestos!$I$145,01_Supuestos!$C$200="Sí"),IF(W122&gt;=01_Supuestos!$C$201,01_Supuestos!$C$202*01_Supuestos!$I$89/1000000000000,0),0)</f>
        <v>1.134486</v>
      </c>
      <c r="Y345" s="1" t="n">
        <f aca="false">IF(AND(Y$39&gt;=4,Y$39&lt;=01_Supuestos!$I$145,01_Supuestos!$C$200="Sí"),IF(X122&gt;=01_Supuestos!$C$201,01_Supuestos!$C$202*01_Supuestos!$I$89/1000000000000,0),0)</f>
        <v>1.134486</v>
      </c>
      <c r="Z345" s="1" t="n">
        <f aca="false">IF(AND(Z$39&gt;=4,Z$39&lt;=01_Supuestos!$I$145,01_Supuestos!$C$200="Sí"),IF(Y122&gt;=01_Supuestos!$C$201,01_Supuestos!$C$202*01_Supuestos!$I$89/1000000000000,0),0)</f>
        <v>1.134486</v>
      </c>
      <c r="AA345" s="1" t="n">
        <f aca="false">IF(AND(AA$39&gt;=4,AA$39&lt;=01_Supuestos!$I$145,01_Supuestos!$C$200="Sí"),IF(Z122&gt;=01_Supuestos!$C$201,01_Supuestos!$C$202*01_Supuestos!$I$89/1000000000000,0),0)</f>
        <v>1.134486</v>
      </c>
      <c r="AB345" s="1" t="n">
        <f aca="false">IF(AND(AB$39&gt;=4,AB$39&lt;=01_Supuestos!$I$145,01_Supuestos!$C$200="Sí"),IF(AA122&gt;=01_Supuestos!$C$201,01_Supuestos!$C$202*01_Supuestos!$I$89/1000000000000,0),0)</f>
        <v>1.134486</v>
      </c>
      <c r="AC345" s="1" t="n">
        <f aca="false">IF(AND(AC$39&gt;=4,AC$39&lt;=01_Supuestos!$I$145,01_Supuestos!$C$200="Sí"),IF(AB122&gt;=01_Supuestos!$C$201,01_Supuestos!$C$202*01_Supuestos!$I$89/1000000000000,0),0)</f>
        <v>1.134486</v>
      </c>
      <c r="AD345" s="1" t="n">
        <f aca="false">IF(AND(AD$39&gt;=4,AD$39&lt;=01_Supuestos!$I$145,01_Supuestos!$C$200="Sí"),IF(AC122&gt;=01_Supuestos!$C$201,01_Supuestos!$C$202*01_Supuestos!$I$89/1000000000000,0),0)</f>
        <v>1.134486</v>
      </c>
      <c r="AE345" s="1" t="n">
        <f aca="false">IF(AND(AE$39&gt;=4,AE$39&lt;=01_Supuestos!$I$145,01_Supuestos!$C$200="Sí"),IF(AD122&gt;=01_Supuestos!$C$201,01_Supuestos!$C$202*01_Supuestos!$I$89/1000000000000,0),0)</f>
        <v>1.134486</v>
      </c>
      <c r="AF345" s="1" t="n">
        <f aca="false">IF(AND(AF$39&gt;=4,AF$39&lt;=01_Supuestos!$I$145,01_Supuestos!$C$200="Sí"),IF(AE122&gt;=01_Supuestos!$C$201,01_Supuestos!$C$202*01_Supuestos!$I$89/1000000000000,0),0)</f>
        <v>1.134486</v>
      </c>
    </row>
    <row r="346" customFormat="false" ht="14.25" hidden="false" customHeight="true" outlineLevel="0" collapsed="false">
      <c r="B346" s="1" t="s">
        <v>1339</v>
      </c>
      <c r="C346" s="1" t="n">
        <v>0</v>
      </c>
      <c r="D346" s="1" t="n">
        <f aca="false">IF(AND(D$39&gt;=4,D$39&lt;=01_Supuestos!$I$145,01_Supuestos!$C$200="Sí"),IF(C122&lt;01_Supuestos!$C$201,01_Supuestos!$C$202*01_Supuestos!$I$89/1000000000000,0),0)</f>
        <v>0</v>
      </c>
      <c r="E346" s="1" t="n">
        <f aca="false">IF(AND(E$39&gt;=4,E$39&lt;=01_Supuestos!$I$145,01_Supuestos!$C$200="Sí"),IF(D122&lt;01_Supuestos!$C$201,01_Supuestos!$C$202*01_Supuestos!$I$89/1000000000000,0),0)</f>
        <v>0</v>
      </c>
      <c r="F346" s="1" t="n">
        <f aca="false">IF(AND(F$39&gt;=4,F$39&lt;=01_Supuestos!$I$145,01_Supuestos!$C$200="Sí"),IF(E122&lt;01_Supuestos!$C$201,01_Supuestos!$C$202*01_Supuestos!$I$89/1000000000000,0),0)</f>
        <v>0</v>
      </c>
      <c r="G346" s="1" t="n">
        <f aca="false">IF(AND(G$39&gt;=4,G$39&lt;=01_Supuestos!$I$145,01_Supuestos!$C$200="Sí"),IF(F122&lt;01_Supuestos!$C$201,01_Supuestos!$C$202*01_Supuestos!$I$89/1000000000000,0),0)</f>
        <v>0</v>
      </c>
      <c r="H346" s="1" t="n">
        <f aca="false">IF(AND(H$39&gt;=4,H$39&lt;=01_Supuestos!$I$145,01_Supuestos!$C$200="Sí"),IF(G122&lt;01_Supuestos!$C$201,01_Supuestos!$C$202*01_Supuestos!$I$89/1000000000000,0),0)</f>
        <v>0</v>
      </c>
      <c r="I346" s="1" t="n">
        <f aca="false">IF(AND(I$39&gt;=4,I$39&lt;=01_Supuestos!$I$145,01_Supuestos!$C$200="Sí"),IF(H122&lt;01_Supuestos!$C$201,01_Supuestos!$C$202*01_Supuestos!$I$89/1000000000000,0),0)</f>
        <v>0</v>
      </c>
      <c r="J346" s="1" t="n">
        <f aca="false">IF(AND(J$39&gt;=4,J$39&lt;=01_Supuestos!$I$145,01_Supuestos!$C$200="Sí"),IF(I122&lt;01_Supuestos!$C$201,01_Supuestos!$C$202*01_Supuestos!$I$89/1000000000000,0),0)</f>
        <v>0</v>
      </c>
      <c r="K346" s="1" t="n">
        <f aca="false">IF(AND(K$39&gt;=4,K$39&lt;=01_Supuestos!$I$145,01_Supuestos!$C$200="Sí"),IF(J122&lt;01_Supuestos!$C$201,01_Supuestos!$C$202*01_Supuestos!$I$89/1000000000000,0),0)</f>
        <v>0</v>
      </c>
      <c r="L346" s="1" t="n">
        <f aca="false">IF(AND(L$39&gt;=4,L$39&lt;=01_Supuestos!$I$145,01_Supuestos!$C$200="Sí"),IF(K122&lt;01_Supuestos!$C$201,01_Supuestos!$C$202*01_Supuestos!$I$89/1000000000000,0),0)</f>
        <v>0</v>
      </c>
      <c r="M346" s="1" t="n">
        <f aca="false">IF(AND(M$39&gt;=4,M$39&lt;=01_Supuestos!$I$145,01_Supuestos!$C$200="Sí"),IF(L122&lt;01_Supuestos!$C$201,01_Supuestos!$C$202*01_Supuestos!$I$89/1000000000000,0),0)</f>
        <v>0</v>
      </c>
      <c r="N346" s="1" t="n">
        <f aca="false">IF(AND(N$39&gt;=4,N$39&lt;=01_Supuestos!$I$145,01_Supuestos!$C$200="Sí"),IF(M122&lt;01_Supuestos!$C$201,01_Supuestos!$C$202*01_Supuestos!$I$89/1000000000000,0),0)</f>
        <v>0</v>
      </c>
      <c r="O346" s="1" t="n">
        <f aca="false">IF(AND(O$39&gt;=4,O$39&lt;=01_Supuestos!$I$145,01_Supuestos!$C$200="Sí"),IF(N122&lt;01_Supuestos!$C$201,01_Supuestos!$C$202*01_Supuestos!$I$89/1000000000000,0),0)</f>
        <v>0</v>
      </c>
      <c r="P346" s="1" t="n">
        <f aca="false">IF(AND(P$39&gt;=4,P$39&lt;=01_Supuestos!$I$145,01_Supuestos!$C$200="Sí"),IF(O122&lt;01_Supuestos!$C$201,01_Supuestos!$C$202*01_Supuestos!$I$89/1000000000000,0),0)</f>
        <v>0</v>
      </c>
      <c r="Q346" s="1" t="n">
        <f aca="false">IF(AND(Q$39&gt;=4,Q$39&lt;=01_Supuestos!$I$145,01_Supuestos!$C$200="Sí"),IF(P122&lt;01_Supuestos!$C$201,01_Supuestos!$C$202*01_Supuestos!$I$89/1000000000000,0),0)</f>
        <v>0</v>
      </c>
      <c r="R346" s="1" t="n">
        <f aca="false">IF(AND(R$39&gt;=4,R$39&lt;=01_Supuestos!$I$145,01_Supuestos!$C$200="Sí"),IF(Q122&lt;01_Supuestos!$C$201,01_Supuestos!$C$202*01_Supuestos!$I$89/1000000000000,0),0)</f>
        <v>0</v>
      </c>
      <c r="S346" s="1" t="n">
        <f aca="false">IF(AND(S$39&gt;=4,S$39&lt;=01_Supuestos!$I$145,01_Supuestos!$C$200="Sí"),IF(R122&lt;01_Supuestos!$C$201,01_Supuestos!$C$202*01_Supuestos!$I$89/1000000000000,0),0)</f>
        <v>0</v>
      </c>
      <c r="T346" s="1" t="n">
        <f aca="false">IF(AND(T$39&gt;=4,T$39&lt;=01_Supuestos!$I$145,01_Supuestos!$C$200="Sí"),IF(S122&lt;01_Supuestos!$C$201,01_Supuestos!$C$202*01_Supuestos!$I$89/1000000000000,0),0)</f>
        <v>0</v>
      </c>
      <c r="U346" s="1" t="n">
        <f aca="false">IF(AND(U$39&gt;=4,U$39&lt;=01_Supuestos!$I$145,01_Supuestos!$C$200="Sí"),IF(T122&lt;01_Supuestos!$C$201,01_Supuestos!$C$202*01_Supuestos!$I$89/1000000000000,0),0)</f>
        <v>0</v>
      </c>
      <c r="V346" s="1" t="n">
        <f aca="false">IF(AND(V$39&gt;=4,V$39&lt;=01_Supuestos!$I$145,01_Supuestos!$C$200="Sí"),IF(U122&lt;01_Supuestos!$C$201,01_Supuestos!$C$202*01_Supuestos!$I$89/1000000000000,0),0)</f>
        <v>0</v>
      </c>
      <c r="W346" s="1" t="n">
        <f aca="false">IF(AND(W$39&gt;=4,W$39&lt;=01_Supuestos!$I$145,01_Supuestos!$C$200="Sí"),IF(V122&lt;01_Supuestos!$C$201,01_Supuestos!$C$202*01_Supuestos!$I$89/1000000000000,0),0)</f>
        <v>0</v>
      </c>
      <c r="X346" s="1" t="n">
        <f aca="false">IF(AND(X$39&gt;=4,X$39&lt;=01_Supuestos!$I$145,01_Supuestos!$C$200="Sí"),IF(W122&lt;01_Supuestos!$C$201,01_Supuestos!$C$202*01_Supuestos!$I$89/1000000000000,0),0)</f>
        <v>0</v>
      </c>
      <c r="Y346" s="1" t="n">
        <f aca="false">IF(AND(Y$39&gt;=4,Y$39&lt;=01_Supuestos!$I$145,01_Supuestos!$C$200="Sí"),IF(X122&lt;01_Supuestos!$C$201,01_Supuestos!$C$202*01_Supuestos!$I$89/1000000000000,0),0)</f>
        <v>0</v>
      </c>
      <c r="Z346" s="1" t="n">
        <f aca="false">IF(AND(Z$39&gt;=4,Z$39&lt;=01_Supuestos!$I$145,01_Supuestos!$C$200="Sí"),IF(Y122&lt;01_Supuestos!$C$201,01_Supuestos!$C$202*01_Supuestos!$I$89/1000000000000,0),0)</f>
        <v>0</v>
      </c>
      <c r="AA346" s="1" t="n">
        <f aca="false">IF(AND(AA$39&gt;=4,AA$39&lt;=01_Supuestos!$I$145,01_Supuestos!$C$200="Sí"),IF(Z122&lt;01_Supuestos!$C$201,01_Supuestos!$C$202*01_Supuestos!$I$89/1000000000000,0),0)</f>
        <v>0</v>
      </c>
      <c r="AB346" s="1" t="n">
        <f aca="false">IF(AND(AB$39&gt;=4,AB$39&lt;=01_Supuestos!$I$145,01_Supuestos!$C$200="Sí"),IF(AA122&lt;01_Supuestos!$C$201,01_Supuestos!$C$202*01_Supuestos!$I$89/1000000000000,0),0)</f>
        <v>0</v>
      </c>
      <c r="AC346" s="1" t="n">
        <f aca="false">IF(AND(AC$39&gt;=4,AC$39&lt;=01_Supuestos!$I$145,01_Supuestos!$C$200="Sí"),IF(AB122&lt;01_Supuestos!$C$201,01_Supuestos!$C$202*01_Supuestos!$I$89/1000000000000,0),0)</f>
        <v>0</v>
      </c>
      <c r="AD346" s="1" t="n">
        <f aca="false">IF(AND(AD$39&gt;=4,AD$39&lt;=01_Supuestos!$I$145,01_Supuestos!$C$200="Sí"),IF(AC122&lt;01_Supuestos!$C$201,01_Supuestos!$C$202*01_Supuestos!$I$89/1000000000000,0),0)</f>
        <v>0</v>
      </c>
      <c r="AE346" s="1" t="n">
        <f aca="false">IF(AND(AE$39&gt;=4,AE$39&lt;=01_Supuestos!$I$145,01_Supuestos!$C$200="Sí"),IF(AD122&lt;01_Supuestos!$C$201,01_Supuestos!$C$202*01_Supuestos!$I$89/1000000000000,0),0)</f>
        <v>0</v>
      </c>
      <c r="AF346" s="1" t="n">
        <f aca="false">IF(AND(AF$39&gt;=4,AF$39&lt;=01_Supuestos!$I$145,01_Supuestos!$C$200="Sí"),IF(AE122&lt;01_Supuestos!$C$201,01_Supuestos!$C$202*01_Supuestos!$I$89/1000000000000,0),0)</f>
        <v>0</v>
      </c>
    </row>
    <row r="347" customFormat="false" ht="14.25" hidden="false" customHeight="true" outlineLevel="0" collapsed="false">
      <c r="B347" s="1" t="s">
        <v>1340</v>
      </c>
      <c r="C347" s="1" t="n">
        <v>0</v>
      </c>
      <c r="D347" s="1" t="n">
        <f aca="false">C347+IF(D346&gt;0,1,0)</f>
        <v>0</v>
      </c>
      <c r="E347" s="1" t="n">
        <f aca="false">D347+IF(E346&gt;0,1,0)</f>
        <v>0</v>
      </c>
      <c r="F347" s="1" t="n">
        <f aca="false">E347+IF(F346&gt;0,1,0)</f>
        <v>0</v>
      </c>
      <c r="G347" s="1" t="n">
        <f aca="false">F347+IF(G346&gt;0,1,0)</f>
        <v>0</v>
      </c>
      <c r="H347" s="1" t="n">
        <f aca="false">G347+IF(H346&gt;0,1,0)</f>
        <v>0</v>
      </c>
      <c r="I347" s="1" t="n">
        <f aca="false">H347+IF(I346&gt;0,1,0)</f>
        <v>0</v>
      </c>
      <c r="J347" s="1" t="n">
        <f aca="false">I347+IF(J346&gt;0,1,0)</f>
        <v>0</v>
      </c>
      <c r="K347" s="1" t="n">
        <f aca="false">J347+IF(K346&gt;0,1,0)</f>
        <v>0</v>
      </c>
      <c r="L347" s="1" t="n">
        <f aca="false">K347+IF(L346&gt;0,1,0)</f>
        <v>0</v>
      </c>
      <c r="M347" s="1" t="n">
        <f aca="false">L347+IF(M346&gt;0,1,0)</f>
        <v>0</v>
      </c>
      <c r="N347" s="1" t="n">
        <f aca="false">M347+IF(N346&gt;0,1,0)</f>
        <v>0</v>
      </c>
      <c r="O347" s="1" t="n">
        <f aca="false">N347+IF(O346&gt;0,1,0)</f>
        <v>0</v>
      </c>
      <c r="P347" s="1" t="n">
        <f aca="false">O347+IF(P346&gt;0,1,0)</f>
        <v>0</v>
      </c>
      <c r="Q347" s="1" t="n">
        <f aca="false">P347+IF(Q346&gt;0,1,0)</f>
        <v>0</v>
      </c>
      <c r="R347" s="1" t="n">
        <f aca="false">Q347+IF(R346&gt;0,1,0)</f>
        <v>0</v>
      </c>
      <c r="S347" s="1" t="n">
        <f aca="false">R347+IF(S346&gt;0,1,0)</f>
        <v>0</v>
      </c>
      <c r="T347" s="1" t="n">
        <f aca="false">S347+IF(T346&gt;0,1,0)</f>
        <v>0</v>
      </c>
      <c r="U347" s="1" t="n">
        <f aca="false">T347+IF(U346&gt;0,1,0)</f>
        <v>0</v>
      </c>
      <c r="V347" s="1" t="n">
        <f aca="false">U347+IF(V346&gt;0,1,0)</f>
        <v>0</v>
      </c>
      <c r="W347" s="1" t="n">
        <f aca="false">V347+IF(W346&gt;0,1,0)</f>
        <v>0</v>
      </c>
      <c r="X347" s="1" t="n">
        <f aca="false">W347+IF(X346&gt;0,1,0)</f>
        <v>0</v>
      </c>
      <c r="Y347" s="1" t="n">
        <f aca="false">X347+IF(Y346&gt;0,1,0)</f>
        <v>0</v>
      </c>
      <c r="Z347" s="1" t="n">
        <f aca="false">Y347+IF(Z346&gt;0,1,0)</f>
        <v>0</v>
      </c>
      <c r="AA347" s="1" t="n">
        <f aca="false">Z347+IF(AA346&gt;0,1,0)</f>
        <v>0</v>
      </c>
      <c r="AB347" s="1" t="n">
        <f aca="false">AA347+IF(AB346&gt;0,1,0)</f>
        <v>0</v>
      </c>
      <c r="AC347" s="1" t="n">
        <f aca="false">AB347+IF(AC346&gt;0,1,0)</f>
        <v>0</v>
      </c>
      <c r="AD347" s="1" t="n">
        <f aca="false">AC347+IF(AD346&gt;0,1,0)</f>
        <v>0</v>
      </c>
      <c r="AE347" s="1" t="n">
        <f aca="false">AD347+IF(AE346&gt;0,1,0)</f>
        <v>0</v>
      </c>
      <c r="AF347" s="1" t="n">
        <f aca="false">AE347+IF(AF346&gt;0,1,0)</f>
        <v>0</v>
      </c>
    </row>
    <row r="348" customFormat="false" ht="14.25" hidden="false" customHeight="true" outlineLevel="0" collapsed="false">
      <c r="B348" s="1" t="s">
        <v>1341</v>
      </c>
      <c r="C348" s="1" t="n">
        <v>0</v>
      </c>
      <c r="D348" s="1" t="n">
        <f aca="false">IF(D$39&lt;4,0,01_Supuestos!$C$202*MAX(0,$C$26-01_Supuestos!$I$64)/1000000000000*D42)</f>
        <v>0</v>
      </c>
      <c r="E348" s="1" t="n">
        <f aca="false">IF(E$39&lt;4,0,01_Supuestos!$C$202*MAX(0,$C$26-01_Supuestos!$I$64)/1000000000000*E42)</f>
        <v>0</v>
      </c>
      <c r="F348" s="1" t="n">
        <f aca="false">IF(F$39&lt;4,0,01_Supuestos!$C$202*MAX(0,$C$26-01_Supuestos!$I$64)/1000000000000*F42)</f>
        <v>1.3623984</v>
      </c>
      <c r="G348" s="1" t="n">
        <f aca="false">IF(G$39&lt;4,0,01_Supuestos!$C$202*MAX(0,$C$26-01_Supuestos!$I$64)/1000000000000*G42)</f>
        <v>1.3623984</v>
      </c>
      <c r="H348" s="1" t="n">
        <f aca="false">IF(H$39&lt;4,0,01_Supuestos!$C$202*MAX(0,$C$26-01_Supuestos!$I$64)/1000000000000*H42)</f>
        <v>1.3623984</v>
      </c>
      <c r="I348" s="1" t="n">
        <f aca="false">IF(I$39&lt;4,0,01_Supuestos!$C$202*MAX(0,$C$26-01_Supuestos!$I$64)/1000000000000*I42)</f>
        <v>1.3623984</v>
      </c>
      <c r="J348" s="1" t="n">
        <f aca="false">IF(J$39&lt;4,0,01_Supuestos!$C$202*MAX(0,$C$26-01_Supuestos!$I$64)/1000000000000*J42)</f>
        <v>1.3623984</v>
      </c>
      <c r="K348" s="1" t="n">
        <f aca="false">IF(K$39&lt;4,0,01_Supuestos!$C$202*MAX(0,$C$26-01_Supuestos!$I$64)/1000000000000*K42)</f>
        <v>1.3623984</v>
      </c>
      <c r="L348" s="1" t="n">
        <f aca="false">IF(L$39&lt;4,0,01_Supuestos!$C$202*MAX(0,$C$26-01_Supuestos!$I$64)/1000000000000*L42)</f>
        <v>1.3623984</v>
      </c>
      <c r="M348" s="1" t="n">
        <f aca="false">IF(M$39&lt;4,0,01_Supuestos!$C$202*MAX(0,$C$26-01_Supuestos!$I$64)/1000000000000*M42)</f>
        <v>1.3623984</v>
      </c>
      <c r="N348" s="1" t="n">
        <f aca="false">IF(N$39&lt;4,0,01_Supuestos!$C$202*MAX(0,$C$26-01_Supuestos!$I$64)/1000000000000*N42)</f>
        <v>1.3623984</v>
      </c>
      <c r="O348" s="1" t="n">
        <f aca="false">IF(O$39&lt;4,0,01_Supuestos!$C$202*MAX(0,$C$26-01_Supuestos!$I$64)/1000000000000*O42)</f>
        <v>1.3623984</v>
      </c>
      <c r="P348" s="1" t="n">
        <f aca="false">IF(P$39&lt;4,0,01_Supuestos!$C$202*MAX(0,$C$26-01_Supuestos!$I$64)/1000000000000*P42)</f>
        <v>1.3623984</v>
      </c>
      <c r="Q348" s="1" t="n">
        <f aca="false">IF(Q$39&lt;4,0,01_Supuestos!$C$202*MAX(0,$C$26-01_Supuestos!$I$64)/1000000000000*Q42)</f>
        <v>1.3623984</v>
      </c>
      <c r="R348" s="1" t="n">
        <f aca="false">IF(R$39&lt;4,0,01_Supuestos!$C$202*MAX(0,$C$26-01_Supuestos!$I$64)/1000000000000*R42)</f>
        <v>1.3623984</v>
      </c>
      <c r="S348" s="1" t="n">
        <f aca="false">IF(S$39&lt;4,0,01_Supuestos!$C$202*MAX(0,$C$26-01_Supuestos!$I$64)/1000000000000*S42)</f>
        <v>1.3623984</v>
      </c>
      <c r="T348" s="1" t="n">
        <f aca="false">IF(T$39&lt;4,0,01_Supuestos!$C$202*MAX(0,$C$26-01_Supuestos!$I$64)/1000000000000*T42)</f>
        <v>1.3623984</v>
      </c>
      <c r="U348" s="1" t="n">
        <f aca="false">IF(U$39&lt;4,0,01_Supuestos!$C$202*MAX(0,$C$26-01_Supuestos!$I$64)/1000000000000*U42)</f>
        <v>1.3623984</v>
      </c>
      <c r="V348" s="1" t="n">
        <f aca="false">IF(V$39&lt;4,0,01_Supuestos!$C$202*MAX(0,$C$26-01_Supuestos!$I$64)/1000000000000*V42)</f>
        <v>1.3623984</v>
      </c>
      <c r="W348" s="1" t="n">
        <f aca="false">IF(W$39&lt;4,0,01_Supuestos!$C$202*MAX(0,$C$26-01_Supuestos!$I$64)/1000000000000*W42)</f>
        <v>1.3623984</v>
      </c>
      <c r="X348" s="1" t="n">
        <f aca="false">IF(X$39&lt;4,0,01_Supuestos!$C$202*MAX(0,$C$26-01_Supuestos!$I$64)/1000000000000*X42)</f>
        <v>1.3623984</v>
      </c>
      <c r="Y348" s="1" t="n">
        <f aca="false">IF(Y$39&lt;4,0,01_Supuestos!$C$202*MAX(0,$C$26-01_Supuestos!$I$64)/1000000000000*Y42)</f>
        <v>1.3623984</v>
      </c>
      <c r="Z348" s="1" t="n">
        <f aca="false">IF(Z$39&lt;4,0,01_Supuestos!$C$202*MAX(0,$C$26-01_Supuestos!$I$64)/1000000000000*Z42)</f>
        <v>1.3623984</v>
      </c>
      <c r="AA348" s="1" t="n">
        <f aca="false">IF(AA$39&lt;4,0,01_Supuestos!$C$202*MAX(0,$C$26-01_Supuestos!$I$64)/1000000000000*AA42)</f>
        <v>1.3623984</v>
      </c>
      <c r="AB348" s="1" t="n">
        <f aca="false">IF(AB$39&lt;4,0,01_Supuestos!$C$202*MAX(0,$C$26-01_Supuestos!$I$64)/1000000000000*AB42)</f>
        <v>1.3623984</v>
      </c>
      <c r="AC348" s="1" t="n">
        <f aca="false">IF(AC$39&lt;4,0,01_Supuestos!$C$202*MAX(0,$C$26-01_Supuestos!$I$64)/1000000000000*AC42)</f>
        <v>1.3623984</v>
      </c>
      <c r="AD348" s="1" t="n">
        <f aca="false">IF(AD$39&lt;4,0,01_Supuestos!$C$202*MAX(0,$C$26-01_Supuestos!$I$64)/1000000000000*AD42)</f>
        <v>1.3623984</v>
      </c>
      <c r="AE348" s="1" t="n">
        <f aca="false">IF(AE$39&lt;4,0,01_Supuestos!$C$202*MAX(0,$C$26-01_Supuestos!$I$64)/1000000000000*AE42)</f>
        <v>1.3623984</v>
      </c>
      <c r="AF348" s="1" t="n">
        <f aca="false">IF(AF$39&lt;4,0,01_Supuestos!$C$202*MAX(0,$C$26-01_Supuestos!$I$64)/1000000000000*AF42)</f>
        <v>1.3623984</v>
      </c>
    </row>
  </sheetData>
  <mergeCells count="1">
    <mergeCell ref="B3:P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58"/>
    <col collapsed="false" customWidth="true" hidden="false" outlineLevel="0" max="11" min="3" style="1" width="9"/>
  </cols>
  <sheetData>
    <row r="1" customFormat="false" ht="15" hidden="false" customHeight="true" outlineLevel="0" collapsed="false">
      <c r="B1" s="222" t="s">
        <v>1944</v>
      </c>
    </row>
    <row r="2" customFormat="false" ht="15" hidden="false" customHeight="true" outlineLevel="0" collapsed="false">
      <c r="B2" s="1" t="s">
        <v>1945</v>
      </c>
    </row>
    <row r="4" customFormat="false" ht="15" hidden="false" customHeight="true" outlineLevel="0" collapsed="false">
      <c r="B4" s="1" t="s">
        <v>1946</v>
      </c>
      <c r="D4" s="91" t="n">
        <v>100</v>
      </c>
    </row>
    <row r="5" customFormat="false" ht="15" hidden="false" customHeight="true" outlineLevel="0" collapsed="false">
      <c r="B5" s="1" t="s">
        <v>1929</v>
      </c>
      <c r="D5" s="91" t="n">
        <v>5</v>
      </c>
    </row>
    <row r="6" customFormat="false" ht="15" hidden="false" customHeight="true" outlineLevel="0" collapsed="false">
      <c r="B6" s="1" t="s">
        <v>1928</v>
      </c>
      <c r="D6" s="91" t="n">
        <v>0.3</v>
      </c>
    </row>
    <row r="7" customFormat="false" ht="15" hidden="false" customHeight="true" outlineLevel="0" collapsed="false">
      <c r="B7" s="1" t="s">
        <v>1947</v>
      </c>
      <c r="D7" s="91" t="n">
        <v>2</v>
      </c>
    </row>
    <row r="8" customFormat="false" ht="15" hidden="false" customHeight="true" outlineLevel="0" collapsed="false">
      <c r="B8" s="1" t="s">
        <v>1948</v>
      </c>
      <c r="D8" s="91" t="n">
        <v>1</v>
      </c>
    </row>
    <row r="9" customFormat="false" ht="15" hidden="false" customHeight="true" outlineLevel="0" collapsed="false">
      <c r="B9" s="1" t="s">
        <v>1949</v>
      </c>
      <c r="D9" s="91" t="n">
        <v>1</v>
      </c>
    </row>
    <row r="10" customFormat="false" ht="15" hidden="false" customHeight="true" outlineLevel="0" collapsed="false">
      <c r="B10" s="1" t="s">
        <v>1950</v>
      </c>
      <c r="D10" s="91" t="n">
        <v>0.043</v>
      </c>
    </row>
    <row r="13" customFormat="false" ht="15" hidden="false" customHeight="true" outlineLevel="0" collapsed="false">
      <c r="B13" s="223" t="s">
        <v>784</v>
      </c>
      <c r="C13" s="224" t="n">
        <v>0</v>
      </c>
      <c r="D13" s="224" t="n">
        <v>1</v>
      </c>
      <c r="E13" s="224" t="n">
        <v>2</v>
      </c>
      <c r="F13" s="224" t="n">
        <v>3</v>
      </c>
      <c r="G13" s="224" t="n">
        <v>4</v>
      </c>
      <c r="H13" s="224" t="n">
        <v>5</v>
      </c>
      <c r="I13" s="224" t="n">
        <v>6</v>
      </c>
      <c r="J13" s="224" t="n">
        <v>7</v>
      </c>
      <c r="K13" s="224" t="n">
        <v>8</v>
      </c>
    </row>
    <row r="14" customFormat="false" ht="15" hidden="false" customHeight="true" outlineLevel="0" collapsed="false">
      <c r="B14" s="225" t="s">
        <v>1951</v>
      </c>
      <c r="C14" s="1" t="n">
        <v>0</v>
      </c>
      <c r="D14" s="1" t="n">
        <f aca="false">C17</f>
        <v>100</v>
      </c>
      <c r="E14" s="1" t="n">
        <f aca="false">D17</f>
        <v>80</v>
      </c>
      <c r="F14" s="1" t="n">
        <f aca="false">E17</f>
        <v>0</v>
      </c>
      <c r="G14" s="1" t="n">
        <f aca="false">F17</f>
        <v>0</v>
      </c>
      <c r="H14" s="1" t="n">
        <f aca="false">G17</f>
        <v>0</v>
      </c>
      <c r="I14" s="1" t="n">
        <f aca="false">H17</f>
        <v>0</v>
      </c>
      <c r="J14" s="1" t="n">
        <f aca="false">I17</f>
        <v>0</v>
      </c>
      <c r="K14" s="1" t="n">
        <f aca="false">J17</f>
        <v>0</v>
      </c>
    </row>
    <row r="15" customFormat="false" ht="15" hidden="false" customHeight="true" outlineLevel="0" collapsed="false">
      <c r="B15" s="225" t="s">
        <v>1952</v>
      </c>
      <c r="C15" s="1" t="n">
        <v>0</v>
      </c>
      <c r="D15" s="1" t="n">
        <f aca="false">IF(D13&lt;$D$7,MIN(D14,$D$4/$D$5),0)</f>
        <v>20</v>
      </c>
      <c r="E15" s="1" t="n">
        <f aca="false">IF(E13&lt;$D$7,MIN(E14,$D$4/$D$5),0)</f>
        <v>0</v>
      </c>
      <c r="F15" s="1" t="n">
        <f aca="false">IF(F13&lt;$D$7,MIN(F14,$D$4/$D$5),0)</f>
        <v>0</v>
      </c>
      <c r="G15" s="1" t="n">
        <f aca="false">IF(G13&lt;$D$7,MIN(G14,$D$4/$D$5),0)</f>
        <v>0</v>
      </c>
      <c r="H15" s="1" t="n">
        <f aca="false">IF(H13&lt;$D$7,MIN(H14,$D$4/$D$5),0)</f>
        <v>0</v>
      </c>
      <c r="I15" s="1" t="n">
        <f aca="false">IF(I13&lt;$D$7,MIN(I14,$D$4/$D$5),0)</f>
        <v>0</v>
      </c>
      <c r="J15" s="1" t="n">
        <f aca="false">IF(J13&lt;$D$7,MIN(J14,$D$4/$D$5),0)</f>
        <v>0</v>
      </c>
      <c r="K15" s="1" t="n">
        <f aca="false">IF(K13&lt;$D$7,MIN(K14,$D$4/$D$5),0)</f>
        <v>0</v>
      </c>
    </row>
    <row r="16" customFormat="false" ht="15" hidden="false" customHeight="true" outlineLevel="0" collapsed="false">
      <c r="B16" s="225" t="s">
        <v>1953</v>
      </c>
      <c r="C16" s="1" t="n">
        <v>0</v>
      </c>
      <c r="D16" s="1" t="n">
        <f aca="false">IF(D13=$D$7,D14,0)</f>
        <v>0</v>
      </c>
      <c r="E16" s="1" t="n">
        <f aca="false">IF(E13=$D$7,E14,0)</f>
        <v>80</v>
      </c>
      <c r="F16" s="1" t="n">
        <f aca="false">IF(F13=$D$7,F14,0)</f>
        <v>0</v>
      </c>
      <c r="G16" s="1" t="n">
        <f aca="false">IF(G13=$D$7,G14,0)</f>
        <v>0</v>
      </c>
      <c r="H16" s="1" t="n">
        <f aca="false">IF(H13=$D$7,H14,0)</f>
        <v>0</v>
      </c>
      <c r="I16" s="1" t="n">
        <f aca="false">IF(I13=$D$7,I14,0)</f>
        <v>0</v>
      </c>
      <c r="J16" s="1" t="n">
        <f aca="false">IF(J13=$D$7,J14,0)</f>
        <v>0</v>
      </c>
      <c r="K16" s="1" t="n">
        <f aca="false">IF(K13=$D$7,K14,0)</f>
        <v>0</v>
      </c>
    </row>
    <row r="17" customFormat="false" ht="15" hidden="false" customHeight="true" outlineLevel="0" collapsed="false">
      <c r="B17" s="225" t="s">
        <v>1954</v>
      </c>
      <c r="C17" s="1" t="n">
        <f aca="false">$D$4</f>
        <v>100</v>
      </c>
      <c r="D17" s="1" t="n">
        <f aca="false">D14-D15-D16</f>
        <v>80</v>
      </c>
      <c r="E17" s="1" t="n">
        <f aca="false">E14-E15-E16</f>
        <v>0</v>
      </c>
      <c r="F17" s="1" t="n">
        <f aca="false">F14-F15-F16</f>
        <v>0</v>
      </c>
      <c r="G17" s="1" t="n">
        <f aca="false">G14-G15-G16</f>
        <v>0</v>
      </c>
      <c r="H17" s="1" t="n">
        <f aca="false">H14-H15-H16</f>
        <v>0</v>
      </c>
      <c r="I17" s="1" t="n">
        <f aca="false">I14-I15-I16</f>
        <v>0</v>
      </c>
      <c r="J17" s="1" t="n">
        <f aca="false">J14-J15-J16</f>
        <v>0</v>
      </c>
      <c r="K17" s="1" t="n">
        <f aca="false">K14-K15-K16</f>
        <v>0</v>
      </c>
    </row>
    <row r="18" customFormat="false" ht="15" hidden="false" customHeight="true" outlineLevel="0" collapsed="false">
      <c r="B18" s="225" t="s">
        <v>1955</v>
      </c>
      <c r="C18" s="1" t="n">
        <v>0</v>
      </c>
      <c r="D18" s="1" t="n">
        <f aca="false">IF(D13&lt;$D$7,D14*$D$10,0)</f>
        <v>4.3</v>
      </c>
      <c r="E18" s="1" t="n">
        <f aca="false">IF(E13&lt;$D$7,E14*$D$10,0)</f>
        <v>0</v>
      </c>
      <c r="F18" s="1" t="n">
        <f aca="false">IF(F13&lt;$D$7,F14*$D$10,0)</f>
        <v>0</v>
      </c>
      <c r="G18" s="1" t="n">
        <f aca="false">IF(G13&lt;$D$7,G14*$D$10,0)</f>
        <v>0</v>
      </c>
      <c r="H18" s="1" t="n">
        <f aca="false">IF(H13&lt;$D$7,H14*$D$10,0)</f>
        <v>0</v>
      </c>
      <c r="I18" s="1" t="n">
        <f aca="false">IF(I13&lt;$D$7,I14*$D$10,0)</f>
        <v>0</v>
      </c>
      <c r="J18" s="1" t="n">
        <f aca="false">IF(J13&lt;$D$7,J14*$D$10,0)</f>
        <v>0</v>
      </c>
      <c r="K18" s="1" t="n">
        <f aca="false">IF(K13&lt;$D$7,K14*$D$10,0)</f>
        <v>0</v>
      </c>
    </row>
    <row r="19" customFormat="false" ht="15" hidden="false" customHeight="true" outlineLevel="0" collapsed="false">
      <c r="B19" s="225" t="s">
        <v>1956</v>
      </c>
      <c r="C19" s="1" t="n">
        <v>0</v>
      </c>
      <c r="D19" s="1" t="n">
        <f aca="false">D16*$D$8</f>
        <v>0</v>
      </c>
      <c r="E19" s="1" t="n">
        <f aca="false">E16*$D$8</f>
        <v>80</v>
      </c>
      <c r="F19" s="1" t="n">
        <f aca="false">F16*$D$8</f>
        <v>0</v>
      </c>
      <c r="G19" s="1" t="n">
        <f aca="false">G16*$D$8</f>
        <v>0</v>
      </c>
      <c r="H19" s="1" t="n">
        <f aca="false">H16*$D$8</f>
        <v>0</v>
      </c>
      <c r="I19" s="1" t="n">
        <f aca="false">I16*$D$8</f>
        <v>0</v>
      </c>
      <c r="J19" s="1" t="n">
        <f aca="false">J16*$D$8</f>
        <v>0</v>
      </c>
      <c r="K19" s="1" t="n">
        <f aca="false">K16*$D$8</f>
        <v>0</v>
      </c>
    </row>
    <row r="20" customFormat="false" ht="15" hidden="false" customHeight="true" outlineLevel="0" collapsed="false">
      <c r="B20" s="225" t="s">
        <v>1957</v>
      </c>
      <c r="C20" s="1" t="n">
        <v>0</v>
      </c>
      <c r="D20" s="1" t="n">
        <f aca="false">IF(D13=$D$7+$D$9,SUM($C$19:D19),0)</f>
        <v>0</v>
      </c>
      <c r="E20" s="1" t="n">
        <f aca="false">IF(E13=$D$7+$D$9,SUM($C$19:E19),0)</f>
        <v>0</v>
      </c>
      <c r="F20" s="1" t="n">
        <f aca="false">IF(F13=$D$7+$D$9,SUM($C$19:F19),0)</f>
        <v>80</v>
      </c>
      <c r="G20" s="1" t="n">
        <f aca="false">IF(G13=$D$7+$D$9,SUM($C$19:G19),0)</f>
        <v>0</v>
      </c>
      <c r="H20" s="1" t="n">
        <f aca="false">IF(H13=$D$7+$D$9,SUM($C$19:H19),0)</f>
        <v>0</v>
      </c>
      <c r="I20" s="1" t="n">
        <f aca="false">IF(I13=$D$7+$D$9,SUM($C$19:I19),0)</f>
        <v>0</v>
      </c>
      <c r="J20" s="1" t="n">
        <f aca="false">IF(J13=$D$7+$D$9,SUM($C$19:J19),0)</f>
        <v>0</v>
      </c>
      <c r="K20" s="1" t="n">
        <f aca="false">IF(K13=$D$7+$D$9,SUM($C$19:K19),0)</f>
        <v>0</v>
      </c>
    </row>
    <row r="21" customFormat="false" ht="15" hidden="false" customHeight="true" outlineLevel="0" collapsed="false">
      <c r="B21" s="225" t="s">
        <v>1958</v>
      </c>
      <c r="C21" s="1" t="n">
        <v>0</v>
      </c>
      <c r="D21" s="1" t="n">
        <f aca="false">C21+D19-D20</f>
        <v>0</v>
      </c>
      <c r="E21" s="1" t="n">
        <f aca="false">D21+E19-E20</f>
        <v>80</v>
      </c>
      <c r="F21" s="1" t="n">
        <f aca="false">E21+F19-F20</f>
        <v>0</v>
      </c>
      <c r="G21" s="1" t="n">
        <f aca="false">F21+G19-G20</f>
        <v>0</v>
      </c>
      <c r="H21" s="1" t="n">
        <f aca="false">G21+H19-H20</f>
        <v>0</v>
      </c>
      <c r="I21" s="1" t="n">
        <f aca="false">H21+I19-I20</f>
        <v>0</v>
      </c>
      <c r="J21" s="1" t="n">
        <f aca="false">I21+J19-J20</f>
        <v>0</v>
      </c>
      <c r="K21" s="1" t="n">
        <f aca="false">J21+K19-K20</f>
        <v>0</v>
      </c>
    </row>
    <row r="22" customFormat="false" ht="15" hidden="false" customHeight="true" outlineLevel="0" collapsed="false">
      <c r="B22" s="225" t="s">
        <v>1959</v>
      </c>
      <c r="C22" s="1" t="n">
        <v>0</v>
      </c>
      <c r="D22" s="1" t="n">
        <f aca="false">D16*(1-$D$8)</f>
        <v>0</v>
      </c>
      <c r="E22" s="1" t="n">
        <f aca="false">E16*(1-$D$8)</f>
        <v>0</v>
      </c>
      <c r="F22" s="1" t="n">
        <f aca="false">F16*(1-$D$8)</f>
        <v>0</v>
      </c>
      <c r="G22" s="1" t="n">
        <f aca="false">G16*(1-$D$8)</f>
        <v>0</v>
      </c>
      <c r="H22" s="1" t="n">
        <f aca="false">H16*(1-$D$8)</f>
        <v>0</v>
      </c>
      <c r="I22" s="1" t="n">
        <f aca="false">I16*(1-$D$8)</f>
        <v>0</v>
      </c>
      <c r="J22" s="1" t="n">
        <f aca="false">J16*(1-$D$8)</f>
        <v>0</v>
      </c>
      <c r="K22" s="1" t="n">
        <f aca="false">K16*(1-$D$8)</f>
        <v>0</v>
      </c>
    </row>
    <row r="23" customFormat="false" ht="27.75" hidden="false" customHeight="true" outlineLevel="0" collapsed="false">
      <c r="B23" s="225" t="s">
        <v>1960</v>
      </c>
      <c r="C23" s="1" t="n">
        <v>0</v>
      </c>
      <c r="D23" s="1" t="n">
        <f aca="false">D16</f>
        <v>0</v>
      </c>
      <c r="E23" s="1" t="n">
        <f aca="false">E16</f>
        <v>80</v>
      </c>
      <c r="F23" s="1" t="n">
        <f aca="false">F16</f>
        <v>0</v>
      </c>
      <c r="G23" s="1" t="n">
        <f aca="false">G16</f>
        <v>0</v>
      </c>
      <c r="H23" s="1" t="n">
        <f aca="false">H16</f>
        <v>0</v>
      </c>
      <c r="I23" s="1" t="n">
        <f aca="false">I16</f>
        <v>0</v>
      </c>
      <c r="J23" s="1" t="n">
        <f aca="false">J16</f>
        <v>0</v>
      </c>
      <c r="K23" s="1" t="n">
        <f aca="false">K16</f>
        <v>0</v>
      </c>
    </row>
    <row r="24" customFormat="false" ht="27.75" hidden="false" customHeight="true" outlineLevel="0" collapsed="false">
      <c r="B24" s="225" t="s">
        <v>1961</v>
      </c>
      <c r="C24" s="1" t="n">
        <v>0</v>
      </c>
      <c r="D24" s="1" t="n">
        <f aca="false">D16-D20</f>
        <v>0</v>
      </c>
      <c r="E24" s="1" t="n">
        <f aca="false">E16-E20</f>
        <v>80</v>
      </c>
      <c r="F24" s="1" t="n">
        <f aca="false">F16-F20</f>
        <v>-80</v>
      </c>
      <c r="G24" s="1" t="n">
        <f aca="false">G16-G20</f>
        <v>0</v>
      </c>
      <c r="H24" s="1" t="n">
        <f aca="false">H16-H20</f>
        <v>0</v>
      </c>
      <c r="I24" s="1" t="n">
        <f aca="false">I16-I20</f>
        <v>0</v>
      </c>
      <c r="J24" s="1" t="n">
        <f aca="false">J16-J20</f>
        <v>0</v>
      </c>
      <c r="K24" s="1" t="n">
        <f aca="false">K16-K20</f>
        <v>0</v>
      </c>
    </row>
    <row r="25" customFormat="false" ht="15" hidden="false" customHeight="true" outlineLevel="0" collapsed="false">
      <c r="B25" s="225" t="s">
        <v>1962</v>
      </c>
      <c r="C25" s="1" t="n">
        <f aca="false">$D$4*$D$6</f>
        <v>30</v>
      </c>
      <c r="D25" s="1" t="n">
        <f aca="false">C25-D26-D27</f>
        <v>10</v>
      </c>
      <c r="E25" s="1" t="n">
        <f aca="false">D25-E26-E27</f>
        <v>10</v>
      </c>
      <c r="F25" s="1" t="n">
        <f aca="false">E25-F26-F27</f>
        <v>0</v>
      </c>
      <c r="G25" s="1" t="n">
        <f aca="false">F25-G26-G27</f>
        <v>0</v>
      </c>
      <c r="H25" s="1" t="n">
        <f aca="false">G25-H26-H27</f>
        <v>0</v>
      </c>
      <c r="I25" s="1" t="n">
        <f aca="false">H25-I26-I27</f>
        <v>0</v>
      </c>
      <c r="J25" s="1" t="n">
        <f aca="false">I25-J26-J27</f>
        <v>0</v>
      </c>
      <c r="K25" s="1" t="n">
        <f aca="false">J25-K26-K27</f>
        <v>0</v>
      </c>
    </row>
    <row r="26" customFormat="false" ht="41.25" hidden="false" customHeight="true" outlineLevel="0" collapsed="false">
      <c r="B26" s="225" t="s">
        <v>1963</v>
      </c>
      <c r="C26" s="1" t="n">
        <v>0</v>
      </c>
      <c r="D26" s="1" t="n">
        <f aca="false">MIN(C25,D15+D20)</f>
        <v>20</v>
      </c>
      <c r="E26" s="1" t="n">
        <f aca="false">MIN(D25,E15+E20)</f>
        <v>0</v>
      </c>
      <c r="F26" s="1" t="n">
        <f aca="false">MIN(E25,F15+F20)</f>
        <v>10</v>
      </c>
      <c r="G26" s="1" t="n">
        <f aca="false">MIN(F25,G15+G20)</f>
        <v>0</v>
      </c>
      <c r="H26" s="1" t="n">
        <f aca="false">MIN(G25,H15+H20)</f>
        <v>0</v>
      </c>
      <c r="I26" s="1" t="n">
        <f aca="false">MIN(H25,I15+I20)</f>
        <v>0</v>
      </c>
      <c r="J26" s="1" t="n">
        <f aca="false">MIN(I25,J15+J20)</f>
        <v>0</v>
      </c>
      <c r="K26" s="1" t="n">
        <f aca="false">MIN(J25,K15+K20)</f>
        <v>0</v>
      </c>
    </row>
    <row r="27" customFormat="false" ht="15" hidden="false" customHeight="true" outlineLevel="0" collapsed="false">
      <c r="B27" s="1" t="s">
        <v>1964</v>
      </c>
      <c r="C27" s="1" t="n">
        <v>0</v>
      </c>
      <c r="D27" s="1" t="n">
        <f aca="false">IF(AND(AND(SUM($D$16:D16)&gt;0,D13&gt;=$D$7+IF($D$8&gt;0,$D$9,0)),SUM($C$27:C27)=0),C25-MIN(C25,D15+D20),0)</f>
        <v>0</v>
      </c>
      <c r="E27" s="1" t="n">
        <f aca="false">IF(AND(AND(SUM($D$16:E16)&gt;0,E13&gt;=$D$7+IF($D$8&gt;0,$D$9,0)),SUM($C$27:D27)=0),D25-MIN(D25,E15+E20),0)</f>
        <v>0</v>
      </c>
      <c r="F27" s="1" t="n">
        <f aca="false">IF(AND(AND(SUM($D$16:F16)&gt;0,F13&gt;=$D$7+IF($D$8&gt;0,$D$9,0)),SUM($C$27:E27)=0),E25-MIN(E25,F15+F20),0)</f>
        <v>0</v>
      </c>
      <c r="G27" s="1" t="n">
        <f aca="false">IF(AND(AND(SUM($D$16:G16)&gt;0,G13&gt;=$D$7+IF($D$8&gt;0,$D$9,0)),SUM($C$27:F27)=0),F25-MIN(F25,G15+G20),0)</f>
        <v>0</v>
      </c>
      <c r="H27" s="1" t="n">
        <f aca="false">IF(AND(AND(SUM($D$16:H16)&gt;0,H13&gt;=$D$7+IF($D$8&gt;0,$D$9,0)),SUM($C$27:G27)=0),G25-MIN(G25,H15+H20),0)</f>
        <v>0</v>
      </c>
      <c r="I27" s="1" t="n">
        <f aca="false">IF(AND(AND(SUM($D$16:I16)&gt;0,I13&gt;=$D$7+IF($D$8&gt;0,$D$9,0)),SUM($C$27:H27)=0),H25-MIN(H25,I15+I20),0)</f>
        <v>0</v>
      </c>
      <c r="J27" s="1" t="n">
        <f aca="false">IF(AND(AND(SUM($D$16:J16)&gt;0,J13&gt;=$D$7+IF($D$8&gt;0,$D$9,0)),SUM($C$27:I27)=0),I25-MIN(I25,J15+J20),0)</f>
        <v>0</v>
      </c>
      <c r="K27" s="1" t="n">
        <f aca="false">IF(AND(AND(SUM($D$16:K16)&gt;0,K13&gt;=$D$7+IF($D$8&gt;0,$D$9,0)),SUM($C$27:J27)=0),J25-MIN(J25,K15+K20),0)</f>
        <v>0</v>
      </c>
    </row>
    <row r="28" customFormat="false" ht="15" hidden="false" customHeight="true" outlineLevel="0" collapsed="false">
      <c r="B28" s="147" t="s">
        <v>1965</v>
      </c>
    </row>
    <row r="29" customFormat="false" ht="15" hidden="false" customHeight="true" outlineLevel="0" collapsed="false">
      <c r="B29" s="147" t="s">
        <v>1965</v>
      </c>
    </row>
    <row r="30" customFormat="false" ht="15" hidden="false" customHeight="true" outlineLevel="0" collapsed="false">
      <c r="B30" s="1" t="s">
        <v>1966</v>
      </c>
      <c r="D30" s="1" t="n">
        <f aca="false">ROUND($D$4-SUM(D15:K15)-SUM(D16:K16)-K17,6)</f>
        <v>0</v>
      </c>
    </row>
    <row r="31" customFormat="false" ht="15" hidden="false" customHeight="true" outlineLevel="0" collapsed="false">
      <c r="B31" s="1" t="s">
        <v>1967</v>
      </c>
      <c r="D31" s="1" t="n">
        <f aca="false">ROUND(SUM(D16:K16)-SUM(D20:K20)-SUM(D22:K22)-K21,6)</f>
        <v>0</v>
      </c>
    </row>
    <row r="32" customFormat="false" ht="15" hidden="false" customHeight="true" outlineLevel="0" collapsed="false">
      <c r="B32" s="1" t="s">
        <v>1968</v>
      </c>
      <c r="D32" s="1" t="n">
        <f aca="false">ROUND(SUM(D24:K24)-SUM(D22:K22)-K21,6)</f>
        <v>0</v>
      </c>
    </row>
    <row r="33" customFormat="false" ht="15" hidden="false" customHeight="true" outlineLevel="0" collapsed="false">
      <c r="B33" s="1" t="s">
        <v>1969</v>
      </c>
      <c r="D33" s="1" t="n">
        <f aca="false">ROUND(C25-SUM(D26:K26)-SUM(D27:K27)-K25,6)</f>
        <v>0</v>
      </c>
    </row>
    <row r="34" customFormat="false" ht="15" hidden="false" customHeight="true" outlineLevel="0" collapsed="false">
      <c r="B34" s="1" t="s">
        <v>1970</v>
      </c>
      <c r="D34" s="1" t="n">
        <f aca="false">SUMPRODUCT((D26:K26&gt;D15:K15+D20:K20+0.000001)*1)</f>
        <v>0</v>
      </c>
    </row>
    <row r="35" customFormat="false" ht="15" hidden="false" customHeight="true" outlineLevel="0" collapsed="false"/>
    <row r="36" customFormat="false" ht="15" hidden="false" customHeight="true" outlineLevel="0" collapsed="false">
      <c r="B36" s="1" t="s">
        <v>1971</v>
      </c>
    </row>
    <row r="37" customFormat="false" ht="15" hidden="false" customHeight="true" outlineLevel="0" collapsed="false">
      <c r="B37" s="1" t="s">
        <v>1972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N7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2" style="1" width="34"/>
    <col collapsed="false" customWidth="true" hidden="false" outlineLevel="0" max="4" min="4" style="1" width="30"/>
    <col collapsed="false" customWidth="true" hidden="false" outlineLevel="0" max="5" min="5" style="1" width="11"/>
    <col collapsed="false" customWidth="true" hidden="false" outlineLevel="0" max="6" min="6" style="1" width="9"/>
    <col collapsed="false" customWidth="true" hidden="false" outlineLevel="0" max="7" min="7" style="1" width="11"/>
    <col collapsed="false" customWidth="true" hidden="false" outlineLevel="0" max="9" min="8" style="1" width="10"/>
    <col collapsed="false" customWidth="true" hidden="false" outlineLevel="0" max="10" min="10" style="1" width="12"/>
    <col collapsed="false" customWidth="true" hidden="false" outlineLevel="0" max="13" min="11" style="1" width="11"/>
    <col collapsed="false" customWidth="true" hidden="false" outlineLevel="0" max="14" min="14" style="1" width="13"/>
  </cols>
  <sheetData>
    <row r="1" customFormat="false" ht="15" hidden="false" customHeight="true" outlineLevel="0" collapsed="false">
      <c r="B1" s="222" t="s">
        <v>1973</v>
      </c>
    </row>
    <row r="2" customFormat="false" ht="15" hidden="false" customHeight="true" outlineLevel="0" collapsed="false">
      <c r="B2" s="1" t="s">
        <v>1974</v>
      </c>
    </row>
    <row r="4" customFormat="false" ht="41.25" hidden="false" customHeight="true" outlineLevel="0" collapsed="false">
      <c r="B4" s="220" t="s">
        <v>929</v>
      </c>
      <c r="C4" s="220" t="s">
        <v>1839</v>
      </c>
      <c r="D4" s="220" t="s">
        <v>1840</v>
      </c>
      <c r="E4" s="220" t="s">
        <v>1975</v>
      </c>
      <c r="F4" s="220" t="s">
        <v>1843</v>
      </c>
      <c r="G4" s="220" t="s">
        <v>1976</v>
      </c>
      <c r="H4" s="220" t="s">
        <v>1977</v>
      </c>
      <c r="I4" s="220" t="s">
        <v>1978</v>
      </c>
      <c r="J4" s="220" t="s">
        <v>1979</v>
      </c>
      <c r="K4" s="220" t="s">
        <v>1980</v>
      </c>
      <c r="L4" s="220" t="s">
        <v>1981</v>
      </c>
      <c r="M4" s="220" t="s">
        <v>1982</v>
      </c>
      <c r="N4" s="220" t="s">
        <v>1983</v>
      </c>
    </row>
    <row r="5" customFormat="false" ht="15" hidden="false" customHeight="true" outlineLevel="0" collapsed="false">
      <c r="B5" s="1" t="s">
        <v>1984</v>
      </c>
      <c r="C5" s="1" t="s">
        <v>955</v>
      </c>
      <c r="D5" s="1" t="s">
        <v>620</v>
      </c>
      <c r="E5" s="1" t="n">
        <v>177.8</v>
      </c>
      <c r="F5" s="1" t="n">
        <v>0</v>
      </c>
      <c r="G5" s="1" t="n">
        <v>0</v>
      </c>
      <c r="H5" s="1" t="n">
        <v>2.79</v>
      </c>
      <c r="I5" s="1" t="n">
        <v>-6.3</v>
      </c>
      <c r="J5" s="1" t="n">
        <v>6.44</v>
      </c>
      <c r="K5" s="1" t="n">
        <v>0</v>
      </c>
      <c r="L5" s="1" t="n">
        <v>-141.98</v>
      </c>
      <c r="M5" s="1" t="n">
        <v>0</v>
      </c>
      <c r="N5" s="1" t="n">
        <v>0</v>
      </c>
    </row>
    <row r="6" customFormat="false" ht="15" hidden="false" customHeight="true" outlineLevel="0" collapsed="false">
      <c r="D6" s="1" t="s">
        <v>622</v>
      </c>
      <c r="E6" s="1" t="n">
        <v>163.05</v>
      </c>
      <c r="F6" s="1" t="n">
        <v>0</v>
      </c>
      <c r="G6" s="1" t="n">
        <v>0</v>
      </c>
      <c r="H6" s="1" t="n">
        <v>-0.9</v>
      </c>
      <c r="I6" s="1" t="n">
        <v>-7.22</v>
      </c>
      <c r="J6" s="1" t="n">
        <v>5.8</v>
      </c>
      <c r="K6" s="1" t="n">
        <v>0</v>
      </c>
      <c r="L6" s="1" t="n">
        <v>-142.15</v>
      </c>
      <c r="M6" s="1" t="n">
        <v>0</v>
      </c>
      <c r="N6" s="1" t="n">
        <v>0</v>
      </c>
    </row>
    <row r="7" customFormat="false" ht="15" hidden="false" customHeight="true" outlineLevel="0" collapsed="false">
      <c r="D7" s="1" t="s">
        <v>625</v>
      </c>
      <c r="E7" s="1" t="n">
        <v>163.05</v>
      </c>
      <c r="F7" s="1" t="n">
        <v>0</v>
      </c>
      <c r="G7" s="1" t="n">
        <v>0</v>
      </c>
      <c r="H7" s="1" t="n">
        <v>-0.9</v>
      </c>
      <c r="I7" s="1" t="n">
        <v>-7.22</v>
      </c>
      <c r="J7" s="1" t="n">
        <v>5.8</v>
      </c>
      <c r="K7" s="1" t="n">
        <v>0</v>
      </c>
      <c r="L7" s="1" t="n">
        <v>-142.15</v>
      </c>
      <c r="M7" s="1" t="n">
        <v>0</v>
      </c>
      <c r="N7" s="1" t="n">
        <v>0</v>
      </c>
    </row>
    <row r="8" customFormat="false" ht="15" hidden="false" customHeight="true" outlineLevel="0" collapsed="false">
      <c r="D8" s="1" t="s">
        <v>629</v>
      </c>
      <c r="E8" s="1" t="n">
        <v>50.7</v>
      </c>
      <c r="F8" s="1" t="n">
        <v>0</v>
      </c>
      <c r="G8" s="1" t="n">
        <v>0</v>
      </c>
      <c r="H8" s="1" t="n">
        <v>-6.87</v>
      </c>
      <c r="I8" s="1" t="n">
        <v>-6.87</v>
      </c>
      <c r="J8" s="1" t="s">
        <v>1985</v>
      </c>
      <c r="K8" s="1" t="n">
        <v>0</v>
      </c>
      <c r="L8" s="1" t="n">
        <v>-155.34</v>
      </c>
      <c r="M8" s="1" t="s">
        <v>1986</v>
      </c>
      <c r="N8" s="1" t="n">
        <v>5</v>
      </c>
    </row>
    <row r="9" customFormat="false" ht="15" hidden="false" customHeight="true" outlineLevel="0" collapsed="false">
      <c r="D9" s="1" t="s">
        <v>630</v>
      </c>
      <c r="E9" s="1" t="n">
        <v>58.3</v>
      </c>
      <c r="F9" s="1" t="n">
        <v>0</v>
      </c>
      <c r="G9" s="1" t="n">
        <v>0</v>
      </c>
      <c r="H9" s="1" t="n">
        <v>-6.09</v>
      </c>
      <c r="I9" s="1" t="n">
        <v>-6.09</v>
      </c>
      <c r="J9" s="1" t="s">
        <v>1985</v>
      </c>
      <c r="K9" s="1" t="n">
        <v>0</v>
      </c>
      <c r="L9" s="1" t="n">
        <v>-147.53</v>
      </c>
      <c r="M9" s="1" t="s">
        <v>1986</v>
      </c>
      <c r="N9" s="1" t="n">
        <v>3</v>
      </c>
    </row>
    <row r="10" customFormat="false" ht="15" hidden="false" customHeight="true" outlineLevel="0" collapsed="false">
      <c r="D10" s="1" t="s">
        <v>638</v>
      </c>
      <c r="E10" s="1" t="n">
        <v>148.42</v>
      </c>
      <c r="F10" s="1" t="n">
        <v>0</v>
      </c>
      <c r="G10" s="1" t="n">
        <v>0</v>
      </c>
      <c r="H10" s="1" t="n">
        <v>-3.74</v>
      </c>
      <c r="I10" s="1" t="n">
        <v>-3.74</v>
      </c>
      <c r="J10" s="1" t="n">
        <v>8.66</v>
      </c>
      <c r="K10" s="1" t="n">
        <v>0</v>
      </c>
      <c r="L10" s="1" t="n">
        <v>-142.17</v>
      </c>
      <c r="M10" s="1" t="n">
        <v>0</v>
      </c>
      <c r="N10" s="1" t="n">
        <v>0</v>
      </c>
    </row>
    <row r="11" customFormat="false" ht="15" hidden="false" customHeight="true" outlineLevel="0" collapsed="false">
      <c r="D11" s="1" t="s">
        <v>639</v>
      </c>
      <c r="E11" s="1" t="n">
        <v>164.23</v>
      </c>
      <c r="F11" s="1" t="n">
        <v>0</v>
      </c>
      <c r="G11" s="1" t="n">
        <v>0</v>
      </c>
      <c r="H11" s="1" t="n">
        <v>-2.6</v>
      </c>
      <c r="I11" s="1" t="n">
        <v>-3.54</v>
      </c>
      <c r="J11" s="1" t="n">
        <v>8.66</v>
      </c>
      <c r="K11" s="1" t="n">
        <v>0</v>
      </c>
      <c r="L11" s="1" t="n">
        <v>-142.18</v>
      </c>
      <c r="M11" s="1" t="n">
        <v>0</v>
      </c>
      <c r="N11" s="1" t="n">
        <v>0</v>
      </c>
    </row>
    <row r="13" customFormat="false" ht="15" hidden="false" customHeight="true" outlineLevel="0" collapsed="false">
      <c r="B13" s="1" t="s">
        <v>1853</v>
      </c>
      <c r="C13" s="1" t="s">
        <v>1987</v>
      </c>
      <c r="D13" s="1" t="s">
        <v>620</v>
      </c>
      <c r="E13" s="1" t="n">
        <v>56.39</v>
      </c>
      <c r="F13" s="1" t="n">
        <v>12</v>
      </c>
      <c r="G13" s="1" t="n">
        <v>0</v>
      </c>
      <c r="H13" s="1" t="n">
        <v>-2.39</v>
      </c>
      <c r="I13" s="1" t="n">
        <v>-73.89</v>
      </c>
      <c r="J13" s="1" t="n">
        <v>5.7</v>
      </c>
      <c r="K13" s="1" t="n">
        <v>0</v>
      </c>
      <c r="L13" s="1" t="n">
        <v>-189.65</v>
      </c>
      <c r="M13" s="1" t="n">
        <v>0</v>
      </c>
      <c r="N13" s="1" t="n">
        <v>14</v>
      </c>
    </row>
    <row r="14" customFormat="false" ht="15" hidden="false" customHeight="true" outlineLevel="0" collapsed="false">
      <c r="D14" s="1" t="s">
        <v>622</v>
      </c>
      <c r="E14" s="1" t="n">
        <v>9.79</v>
      </c>
      <c r="F14" s="1" t="n">
        <v>15</v>
      </c>
      <c r="G14" s="1" t="n">
        <v>0</v>
      </c>
      <c r="H14" s="1" t="n">
        <v>-7.03</v>
      </c>
      <c r="I14" s="1" t="n">
        <v>-69.45</v>
      </c>
      <c r="J14" s="1" t="n">
        <v>4.27</v>
      </c>
      <c r="K14" s="1" t="n">
        <v>0</v>
      </c>
      <c r="L14" s="1" t="n">
        <v>-190.57</v>
      </c>
      <c r="M14" s="1" t="n">
        <v>0</v>
      </c>
      <c r="N14" s="1" t="n">
        <v>14</v>
      </c>
    </row>
    <row r="15" customFormat="false" ht="15" hidden="false" customHeight="true" outlineLevel="0" collapsed="false">
      <c r="D15" s="1" t="s">
        <v>625</v>
      </c>
      <c r="E15" s="1" t="n">
        <v>0</v>
      </c>
      <c r="F15" s="1" t="n">
        <v>15</v>
      </c>
      <c r="G15" s="1" t="n">
        <v>40.67</v>
      </c>
      <c r="H15" s="1" t="n">
        <v>-7.49</v>
      </c>
      <c r="I15" s="1" t="n">
        <v>-69.45</v>
      </c>
      <c r="J15" s="1" t="n">
        <v>4.27</v>
      </c>
      <c r="K15" s="1" t="n">
        <v>0</v>
      </c>
      <c r="L15" s="1" t="n">
        <v>-184.08</v>
      </c>
      <c r="M15" s="1" t="n">
        <v>0</v>
      </c>
      <c r="N15" s="1" t="n">
        <v>14</v>
      </c>
    </row>
    <row r="16" customFormat="false" ht="15" hidden="false" customHeight="true" outlineLevel="0" collapsed="false">
      <c r="D16" s="1" t="s">
        <v>629</v>
      </c>
      <c r="E16" s="1" t="n">
        <v>0</v>
      </c>
      <c r="F16" s="1" t="n">
        <v>15</v>
      </c>
      <c r="G16" s="1" t="n">
        <v>26.95</v>
      </c>
      <c r="H16" s="1" t="n">
        <v>-9.54</v>
      </c>
      <c r="I16" s="1" t="n">
        <v>-50.53</v>
      </c>
      <c r="J16" s="1" t="s">
        <v>1985</v>
      </c>
      <c r="K16" s="1" t="n">
        <v>0</v>
      </c>
      <c r="L16" s="1" t="n">
        <v>-220.93</v>
      </c>
      <c r="M16" s="1" t="s">
        <v>1986</v>
      </c>
      <c r="N16" s="1" t="n">
        <v>15</v>
      </c>
    </row>
    <row r="17" customFormat="false" ht="15" hidden="false" customHeight="true" outlineLevel="0" collapsed="false">
      <c r="D17" s="1" t="s">
        <v>630</v>
      </c>
      <c r="E17" s="1" t="n">
        <v>0</v>
      </c>
      <c r="F17" s="1" t="n">
        <v>15</v>
      </c>
      <c r="G17" s="1" t="n">
        <v>16.93</v>
      </c>
      <c r="H17" s="1" t="n">
        <v>-9.07</v>
      </c>
      <c r="I17" s="1" t="n">
        <v>-50.7</v>
      </c>
      <c r="J17" s="1" t="s">
        <v>1985</v>
      </c>
      <c r="K17" s="1" t="n">
        <v>0</v>
      </c>
      <c r="L17" s="1" t="n">
        <v>-210.91</v>
      </c>
      <c r="M17" s="1" t="s">
        <v>1986</v>
      </c>
      <c r="N17" s="1" t="n">
        <v>15</v>
      </c>
    </row>
    <row r="18" customFormat="false" ht="15" hidden="false" customHeight="true" outlineLevel="0" collapsed="false">
      <c r="D18" s="1" t="s">
        <v>638</v>
      </c>
      <c r="E18" s="1" t="n">
        <v>30.61</v>
      </c>
      <c r="F18" s="1" t="n">
        <v>12</v>
      </c>
      <c r="G18" s="1" t="n">
        <v>0</v>
      </c>
      <c r="H18" s="1" t="n">
        <v>-7.4</v>
      </c>
      <c r="I18" s="1" t="n">
        <v>-61.61</v>
      </c>
      <c r="J18" s="1" t="n">
        <v>8.3</v>
      </c>
      <c r="K18" s="1" t="n">
        <v>0</v>
      </c>
      <c r="L18" s="1" t="n">
        <v>-190.01</v>
      </c>
      <c r="M18" s="1" t="n">
        <v>0</v>
      </c>
      <c r="N18" s="1" t="n">
        <v>14</v>
      </c>
    </row>
    <row r="19" customFormat="false" ht="15" hidden="false" customHeight="true" outlineLevel="0" collapsed="false">
      <c r="D19" s="1" t="s">
        <v>639</v>
      </c>
      <c r="E19" s="1" t="n">
        <v>44.11</v>
      </c>
      <c r="F19" s="1" t="n">
        <v>6</v>
      </c>
      <c r="G19" s="1" t="n">
        <v>0</v>
      </c>
      <c r="H19" s="1" t="n">
        <v>-6.37</v>
      </c>
      <c r="I19" s="1" t="n">
        <v>-61.79</v>
      </c>
      <c r="J19" s="1" t="n">
        <v>8.3</v>
      </c>
      <c r="K19" s="1" t="n">
        <v>0</v>
      </c>
      <c r="L19" s="1" t="n">
        <v>-190.01</v>
      </c>
      <c r="M19" s="1" t="n">
        <v>0</v>
      </c>
      <c r="N19" s="1" t="n">
        <v>14</v>
      </c>
    </row>
    <row r="21" customFormat="false" ht="15" hidden="false" customHeight="true" outlineLevel="0" collapsed="false">
      <c r="B21" s="1" t="s">
        <v>1988</v>
      </c>
      <c r="C21" s="1" t="s">
        <v>1989</v>
      </c>
      <c r="D21" s="1" t="s">
        <v>620</v>
      </c>
      <c r="E21" s="1" t="n">
        <v>177.36</v>
      </c>
      <c r="F21" s="1" t="n">
        <v>0</v>
      </c>
      <c r="G21" s="1" t="n">
        <v>0</v>
      </c>
      <c r="H21" s="1" t="n">
        <v>2.6</v>
      </c>
      <c r="I21" s="1" t="n">
        <v>-6.31</v>
      </c>
      <c r="J21" s="1" t="n">
        <v>6.77</v>
      </c>
      <c r="K21" s="1" t="n">
        <v>0</v>
      </c>
      <c r="L21" s="1" t="n">
        <v>-141.96</v>
      </c>
      <c r="M21" s="1" t="n">
        <v>0</v>
      </c>
      <c r="N21" s="1" t="n">
        <v>0</v>
      </c>
    </row>
    <row r="22" customFormat="false" ht="15" hidden="false" customHeight="true" outlineLevel="0" collapsed="false">
      <c r="D22" s="1" t="s">
        <v>622</v>
      </c>
      <c r="E22" s="1" t="n">
        <v>151.34</v>
      </c>
      <c r="F22" s="1" t="n">
        <v>0</v>
      </c>
      <c r="G22" s="1" t="n">
        <v>0</v>
      </c>
      <c r="H22" s="1" t="n">
        <v>-1.97</v>
      </c>
      <c r="I22" s="1" t="n">
        <v>-7.26</v>
      </c>
      <c r="J22" s="1" t="n">
        <v>5.88</v>
      </c>
      <c r="K22" s="1" t="n">
        <v>0</v>
      </c>
      <c r="L22" s="1" t="n">
        <v>-142.15</v>
      </c>
      <c r="M22" s="1" t="n">
        <v>0</v>
      </c>
      <c r="N22" s="1" t="n">
        <v>0</v>
      </c>
    </row>
    <row r="23" customFormat="false" ht="15" hidden="false" customHeight="true" outlineLevel="0" collapsed="false">
      <c r="D23" s="1" t="s">
        <v>625</v>
      </c>
      <c r="E23" s="1" t="n">
        <v>151.34</v>
      </c>
      <c r="F23" s="1" t="n">
        <v>0</v>
      </c>
      <c r="G23" s="1" t="n">
        <v>0</v>
      </c>
      <c r="H23" s="1" t="n">
        <v>-1.97</v>
      </c>
      <c r="I23" s="1" t="n">
        <v>-7.26</v>
      </c>
      <c r="J23" s="1" t="n">
        <v>5.88</v>
      </c>
      <c r="K23" s="1" t="n">
        <v>0</v>
      </c>
      <c r="L23" s="1" t="n">
        <v>-142.15</v>
      </c>
      <c r="M23" s="1" t="n">
        <v>0</v>
      </c>
      <c r="N23" s="1" t="n">
        <v>0</v>
      </c>
    </row>
    <row r="24" customFormat="false" ht="15" hidden="false" customHeight="true" outlineLevel="0" collapsed="false">
      <c r="D24" s="1" t="s">
        <v>629</v>
      </c>
      <c r="E24" s="1" t="n">
        <v>41.43</v>
      </c>
      <c r="F24" s="1" t="n">
        <v>3</v>
      </c>
      <c r="G24" s="1" t="n">
        <v>0</v>
      </c>
      <c r="H24" s="1" t="n">
        <v>-7.95</v>
      </c>
      <c r="I24" s="1" t="n">
        <v>-7.95</v>
      </c>
      <c r="J24" s="1" t="s">
        <v>1985</v>
      </c>
      <c r="K24" s="1" t="n">
        <v>0</v>
      </c>
      <c r="L24" s="1" t="n">
        <v>-167.71</v>
      </c>
      <c r="M24" s="1" t="s">
        <v>1986</v>
      </c>
      <c r="N24" s="1" t="n">
        <v>8</v>
      </c>
    </row>
    <row r="25" customFormat="false" ht="15" hidden="false" customHeight="true" outlineLevel="0" collapsed="false">
      <c r="D25" s="1" t="s">
        <v>630</v>
      </c>
      <c r="E25" s="1" t="n">
        <v>50.8</v>
      </c>
      <c r="F25" s="1" t="n">
        <v>0</v>
      </c>
      <c r="G25" s="1" t="n">
        <v>0</v>
      </c>
      <c r="H25" s="1" t="n">
        <v>-6.86</v>
      </c>
      <c r="I25" s="1" t="n">
        <v>-6.86</v>
      </c>
      <c r="J25" s="1" t="s">
        <v>1985</v>
      </c>
      <c r="K25" s="1" t="n">
        <v>0</v>
      </c>
      <c r="L25" s="1" t="n">
        <v>-155.34</v>
      </c>
      <c r="M25" s="1" t="s">
        <v>1986</v>
      </c>
      <c r="N25" s="1" t="n">
        <v>5</v>
      </c>
    </row>
    <row r="26" customFormat="false" ht="15" hidden="false" customHeight="true" outlineLevel="0" collapsed="false">
      <c r="D26" s="1" t="s">
        <v>638</v>
      </c>
      <c r="E26" s="1" t="n">
        <v>123.21</v>
      </c>
      <c r="F26" s="1" t="n">
        <v>0</v>
      </c>
      <c r="G26" s="1" t="n">
        <v>0</v>
      </c>
      <c r="H26" s="1" t="n">
        <v>-5.45</v>
      </c>
      <c r="I26" s="1" t="n">
        <v>-5.45</v>
      </c>
      <c r="J26" s="1" t="n">
        <v>8.84</v>
      </c>
      <c r="K26" s="1" t="n">
        <v>0</v>
      </c>
      <c r="L26" s="1" t="n">
        <v>-142.17</v>
      </c>
      <c r="M26" s="1" t="n">
        <v>0</v>
      </c>
      <c r="N26" s="1" t="n">
        <v>0</v>
      </c>
    </row>
    <row r="27" customFormat="false" ht="15" hidden="false" customHeight="true" outlineLevel="0" collapsed="false">
      <c r="D27" s="1" t="s">
        <v>639</v>
      </c>
      <c r="E27" s="1" t="n">
        <v>148.22</v>
      </c>
      <c r="F27" s="1" t="n">
        <v>0</v>
      </c>
      <c r="G27" s="1" t="n">
        <v>0</v>
      </c>
      <c r="H27" s="1" t="n">
        <v>-3.74</v>
      </c>
      <c r="I27" s="1" t="n">
        <v>-3.74</v>
      </c>
      <c r="J27" s="1" t="n">
        <v>8.82</v>
      </c>
      <c r="K27" s="1" t="n">
        <v>0</v>
      </c>
      <c r="L27" s="1" t="n">
        <v>-142.17</v>
      </c>
      <c r="M27" s="1" t="n">
        <v>0</v>
      </c>
      <c r="N27" s="1" t="n">
        <v>0</v>
      </c>
    </row>
    <row r="29" customFormat="false" ht="15" hidden="false" customHeight="true" outlineLevel="0" collapsed="false">
      <c r="B29" s="1" t="s">
        <v>1990</v>
      </c>
      <c r="C29" s="1" t="s">
        <v>1991</v>
      </c>
      <c r="D29" s="1" t="s">
        <v>620</v>
      </c>
      <c r="E29" s="1" t="n">
        <v>176.53</v>
      </c>
      <c r="F29" s="1" t="n">
        <v>0</v>
      </c>
      <c r="G29" s="1" t="n">
        <v>0</v>
      </c>
      <c r="H29" s="1" t="n">
        <v>2.73</v>
      </c>
      <c r="I29" s="1" t="n">
        <v>-6.3</v>
      </c>
      <c r="J29" s="1" t="n">
        <v>7.74</v>
      </c>
      <c r="K29" s="1" t="n">
        <v>0</v>
      </c>
      <c r="L29" s="1" t="n">
        <v>-141.97</v>
      </c>
      <c r="M29" s="1" t="n">
        <v>0</v>
      </c>
      <c r="N29" s="1" t="n">
        <v>0</v>
      </c>
    </row>
    <row r="30" customFormat="false" ht="15" hidden="false" customHeight="true" outlineLevel="0" collapsed="false">
      <c r="D30" s="1" t="s">
        <v>622</v>
      </c>
      <c r="E30" s="1" t="n">
        <v>161.42</v>
      </c>
      <c r="F30" s="1" t="n">
        <v>0</v>
      </c>
      <c r="G30" s="1" t="n">
        <v>0</v>
      </c>
      <c r="H30" s="1" t="n">
        <v>-0.96</v>
      </c>
      <c r="I30" s="1" t="n">
        <v>-7.21</v>
      </c>
      <c r="J30" s="1" t="n">
        <v>6.97</v>
      </c>
      <c r="K30" s="1" t="n">
        <v>0</v>
      </c>
      <c r="L30" s="1" t="n">
        <v>-142.15</v>
      </c>
      <c r="M30" s="1" t="n">
        <v>0</v>
      </c>
      <c r="N30" s="1" t="n">
        <v>0</v>
      </c>
    </row>
    <row r="31" customFormat="false" ht="15" hidden="false" customHeight="true" outlineLevel="0" collapsed="false">
      <c r="D31" s="1" t="s">
        <v>625</v>
      </c>
      <c r="E31" s="1" t="n">
        <v>161.42</v>
      </c>
      <c r="F31" s="1" t="n">
        <v>0</v>
      </c>
      <c r="G31" s="1" t="n">
        <v>0</v>
      </c>
      <c r="H31" s="1" t="n">
        <v>-0.96</v>
      </c>
      <c r="I31" s="1" t="n">
        <v>-7.21</v>
      </c>
      <c r="J31" s="1" t="n">
        <v>6.97</v>
      </c>
      <c r="K31" s="1" t="n">
        <v>0</v>
      </c>
      <c r="L31" s="1" t="n">
        <v>-142.15</v>
      </c>
      <c r="M31" s="1" t="n">
        <v>0</v>
      </c>
      <c r="N31" s="1" t="n">
        <v>0</v>
      </c>
    </row>
    <row r="32" customFormat="false" ht="15" hidden="false" customHeight="true" outlineLevel="0" collapsed="false">
      <c r="D32" s="1" t="s">
        <v>629</v>
      </c>
      <c r="E32" s="1" t="n">
        <v>50.7</v>
      </c>
      <c r="F32" s="1" t="n">
        <v>0</v>
      </c>
      <c r="G32" s="1" t="n">
        <v>0</v>
      </c>
      <c r="H32" s="1" t="n">
        <v>-6.87</v>
      </c>
      <c r="I32" s="1" t="n">
        <v>-6.87</v>
      </c>
      <c r="J32" s="1" t="s">
        <v>1985</v>
      </c>
      <c r="K32" s="1" t="n">
        <v>0</v>
      </c>
      <c r="L32" s="1" t="n">
        <v>-155.34</v>
      </c>
      <c r="M32" s="1" t="s">
        <v>1986</v>
      </c>
      <c r="N32" s="1" t="n">
        <v>5</v>
      </c>
    </row>
    <row r="33" customFormat="false" ht="15" hidden="false" customHeight="true" outlineLevel="0" collapsed="false">
      <c r="D33" s="1" t="s">
        <v>630</v>
      </c>
      <c r="E33" s="1" t="n">
        <v>58.3</v>
      </c>
      <c r="F33" s="1" t="n">
        <v>0</v>
      </c>
      <c r="G33" s="1" t="n">
        <v>0</v>
      </c>
      <c r="H33" s="1" t="n">
        <v>-6.09</v>
      </c>
      <c r="I33" s="1" t="n">
        <v>-6.09</v>
      </c>
      <c r="J33" s="1" t="s">
        <v>1985</v>
      </c>
      <c r="K33" s="1" t="n">
        <v>0</v>
      </c>
      <c r="L33" s="1" t="n">
        <v>-147.53</v>
      </c>
      <c r="M33" s="1" t="s">
        <v>1986</v>
      </c>
      <c r="N33" s="1" t="n">
        <v>3</v>
      </c>
    </row>
    <row r="34" customFormat="false" ht="15" hidden="false" customHeight="true" outlineLevel="0" collapsed="false">
      <c r="D34" s="1" t="s">
        <v>638</v>
      </c>
      <c r="E34" s="1" t="n">
        <v>145.57</v>
      </c>
      <c r="F34" s="1" t="n">
        <v>0</v>
      </c>
      <c r="G34" s="1" t="n">
        <v>0</v>
      </c>
      <c r="H34" s="1" t="n">
        <v>-3.83</v>
      </c>
      <c r="I34" s="1" t="n">
        <v>-3.83</v>
      </c>
      <c r="J34" s="1" t="n">
        <v>10.39</v>
      </c>
      <c r="K34" s="1" t="n">
        <v>0</v>
      </c>
      <c r="L34" s="1" t="n">
        <v>-142.17</v>
      </c>
      <c r="M34" s="1" t="n">
        <v>0</v>
      </c>
      <c r="N34" s="1" t="n">
        <v>0</v>
      </c>
    </row>
    <row r="35" customFormat="false" ht="15" hidden="false" customHeight="true" outlineLevel="0" collapsed="false">
      <c r="D35" s="1" t="s">
        <v>639</v>
      </c>
      <c r="E35" s="1" t="n">
        <v>161.48</v>
      </c>
      <c r="F35" s="1" t="n">
        <v>0</v>
      </c>
      <c r="G35" s="1" t="n">
        <v>0</v>
      </c>
      <c r="H35" s="1" t="n">
        <v>-2.69</v>
      </c>
      <c r="I35" s="1" t="n">
        <v>-3.54</v>
      </c>
      <c r="J35" s="1" t="n">
        <v>10.4</v>
      </c>
      <c r="K35" s="1" t="n">
        <v>0</v>
      </c>
      <c r="L35" s="1" t="n">
        <v>-142.17</v>
      </c>
      <c r="M35" s="1" t="n">
        <v>0</v>
      </c>
      <c r="N35" s="1" t="n">
        <v>0</v>
      </c>
    </row>
    <row r="37" customFormat="false" ht="15" hidden="false" customHeight="true" outlineLevel="0" collapsed="false">
      <c r="B37" s="1" t="s">
        <v>1871</v>
      </c>
      <c r="C37" s="1" t="s">
        <v>1992</v>
      </c>
      <c r="D37" s="1" t="s">
        <v>620</v>
      </c>
      <c r="E37" s="1" t="n">
        <v>161.55</v>
      </c>
      <c r="F37" s="1" t="n">
        <v>0</v>
      </c>
      <c r="G37" s="1" t="n">
        <v>0</v>
      </c>
      <c r="H37" s="1" t="n">
        <v>-1.38</v>
      </c>
      <c r="I37" s="1" t="n">
        <v>-6.91</v>
      </c>
      <c r="J37" s="1" t="n">
        <v>5.83</v>
      </c>
      <c r="K37" s="1" t="n">
        <v>0</v>
      </c>
      <c r="L37" s="1" t="n">
        <v>-141.71</v>
      </c>
      <c r="M37" s="1" t="n">
        <v>0</v>
      </c>
      <c r="N37" s="1" t="n">
        <v>0</v>
      </c>
    </row>
    <row r="38" customFormat="false" ht="15" hidden="false" customHeight="true" outlineLevel="0" collapsed="false">
      <c r="D38" s="1" t="s">
        <v>622</v>
      </c>
      <c r="E38" s="1" t="n">
        <v>111.64</v>
      </c>
      <c r="F38" s="1" t="n">
        <v>0</v>
      </c>
      <c r="G38" s="1" t="n">
        <v>0</v>
      </c>
      <c r="H38" s="1" t="n">
        <v>-4.73</v>
      </c>
      <c r="I38" s="1" t="n">
        <v>-7.65</v>
      </c>
      <c r="J38" s="1" t="n">
        <v>5.64</v>
      </c>
      <c r="K38" s="1" t="n">
        <v>0</v>
      </c>
      <c r="L38" s="1" t="n">
        <v>-151</v>
      </c>
      <c r="M38" s="1" t="n">
        <v>0</v>
      </c>
      <c r="N38" s="1" t="n">
        <v>4</v>
      </c>
    </row>
    <row r="39" customFormat="false" ht="15" hidden="false" customHeight="true" outlineLevel="0" collapsed="false">
      <c r="D39" s="1" t="s">
        <v>625</v>
      </c>
      <c r="E39" s="1" t="n">
        <v>102.54</v>
      </c>
      <c r="F39" s="1" t="n">
        <v>0</v>
      </c>
      <c r="G39" s="1" t="n">
        <v>0</v>
      </c>
      <c r="H39" s="1" t="n">
        <v>-5.01</v>
      </c>
      <c r="I39" s="1" t="n">
        <v>-7.65</v>
      </c>
      <c r="J39" s="1" t="n">
        <v>5.64</v>
      </c>
      <c r="K39" s="1" t="n">
        <v>0</v>
      </c>
      <c r="L39" s="1" t="n">
        <v>-142.21</v>
      </c>
      <c r="M39" s="1" t="n">
        <v>0</v>
      </c>
      <c r="N39" s="1" t="n">
        <v>4</v>
      </c>
    </row>
    <row r="40" customFormat="false" ht="15" hidden="false" customHeight="true" outlineLevel="0" collapsed="false">
      <c r="D40" s="1" t="s">
        <v>629</v>
      </c>
      <c r="E40" s="1" t="n">
        <v>43.15</v>
      </c>
      <c r="F40" s="1" t="n">
        <v>3</v>
      </c>
      <c r="G40" s="1" t="n">
        <v>0</v>
      </c>
      <c r="H40" s="1" t="n">
        <v>-7.58</v>
      </c>
      <c r="I40" s="1" t="n">
        <v>-7.58</v>
      </c>
      <c r="J40" s="1" t="s">
        <v>1985</v>
      </c>
      <c r="K40" s="1" t="n">
        <v>0</v>
      </c>
      <c r="L40" s="1" t="n">
        <v>-163.68</v>
      </c>
      <c r="M40" s="1" t="s">
        <v>1986</v>
      </c>
      <c r="N40" s="1" t="n">
        <v>7</v>
      </c>
    </row>
    <row r="41" customFormat="false" ht="15" hidden="false" customHeight="true" outlineLevel="0" collapsed="false">
      <c r="D41" s="1" t="s">
        <v>630</v>
      </c>
      <c r="E41" s="1" t="n">
        <v>54.58</v>
      </c>
      <c r="F41" s="1" t="n">
        <v>0</v>
      </c>
      <c r="G41" s="1" t="n">
        <v>0</v>
      </c>
      <c r="H41" s="1" t="n">
        <v>-6.66</v>
      </c>
      <c r="I41" s="1" t="n">
        <v>-6.66</v>
      </c>
      <c r="J41" s="1" t="s">
        <v>1985</v>
      </c>
      <c r="K41" s="1" t="n">
        <v>0</v>
      </c>
      <c r="L41" s="1" t="n">
        <v>-159.56</v>
      </c>
      <c r="M41" s="1" t="s">
        <v>1986</v>
      </c>
      <c r="N41" s="1" t="n">
        <v>6</v>
      </c>
    </row>
    <row r="42" customFormat="false" ht="15" hidden="false" customHeight="true" outlineLevel="0" collapsed="false">
      <c r="D42" s="1" t="s">
        <v>638</v>
      </c>
      <c r="E42" s="1" t="n">
        <v>110.51</v>
      </c>
      <c r="F42" s="1" t="n">
        <v>0</v>
      </c>
      <c r="G42" s="1" t="n">
        <v>0</v>
      </c>
      <c r="H42" s="1" t="n">
        <v>-6.09</v>
      </c>
      <c r="I42" s="1" t="n">
        <v>-6.09</v>
      </c>
      <c r="J42" s="1" t="n">
        <v>8.66</v>
      </c>
      <c r="K42" s="1" t="n">
        <v>0</v>
      </c>
      <c r="L42" s="1" t="n">
        <v>-142.17</v>
      </c>
      <c r="M42" s="1" t="n">
        <v>0</v>
      </c>
      <c r="N42" s="1" t="n">
        <v>0</v>
      </c>
    </row>
    <row r="43" customFormat="false" ht="15" hidden="false" customHeight="true" outlineLevel="0" collapsed="false">
      <c r="D43" s="1" t="s">
        <v>639</v>
      </c>
      <c r="E43" s="1" t="n">
        <v>127.18</v>
      </c>
      <c r="F43" s="1" t="n">
        <v>0</v>
      </c>
      <c r="G43" s="1" t="n">
        <v>0</v>
      </c>
      <c r="H43" s="1" t="n">
        <v>-4.95</v>
      </c>
      <c r="I43" s="1" t="n">
        <v>-4.95</v>
      </c>
      <c r="J43" s="1" t="n">
        <v>8.65</v>
      </c>
      <c r="K43" s="1" t="n">
        <v>0</v>
      </c>
      <c r="L43" s="1" t="n">
        <v>-142.17</v>
      </c>
      <c r="M43" s="1" t="n">
        <v>0</v>
      </c>
      <c r="N43" s="1" t="n">
        <v>0</v>
      </c>
    </row>
    <row r="45" customFormat="false" ht="15" hidden="false" customHeight="true" outlineLevel="0" collapsed="false">
      <c r="B45" s="1" t="s">
        <v>1993</v>
      </c>
      <c r="C45" s="1" t="s">
        <v>1994</v>
      </c>
      <c r="D45" s="1" t="s">
        <v>620</v>
      </c>
      <c r="E45" s="1" t="n">
        <v>177.8</v>
      </c>
      <c r="F45" s="1" t="n">
        <v>0</v>
      </c>
      <c r="G45" s="1" t="n">
        <v>0</v>
      </c>
      <c r="H45" s="1" t="n">
        <v>2.79</v>
      </c>
      <c r="I45" s="1" t="n">
        <v>-6.3</v>
      </c>
      <c r="J45" s="1" t="n">
        <v>6.44</v>
      </c>
      <c r="K45" s="1" t="n">
        <v>0</v>
      </c>
      <c r="L45" s="1" t="n">
        <v>-141.98</v>
      </c>
      <c r="M45" s="1" t="n">
        <v>0</v>
      </c>
      <c r="N45" s="1" t="n">
        <v>0</v>
      </c>
    </row>
    <row r="46" customFormat="false" ht="15" hidden="false" customHeight="true" outlineLevel="0" collapsed="false">
      <c r="D46" s="1" t="s">
        <v>622</v>
      </c>
      <c r="E46" s="1" t="n">
        <v>163</v>
      </c>
      <c r="F46" s="1" t="n">
        <v>0</v>
      </c>
      <c r="G46" s="1" t="n">
        <v>0</v>
      </c>
      <c r="H46" s="1" t="n">
        <v>-0.91</v>
      </c>
      <c r="I46" s="1" t="n">
        <v>-7.22</v>
      </c>
      <c r="J46" s="1" t="n">
        <v>5.8</v>
      </c>
      <c r="K46" s="1" t="n">
        <v>0</v>
      </c>
      <c r="L46" s="1" t="n">
        <v>-142.15</v>
      </c>
      <c r="M46" s="1" t="n">
        <v>0</v>
      </c>
      <c r="N46" s="1" t="n">
        <v>0</v>
      </c>
    </row>
    <row r="47" customFormat="false" ht="15" hidden="false" customHeight="true" outlineLevel="0" collapsed="false">
      <c r="D47" s="1" t="s">
        <v>625</v>
      </c>
      <c r="E47" s="1" t="n">
        <v>163</v>
      </c>
      <c r="F47" s="1" t="n">
        <v>0</v>
      </c>
      <c r="G47" s="1" t="n">
        <v>0</v>
      </c>
      <c r="H47" s="1" t="n">
        <v>-0.91</v>
      </c>
      <c r="I47" s="1" t="n">
        <v>-7.22</v>
      </c>
      <c r="J47" s="1" t="n">
        <v>5.8</v>
      </c>
      <c r="K47" s="1" t="n">
        <v>0</v>
      </c>
      <c r="L47" s="1" t="n">
        <v>-142.15</v>
      </c>
      <c r="M47" s="1" t="n">
        <v>0</v>
      </c>
      <c r="N47" s="1" t="n">
        <v>0</v>
      </c>
    </row>
    <row r="48" customFormat="false" ht="15" hidden="false" customHeight="true" outlineLevel="0" collapsed="false">
      <c r="D48" s="1" t="s">
        <v>629</v>
      </c>
      <c r="E48" s="1" t="n">
        <v>50.7</v>
      </c>
      <c r="F48" s="1" t="n">
        <v>0</v>
      </c>
      <c r="G48" s="1" t="n">
        <v>0</v>
      </c>
      <c r="H48" s="1" t="n">
        <v>-6.87</v>
      </c>
      <c r="I48" s="1" t="n">
        <v>-6.87</v>
      </c>
      <c r="J48" s="1" t="s">
        <v>1985</v>
      </c>
      <c r="K48" s="1" t="n">
        <v>0</v>
      </c>
      <c r="L48" s="1" t="n">
        <v>-155.34</v>
      </c>
      <c r="M48" s="1" t="s">
        <v>1986</v>
      </c>
      <c r="N48" s="1" t="n">
        <v>5</v>
      </c>
    </row>
    <row r="49" customFormat="false" ht="15" hidden="false" customHeight="true" outlineLevel="0" collapsed="false">
      <c r="D49" s="1" t="s">
        <v>630</v>
      </c>
      <c r="E49" s="1" t="n">
        <v>58.3</v>
      </c>
      <c r="F49" s="1" t="n">
        <v>0</v>
      </c>
      <c r="G49" s="1" t="n">
        <v>0</v>
      </c>
      <c r="H49" s="1" t="n">
        <v>-6.09</v>
      </c>
      <c r="I49" s="1" t="n">
        <v>-6.09</v>
      </c>
      <c r="J49" s="1" t="s">
        <v>1985</v>
      </c>
      <c r="K49" s="1" t="n">
        <v>0</v>
      </c>
      <c r="L49" s="1" t="n">
        <v>-147.53</v>
      </c>
      <c r="M49" s="1" t="s">
        <v>1986</v>
      </c>
      <c r="N49" s="1" t="n">
        <v>3</v>
      </c>
    </row>
    <row r="50" customFormat="false" ht="15" hidden="false" customHeight="true" outlineLevel="0" collapsed="false">
      <c r="D50" s="1" t="s">
        <v>638</v>
      </c>
      <c r="E50" s="1" t="n">
        <v>148.25</v>
      </c>
      <c r="F50" s="1" t="n">
        <v>0</v>
      </c>
      <c r="G50" s="1" t="n">
        <v>0</v>
      </c>
      <c r="H50" s="1" t="n">
        <v>-3.74</v>
      </c>
      <c r="I50" s="1" t="n">
        <v>-3.74</v>
      </c>
      <c r="J50" s="1" t="n">
        <v>8.66</v>
      </c>
      <c r="K50" s="1" t="n">
        <v>0</v>
      </c>
      <c r="L50" s="1" t="n">
        <v>-142.17</v>
      </c>
      <c r="M50" s="1" t="n">
        <v>0</v>
      </c>
      <c r="N50" s="1" t="n">
        <v>0</v>
      </c>
    </row>
    <row r="51" customFormat="false" ht="15" hidden="false" customHeight="true" outlineLevel="0" collapsed="false">
      <c r="D51" s="1" t="s">
        <v>639</v>
      </c>
      <c r="E51" s="1" t="n">
        <v>164.12</v>
      </c>
      <c r="F51" s="1" t="n">
        <v>0</v>
      </c>
      <c r="G51" s="1" t="n">
        <v>0</v>
      </c>
      <c r="H51" s="1" t="n">
        <v>-2.6</v>
      </c>
      <c r="I51" s="1" t="n">
        <v>-3.54</v>
      </c>
      <c r="J51" s="1" t="n">
        <v>8.66</v>
      </c>
      <c r="K51" s="1" t="n">
        <v>0</v>
      </c>
      <c r="L51" s="1" t="n">
        <v>-142.17</v>
      </c>
      <c r="M51" s="1" t="n">
        <v>0</v>
      </c>
      <c r="N51" s="1" t="n">
        <v>0</v>
      </c>
    </row>
    <row r="53" customFormat="false" ht="15" hidden="false" customHeight="true" outlineLevel="0" collapsed="false">
      <c r="B53" s="1" t="s">
        <v>1995</v>
      </c>
      <c r="C53" s="1" t="s">
        <v>1996</v>
      </c>
      <c r="D53" s="1" t="s">
        <v>620</v>
      </c>
      <c r="E53" s="1" t="n">
        <v>177.74</v>
      </c>
      <c r="F53" s="1" t="n">
        <v>0</v>
      </c>
      <c r="G53" s="1" t="n">
        <v>0</v>
      </c>
      <c r="H53" s="1" t="n">
        <v>2.78</v>
      </c>
      <c r="I53" s="1" t="n">
        <v>-6.31</v>
      </c>
      <c r="J53" s="1" t="n">
        <v>6.45</v>
      </c>
      <c r="K53" s="1" t="n">
        <v>0</v>
      </c>
      <c r="L53" s="1" t="n">
        <v>-141.98</v>
      </c>
      <c r="M53" s="1" t="n">
        <v>0</v>
      </c>
      <c r="N53" s="1" t="n">
        <v>0</v>
      </c>
    </row>
    <row r="54" customFormat="false" ht="15" hidden="false" customHeight="true" outlineLevel="0" collapsed="false">
      <c r="D54" s="1" t="s">
        <v>622</v>
      </c>
      <c r="E54" s="1" t="n">
        <v>162.45</v>
      </c>
      <c r="F54" s="1" t="n">
        <v>0</v>
      </c>
      <c r="G54" s="1" t="n">
        <v>0</v>
      </c>
      <c r="H54" s="1" t="n">
        <v>-0.95</v>
      </c>
      <c r="I54" s="1" t="n">
        <v>-7.24</v>
      </c>
      <c r="J54" s="1" t="n">
        <v>5.8</v>
      </c>
      <c r="K54" s="1" t="n">
        <v>0</v>
      </c>
      <c r="L54" s="1" t="n">
        <v>-142.15</v>
      </c>
      <c r="M54" s="1" t="n">
        <v>0</v>
      </c>
      <c r="N54" s="1" t="n">
        <v>0</v>
      </c>
    </row>
    <row r="55" customFormat="false" ht="15" hidden="false" customHeight="true" outlineLevel="0" collapsed="false">
      <c r="D55" s="1" t="s">
        <v>625</v>
      </c>
      <c r="E55" s="1" t="n">
        <v>162.45</v>
      </c>
      <c r="F55" s="1" t="n">
        <v>0</v>
      </c>
      <c r="G55" s="1" t="n">
        <v>0</v>
      </c>
      <c r="H55" s="1" t="n">
        <v>-0.95</v>
      </c>
      <c r="I55" s="1" t="n">
        <v>-7.24</v>
      </c>
      <c r="J55" s="1" t="n">
        <v>5.8</v>
      </c>
      <c r="K55" s="1" t="n">
        <v>0</v>
      </c>
      <c r="L55" s="1" t="n">
        <v>-142.15</v>
      </c>
      <c r="M55" s="1" t="n">
        <v>0</v>
      </c>
      <c r="N55" s="1" t="n">
        <v>0</v>
      </c>
    </row>
    <row r="56" customFormat="false" ht="15" hidden="false" customHeight="true" outlineLevel="0" collapsed="false">
      <c r="D56" s="1" t="s">
        <v>629</v>
      </c>
      <c r="E56" s="1" t="n">
        <v>50.7</v>
      </c>
      <c r="F56" s="1" t="n">
        <v>0</v>
      </c>
      <c r="G56" s="1" t="n">
        <v>0</v>
      </c>
      <c r="H56" s="1" t="n">
        <v>-6.87</v>
      </c>
      <c r="I56" s="1" t="n">
        <v>-6.87</v>
      </c>
      <c r="J56" s="1" t="s">
        <v>1985</v>
      </c>
      <c r="K56" s="1" t="n">
        <v>0</v>
      </c>
      <c r="L56" s="1" t="n">
        <v>-155.34</v>
      </c>
      <c r="M56" s="1" t="s">
        <v>1986</v>
      </c>
      <c r="N56" s="1" t="n">
        <v>5</v>
      </c>
    </row>
    <row r="57" customFormat="false" ht="15" hidden="false" customHeight="true" outlineLevel="0" collapsed="false">
      <c r="D57" s="1" t="s">
        <v>630</v>
      </c>
      <c r="E57" s="1" t="n">
        <v>57.17</v>
      </c>
      <c r="F57" s="1" t="n">
        <v>0</v>
      </c>
      <c r="G57" s="1" t="n">
        <v>0</v>
      </c>
      <c r="H57" s="1" t="n">
        <v>-6.13</v>
      </c>
      <c r="I57" s="1" t="n">
        <v>-6.13</v>
      </c>
      <c r="J57" s="1" t="s">
        <v>1985</v>
      </c>
      <c r="K57" s="1" t="n">
        <v>0</v>
      </c>
      <c r="L57" s="1" t="n">
        <v>-147.53</v>
      </c>
      <c r="M57" s="1" t="s">
        <v>1986</v>
      </c>
      <c r="N57" s="1" t="n">
        <v>3</v>
      </c>
    </row>
    <row r="58" customFormat="false" ht="15" hidden="false" customHeight="true" outlineLevel="0" collapsed="false">
      <c r="D58" s="1" t="s">
        <v>638</v>
      </c>
      <c r="E58" s="1" t="n">
        <v>148.42</v>
      </c>
      <c r="F58" s="1" t="n">
        <v>0</v>
      </c>
      <c r="G58" s="1" t="n">
        <v>0</v>
      </c>
      <c r="H58" s="1" t="n">
        <v>-3.74</v>
      </c>
      <c r="I58" s="1" t="n">
        <v>-3.74</v>
      </c>
      <c r="J58" s="1" t="n">
        <v>8.66</v>
      </c>
      <c r="K58" s="1" t="n">
        <v>0</v>
      </c>
      <c r="L58" s="1" t="n">
        <v>-142.17</v>
      </c>
      <c r="M58" s="1" t="n">
        <v>0</v>
      </c>
      <c r="N58" s="1" t="n">
        <v>0</v>
      </c>
    </row>
    <row r="59" customFormat="false" ht="15" hidden="false" customHeight="true" outlineLevel="0" collapsed="false">
      <c r="D59" s="1" t="s">
        <v>639</v>
      </c>
      <c r="E59" s="1" t="n">
        <v>163.37</v>
      </c>
      <c r="F59" s="1" t="n">
        <v>0</v>
      </c>
      <c r="G59" s="1" t="n">
        <v>0</v>
      </c>
      <c r="H59" s="1" t="n">
        <v>-2.64</v>
      </c>
      <c r="I59" s="1" t="n">
        <v>-3.57</v>
      </c>
      <c r="J59" s="1" t="n">
        <v>8.65</v>
      </c>
      <c r="K59" s="1" t="n">
        <v>0</v>
      </c>
      <c r="L59" s="1" t="n">
        <v>-142.17</v>
      </c>
      <c r="M59" s="1" t="n">
        <v>0</v>
      </c>
      <c r="N59" s="1" t="n">
        <v>0</v>
      </c>
    </row>
    <row r="61" customFormat="false" ht="15" hidden="false" customHeight="true" outlineLevel="0" collapsed="false">
      <c r="B61" s="1" t="s">
        <v>1997</v>
      </c>
      <c r="C61" s="1" t="s">
        <v>1998</v>
      </c>
      <c r="D61" s="1" t="s">
        <v>620</v>
      </c>
      <c r="E61" s="1" t="n">
        <v>175.68</v>
      </c>
      <c r="F61" s="1" t="n">
        <v>0</v>
      </c>
      <c r="G61" s="1" t="n">
        <v>0</v>
      </c>
      <c r="H61" s="1" t="n">
        <v>2.19</v>
      </c>
      <c r="I61" s="1" t="n">
        <v>-6.58</v>
      </c>
      <c r="J61" s="1" t="n">
        <v>6.61</v>
      </c>
      <c r="K61" s="1" t="n">
        <v>0</v>
      </c>
      <c r="L61" s="1" t="n">
        <v>-141.89</v>
      </c>
      <c r="M61" s="1" t="n">
        <v>0</v>
      </c>
      <c r="N61" s="1" t="n">
        <v>0</v>
      </c>
    </row>
    <row r="62" customFormat="false" ht="15" hidden="false" customHeight="true" outlineLevel="0" collapsed="false">
      <c r="D62" s="1" t="s">
        <v>622</v>
      </c>
      <c r="E62" s="1" t="n">
        <v>148.56</v>
      </c>
      <c r="F62" s="1" t="n">
        <v>0</v>
      </c>
      <c r="G62" s="1" t="n">
        <v>0</v>
      </c>
      <c r="H62" s="1" t="n">
        <v>-2.1</v>
      </c>
      <c r="I62" s="1" t="n">
        <v>-7.32</v>
      </c>
      <c r="J62" s="1" t="n">
        <v>5.88</v>
      </c>
      <c r="K62" s="1" t="n">
        <v>0</v>
      </c>
      <c r="L62" s="1" t="n">
        <v>-142.15</v>
      </c>
      <c r="M62" s="1" t="n">
        <v>0</v>
      </c>
      <c r="N62" s="1" t="n">
        <v>0</v>
      </c>
    </row>
    <row r="63" customFormat="false" ht="15" hidden="false" customHeight="true" outlineLevel="0" collapsed="false">
      <c r="D63" s="1" t="s">
        <v>625</v>
      </c>
      <c r="E63" s="1" t="n">
        <v>148.56</v>
      </c>
      <c r="F63" s="1" t="n">
        <v>0</v>
      </c>
      <c r="G63" s="1" t="n">
        <v>0</v>
      </c>
      <c r="H63" s="1" t="n">
        <v>-2.1</v>
      </c>
      <c r="I63" s="1" t="n">
        <v>-7.32</v>
      </c>
      <c r="J63" s="1" t="n">
        <v>5.88</v>
      </c>
      <c r="K63" s="1" t="n">
        <v>0</v>
      </c>
      <c r="L63" s="1" t="n">
        <v>-142.15</v>
      </c>
      <c r="M63" s="1" t="n">
        <v>0</v>
      </c>
      <c r="N63" s="1" t="n">
        <v>0</v>
      </c>
    </row>
    <row r="64" customFormat="false" ht="15" hidden="false" customHeight="true" outlineLevel="0" collapsed="false">
      <c r="D64" s="1" t="s">
        <v>629</v>
      </c>
      <c r="E64" s="1" t="n">
        <v>41.43</v>
      </c>
      <c r="F64" s="1" t="n">
        <v>3</v>
      </c>
      <c r="G64" s="1" t="n">
        <v>0</v>
      </c>
      <c r="H64" s="1" t="n">
        <v>-7.95</v>
      </c>
      <c r="I64" s="1" t="n">
        <v>-7.95</v>
      </c>
      <c r="J64" s="1" t="s">
        <v>1985</v>
      </c>
      <c r="K64" s="1" t="n">
        <v>0</v>
      </c>
      <c r="L64" s="1" t="n">
        <v>-167.71</v>
      </c>
      <c r="M64" s="1" t="s">
        <v>1986</v>
      </c>
      <c r="N64" s="1" t="n">
        <v>8</v>
      </c>
    </row>
    <row r="65" customFormat="false" ht="15" hidden="false" customHeight="true" outlineLevel="0" collapsed="false">
      <c r="D65" s="1" t="s">
        <v>630</v>
      </c>
      <c r="E65" s="1" t="n">
        <v>52.56</v>
      </c>
      <c r="F65" s="1" t="n">
        <v>0</v>
      </c>
      <c r="G65" s="1" t="n">
        <v>0</v>
      </c>
      <c r="H65" s="1" t="n">
        <v>-6.79</v>
      </c>
      <c r="I65" s="1" t="n">
        <v>-6.79</v>
      </c>
      <c r="J65" s="1" t="s">
        <v>1985</v>
      </c>
      <c r="K65" s="1" t="n">
        <v>0</v>
      </c>
      <c r="L65" s="1" t="n">
        <v>-159.56</v>
      </c>
      <c r="M65" s="1" t="s">
        <v>1986</v>
      </c>
      <c r="N65" s="1" t="n">
        <v>6</v>
      </c>
    </row>
    <row r="66" customFormat="false" ht="15" hidden="false" customHeight="true" outlineLevel="0" collapsed="false">
      <c r="D66" s="1" t="s">
        <v>638</v>
      </c>
      <c r="E66" s="1" t="n">
        <v>123.21</v>
      </c>
      <c r="F66" s="1" t="n">
        <v>0</v>
      </c>
      <c r="G66" s="1" t="n">
        <v>0</v>
      </c>
      <c r="H66" s="1" t="n">
        <v>-5.45</v>
      </c>
      <c r="I66" s="1" t="n">
        <v>-5.45</v>
      </c>
      <c r="J66" s="1" t="n">
        <v>8.84</v>
      </c>
      <c r="K66" s="1" t="n">
        <v>0</v>
      </c>
      <c r="L66" s="1" t="n">
        <v>-142.17</v>
      </c>
      <c r="M66" s="1" t="n">
        <v>0</v>
      </c>
      <c r="N66" s="1" t="n">
        <v>0</v>
      </c>
    </row>
    <row r="67" customFormat="false" ht="15" hidden="false" customHeight="true" outlineLevel="0" collapsed="false">
      <c r="D67" s="1" t="s">
        <v>639</v>
      </c>
      <c r="E67" s="1" t="n">
        <v>144.87</v>
      </c>
      <c r="F67" s="1" t="n">
        <v>0</v>
      </c>
      <c r="G67" s="1" t="n">
        <v>0</v>
      </c>
      <c r="H67" s="1" t="n">
        <v>-3.87</v>
      </c>
      <c r="I67" s="1" t="n">
        <v>-3.87</v>
      </c>
      <c r="J67" s="1" t="n">
        <v>8.82</v>
      </c>
      <c r="K67" s="1" t="n">
        <v>0</v>
      </c>
      <c r="L67" s="1" t="n">
        <v>-142.17</v>
      </c>
      <c r="M67" s="1" t="n">
        <v>0</v>
      </c>
      <c r="N67" s="1" t="n">
        <v>0</v>
      </c>
    </row>
    <row r="69" customFormat="false" ht="15" hidden="false" customHeight="true" outlineLevel="0" collapsed="false">
      <c r="B69" s="1" t="s">
        <v>1999</v>
      </c>
      <c r="C69" s="1" t="s">
        <v>2000</v>
      </c>
      <c r="D69" s="1" t="s">
        <v>620</v>
      </c>
      <c r="E69" s="1" t="n">
        <v>162.4</v>
      </c>
      <c r="F69" s="1" t="n">
        <v>0</v>
      </c>
      <c r="G69" s="1" t="n">
        <v>0</v>
      </c>
      <c r="H69" s="1" t="n">
        <v>1.9</v>
      </c>
      <c r="I69" s="1" t="n">
        <v>-6.4</v>
      </c>
      <c r="J69" s="1" t="n">
        <v>21.12</v>
      </c>
      <c r="K69" s="1" t="n">
        <v>0</v>
      </c>
      <c r="L69" s="1" t="n">
        <v>-141.89</v>
      </c>
      <c r="M69" s="1" t="n">
        <v>0</v>
      </c>
      <c r="N69" s="1" t="n">
        <v>0</v>
      </c>
    </row>
    <row r="70" customFormat="false" ht="15" hidden="false" customHeight="true" outlineLevel="0" collapsed="false">
      <c r="D70" s="1" t="s">
        <v>622</v>
      </c>
      <c r="E70" s="1" t="n">
        <v>138.64</v>
      </c>
      <c r="F70" s="1" t="n">
        <v>0</v>
      </c>
      <c r="G70" s="1" t="n">
        <v>0</v>
      </c>
      <c r="H70" s="1" t="n">
        <v>-1.82</v>
      </c>
      <c r="I70" s="1" t="n">
        <v>-7.28</v>
      </c>
      <c r="J70" s="1" t="n">
        <v>19.71</v>
      </c>
      <c r="K70" s="1" t="n">
        <v>0</v>
      </c>
      <c r="L70" s="1" t="n">
        <v>-142.15</v>
      </c>
      <c r="M70" s="1" t="n">
        <v>0</v>
      </c>
      <c r="N70" s="1" t="n">
        <v>0</v>
      </c>
    </row>
    <row r="71" customFormat="false" ht="15" hidden="false" customHeight="true" outlineLevel="0" collapsed="false">
      <c r="D71" s="1" t="s">
        <v>625</v>
      </c>
      <c r="E71" s="1" t="n">
        <v>138.64</v>
      </c>
      <c r="F71" s="1" t="n">
        <v>0</v>
      </c>
      <c r="G71" s="1" t="n">
        <v>0</v>
      </c>
      <c r="H71" s="1" t="n">
        <v>-1.82</v>
      </c>
      <c r="I71" s="1" t="n">
        <v>-7.28</v>
      </c>
      <c r="J71" s="1" t="n">
        <v>19.71</v>
      </c>
      <c r="K71" s="1" t="n">
        <v>0</v>
      </c>
      <c r="L71" s="1" t="n">
        <v>-142.15</v>
      </c>
      <c r="M71" s="1" t="n">
        <v>0</v>
      </c>
      <c r="N71" s="1" t="n">
        <v>0</v>
      </c>
    </row>
    <row r="72" customFormat="false" ht="15" hidden="false" customHeight="true" outlineLevel="0" collapsed="false">
      <c r="D72" s="1" t="s">
        <v>629</v>
      </c>
      <c r="E72" s="1" t="n">
        <v>50.7</v>
      </c>
      <c r="F72" s="1" t="n">
        <v>0</v>
      </c>
      <c r="G72" s="1" t="n">
        <v>0</v>
      </c>
      <c r="H72" s="1" t="n">
        <v>-6.87</v>
      </c>
      <c r="I72" s="1" t="n">
        <v>-6.87</v>
      </c>
      <c r="J72" s="1" t="s">
        <v>1985</v>
      </c>
      <c r="K72" s="1" t="n">
        <v>0</v>
      </c>
      <c r="L72" s="1" t="n">
        <v>-155.34</v>
      </c>
      <c r="M72" s="1" t="s">
        <v>1986</v>
      </c>
      <c r="N72" s="1" t="n">
        <v>5</v>
      </c>
    </row>
    <row r="73" customFormat="false" ht="15" hidden="false" customHeight="true" outlineLevel="0" collapsed="false">
      <c r="D73" s="1" t="s">
        <v>630</v>
      </c>
      <c r="E73" s="1" t="n">
        <v>58.3</v>
      </c>
      <c r="F73" s="1" t="n">
        <v>0</v>
      </c>
      <c r="G73" s="1" t="n">
        <v>0</v>
      </c>
      <c r="H73" s="1" t="n">
        <v>-6.09</v>
      </c>
      <c r="I73" s="1" t="n">
        <v>-6.09</v>
      </c>
      <c r="J73" s="1" t="s">
        <v>1985</v>
      </c>
      <c r="K73" s="1" t="n">
        <v>0</v>
      </c>
      <c r="L73" s="1" t="n">
        <v>-147.53</v>
      </c>
      <c r="M73" s="1" t="s">
        <v>1986</v>
      </c>
      <c r="N73" s="1" t="n">
        <v>3</v>
      </c>
    </row>
    <row r="74" customFormat="false" ht="15" hidden="false" customHeight="true" outlineLevel="0" collapsed="false">
      <c r="D74" s="1" t="s">
        <v>638</v>
      </c>
      <c r="E74" s="1" t="n">
        <v>104.6</v>
      </c>
      <c r="F74" s="1" t="n">
        <v>0</v>
      </c>
      <c r="G74" s="1" t="n">
        <v>0</v>
      </c>
      <c r="H74" s="1" t="n">
        <v>-5.2</v>
      </c>
      <c r="I74" s="1" t="n">
        <v>-5.2</v>
      </c>
      <c r="J74" s="1" t="n">
        <v>29.76</v>
      </c>
      <c r="K74" s="1" t="n">
        <v>0</v>
      </c>
      <c r="L74" s="1" t="n">
        <v>-142.17</v>
      </c>
      <c r="M74" s="1" t="n">
        <v>0</v>
      </c>
      <c r="N74" s="1" t="n">
        <v>0</v>
      </c>
    </row>
    <row r="75" customFormat="false" ht="15" hidden="false" customHeight="true" outlineLevel="0" collapsed="false">
      <c r="D75" s="1" t="s">
        <v>639</v>
      </c>
      <c r="E75" s="1" t="n">
        <v>121.66</v>
      </c>
      <c r="F75" s="1" t="n">
        <v>0</v>
      </c>
      <c r="G75" s="1" t="n">
        <v>0</v>
      </c>
      <c r="H75" s="1" t="n">
        <v>-4.05</v>
      </c>
      <c r="I75" s="1" t="n">
        <v>-4.05</v>
      </c>
      <c r="J75" s="1" t="n">
        <v>29.55</v>
      </c>
      <c r="K75" s="1" t="n">
        <v>0</v>
      </c>
      <c r="L75" s="1" t="n">
        <v>-142.17</v>
      </c>
      <c r="M75" s="1" t="n">
        <v>0</v>
      </c>
      <c r="N75" s="1" t="n">
        <v>0</v>
      </c>
    </row>
    <row r="77" customFormat="false" ht="15" hidden="false" customHeight="true" outlineLevel="0" collapsed="false">
      <c r="B77" s="1" t="s">
        <v>2001</v>
      </c>
    </row>
    <row r="78" customFormat="false" ht="15" hidden="false" customHeight="true" outlineLevel="0" collapsed="false">
      <c r="B78" s="1" t="s">
        <v>2002</v>
      </c>
    </row>
    <row r="79" customFormat="false" ht="15" hidden="false" customHeight="true" outlineLevel="0" collapsed="false">
      <c r="B79" s="1" t="s">
        <v>2003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2026-09-26T14:33:54Z</dcterms:created>
  <dc:creator>openpyxl</dc:creator>
  <dc:description/>
  <dc:language>en-US</dc:language>
  <cp:lastModifiedBy/>
  <dcterms:modified xsi:type="dcterms:W3CDTF">2026-10-28T16:04:20Z</dcterms:modified>
  <cp:revision>30</cp:revision>
  <dc:subject/>
  <dc:title/>
</cp:coreProperties>
</file>

<file path=docProps/custom.xml><?xml version="1.0" encoding="utf-8"?>
<Properties xmlns="http://schemas.openxmlformats.org/officeDocument/2006/custom-properties" xmlns:vt="http://schemas.openxmlformats.org/officeDocument/2006/docPropsVTypes"/>
</file>